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46.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52.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pivotTables/pivotTable53.xml" ContentType="application/vnd.openxmlformats-officedocument.spreadsheetml.pivotTable+xml"/>
  <Override PartName="/xl/pivotTables/pivotTable54.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pivotTables/pivotTable60.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hidePivotFieldList="1"/>
  <mc:AlternateContent xmlns:mc="http://schemas.openxmlformats.org/markup-compatibility/2006">
    <mc:Choice Requires="x15">
      <x15ac:absPath xmlns:x15ac="http://schemas.microsoft.com/office/spreadsheetml/2010/11/ac" url="\\Wbc.lan\dfs\DTS\Groups\Planners_Group\PPI\Annual_Monitoring_Report\2017_2018 AMR\Industry, Employment and Retail\"/>
    </mc:Choice>
  </mc:AlternateContent>
  <xr:revisionPtr revIDLastSave="0" documentId="13_ncr:1_{591642C0-33A3-4DED-8A65-1624581239A4}" xr6:coauthVersionLast="36" xr6:coauthVersionMax="36" xr10:uidLastSave="{00000000-0000-0000-0000-000000000000}"/>
  <bookViews>
    <workbookView xWindow="0" yWindow="0" windowWidth="28800" windowHeight="12225" xr2:uid="{DAEC296E-014A-40C3-94C3-3FBE2C6DF5B8}"/>
  </bookViews>
  <sheets>
    <sheet name="Contents" sheetId="57" r:id="rId1"/>
    <sheet name="Notes" sheetId="178" r:id="rId2"/>
    <sheet name="Applications" sheetId="99" state="hidden" r:id="rId3"/>
    <sheet name="Temporary Applications" sheetId="100" state="hidden" r:id="rId4"/>
    <sheet name="1.1" sheetId="93" r:id="rId5"/>
    <sheet name="1.1 Pivot" sheetId="103" state="hidden" r:id="rId6"/>
    <sheet name="1.2" sheetId="7" r:id="rId7"/>
    <sheet name="1.2 Pivot" sheetId="101" state="hidden" r:id="rId8"/>
    <sheet name="1.3" sheetId="8" r:id="rId9"/>
    <sheet name="1.3 Pivot" sheetId="16" state="hidden" r:id="rId10"/>
    <sheet name="1.4" sheetId="9" r:id="rId11"/>
    <sheet name="1.4 Pivot" sheetId="104" state="hidden" r:id="rId12"/>
    <sheet name="1.5" sheetId="10" r:id="rId13"/>
    <sheet name="1.5 Pivot A" sheetId="105" state="hidden" r:id="rId14"/>
    <sheet name="1.5 Pivot B" sheetId="106" state="hidden" r:id="rId15"/>
    <sheet name="1.5 Pivot C" sheetId="107" state="hidden" r:id="rId16"/>
    <sheet name="1.5 Pivot D" sheetId="108" state="hidden" r:id="rId17"/>
    <sheet name="1.5 Pivot E" sheetId="109" state="hidden" r:id="rId18"/>
    <sheet name="1.5 Pivot F" sheetId="110" state="hidden" r:id="rId19"/>
    <sheet name="1.5 Pivot G" sheetId="111" state="hidden" r:id="rId20"/>
    <sheet name="1.5 Pivot H" sheetId="112" state="hidden" r:id="rId21"/>
    <sheet name="1.6a" sheetId="11" r:id="rId22"/>
    <sheet name="1.6a Pivot A" sheetId="113" state="hidden" r:id="rId23"/>
    <sheet name="1.6a Pivot B" sheetId="121" state="hidden" r:id="rId24"/>
    <sheet name="1.6a Pivot C" sheetId="122" state="hidden" r:id="rId25"/>
    <sheet name="1.6a Pivot D" sheetId="123" state="hidden" r:id="rId26"/>
    <sheet name="1.6a Pivot E" sheetId="124" state="hidden" r:id="rId27"/>
    <sheet name="1.6a Pivot F" sheetId="125" state="hidden" r:id="rId28"/>
    <sheet name="1.6a Pivot G" sheetId="126" state="hidden" r:id="rId29"/>
    <sheet name="1.6a Pivot H" sheetId="127" state="hidden" r:id="rId30"/>
    <sheet name="1.6b" sheetId="95" r:id="rId31"/>
    <sheet name="1.6b Pivot A" sheetId="128" state="hidden" r:id="rId32"/>
    <sheet name="1.6b Pivot B" sheetId="129" state="hidden" r:id="rId33"/>
    <sheet name="1.6b Pivot C" sheetId="130" state="hidden" r:id="rId34"/>
    <sheet name="1.6b Pivot D" sheetId="131" state="hidden" r:id="rId35"/>
    <sheet name="1.6b Pivot E" sheetId="132" state="hidden" r:id="rId36"/>
    <sheet name="1.6b Pivot F" sheetId="133" state="hidden" r:id="rId37"/>
    <sheet name="1.6b Pivot G" sheetId="134" state="hidden" r:id="rId38"/>
    <sheet name="1.6b Pivot H" sheetId="135" state="hidden" r:id="rId39"/>
    <sheet name="1.6c" sheetId="97" r:id="rId40"/>
    <sheet name="1.6c Pivot A" sheetId="136" state="hidden" r:id="rId41"/>
    <sheet name="1.6c Pivot B" sheetId="137" state="hidden" r:id="rId42"/>
    <sheet name="1.6c Pivot C" sheetId="138" state="hidden" r:id="rId43"/>
    <sheet name="1.6c Pivot D" sheetId="139" state="hidden" r:id="rId44"/>
    <sheet name="1.6c Pivot E" sheetId="140" state="hidden" r:id="rId45"/>
    <sheet name="1.6c Pivot F" sheetId="141" state="hidden" r:id="rId46"/>
    <sheet name="1.6c Pivot G" sheetId="142" state="hidden" r:id="rId47"/>
    <sheet name="1.6c Pivot H" sheetId="143" state="hidden" r:id="rId48"/>
    <sheet name="1.7" sheetId="12" r:id="rId49"/>
    <sheet name="1.7 Pivot" sheetId="144" state="hidden" r:id="rId50"/>
    <sheet name="1.8" sheetId="13" r:id="rId51"/>
    <sheet name="1.8 Pivot A" sheetId="145" state="hidden" r:id="rId52"/>
    <sheet name="1.8 Pivot B" sheetId="146" state="hidden" r:id="rId53"/>
    <sheet name="1.8 Pivot C" sheetId="147" state="hidden" r:id="rId54"/>
    <sheet name="1.8 Pivot D" sheetId="148" state="hidden" r:id="rId55"/>
    <sheet name="1.8 Pivot E" sheetId="149" state="hidden" r:id="rId56"/>
    <sheet name="1.8 Pivot F" sheetId="150" state="hidden" r:id="rId57"/>
    <sheet name="1.8 Pivot G" sheetId="151" state="hidden" r:id="rId58"/>
    <sheet name="1.8 Pivot H" sheetId="152" state="hidden" r:id="rId59"/>
    <sheet name="2.1" sheetId="23" r:id="rId60"/>
    <sheet name="2.1 Pivot" sheetId="154" state="hidden" r:id="rId61"/>
    <sheet name="2.2" sheetId="24" r:id="rId62"/>
    <sheet name="2.2 Pivot A" sheetId="153" state="hidden" r:id="rId63"/>
    <sheet name="2.2 Pivot B" sheetId="155" state="hidden" r:id="rId64"/>
    <sheet name="2.2 Pivot C" sheetId="156" state="hidden" r:id="rId65"/>
    <sheet name="2.3" sheetId="25" r:id="rId66"/>
    <sheet name="2.3 Pivot A" sheetId="157" state="hidden" r:id="rId67"/>
    <sheet name="2.3 Pivot B" sheetId="158" state="hidden" r:id="rId68"/>
    <sheet name="2.4" sheetId="26" r:id="rId69"/>
    <sheet name="2.4 Pivot" sheetId="159" state="hidden" r:id="rId70"/>
    <sheet name="2.5" sheetId="27" r:id="rId71"/>
    <sheet name="2.5 Pivot" sheetId="160" state="hidden" r:id="rId72"/>
    <sheet name="2.6" sheetId="28" r:id="rId73"/>
    <sheet name="2.6 Pivot" sheetId="161" state="hidden" r:id="rId74"/>
    <sheet name="3.1" sheetId="37" r:id="rId75"/>
    <sheet name="3.1 Pivot" sheetId="165" state="hidden" r:id="rId76"/>
    <sheet name="3.2" sheetId="39" r:id="rId77"/>
    <sheet name="3.2 Pivot A" sheetId="166" state="hidden" r:id="rId78"/>
    <sheet name="3.2 Pivot B" sheetId="167" state="hidden" r:id="rId79"/>
    <sheet name="3.2 Pivot C" sheetId="168" state="hidden" r:id="rId80"/>
    <sheet name="3.3" sheetId="41" r:id="rId81"/>
    <sheet name="3.3 Pivot" sheetId="169" state="hidden" r:id="rId82"/>
    <sheet name="3.4" sheetId="43" r:id="rId83"/>
    <sheet name="3.4 Pivot" sheetId="170" state="hidden" r:id="rId84"/>
    <sheet name="3.5" sheetId="45" r:id="rId85"/>
    <sheet name="3.5 Pivot" sheetId="171" state="hidden" r:id="rId86"/>
    <sheet name="3.6" sheetId="46" r:id="rId87"/>
    <sheet name="3.6 Pivot" sheetId="172" state="hidden" r:id="rId88"/>
    <sheet name="3.7" sheetId="48" r:id="rId89"/>
    <sheet name="3.7 Pivot" sheetId="173" state="hidden" r:id="rId90"/>
    <sheet name="3.8" sheetId="49" r:id="rId91"/>
    <sheet name="3.8 Pivot" sheetId="174" state="hidden" r:id="rId92"/>
    <sheet name="3.9" sheetId="51" r:id="rId93"/>
    <sheet name="3.9 Pivot" sheetId="175" state="hidden" r:id="rId94"/>
    <sheet name="3.10" sheetId="53" r:id="rId95"/>
    <sheet name="3.10 Pivot" sheetId="176" state="hidden" r:id="rId96"/>
    <sheet name="4.1" sheetId="55" r:id="rId97"/>
    <sheet name="4.1 Pivot" sheetId="177" state="hidden" r:id="rId98"/>
    <sheet name="Sch 1.1" sheetId="179" r:id="rId99"/>
    <sheet name="Sch 1.1 Pivot" sheetId="180" state="hidden" r:id="rId100"/>
    <sheet name="Sch 1.2" sheetId="188" r:id="rId101"/>
    <sheet name="Sch 1.2 Pivot" sheetId="189" state="hidden" r:id="rId102"/>
    <sheet name="Sch 1.3" sheetId="190" r:id="rId103"/>
    <sheet name="Sch 1.3 Pivot" sheetId="191" state="hidden" r:id="rId104"/>
    <sheet name="Sch 1.4" sheetId="192" r:id="rId105"/>
    <sheet name="Sch 1.4 Pivot" sheetId="193" state="hidden" r:id="rId106"/>
    <sheet name="Sch 1.5" sheetId="194" r:id="rId107"/>
    <sheet name="Sch 1.5 Pivot" sheetId="195" state="hidden" r:id="rId108"/>
    <sheet name="Sch 1.6" sheetId="196" r:id="rId109"/>
    <sheet name="Sch 1.6 Pivot" sheetId="197" state="hidden" r:id="rId110"/>
    <sheet name="Sch 1.7" sheetId="216" r:id="rId111"/>
    <sheet name="Sch 1.7 Pivot" sheetId="217" state="hidden" r:id="rId112"/>
    <sheet name="Sch 1.8" sheetId="198" r:id="rId113"/>
    <sheet name="Sch 1.8 Pivot" sheetId="199" state="hidden" r:id="rId114"/>
    <sheet name="Sch 1.9" sheetId="250" r:id="rId115"/>
    <sheet name="Sch 1.9 Pivot" sheetId="249" state="hidden" r:id="rId116"/>
    <sheet name="Sch 2.1" sheetId="215" r:id="rId117"/>
    <sheet name="Sch 2.1 Pivot" sheetId="214" state="hidden" r:id="rId118"/>
    <sheet name="Sch 2.2" sheetId="218" r:id="rId119"/>
    <sheet name="Sch 2.2 Pivot" sheetId="219" state="hidden" r:id="rId120"/>
    <sheet name="Sch 2.3" sheetId="220" r:id="rId121"/>
    <sheet name="Sch 2.3 Pivot" sheetId="221" state="hidden" r:id="rId122"/>
    <sheet name="Sch 2.4" sheetId="222" r:id="rId123"/>
    <sheet name="Sch 2.4 Pivot" sheetId="223" state="hidden" r:id="rId124"/>
    <sheet name="Sch 2.5" sheetId="224" r:id="rId125"/>
    <sheet name="Sch 2.5 Pivot" sheetId="225" state="hidden" r:id="rId126"/>
    <sheet name="Sch 2.6" sheetId="226" r:id="rId127"/>
    <sheet name="Sch 2.6 Pivot" sheetId="227" state="hidden" r:id="rId128"/>
    <sheet name="Sch 2.7" sheetId="228" r:id="rId129"/>
    <sheet name="Sch 2.7 Pivot" sheetId="229" state="hidden" r:id="rId130"/>
    <sheet name="Sch 2.8" sheetId="230" r:id="rId131"/>
    <sheet name="Sch 2.8 Pivot" sheetId="231" state="hidden" r:id="rId132"/>
    <sheet name="Sch 2.9" sheetId="251" r:id="rId133"/>
    <sheet name="Sch 2.9 Pivot" sheetId="252" state="hidden" r:id="rId134"/>
    <sheet name="Sch 3.1" sheetId="232" r:id="rId135"/>
    <sheet name="Sch 3.1 Pivot" sheetId="233" state="hidden" r:id="rId136"/>
    <sheet name="Sch 3.2" sheetId="234" r:id="rId137"/>
    <sheet name="Sch 3.2 Pivot" sheetId="236" state="hidden" r:id="rId138"/>
    <sheet name="Sch 3.3" sheetId="237" r:id="rId139"/>
    <sheet name="Sch 3.3 Pivot" sheetId="238" state="hidden" r:id="rId140"/>
    <sheet name="Sch 3.4" sheetId="239" r:id="rId141"/>
    <sheet name="Sch 3.4 Pivot" sheetId="240" state="hidden" r:id="rId142"/>
    <sheet name="Sch 3.5" sheetId="241" r:id="rId143"/>
    <sheet name="Sch 3.5 Pivot" sheetId="242" state="hidden" r:id="rId144"/>
    <sheet name="Sch 3.6" sheetId="243" r:id="rId145"/>
    <sheet name="Sch 3.6 Pivot" sheetId="244" state="hidden" r:id="rId146"/>
    <sheet name="Sch 3.7" sheetId="245" r:id="rId147"/>
    <sheet name="Sch 3.7 Pivot" sheetId="246" state="hidden" r:id="rId148"/>
    <sheet name="Sch 3.8" sheetId="247" r:id="rId149"/>
    <sheet name="Sch 3.8 Pivot" sheetId="248" state="hidden" r:id="rId150"/>
    <sheet name="Sch 3.9" sheetId="253" r:id="rId151"/>
    <sheet name="Sch 3.9 Pivot" sheetId="254" state="hidden" r:id="rId152"/>
  </sheets>
  <definedNames>
    <definedName name="_xlnm._FilterDatabase" localSheetId="2" hidden="1">Applications!$A$1:$ED$927</definedName>
    <definedName name="_xlnm._FilterDatabase" localSheetId="3" hidden="1">'Temporary Applications'!$A$1:$EB$33</definedName>
    <definedName name="_xlnm.Print_Area" localSheetId="4">'1.1'!$A$1:$J$31</definedName>
    <definedName name="_xlnm.Print_Area" localSheetId="6">'1.2'!$A$1:$L$40</definedName>
    <definedName name="_xlnm.Print_Area" localSheetId="8">'1.3'!$A$1:$O$41</definedName>
    <definedName name="_xlnm.Print_Area" localSheetId="10">'1.4'!$A$1:$L$45</definedName>
    <definedName name="_xlnm.Print_Area" localSheetId="12">'1.5'!$A$1:$H$23</definedName>
    <definedName name="_xlnm.Print_Area" localSheetId="21">'1.6a'!$A$1:$H$23</definedName>
    <definedName name="_xlnm.Print_Area" localSheetId="30">'1.6b'!$A$1:$H$21</definedName>
    <definedName name="_xlnm.Print_Area" localSheetId="39">'1.6c'!$A$1:$L$21</definedName>
    <definedName name="_xlnm.Print_Area" localSheetId="48">'1.7'!$A$1:$F$16</definedName>
    <definedName name="_xlnm.Print_Area" localSheetId="50">'1.8'!$A$1:$J$20</definedName>
    <definedName name="_xlnm.Print_Area" localSheetId="59">'2.1'!$A$1:$I$37</definedName>
    <definedName name="_xlnm.Print_Area" localSheetId="61">'2.2'!$A$1:$P$67</definedName>
    <definedName name="_xlnm.Print_Area" localSheetId="65">'2.3'!$A$1:$I$23</definedName>
    <definedName name="_xlnm.Print_Area" localSheetId="68">'2.4'!$A$1:$S$43</definedName>
    <definedName name="_xlnm.Print_Area" localSheetId="70">'2.5'!$A$1:$O$40</definedName>
    <definedName name="_xlnm.Print_Area" localSheetId="72">'2.6'!$A$1:$P$14</definedName>
    <definedName name="_xlnm.Print_Area" localSheetId="74">'3.1'!$A$1:$I$37</definedName>
    <definedName name="_xlnm.Print_Area" localSheetId="94">'3.10'!$A$1:$J$26</definedName>
    <definedName name="_xlnm.Print_Area" localSheetId="82">'3.4'!$A$1:$N$45</definedName>
    <definedName name="_xlnm.Print_Area" localSheetId="84">'3.5'!$A$1:$O$40</definedName>
    <definedName name="_xlnm.Print_Area" localSheetId="86">'3.6'!$A$1:$P$14</definedName>
    <definedName name="_xlnm.Print_Area" localSheetId="88">'3.7'!$A$1:$N$26</definedName>
    <definedName name="_xlnm.Print_Area" localSheetId="90">'3.8'!$A$1:$N$26</definedName>
    <definedName name="_xlnm.Print_Area" localSheetId="92">'3.9'!$A$1:$J$26</definedName>
    <definedName name="_xlnm.Print_Area" localSheetId="96">'4.1'!$A$1:$R$34</definedName>
    <definedName name="_xlnm.Print_Area" localSheetId="0">Contents!$A$1:$B$78</definedName>
    <definedName name="_xlnm.Print_Area" localSheetId="1">Notes!$A$1:$B$20</definedName>
    <definedName name="_xlnm.Print_Titles" localSheetId="6">'1.2'!$4:$5</definedName>
    <definedName name="_xlnm.Print_Titles" localSheetId="98">'Sch 1.1'!$4:$6</definedName>
    <definedName name="_xlnm.Print_Titles" localSheetId="100">'Sch 1.2'!$4:$6</definedName>
    <definedName name="_xlnm.Print_Titles" localSheetId="102">'Sch 1.3'!$4:$6</definedName>
    <definedName name="_xlnm.Print_Titles" localSheetId="104">'Sch 1.4'!$4:$6</definedName>
    <definedName name="_xlnm.Print_Titles" localSheetId="106">'Sch 1.5'!$4:$6</definedName>
    <definedName name="_xlnm.Print_Titles" localSheetId="108">'Sch 1.6'!$4:$6</definedName>
    <definedName name="_xlnm.Print_Titles" localSheetId="110">'Sch 1.7'!$4:$6</definedName>
    <definedName name="_xlnm.Print_Titles" localSheetId="112">'Sch 1.8'!$4:$6</definedName>
    <definedName name="_xlnm.Print_Titles" localSheetId="114">'Sch 1.9'!$4:$6</definedName>
    <definedName name="_xlnm.Print_Titles" localSheetId="116">'Sch 2.1'!$4:$6</definedName>
    <definedName name="_xlnm.Print_Titles" localSheetId="118">'Sch 2.2'!$4:$6</definedName>
    <definedName name="_xlnm.Print_Titles" localSheetId="120">'Sch 2.3'!$4:$6</definedName>
    <definedName name="_xlnm.Print_Titles" localSheetId="122">'Sch 2.4'!$4:$6</definedName>
    <definedName name="_xlnm.Print_Titles" localSheetId="124">'Sch 2.5'!$4:$6</definedName>
    <definedName name="_xlnm.Print_Titles" localSheetId="126">'Sch 2.6'!$4:$6</definedName>
    <definedName name="_xlnm.Print_Titles" localSheetId="128">'Sch 2.7'!$4:$6</definedName>
    <definedName name="_xlnm.Print_Titles" localSheetId="130">'Sch 2.8'!$4:$6</definedName>
    <definedName name="_xlnm.Print_Titles" localSheetId="132">'Sch 2.9'!$4:$6</definedName>
    <definedName name="_xlnm.Print_Titles" localSheetId="134">'Sch 3.1'!$4:$6</definedName>
    <definedName name="_xlnm.Print_Titles" localSheetId="136">'Sch 3.2'!$4:$6</definedName>
    <definedName name="_xlnm.Print_Titles" localSheetId="138">'Sch 3.3'!$4:$6</definedName>
    <definedName name="_xlnm.Print_Titles" localSheetId="140">'Sch 3.4'!$4:$6</definedName>
    <definedName name="_xlnm.Print_Titles" localSheetId="142">'Sch 3.5'!$4:$6</definedName>
    <definedName name="_xlnm.Print_Titles" localSheetId="144">'Sch 3.6'!$4:$6</definedName>
    <definedName name="_xlnm.Print_Titles" localSheetId="146">'Sch 3.7'!$4:$6</definedName>
    <definedName name="_xlnm.Print_Titles" localSheetId="148">'Sch 3.8'!$4:$6</definedName>
    <definedName name="_xlnm.Print_Titles" localSheetId="150">'Sch 3.9'!$4:$6</definedName>
  </definedNames>
  <calcPr calcId="191029"/>
  <pivotCaches>
    <pivotCache cacheId="20" r:id="rId153"/>
    <pivotCache cacheId="51" r:id="rId154"/>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 i="178" l="1"/>
  <c r="A78" i="57" l="1"/>
  <c r="A67" i="57"/>
  <c r="A56" i="57"/>
  <c r="A77" i="57"/>
  <c r="A76" i="57"/>
  <c r="A75" i="57"/>
  <c r="A74" i="57"/>
  <c r="A73" i="57"/>
  <c r="A72" i="57"/>
  <c r="A71" i="57"/>
  <c r="A70" i="57"/>
  <c r="A66" i="57"/>
  <c r="A65" i="57"/>
  <c r="A64" i="57"/>
  <c r="A63" i="57"/>
  <c r="A62" i="57"/>
  <c r="A61" i="57"/>
  <c r="A60" i="57"/>
  <c r="A54" i="57"/>
  <c r="A59" i="57"/>
  <c r="A55" i="57"/>
  <c r="A53" i="57"/>
  <c r="A52" i="57"/>
  <c r="A51" i="57"/>
  <c r="A50" i="57"/>
  <c r="A49" i="57"/>
  <c r="C5" i="99"/>
  <c r="C6" i="99"/>
  <c r="C7" i="99"/>
  <c r="C8" i="99"/>
  <c r="C9" i="99"/>
  <c r="C10" i="99"/>
  <c r="C11" i="99"/>
  <c r="C12" i="99"/>
  <c r="C13" i="99"/>
  <c r="C14" i="99"/>
  <c r="C15" i="99"/>
  <c r="C16" i="99"/>
  <c r="C17" i="99"/>
  <c r="C18" i="99"/>
  <c r="C19" i="99"/>
  <c r="C20" i="99"/>
  <c r="C21" i="99"/>
  <c r="C22" i="99"/>
  <c r="C23" i="99"/>
  <c r="C24" i="99"/>
  <c r="C25" i="99"/>
  <c r="C26" i="99"/>
  <c r="C27" i="99"/>
  <c r="C28" i="99"/>
  <c r="C29" i="99"/>
  <c r="C30" i="99"/>
  <c r="C31" i="99"/>
  <c r="C32" i="99"/>
  <c r="C33" i="99"/>
  <c r="C34" i="99"/>
  <c r="C35" i="99"/>
  <c r="C36" i="99"/>
  <c r="C37" i="99"/>
  <c r="C38" i="99"/>
  <c r="C39" i="99"/>
  <c r="C40" i="99"/>
  <c r="C41" i="99"/>
  <c r="C42" i="99"/>
  <c r="C43" i="99"/>
  <c r="C44" i="99"/>
  <c r="C45" i="99"/>
  <c r="C46" i="99"/>
  <c r="C47" i="99"/>
  <c r="C48" i="99"/>
  <c r="C49" i="99"/>
  <c r="C50" i="99"/>
  <c r="C51" i="99"/>
  <c r="C52" i="99"/>
  <c r="C53" i="99"/>
  <c r="C54" i="99"/>
  <c r="C55" i="99"/>
  <c r="C56" i="99"/>
  <c r="C57" i="99"/>
  <c r="C58" i="99"/>
  <c r="C59" i="99"/>
  <c r="C60" i="99"/>
  <c r="C61" i="99"/>
  <c r="C62" i="99"/>
  <c r="C63" i="99"/>
  <c r="C64" i="99"/>
  <c r="C65" i="99"/>
  <c r="C66" i="99"/>
  <c r="C67" i="99"/>
  <c r="C68" i="99"/>
  <c r="C69" i="99"/>
  <c r="C70" i="99"/>
  <c r="C71" i="99"/>
  <c r="C72" i="99"/>
  <c r="C73" i="99"/>
  <c r="C74" i="99"/>
  <c r="C75" i="99"/>
  <c r="C76" i="99"/>
  <c r="C77" i="99"/>
  <c r="C78" i="99"/>
  <c r="C79" i="99"/>
  <c r="C80" i="99"/>
  <c r="C81" i="99"/>
  <c r="C82" i="99"/>
  <c r="C83" i="99"/>
  <c r="C84" i="99"/>
  <c r="C85" i="99"/>
  <c r="C86" i="99"/>
  <c r="C87" i="99"/>
  <c r="C88" i="99"/>
  <c r="C89" i="99"/>
  <c r="C90" i="99"/>
  <c r="C91" i="99"/>
  <c r="C92" i="99"/>
  <c r="C93" i="99"/>
  <c r="C94" i="99"/>
  <c r="C95" i="99"/>
  <c r="C96" i="99"/>
  <c r="C97" i="99"/>
  <c r="C98" i="99"/>
  <c r="C99" i="99"/>
  <c r="C100" i="99"/>
  <c r="C101" i="99"/>
  <c r="C102" i="99"/>
  <c r="C103" i="99"/>
  <c r="C104" i="99"/>
  <c r="C105" i="99"/>
  <c r="C106" i="99"/>
  <c r="C107" i="99"/>
  <c r="C108" i="99"/>
  <c r="C109" i="99"/>
  <c r="C110" i="99"/>
  <c r="C111" i="99"/>
  <c r="C112" i="99"/>
  <c r="C113" i="99"/>
  <c r="C114" i="99"/>
  <c r="C115" i="99"/>
  <c r="C116" i="99"/>
  <c r="C117" i="99"/>
  <c r="C118" i="99"/>
  <c r="C119" i="99"/>
  <c r="C120" i="99"/>
  <c r="C121" i="99"/>
  <c r="C122" i="99"/>
  <c r="C123" i="99"/>
  <c r="C124" i="99"/>
  <c r="C125" i="99"/>
  <c r="C126" i="99"/>
  <c r="C127" i="99"/>
  <c r="C128" i="99"/>
  <c r="C129" i="99"/>
  <c r="C130" i="99"/>
  <c r="C131" i="99"/>
  <c r="C132" i="99"/>
  <c r="C133" i="99"/>
  <c r="C134" i="99"/>
  <c r="C135" i="99"/>
  <c r="C136" i="99"/>
  <c r="C137" i="99"/>
  <c r="C138" i="99"/>
  <c r="C139" i="99"/>
  <c r="C140" i="99"/>
  <c r="C141" i="99"/>
  <c r="C142" i="99"/>
  <c r="C143" i="99"/>
  <c r="C144" i="99"/>
  <c r="C145" i="99"/>
  <c r="C146" i="99"/>
  <c r="C147" i="99"/>
  <c r="C148" i="99"/>
  <c r="C149" i="99"/>
  <c r="C150" i="99"/>
  <c r="C151" i="99"/>
  <c r="C152" i="99"/>
  <c r="C153" i="99"/>
  <c r="C154" i="99"/>
  <c r="C155" i="99"/>
  <c r="C156" i="99"/>
  <c r="C157" i="99"/>
  <c r="C158" i="99"/>
  <c r="C159" i="99"/>
  <c r="C160" i="99"/>
  <c r="C161" i="99"/>
  <c r="C162" i="99"/>
  <c r="C163" i="99"/>
  <c r="C164" i="99"/>
  <c r="C165" i="99"/>
  <c r="C166" i="99"/>
  <c r="C167" i="99"/>
  <c r="C168" i="99"/>
  <c r="C169" i="99"/>
  <c r="C170" i="99"/>
  <c r="C171" i="99"/>
  <c r="C172" i="99"/>
  <c r="C173" i="99"/>
  <c r="C174" i="99"/>
  <c r="C175" i="99"/>
  <c r="C176" i="99"/>
  <c r="C177" i="99"/>
  <c r="C178" i="99"/>
  <c r="C179" i="99"/>
  <c r="C180" i="99"/>
  <c r="C181" i="99"/>
  <c r="C182" i="99"/>
  <c r="C183" i="99"/>
  <c r="C184" i="99"/>
  <c r="C185" i="99"/>
  <c r="C186" i="99"/>
  <c r="C187" i="99"/>
  <c r="C188" i="99"/>
  <c r="C189" i="99"/>
  <c r="C190" i="99"/>
  <c r="C191" i="99"/>
  <c r="C192" i="99"/>
  <c r="C193" i="99"/>
  <c r="C194" i="99"/>
  <c r="C195" i="99"/>
  <c r="C196" i="99"/>
  <c r="C197" i="99"/>
  <c r="C198" i="99"/>
  <c r="C199" i="99"/>
  <c r="C200" i="99"/>
  <c r="C201" i="99"/>
  <c r="C202" i="99"/>
  <c r="C203" i="99"/>
  <c r="C204" i="99"/>
  <c r="C205" i="99"/>
  <c r="C206" i="99"/>
  <c r="C207" i="99"/>
  <c r="C208" i="99"/>
  <c r="C209" i="99"/>
  <c r="C210" i="99"/>
  <c r="C211" i="99"/>
  <c r="C212" i="99"/>
  <c r="C213" i="99"/>
  <c r="C214" i="99"/>
  <c r="C215" i="99"/>
  <c r="C216" i="99"/>
  <c r="C217" i="99"/>
  <c r="C218" i="99"/>
  <c r="C219" i="99"/>
  <c r="C220" i="99"/>
  <c r="C221" i="99"/>
  <c r="C222" i="99"/>
  <c r="C223" i="99"/>
  <c r="C224" i="99"/>
  <c r="C225" i="99"/>
  <c r="C226" i="99"/>
  <c r="C227" i="99"/>
  <c r="C228" i="99"/>
  <c r="C229" i="99"/>
  <c r="C230" i="99"/>
  <c r="C231" i="99"/>
  <c r="C232" i="99"/>
  <c r="C233" i="99"/>
  <c r="C234" i="99"/>
  <c r="C235" i="99"/>
  <c r="C236" i="99"/>
  <c r="C237" i="99"/>
  <c r="C238" i="99"/>
  <c r="C239" i="99"/>
  <c r="C240" i="99"/>
  <c r="C241" i="99"/>
  <c r="C242" i="99"/>
  <c r="C243" i="99"/>
  <c r="C244" i="99"/>
  <c r="C245" i="99"/>
  <c r="C246" i="99"/>
  <c r="C247" i="99"/>
  <c r="C248" i="99"/>
  <c r="C249" i="99"/>
  <c r="C250" i="99"/>
  <c r="C251" i="99"/>
  <c r="C252" i="99"/>
  <c r="C253" i="99"/>
  <c r="C254" i="99"/>
  <c r="C255" i="99"/>
  <c r="C256" i="99"/>
  <c r="C257" i="99"/>
  <c r="C258" i="99"/>
  <c r="C259" i="99"/>
  <c r="C260" i="99"/>
  <c r="C261" i="99"/>
  <c r="C262" i="99"/>
  <c r="C263" i="99"/>
  <c r="C264" i="99"/>
  <c r="C265" i="99"/>
  <c r="C266" i="99"/>
  <c r="C267" i="99"/>
  <c r="C268" i="99"/>
  <c r="C269" i="99"/>
  <c r="C270" i="99"/>
  <c r="C271" i="99"/>
  <c r="C272" i="99"/>
  <c r="C273" i="99"/>
  <c r="C274" i="99"/>
  <c r="C275" i="99"/>
  <c r="C276" i="99"/>
  <c r="C277" i="99"/>
  <c r="C278" i="99"/>
  <c r="C279" i="99"/>
  <c r="C280" i="99"/>
  <c r="C281" i="99"/>
  <c r="C282" i="99"/>
  <c r="C283" i="99"/>
  <c r="C284" i="99"/>
  <c r="C285" i="99"/>
  <c r="C286" i="99"/>
  <c r="C287" i="99"/>
  <c r="C288" i="99"/>
  <c r="C289" i="99"/>
  <c r="C290" i="99"/>
  <c r="C291" i="99"/>
  <c r="C292" i="99"/>
  <c r="C293" i="99"/>
  <c r="C294" i="99"/>
  <c r="C295" i="99"/>
  <c r="C296" i="99"/>
  <c r="C297" i="99"/>
  <c r="C298" i="99"/>
  <c r="C299" i="99"/>
  <c r="C300" i="99"/>
  <c r="C301" i="99"/>
  <c r="C302" i="99"/>
  <c r="C303" i="99"/>
  <c r="C304" i="99"/>
  <c r="C305" i="99"/>
  <c r="C306" i="99"/>
  <c r="C307" i="99"/>
  <c r="C308" i="99"/>
  <c r="C309" i="99"/>
  <c r="C310" i="99"/>
  <c r="C311" i="99"/>
  <c r="C312" i="99"/>
  <c r="C313" i="99"/>
  <c r="C314" i="99"/>
  <c r="C315" i="99"/>
  <c r="C316" i="99"/>
  <c r="C317" i="99"/>
  <c r="C318" i="99"/>
  <c r="C319" i="99"/>
  <c r="C320" i="99"/>
  <c r="C321" i="99"/>
  <c r="C322" i="99"/>
  <c r="C323" i="99"/>
  <c r="C324" i="99"/>
  <c r="C325" i="99"/>
  <c r="C326" i="99"/>
  <c r="C327" i="99"/>
  <c r="C328" i="99"/>
  <c r="C329" i="99"/>
  <c r="C330" i="99"/>
  <c r="C331" i="99"/>
  <c r="C332" i="99"/>
  <c r="C333" i="99"/>
  <c r="C334" i="99"/>
  <c r="C335" i="99"/>
  <c r="C336" i="99"/>
  <c r="C337" i="99"/>
  <c r="C338" i="99"/>
  <c r="C339" i="99"/>
  <c r="C340" i="99"/>
  <c r="C341" i="99"/>
  <c r="C342" i="99"/>
  <c r="C343" i="99"/>
  <c r="C344" i="99"/>
  <c r="C345" i="99"/>
  <c r="C346" i="99"/>
  <c r="C347" i="99"/>
  <c r="C348" i="99"/>
  <c r="C349" i="99"/>
  <c r="C350" i="99"/>
  <c r="C351" i="99"/>
  <c r="C352" i="99"/>
  <c r="C353" i="99"/>
  <c r="C354" i="99"/>
  <c r="C355" i="99"/>
  <c r="C356" i="99"/>
  <c r="C357" i="99"/>
  <c r="C358" i="99"/>
  <c r="C359" i="99"/>
  <c r="C360" i="99"/>
  <c r="C361" i="99"/>
  <c r="C362" i="99"/>
  <c r="C363" i="99"/>
  <c r="C364" i="99"/>
  <c r="C365" i="99"/>
  <c r="C366" i="99"/>
  <c r="C367" i="99"/>
  <c r="C368" i="99"/>
  <c r="C369" i="99"/>
  <c r="C370" i="99"/>
  <c r="C371" i="99"/>
  <c r="C372" i="99"/>
  <c r="C373" i="99"/>
  <c r="C374" i="99"/>
  <c r="C375" i="99"/>
  <c r="C376" i="99"/>
  <c r="C377" i="99"/>
  <c r="C378" i="99"/>
  <c r="C379" i="99"/>
  <c r="C380" i="99"/>
  <c r="C381" i="99"/>
  <c r="C382" i="99"/>
  <c r="C383" i="99"/>
  <c r="C384" i="99"/>
  <c r="C385" i="99"/>
  <c r="C386" i="99"/>
  <c r="C387" i="99"/>
  <c r="C388" i="99"/>
  <c r="C389" i="99"/>
  <c r="C390" i="99"/>
  <c r="C391" i="99"/>
  <c r="C392" i="99"/>
  <c r="C393" i="99"/>
  <c r="C394" i="99"/>
  <c r="C395" i="99"/>
  <c r="C396" i="99"/>
  <c r="C397" i="99"/>
  <c r="C398" i="99"/>
  <c r="C399" i="99"/>
  <c r="C400" i="99"/>
  <c r="C401" i="99"/>
  <c r="C402" i="99"/>
  <c r="C403" i="99"/>
  <c r="C404" i="99"/>
  <c r="C405" i="99"/>
  <c r="C406" i="99"/>
  <c r="C407" i="99"/>
  <c r="C408" i="99"/>
  <c r="C409" i="99"/>
  <c r="C410" i="99"/>
  <c r="C411" i="99"/>
  <c r="C412" i="99"/>
  <c r="C413" i="99"/>
  <c r="C414" i="99"/>
  <c r="C415" i="99"/>
  <c r="C416" i="99"/>
  <c r="C417" i="99"/>
  <c r="C418" i="99"/>
  <c r="C419" i="99"/>
  <c r="C420" i="99"/>
  <c r="C421" i="99"/>
  <c r="C422" i="99"/>
  <c r="C423" i="99"/>
  <c r="C424" i="99"/>
  <c r="C425" i="99"/>
  <c r="C426" i="99"/>
  <c r="C427" i="99"/>
  <c r="C428" i="99"/>
  <c r="C429" i="99"/>
  <c r="C430" i="99"/>
  <c r="C431" i="99"/>
  <c r="C432" i="99"/>
  <c r="C433" i="99"/>
  <c r="C434" i="99"/>
  <c r="C435" i="99"/>
  <c r="C436" i="99"/>
  <c r="C437" i="99"/>
  <c r="C438" i="99"/>
  <c r="C439" i="99"/>
  <c r="C440" i="99"/>
  <c r="C441" i="99"/>
  <c r="C442" i="99"/>
  <c r="C443" i="99"/>
  <c r="C444" i="99"/>
  <c r="C445" i="99"/>
  <c r="C446" i="99"/>
  <c r="C447" i="99"/>
  <c r="C448" i="99"/>
  <c r="C449" i="99"/>
  <c r="C450" i="99"/>
  <c r="C451" i="99"/>
  <c r="C452" i="99"/>
  <c r="C453" i="99"/>
  <c r="C454" i="99"/>
  <c r="C455" i="99"/>
  <c r="C456" i="99"/>
  <c r="C457" i="99"/>
  <c r="C458" i="99"/>
  <c r="C459" i="99"/>
  <c r="C460" i="99"/>
  <c r="C461" i="99"/>
  <c r="C462" i="99"/>
  <c r="C463" i="99"/>
  <c r="C464" i="99"/>
  <c r="C465" i="99"/>
  <c r="C466" i="99"/>
  <c r="C467" i="99"/>
  <c r="C468" i="99"/>
  <c r="C469" i="99"/>
  <c r="C470" i="99"/>
  <c r="C471" i="99"/>
  <c r="C472" i="99"/>
  <c r="C473" i="99"/>
  <c r="C474" i="99"/>
  <c r="C475" i="99"/>
  <c r="C476" i="99"/>
  <c r="C477" i="99"/>
  <c r="C478" i="99"/>
  <c r="C479" i="99"/>
  <c r="C480" i="99"/>
  <c r="C481" i="99"/>
  <c r="C482" i="99"/>
  <c r="C483" i="99"/>
  <c r="C484" i="99"/>
  <c r="C485" i="99"/>
  <c r="C486" i="99"/>
  <c r="C487" i="99"/>
  <c r="C488" i="99"/>
  <c r="C489" i="99"/>
  <c r="C490" i="99"/>
  <c r="C491" i="99"/>
  <c r="C492" i="99"/>
  <c r="C493" i="99"/>
  <c r="C494" i="99"/>
  <c r="C495" i="99"/>
  <c r="C496" i="99"/>
  <c r="C497" i="99"/>
  <c r="C498" i="99"/>
  <c r="C499" i="99"/>
  <c r="C500" i="99"/>
  <c r="C501" i="99"/>
  <c r="C502" i="99"/>
  <c r="C503" i="99"/>
  <c r="C504" i="99"/>
  <c r="C505" i="99"/>
  <c r="C506" i="99"/>
  <c r="C507" i="99"/>
  <c r="C508" i="99"/>
  <c r="C509" i="99"/>
  <c r="C510" i="99"/>
  <c r="C511" i="99"/>
  <c r="C512" i="99"/>
  <c r="C513" i="99"/>
  <c r="C514" i="99"/>
  <c r="C515" i="99"/>
  <c r="C516" i="99"/>
  <c r="C517" i="99"/>
  <c r="C518" i="99"/>
  <c r="C519" i="99"/>
  <c r="C520" i="99"/>
  <c r="C521" i="99"/>
  <c r="C522" i="99"/>
  <c r="C523" i="99"/>
  <c r="C524" i="99"/>
  <c r="C525" i="99"/>
  <c r="C526" i="99"/>
  <c r="C527" i="99"/>
  <c r="C528" i="99"/>
  <c r="C529" i="99"/>
  <c r="C530" i="99"/>
  <c r="C531" i="99"/>
  <c r="C532" i="99"/>
  <c r="C533" i="99"/>
  <c r="C534" i="99"/>
  <c r="C535" i="99"/>
  <c r="C536" i="99"/>
  <c r="C537" i="99"/>
  <c r="C538" i="99"/>
  <c r="C539" i="99"/>
  <c r="C540" i="99"/>
  <c r="C541" i="99"/>
  <c r="C542" i="99"/>
  <c r="C543" i="99"/>
  <c r="C544" i="99"/>
  <c r="C545" i="99"/>
  <c r="C546" i="99"/>
  <c r="C547" i="99"/>
  <c r="C548" i="99"/>
  <c r="C549" i="99"/>
  <c r="C550" i="99"/>
  <c r="C551" i="99"/>
  <c r="C552" i="99"/>
  <c r="C553" i="99"/>
  <c r="C554" i="99"/>
  <c r="C555" i="99"/>
  <c r="C556" i="99"/>
  <c r="C557" i="99"/>
  <c r="C558" i="99"/>
  <c r="C559" i="99"/>
  <c r="C560" i="99"/>
  <c r="C561" i="99"/>
  <c r="C562" i="99"/>
  <c r="C563" i="99"/>
  <c r="C564" i="99"/>
  <c r="C565" i="99"/>
  <c r="C566" i="99"/>
  <c r="C567" i="99"/>
  <c r="C568" i="99"/>
  <c r="C569" i="99"/>
  <c r="C570" i="99"/>
  <c r="C571" i="99"/>
  <c r="C572" i="99"/>
  <c r="C573" i="99"/>
  <c r="C574" i="99"/>
  <c r="C575" i="99"/>
  <c r="C576" i="99"/>
  <c r="C577" i="99"/>
  <c r="C578" i="99"/>
  <c r="C579" i="99"/>
  <c r="C580" i="99"/>
  <c r="C581" i="99"/>
  <c r="C582" i="99"/>
  <c r="C583" i="99"/>
  <c r="C584" i="99"/>
  <c r="C585" i="99"/>
  <c r="C586" i="99"/>
  <c r="C587" i="99"/>
  <c r="C588" i="99"/>
  <c r="C589" i="99"/>
  <c r="C590" i="99"/>
  <c r="C591" i="99"/>
  <c r="C592" i="99"/>
  <c r="C593" i="99"/>
  <c r="C594" i="99"/>
  <c r="C595" i="99"/>
  <c r="C596" i="99"/>
  <c r="C597" i="99"/>
  <c r="C598" i="99"/>
  <c r="C599" i="99"/>
  <c r="C600" i="99"/>
  <c r="C601" i="99"/>
  <c r="C602" i="99"/>
  <c r="C603" i="99"/>
  <c r="C604" i="99"/>
  <c r="C605" i="99"/>
  <c r="C606" i="99"/>
  <c r="C607" i="99"/>
  <c r="C608" i="99"/>
  <c r="C609" i="99"/>
  <c r="C610" i="99"/>
  <c r="C611" i="99"/>
  <c r="C612" i="99"/>
  <c r="C613" i="99"/>
  <c r="C614" i="99"/>
  <c r="C615" i="99"/>
  <c r="C616" i="99"/>
  <c r="C617" i="99"/>
  <c r="C618" i="99"/>
  <c r="C619" i="99"/>
  <c r="C620" i="99"/>
  <c r="C621" i="99"/>
  <c r="C622" i="99"/>
  <c r="C623" i="99"/>
  <c r="C624" i="99"/>
  <c r="C625" i="99"/>
  <c r="C626" i="99"/>
  <c r="C627" i="99"/>
  <c r="C628" i="99"/>
  <c r="C629" i="99"/>
  <c r="C630" i="99"/>
  <c r="C631" i="99"/>
  <c r="C632" i="99"/>
  <c r="C633" i="99"/>
  <c r="C634" i="99"/>
  <c r="C635" i="99"/>
  <c r="C636" i="99"/>
  <c r="C637" i="99"/>
  <c r="C638" i="99"/>
  <c r="C639" i="99"/>
  <c r="C640" i="99"/>
  <c r="C641" i="99"/>
  <c r="C642" i="99"/>
  <c r="C643" i="99"/>
  <c r="C644" i="99"/>
  <c r="C645" i="99"/>
  <c r="C646" i="99"/>
  <c r="C647" i="99"/>
  <c r="C648" i="99"/>
  <c r="C649" i="99"/>
  <c r="C650" i="99"/>
  <c r="C651" i="99"/>
  <c r="C652" i="99"/>
  <c r="C653" i="99"/>
  <c r="C654" i="99"/>
  <c r="C655" i="99"/>
  <c r="C656" i="99"/>
  <c r="C657" i="99"/>
  <c r="C658" i="99"/>
  <c r="C659" i="99"/>
  <c r="C660" i="99"/>
  <c r="C661" i="99"/>
  <c r="C662" i="99"/>
  <c r="C663" i="99"/>
  <c r="C664" i="99"/>
  <c r="C665" i="99"/>
  <c r="C666" i="99"/>
  <c r="C667" i="99"/>
  <c r="C668" i="99"/>
  <c r="C669" i="99"/>
  <c r="C670" i="99"/>
  <c r="C671" i="99"/>
  <c r="C672" i="99"/>
  <c r="C673" i="99"/>
  <c r="C674" i="99"/>
  <c r="C675" i="99"/>
  <c r="C676" i="99"/>
  <c r="C677" i="99"/>
  <c r="C678" i="99"/>
  <c r="C679" i="99"/>
  <c r="C680" i="99"/>
  <c r="C681" i="99"/>
  <c r="C682" i="99"/>
  <c r="C683" i="99"/>
  <c r="C684" i="99"/>
  <c r="C685" i="99"/>
  <c r="C686" i="99"/>
  <c r="C687" i="99"/>
  <c r="C688" i="99"/>
  <c r="C689" i="99"/>
  <c r="C690" i="99"/>
  <c r="C691" i="99"/>
  <c r="C692" i="99"/>
  <c r="C693" i="99"/>
  <c r="C694" i="99"/>
  <c r="C695" i="99"/>
  <c r="C696" i="99"/>
  <c r="C697" i="99"/>
  <c r="C698" i="99"/>
  <c r="C699" i="99"/>
  <c r="C700" i="99"/>
  <c r="C701" i="99"/>
  <c r="C702" i="99"/>
  <c r="C703" i="99"/>
  <c r="C704" i="99"/>
  <c r="C705" i="99"/>
  <c r="C706" i="99"/>
  <c r="C707" i="99"/>
  <c r="C708" i="99"/>
  <c r="C709" i="99"/>
  <c r="C710" i="99"/>
  <c r="C711" i="99"/>
  <c r="C712" i="99"/>
  <c r="C713" i="99"/>
  <c r="C714" i="99"/>
  <c r="C715" i="99"/>
  <c r="C716" i="99"/>
  <c r="C717" i="99"/>
  <c r="C718" i="99"/>
  <c r="C719" i="99"/>
  <c r="C720" i="99"/>
  <c r="C721" i="99"/>
  <c r="C722" i="99"/>
  <c r="C723" i="99"/>
  <c r="C724" i="99"/>
  <c r="C725" i="99"/>
  <c r="C726" i="99"/>
  <c r="C727" i="99"/>
  <c r="C728" i="99"/>
  <c r="C729" i="99"/>
  <c r="C730" i="99"/>
  <c r="C731" i="99"/>
  <c r="C732" i="99"/>
  <c r="C733" i="99"/>
  <c r="C734" i="99"/>
  <c r="C735" i="99"/>
  <c r="C736" i="99"/>
  <c r="C737" i="99"/>
  <c r="C738" i="99"/>
  <c r="C739" i="99"/>
  <c r="C740" i="99"/>
  <c r="C741" i="99"/>
  <c r="C742" i="99"/>
  <c r="C743" i="99"/>
  <c r="C744" i="99"/>
  <c r="C745" i="99"/>
  <c r="C746" i="99"/>
  <c r="C747" i="99"/>
  <c r="C748" i="99"/>
  <c r="C749" i="99"/>
  <c r="C750" i="99"/>
  <c r="C751" i="99"/>
  <c r="C752" i="99"/>
  <c r="C753" i="99"/>
  <c r="C754" i="99"/>
  <c r="C755" i="99"/>
  <c r="C756" i="99"/>
  <c r="C757" i="99"/>
  <c r="C758" i="99"/>
  <c r="C759" i="99"/>
  <c r="C760" i="99"/>
  <c r="C761" i="99"/>
  <c r="C762" i="99"/>
  <c r="C763" i="99"/>
  <c r="C764" i="99"/>
  <c r="C765" i="99"/>
  <c r="C766" i="99"/>
  <c r="C767" i="99"/>
  <c r="C768" i="99"/>
  <c r="C769" i="99"/>
  <c r="C770" i="99"/>
  <c r="C771" i="99"/>
  <c r="C772" i="99"/>
  <c r="C773" i="99"/>
  <c r="C774" i="99"/>
  <c r="C775" i="99"/>
  <c r="C776" i="99"/>
  <c r="C777" i="99"/>
  <c r="C778" i="99"/>
  <c r="C779" i="99"/>
  <c r="C780" i="99"/>
  <c r="C781" i="99"/>
  <c r="C782" i="99"/>
  <c r="C783" i="99"/>
  <c r="C784" i="99"/>
  <c r="C785" i="99"/>
  <c r="C786" i="99"/>
  <c r="C787" i="99"/>
  <c r="C788" i="99"/>
  <c r="C789" i="99"/>
  <c r="C790" i="99"/>
  <c r="C791" i="99"/>
  <c r="C792" i="99"/>
  <c r="C793" i="99"/>
  <c r="C794" i="99"/>
  <c r="C795" i="99"/>
  <c r="C796" i="99"/>
  <c r="C797" i="99"/>
  <c r="C798" i="99"/>
  <c r="C799" i="99"/>
  <c r="C800" i="99"/>
  <c r="C801" i="99"/>
  <c r="C802" i="99"/>
  <c r="C803" i="99"/>
  <c r="C804" i="99"/>
  <c r="C805" i="99"/>
  <c r="C806" i="99"/>
  <c r="C807" i="99"/>
  <c r="C808" i="99"/>
  <c r="C809" i="99"/>
  <c r="C810" i="99"/>
  <c r="C811" i="99"/>
  <c r="C812" i="99"/>
  <c r="C813" i="99"/>
  <c r="C814" i="99"/>
  <c r="C815" i="99"/>
  <c r="C816" i="99"/>
  <c r="C817" i="99"/>
  <c r="C818" i="99"/>
  <c r="C819" i="99"/>
  <c r="C820" i="99"/>
  <c r="C821" i="99"/>
  <c r="C822" i="99"/>
  <c r="C823" i="99"/>
  <c r="C824" i="99"/>
  <c r="C825" i="99"/>
  <c r="C826" i="99"/>
  <c r="C827" i="99"/>
  <c r="C828" i="99"/>
  <c r="C829" i="99"/>
  <c r="C830" i="99"/>
  <c r="C831" i="99"/>
  <c r="C832" i="99"/>
  <c r="C833" i="99"/>
  <c r="C834" i="99"/>
  <c r="C835" i="99"/>
  <c r="C836" i="99"/>
  <c r="C837" i="99"/>
  <c r="C838" i="99"/>
  <c r="C839" i="99"/>
  <c r="C840" i="99"/>
  <c r="C841" i="99"/>
  <c r="C842" i="99"/>
  <c r="C843" i="99"/>
  <c r="C844" i="99"/>
  <c r="C845" i="99"/>
  <c r="C846" i="99"/>
  <c r="C847" i="99"/>
  <c r="C848" i="99"/>
  <c r="C849" i="99"/>
  <c r="C850" i="99"/>
  <c r="C851" i="99"/>
  <c r="C852" i="99"/>
  <c r="C853" i="99"/>
  <c r="C854" i="99"/>
  <c r="C855" i="99"/>
  <c r="C856" i="99"/>
  <c r="C857" i="99"/>
  <c r="C858" i="99"/>
  <c r="C859" i="99"/>
  <c r="C860" i="99"/>
  <c r="C861" i="99"/>
  <c r="C862" i="99"/>
  <c r="C863" i="99"/>
  <c r="C864" i="99"/>
  <c r="C865" i="99"/>
  <c r="C866" i="99"/>
  <c r="C867" i="99"/>
  <c r="C868" i="99"/>
  <c r="C869" i="99"/>
  <c r="C870" i="99"/>
  <c r="C871" i="99"/>
  <c r="C872" i="99"/>
  <c r="C873" i="99"/>
  <c r="C874" i="99"/>
  <c r="C875" i="99"/>
  <c r="C876" i="99"/>
  <c r="C877" i="99"/>
  <c r="C878" i="99"/>
  <c r="C879" i="99"/>
  <c r="C880" i="99"/>
  <c r="C881" i="99"/>
  <c r="C882" i="99"/>
  <c r="C883" i="99"/>
  <c r="C884" i="99"/>
  <c r="C885" i="99"/>
  <c r="C886" i="99"/>
  <c r="C887" i="99"/>
  <c r="C888" i="99"/>
  <c r="C889" i="99"/>
  <c r="C890" i="99"/>
  <c r="C891" i="99"/>
  <c r="C892" i="99"/>
  <c r="C893" i="99"/>
  <c r="C894" i="99"/>
  <c r="C895" i="99"/>
  <c r="C896" i="99"/>
  <c r="C897" i="99"/>
  <c r="C898" i="99"/>
  <c r="C899" i="99"/>
  <c r="C900" i="99"/>
  <c r="C901" i="99"/>
  <c r="C902" i="99"/>
  <c r="C903" i="99"/>
  <c r="C904" i="99"/>
  <c r="C905" i="99"/>
  <c r="C906" i="99"/>
  <c r="C907" i="99"/>
  <c r="C908" i="99"/>
  <c r="C909" i="99"/>
  <c r="C910" i="99"/>
  <c r="C911" i="99"/>
  <c r="C912" i="99"/>
  <c r="C913" i="99"/>
  <c r="C914" i="99"/>
  <c r="C915" i="99"/>
  <c r="C916" i="99"/>
  <c r="C917" i="99"/>
  <c r="C918" i="99"/>
  <c r="C919" i="99"/>
  <c r="C920" i="99"/>
  <c r="C921" i="99"/>
  <c r="C922" i="99"/>
  <c r="C923" i="99"/>
  <c r="C924" i="99"/>
  <c r="C925" i="99"/>
  <c r="C926" i="99"/>
  <c r="C927" i="99"/>
  <c r="C3" i="99"/>
  <c r="C4" i="99"/>
  <c r="C2" i="99"/>
  <c r="L33" i="7"/>
  <c r="E32" i="7"/>
  <c r="E31" i="7"/>
  <c r="F32" i="7"/>
  <c r="L31" i="7"/>
  <c r="L32" i="7"/>
  <c r="F31" i="7"/>
  <c r="J32" i="7"/>
  <c r="H31" i="7"/>
  <c r="F33" i="7"/>
  <c r="G33" i="7"/>
  <c r="G31" i="7"/>
  <c r="G32" i="7"/>
  <c r="E33" i="7"/>
  <c r="J31" i="7"/>
  <c r="J33" i="7"/>
  <c r="H32" i="7"/>
  <c r="H33" i="7"/>
  <c r="A48" i="57" l="1"/>
  <c r="A43" i="57" l="1"/>
  <c r="A40" i="57"/>
  <c r="A39" i="57"/>
  <c r="A38" i="57"/>
  <c r="A37" i="57"/>
  <c r="A36" i="57"/>
  <c r="A35" i="57"/>
  <c r="A34" i="57"/>
  <c r="A33" i="57"/>
  <c r="A32" i="57"/>
  <c r="A31" i="57"/>
  <c r="A28" i="57"/>
  <c r="A27" i="57"/>
  <c r="A26" i="57"/>
  <c r="A25" i="57"/>
  <c r="A23" i="57"/>
  <c r="A20" i="57"/>
  <c r="A19" i="57"/>
  <c r="A18" i="57"/>
  <c r="A17" i="57"/>
  <c r="A15" i="57"/>
  <c r="A14" i="57"/>
  <c r="A13" i="57"/>
  <c r="A12" i="57"/>
  <c r="A11" i="57"/>
  <c r="AI813" i="99" l="1"/>
  <c r="AI811" i="99"/>
  <c r="AI794" i="99"/>
  <c r="AI782" i="99"/>
  <c r="AI781" i="99"/>
  <c r="AI775" i="99"/>
  <c r="AI774" i="99"/>
  <c r="AI773" i="99"/>
  <c r="AI770" i="99"/>
  <c r="AI767" i="99"/>
  <c r="AI766" i="99"/>
  <c r="AI764" i="99"/>
  <c r="AI756" i="99"/>
  <c r="AI745" i="99"/>
  <c r="AI743" i="99"/>
  <c r="AI736" i="99"/>
  <c r="AI733" i="99"/>
  <c r="AI728" i="99"/>
  <c r="AI727" i="99"/>
  <c r="AI725" i="99"/>
  <c r="AI721" i="99"/>
  <c r="AI719" i="99"/>
  <c r="AI714" i="99"/>
  <c r="AI710" i="99"/>
  <c r="AI708" i="99"/>
  <c r="AI690" i="99"/>
  <c r="AI688" i="99"/>
  <c r="AI681" i="99"/>
  <c r="AI671" i="99"/>
  <c r="AI670" i="99"/>
  <c r="AI665" i="99"/>
  <c r="AI659" i="99"/>
  <c r="AI658" i="99"/>
  <c r="AI657" i="99"/>
  <c r="AI653" i="99"/>
  <c r="AI648" i="99"/>
  <c r="AI640" i="99"/>
  <c r="AI633" i="99"/>
  <c r="AI618" i="99"/>
  <c r="AI613" i="99"/>
  <c r="AI612" i="99"/>
  <c r="AI609" i="99"/>
  <c r="AI605" i="99"/>
  <c r="AI601" i="99"/>
  <c r="AI599" i="99"/>
  <c r="AI591" i="99"/>
  <c r="AI590" i="99"/>
  <c r="AI589" i="99"/>
  <c r="AI588" i="99"/>
  <c r="AI587" i="99"/>
  <c r="AI584" i="99"/>
  <c r="AI583" i="99"/>
  <c r="AI578" i="99"/>
  <c r="AI572" i="99"/>
  <c r="AI569" i="99"/>
  <c r="AI563" i="99"/>
  <c r="AI562" i="99"/>
  <c r="AI561" i="99"/>
  <c r="AI559" i="99"/>
  <c r="AI554" i="99"/>
  <c r="AI552" i="99"/>
  <c r="AI551" i="99"/>
  <c r="AI548" i="99"/>
  <c r="AI547" i="99"/>
  <c r="AI545" i="99"/>
  <c r="AI542" i="99"/>
  <c r="AI536" i="99"/>
  <c r="AI534" i="99"/>
  <c r="AI531" i="99"/>
  <c r="AI528" i="99"/>
  <c r="AI525" i="99"/>
  <c r="AI524" i="99"/>
  <c r="AI521" i="99"/>
  <c r="AI515" i="99"/>
  <c r="AI513" i="99"/>
  <c r="AI511" i="99"/>
  <c r="AI510" i="99"/>
  <c r="AI507" i="99"/>
  <c r="AI504" i="99"/>
  <c r="AI501" i="99"/>
  <c r="AI495" i="99"/>
  <c r="AI491" i="99"/>
  <c r="AI487" i="99"/>
  <c r="AI486" i="99"/>
  <c r="AI485" i="99"/>
  <c r="AI484" i="99"/>
  <c r="AI468" i="99"/>
  <c r="AI467" i="99"/>
  <c r="AI463" i="99"/>
  <c r="AI460" i="99"/>
  <c r="AI458" i="99"/>
  <c r="AI452" i="99"/>
  <c r="AI437" i="99"/>
  <c r="AI435" i="99"/>
  <c r="AI432" i="99"/>
  <c r="AI431" i="99"/>
  <c r="AI429" i="99"/>
  <c r="AI428" i="99"/>
  <c r="AI426" i="99"/>
  <c r="AI422" i="99"/>
  <c r="AI419" i="99"/>
  <c r="AI417" i="99"/>
  <c r="AI413" i="99"/>
  <c r="AI412" i="99"/>
  <c r="AI406" i="99"/>
  <c r="AI392" i="99"/>
  <c r="AI389" i="99"/>
  <c r="AI383" i="99"/>
  <c r="AI381" i="99"/>
  <c r="AI379" i="99"/>
  <c r="AI374" i="99"/>
  <c r="AI373" i="99"/>
  <c r="AI372" i="99"/>
  <c r="AI371" i="99"/>
  <c r="AI370" i="99"/>
  <c r="AI352" i="99"/>
  <c r="AI351" i="99"/>
  <c r="AI349" i="99"/>
  <c r="AI348" i="99"/>
  <c r="AI346" i="99"/>
  <c r="AI329" i="99"/>
  <c r="AI328" i="99"/>
  <c r="AI325" i="99"/>
  <c r="AI321" i="99"/>
  <c r="AI320" i="99"/>
  <c r="AI288" i="99"/>
  <c r="AI287" i="99"/>
  <c r="AI286" i="99"/>
  <c r="AI282" i="99"/>
  <c r="AI281" i="99"/>
  <c r="AI277" i="99"/>
  <c r="AI276" i="99"/>
  <c r="AI256" i="99"/>
  <c r="AI255" i="99"/>
  <c r="AI254" i="99"/>
  <c r="AI239" i="99"/>
  <c r="AI235" i="99"/>
  <c r="AI231" i="99"/>
  <c r="AI228" i="99"/>
  <c r="AI226" i="99"/>
  <c r="AI225" i="99"/>
  <c r="AI215" i="99"/>
  <c r="AI206" i="99"/>
  <c r="AI204" i="99"/>
  <c r="AI187" i="99"/>
  <c r="AI186" i="99"/>
  <c r="AI185" i="99"/>
  <c r="AI184" i="99"/>
  <c r="AI181" i="99"/>
  <c r="AI180" i="99"/>
  <c r="AI176" i="99"/>
  <c r="AI175" i="99"/>
  <c r="AI174" i="99"/>
  <c r="AI171" i="99"/>
  <c r="AI167" i="99"/>
  <c r="AI166" i="99"/>
  <c r="AI165" i="99"/>
  <c r="AI163" i="99"/>
  <c r="AI162" i="99"/>
  <c r="AI160" i="99"/>
  <c r="AI159" i="99"/>
  <c r="AI158" i="99"/>
  <c r="AI155" i="99"/>
  <c r="AI153" i="99"/>
  <c r="AI144" i="99"/>
  <c r="AI142" i="99"/>
  <c r="AI141" i="99"/>
  <c r="AI137" i="99"/>
  <c r="AI129" i="99"/>
  <c r="AI126" i="99"/>
  <c r="AI125" i="99"/>
  <c r="AI113" i="99"/>
  <c r="AI109" i="99"/>
  <c r="AI102" i="99"/>
  <c r="AI95" i="99"/>
  <c r="AI91" i="99"/>
  <c r="AI80" i="99"/>
  <c r="AI79" i="99"/>
  <c r="AI77" i="99"/>
  <c r="AI75" i="99"/>
  <c r="AI74" i="99"/>
  <c r="AI73" i="99"/>
  <c r="AI72" i="99"/>
  <c r="AI70" i="99"/>
  <c r="AI69" i="99"/>
  <c r="AI68" i="99"/>
  <c r="AI67" i="99"/>
  <c r="AI66" i="99"/>
  <c r="AI64" i="99"/>
  <c r="AI63" i="99"/>
  <c r="AI60" i="99"/>
  <c r="AI40" i="99"/>
  <c r="AI37" i="99"/>
  <c r="AI32" i="99"/>
  <c r="AI28" i="99"/>
  <c r="AI24" i="99"/>
  <c r="AI23" i="99"/>
  <c r="AI21" i="99"/>
  <c r="AI13" i="99"/>
  <c r="AI11" i="99"/>
  <c r="AI10" i="99"/>
  <c r="AI2" i="99"/>
  <c r="AH870" i="99"/>
  <c r="AH869" i="99"/>
  <c r="AH868" i="99"/>
  <c r="AH867" i="99"/>
  <c r="AH866" i="99"/>
  <c r="AH865" i="99"/>
  <c r="AH864" i="99"/>
  <c r="AH863" i="99"/>
  <c r="AH862" i="99"/>
  <c r="AH861" i="99"/>
  <c r="AH860" i="99"/>
  <c r="AH859" i="99"/>
  <c r="AH858" i="99"/>
  <c r="AH857" i="99"/>
  <c r="AH856" i="99"/>
  <c r="AH855" i="99"/>
  <c r="AH854" i="99"/>
  <c r="AH805" i="99"/>
  <c r="AH794" i="99"/>
  <c r="AH793" i="99"/>
  <c r="AH792" i="99"/>
  <c r="AH786" i="99"/>
  <c r="AH782" i="99"/>
  <c r="AH781" i="99"/>
  <c r="AH775" i="99"/>
  <c r="AH773" i="99"/>
  <c r="AH771" i="99"/>
  <c r="AH770" i="99"/>
  <c r="AH767" i="99"/>
  <c r="AH766" i="99"/>
  <c r="AH764" i="99"/>
  <c r="AH756" i="99"/>
  <c r="AH754" i="99"/>
  <c r="AH748" i="99"/>
  <c r="AH745" i="99"/>
  <c r="AH743" i="99"/>
  <c r="AH736" i="99"/>
  <c r="AH734" i="99"/>
  <c r="AH733" i="99"/>
  <c r="AH728" i="99"/>
  <c r="AH727" i="99"/>
  <c r="AH725" i="99"/>
  <c r="AH721" i="99"/>
  <c r="AH719" i="99"/>
  <c r="AH717" i="99"/>
  <c r="AH714" i="99"/>
  <c r="AH710" i="99"/>
  <c r="AH708" i="99"/>
  <c r="AH703" i="99"/>
  <c r="AH701" i="99"/>
  <c r="AH690" i="99"/>
  <c r="AH688" i="99"/>
  <c r="AH684" i="99"/>
  <c r="AH680" i="99"/>
  <c r="AH674" i="99"/>
  <c r="AH671" i="99"/>
  <c r="AH670" i="99"/>
  <c r="AH668" i="99"/>
  <c r="AH667" i="99"/>
  <c r="AH665" i="99"/>
  <c r="AH658" i="99"/>
  <c r="AH657" i="99"/>
  <c r="AH656" i="99"/>
  <c r="AH655" i="99"/>
  <c r="AH653" i="99"/>
  <c r="AH652" i="99"/>
  <c r="AH649" i="99"/>
  <c r="AH646" i="99"/>
  <c r="AH643" i="99"/>
  <c r="AH640" i="99"/>
  <c r="AH636" i="99"/>
  <c r="AH635" i="99"/>
  <c r="AH633" i="99"/>
  <c r="AH631" i="99"/>
  <c r="AH626" i="99"/>
  <c r="AH618" i="99"/>
  <c r="AH613" i="99"/>
  <c r="AH612" i="99"/>
  <c r="AH610" i="99"/>
  <c r="AH609" i="99"/>
  <c r="AH606" i="99"/>
  <c r="AH605" i="99"/>
  <c r="AH601" i="99"/>
  <c r="AH599" i="99"/>
  <c r="AH591" i="99"/>
  <c r="AH590" i="99"/>
  <c r="AH589" i="99"/>
  <c r="AH588" i="99"/>
  <c r="AH587" i="99"/>
  <c r="AH584" i="99"/>
  <c r="AH583" i="99"/>
  <c r="AH580" i="99"/>
  <c r="AH579" i="99"/>
  <c r="AH578" i="99"/>
  <c r="AH572" i="99"/>
  <c r="AH569" i="99"/>
  <c r="AH563" i="99"/>
  <c r="AH562" i="99"/>
  <c r="AH561" i="99"/>
  <c r="AH559" i="99"/>
  <c r="AH555" i="99"/>
  <c r="AH554" i="99"/>
  <c r="AH552" i="99"/>
  <c r="AH551" i="99"/>
  <c r="AH550" i="99"/>
  <c r="AH548" i="99"/>
  <c r="AH547" i="99"/>
  <c r="AH546" i="99"/>
  <c r="AH545" i="99"/>
  <c r="AH544" i="99"/>
  <c r="AH542" i="99"/>
  <c r="AH541" i="99"/>
  <c r="AH536" i="99"/>
  <c r="AH535" i="99"/>
  <c r="AH534" i="99"/>
  <c r="AH531" i="99"/>
  <c r="AH529" i="99"/>
  <c r="AH528" i="99"/>
  <c r="AH527" i="99"/>
  <c r="AH525" i="99"/>
  <c r="AH524" i="99"/>
  <c r="AH523" i="99"/>
  <c r="AH521" i="99"/>
  <c r="AH520" i="99"/>
  <c r="AH515" i="99"/>
  <c r="AH514" i="99"/>
  <c r="AH513" i="99"/>
  <c r="AH511" i="99"/>
  <c r="AH510" i="99"/>
  <c r="AH508" i="99"/>
  <c r="AH507" i="99"/>
  <c r="AH505" i="99"/>
  <c r="AH504" i="99"/>
  <c r="AH503" i="99"/>
  <c r="AH502" i="99"/>
  <c r="AH501" i="99"/>
  <c r="AH497" i="99"/>
  <c r="AH495" i="99"/>
  <c r="AH494" i="99"/>
  <c r="AH493" i="99"/>
  <c r="AH492" i="99"/>
  <c r="AH491" i="99"/>
  <c r="AH490" i="99"/>
  <c r="AH489" i="99"/>
  <c r="AH487" i="99"/>
  <c r="AH486" i="99"/>
  <c r="AH485" i="99"/>
  <c r="AH484" i="99"/>
  <c r="AH483" i="99"/>
  <c r="AH482" i="99"/>
  <c r="AH479" i="99"/>
  <c r="AH473" i="99"/>
  <c r="AH471" i="99"/>
  <c r="AH469" i="99"/>
  <c r="AH468" i="99"/>
  <c r="AH467" i="99"/>
  <c r="AH466" i="99"/>
  <c r="AH463" i="99"/>
  <c r="AH462" i="99"/>
  <c r="AH461" i="99"/>
  <c r="AH460" i="99"/>
  <c r="AH459" i="99"/>
  <c r="AH458" i="99"/>
  <c r="AH457" i="99"/>
  <c r="AH452" i="99"/>
  <c r="AH451" i="99"/>
  <c r="AH450" i="99"/>
  <c r="AH447" i="99"/>
  <c r="AH444" i="99"/>
  <c r="AH443" i="99"/>
  <c r="AH440" i="99"/>
  <c r="AH437" i="99"/>
  <c r="AH435" i="99"/>
  <c r="AH433" i="99"/>
  <c r="AH432" i="99"/>
  <c r="AH431" i="99"/>
  <c r="AH430" i="99"/>
  <c r="AH429" i="99"/>
  <c r="AH428" i="99"/>
  <c r="AH426" i="99"/>
  <c r="AH424" i="99"/>
  <c r="AH422" i="99"/>
  <c r="AH421" i="99"/>
  <c r="AH420" i="99"/>
  <c r="AH419" i="99"/>
  <c r="AH417" i="99"/>
  <c r="AH415" i="99"/>
  <c r="AH414" i="99"/>
  <c r="AH413" i="99"/>
  <c r="AH412" i="99"/>
  <c r="AH411" i="99"/>
  <c r="AH406" i="99"/>
  <c r="AH405" i="99"/>
  <c r="AH402" i="99"/>
  <c r="AH399" i="99"/>
  <c r="AH394" i="99"/>
  <c r="AH393" i="99"/>
  <c r="AH392" i="99"/>
  <c r="AH391" i="99"/>
  <c r="AH389" i="99"/>
  <c r="AH388" i="99"/>
  <c r="AH387" i="99"/>
  <c r="AH384" i="99"/>
  <c r="AH383" i="99"/>
  <c r="AH381" i="99"/>
  <c r="AH380" i="99"/>
  <c r="AH379" i="99"/>
  <c r="AH378" i="99"/>
  <c r="AH374" i="99"/>
  <c r="AH373" i="99"/>
  <c r="AH372" i="99"/>
  <c r="AH371" i="99"/>
  <c r="AH370" i="99"/>
  <c r="AH367" i="99"/>
  <c r="AH365" i="99"/>
  <c r="AH363" i="99"/>
  <c r="AH360" i="99"/>
  <c r="AH355" i="99"/>
  <c r="AH354" i="99"/>
  <c r="AH352" i="99"/>
  <c r="AH351" i="99"/>
  <c r="AH349" i="99"/>
  <c r="AH348" i="99"/>
  <c r="AH346" i="99"/>
  <c r="AH342" i="99"/>
  <c r="AH332" i="99"/>
  <c r="AH329" i="99"/>
  <c r="AH328" i="99"/>
  <c r="AH327" i="99"/>
  <c r="AH325" i="99"/>
  <c r="AH324" i="99"/>
  <c r="AH323" i="99"/>
  <c r="AH321" i="99"/>
  <c r="AH320" i="99"/>
  <c r="AH319" i="99"/>
  <c r="AH317" i="99"/>
  <c r="AH304" i="99"/>
  <c r="AH303" i="99"/>
  <c r="AH302" i="99"/>
  <c r="AH300" i="99"/>
  <c r="AH298" i="99"/>
  <c r="AH292" i="99"/>
  <c r="AH291" i="99"/>
  <c r="AH288" i="99"/>
  <c r="AH287" i="99"/>
  <c r="AH286" i="99"/>
  <c r="AH284" i="99"/>
  <c r="AH282" i="99"/>
  <c r="AH281" i="99"/>
  <c r="AH280" i="99"/>
  <c r="AH279" i="99"/>
  <c r="AH277" i="99"/>
  <c r="AH276" i="99"/>
  <c r="AH273" i="99"/>
  <c r="AH271" i="99"/>
  <c r="AH267" i="99"/>
  <c r="AH265" i="99"/>
  <c r="AH264" i="99"/>
  <c r="AH263" i="99"/>
  <c r="AH256" i="99"/>
  <c r="AH255" i="99"/>
  <c r="AH254" i="99"/>
  <c r="AH251" i="99"/>
  <c r="AH248" i="99"/>
  <c r="AH247" i="99"/>
  <c r="AH246" i="99"/>
  <c r="AH245" i="99"/>
  <c r="AH244" i="99"/>
  <c r="AH243" i="99"/>
  <c r="AH242" i="99"/>
  <c r="AH241" i="99"/>
  <c r="AH239" i="99"/>
  <c r="AH237" i="99"/>
  <c r="AH235" i="99"/>
  <c r="AH231" i="99"/>
  <c r="AH230" i="99"/>
  <c r="AH228" i="99"/>
  <c r="AH226" i="99"/>
  <c r="AH225" i="99"/>
  <c r="AH218" i="99"/>
  <c r="AH217" i="99"/>
  <c r="AH215" i="99"/>
  <c r="AH214" i="99"/>
  <c r="AH212" i="99"/>
  <c r="AH210" i="99"/>
  <c r="AH209" i="99"/>
  <c r="AH208" i="99"/>
  <c r="AH206" i="99"/>
  <c r="AH204" i="99"/>
  <c r="AH202" i="99"/>
  <c r="AH201" i="99"/>
  <c r="AH200" i="99"/>
  <c r="AH199" i="99"/>
  <c r="AH193" i="99"/>
  <c r="AH192" i="99"/>
  <c r="AH191" i="99"/>
  <c r="AH190" i="99"/>
  <c r="AH189" i="99"/>
  <c r="AH188" i="99"/>
  <c r="AH187" i="99"/>
  <c r="AH186" i="99"/>
  <c r="AH185" i="99"/>
  <c r="AH184" i="99"/>
  <c r="AH183" i="99"/>
  <c r="AH181" i="99"/>
  <c r="AH180" i="99"/>
  <c r="AH179" i="99"/>
  <c r="AH178" i="99"/>
  <c r="AH176" i="99"/>
  <c r="AH175" i="99"/>
  <c r="AH174" i="99"/>
  <c r="AH173" i="99"/>
  <c r="AH172" i="99"/>
  <c r="AH171" i="99"/>
  <c r="AH168" i="99"/>
  <c r="AH167" i="99"/>
  <c r="AH166" i="99"/>
  <c r="AH165" i="99"/>
  <c r="AH164" i="99"/>
  <c r="AH162" i="99"/>
  <c r="AH160" i="99"/>
  <c r="AH159" i="99"/>
  <c r="AH158" i="99"/>
  <c r="AH153" i="99"/>
  <c r="AH152" i="99"/>
  <c r="AH151" i="99"/>
  <c r="AH149" i="99"/>
  <c r="AH145" i="99"/>
  <c r="AH144" i="99"/>
  <c r="AH143" i="99"/>
  <c r="AH142" i="99"/>
  <c r="AH141" i="99"/>
  <c r="AH138" i="99"/>
  <c r="AH137" i="99"/>
  <c r="AH136" i="99"/>
  <c r="AH132" i="99"/>
  <c r="AH129" i="99"/>
  <c r="AH127" i="99"/>
  <c r="AH126" i="99"/>
  <c r="AH125" i="99"/>
  <c r="AH123" i="99"/>
  <c r="AH113" i="99"/>
  <c r="AH111" i="99"/>
  <c r="AH109" i="99"/>
  <c r="AH108" i="99"/>
  <c r="AH107" i="99"/>
  <c r="AH106" i="99"/>
  <c r="AH103" i="99"/>
  <c r="AH102" i="99"/>
  <c r="AH100" i="99"/>
  <c r="AH99" i="99"/>
  <c r="AH98" i="99"/>
  <c r="AH95" i="99"/>
  <c r="AH91" i="99"/>
  <c r="AH88" i="99"/>
  <c r="AH80" i="99"/>
  <c r="AH79" i="99"/>
  <c r="AH77" i="99"/>
  <c r="AH75" i="99"/>
  <c r="AH74" i="99"/>
  <c r="AH73" i="99"/>
  <c r="AH72" i="99"/>
  <c r="AH70" i="99"/>
  <c r="AH69" i="99"/>
  <c r="AH68" i="99"/>
  <c r="AH66" i="99"/>
  <c r="AH64" i="99"/>
  <c r="AH63" i="99"/>
  <c r="AH60" i="99"/>
  <c r="AH57" i="99"/>
  <c r="AH52" i="99"/>
  <c r="AH50" i="99"/>
  <c r="AH49" i="99"/>
  <c r="AH44" i="99"/>
  <c r="AH40" i="99"/>
  <c r="AH37" i="99"/>
  <c r="AH32" i="99"/>
  <c r="AH31" i="99"/>
  <c r="AH30" i="99"/>
  <c r="AH29" i="99"/>
  <c r="AH28" i="99"/>
  <c r="AH26" i="99"/>
  <c r="AH24" i="99"/>
  <c r="AH23" i="99"/>
  <c r="AH22" i="99"/>
  <c r="AH21" i="99"/>
  <c r="AH19" i="99"/>
  <c r="AH13" i="99"/>
  <c r="AH12" i="99"/>
  <c r="AH11" i="99"/>
  <c r="AH10" i="99"/>
  <c r="AH9" i="99"/>
  <c r="AH8" i="99"/>
  <c r="AH7" i="99"/>
  <c r="AH2" i="99"/>
  <c r="L7" i="55"/>
  <c r="G7" i="55"/>
  <c r="C6" i="55"/>
  <c r="J6" i="53"/>
  <c r="H6" i="53"/>
  <c r="C21" i="53"/>
  <c r="I19" i="53"/>
  <c r="P6" i="55"/>
  <c r="K6" i="55"/>
  <c r="F6" i="55"/>
  <c r="F13" i="53"/>
  <c r="D13" i="53"/>
  <c r="I13" i="53"/>
  <c r="G20" i="53"/>
  <c r="F13" i="51"/>
  <c r="H13" i="51"/>
  <c r="C25" i="51"/>
  <c r="C9" i="51"/>
  <c r="N11" i="49"/>
  <c r="J12" i="48"/>
  <c r="L9" i="48"/>
  <c r="N6" i="48"/>
  <c r="C23" i="48"/>
  <c r="E20" i="48"/>
  <c r="F23" i="49"/>
  <c r="K25" i="49"/>
  <c r="I10" i="49"/>
  <c r="I18" i="49"/>
  <c r="D7" i="51"/>
  <c r="C10" i="51"/>
  <c r="I22" i="51"/>
  <c r="M12" i="55"/>
  <c r="I12" i="55"/>
  <c r="D12" i="55"/>
  <c r="J21" i="53"/>
  <c r="H21" i="53"/>
  <c r="C23" i="53"/>
  <c r="C7" i="53"/>
  <c r="J21" i="51"/>
  <c r="M11" i="55"/>
  <c r="I9" i="55"/>
  <c r="D9" i="55"/>
  <c r="F20" i="53"/>
  <c r="D20" i="53"/>
  <c r="G22" i="53"/>
  <c r="G6" i="53"/>
  <c r="F20" i="51"/>
  <c r="H20" i="51"/>
  <c r="C11" i="51"/>
  <c r="I6" i="51"/>
  <c r="D25" i="48"/>
  <c r="F22" i="48"/>
  <c r="H19" i="48"/>
  <c r="I24" i="48"/>
  <c r="K21" i="48"/>
  <c r="C7" i="48"/>
  <c r="D9" i="49"/>
  <c r="K23" i="49"/>
  <c r="I8" i="49"/>
  <c r="O11" i="55"/>
  <c r="J11" i="55"/>
  <c r="E11" i="55"/>
  <c r="J22" i="53"/>
  <c r="H22" i="53"/>
  <c r="E12" i="53"/>
  <c r="C19" i="53"/>
  <c r="J22" i="51"/>
  <c r="M10" i="55"/>
  <c r="I10" i="55"/>
  <c r="D10" i="55"/>
  <c r="F21" i="53"/>
  <c r="D21" i="53"/>
  <c r="I11" i="53"/>
  <c r="G18" i="53"/>
  <c r="F21" i="51"/>
  <c r="H21" i="51"/>
  <c r="C23" i="51"/>
  <c r="C7" i="51"/>
  <c r="L25" i="48"/>
  <c r="D11" i="48"/>
  <c r="F8" i="48"/>
  <c r="G13" i="48"/>
  <c r="I10" i="48"/>
  <c r="K7" i="48"/>
  <c r="D22" i="49"/>
  <c r="I12" i="49"/>
  <c r="I20" i="49"/>
  <c r="D23" i="51"/>
  <c r="C24" i="51"/>
  <c r="C8" i="51"/>
  <c r="M12" i="49"/>
  <c r="E8" i="55"/>
  <c r="G19" i="53"/>
  <c r="E5" i="55"/>
  <c r="E7" i="53"/>
  <c r="G7" i="51"/>
  <c r="K13" i="48"/>
  <c r="C24" i="49"/>
  <c r="E13" i="51"/>
  <c r="N8" i="49"/>
  <c r="F23" i="48"/>
  <c r="H20" i="48"/>
  <c r="I25" i="48"/>
  <c r="K22" i="48"/>
  <c r="G18" i="48"/>
  <c r="C23" i="49"/>
  <c r="D25" i="49"/>
  <c r="L21" i="49"/>
  <c r="M8" i="46"/>
  <c r="I8" i="55"/>
  <c r="G11" i="53"/>
  <c r="I5" i="55"/>
  <c r="C22" i="53"/>
  <c r="E22" i="51"/>
  <c r="D19" i="48"/>
  <c r="D20" i="49"/>
  <c r="D8" i="51"/>
  <c r="C6" i="51"/>
  <c r="H12" i="48"/>
  <c r="J9" i="48"/>
  <c r="L6" i="48"/>
  <c r="M11" i="48"/>
  <c r="I19" i="48"/>
  <c r="K24" i="49"/>
  <c r="G6" i="49"/>
  <c r="H22" i="49"/>
  <c r="N6" i="46"/>
  <c r="P7" i="55"/>
  <c r="K7" i="55"/>
  <c r="F7" i="55"/>
  <c r="J12" i="53"/>
  <c r="H12" i="53"/>
  <c r="C13" i="53"/>
  <c r="I8" i="53"/>
  <c r="J12" i="51"/>
  <c r="O6" i="55"/>
  <c r="J6" i="55"/>
  <c r="E6" i="55"/>
  <c r="F11" i="53"/>
  <c r="D11" i="53"/>
  <c r="G12" i="53"/>
  <c r="E19" i="53"/>
  <c r="F11" i="51"/>
  <c r="H11" i="51"/>
  <c r="I12" i="51"/>
  <c r="G19" i="51"/>
  <c r="M11" i="49"/>
  <c r="D23" i="48"/>
  <c r="F20" i="48"/>
  <c r="G25" i="48"/>
  <c r="I22" i="48"/>
  <c r="K19" i="48"/>
  <c r="E24" i="49"/>
  <c r="C13" i="49"/>
  <c r="K9" i="49"/>
  <c r="D13" i="51"/>
  <c r="I13" i="51"/>
  <c r="G20" i="51"/>
  <c r="N10" i="49"/>
  <c r="L12" i="55"/>
  <c r="G12" i="55"/>
  <c r="C12" i="55"/>
  <c r="J19" i="53"/>
  <c r="H19" i="53"/>
  <c r="I10" i="53"/>
  <c r="I25" i="53"/>
  <c r="J19" i="51"/>
  <c r="L9" i="55"/>
  <c r="G9" i="55"/>
  <c r="C7" i="55"/>
  <c r="F18" i="53"/>
  <c r="D18" i="53"/>
  <c r="E21" i="53"/>
  <c r="I20" i="53"/>
  <c r="J18" i="51"/>
  <c r="H18" i="51"/>
  <c r="G21" i="51"/>
  <c r="I21" i="51"/>
  <c r="J24" i="48"/>
  <c r="L21" i="48"/>
  <c r="D7" i="48"/>
  <c r="E12" i="48"/>
  <c r="G9" i="48"/>
  <c r="I6" i="48"/>
  <c r="F7" i="49"/>
  <c r="C11" i="49"/>
  <c r="K7" i="49"/>
  <c r="M5" i="55"/>
  <c r="I11" i="55"/>
  <c r="D11" i="55"/>
  <c r="J20" i="53"/>
  <c r="H20" i="53"/>
  <c r="C11" i="53"/>
  <c r="I6" i="53"/>
  <c r="J20" i="51"/>
  <c r="L10" i="55"/>
  <c r="G10" i="55"/>
  <c r="C11" i="55"/>
  <c r="F19" i="53"/>
  <c r="D19" i="53"/>
  <c r="G10" i="53"/>
  <c r="I24" i="53"/>
  <c r="F19" i="51"/>
  <c r="H19" i="51"/>
  <c r="I10" i="51"/>
  <c r="I25" i="51"/>
  <c r="H13" i="48"/>
  <c r="J10" i="48"/>
  <c r="L7" i="48"/>
  <c r="M12" i="48"/>
  <c r="C21" i="48"/>
  <c r="E18" i="48"/>
  <c r="D8" i="49"/>
  <c r="K11" i="49"/>
  <c r="K19" i="49"/>
  <c r="D21" i="51"/>
  <c r="I11" i="51"/>
  <c r="G18" i="51"/>
  <c r="J25" i="48"/>
  <c r="J11" i="53"/>
  <c r="J11" i="51"/>
  <c r="F10" i="53"/>
  <c r="F10" i="51"/>
  <c r="M7" i="49"/>
  <c r="M10" i="48"/>
  <c r="C9" i="49"/>
  <c r="G22" i="51"/>
  <c r="M6" i="49"/>
  <c r="L22" i="48"/>
  <c r="D8" i="48"/>
  <c r="E13" i="48"/>
  <c r="G10" i="48"/>
  <c r="F18" i="49"/>
  <c r="I21" i="49"/>
  <c r="H24" i="49"/>
  <c r="H8" i="49"/>
  <c r="L8" i="46"/>
  <c r="D8" i="55"/>
  <c r="E18" i="53"/>
  <c r="D5" i="55"/>
  <c r="C6" i="53"/>
  <c r="E6" i="51"/>
  <c r="E24" i="48"/>
  <c r="G23" i="49"/>
  <c r="G24" i="51"/>
  <c r="N6" i="49"/>
  <c r="N11" i="48"/>
  <c r="D20" i="48"/>
  <c r="E25" i="48"/>
  <c r="G22" i="48"/>
  <c r="K6" i="48"/>
  <c r="E11" i="49"/>
  <c r="J13" i="49"/>
  <c r="D21" i="49"/>
  <c r="M9" i="55"/>
  <c r="D7" i="55"/>
  <c r="H8" i="53"/>
  <c r="E6" i="53"/>
  <c r="L6" i="55"/>
  <c r="C9" i="55"/>
  <c r="D7" i="53"/>
  <c r="I22" i="53"/>
  <c r="H7" i="51"/>
  <c r="I23" i="51"/>
  <c r="F10" i="48"/>
  <c r="I12" i="48"/>
  <c r="M6" i="48"/>
  <c r="G11" i="49"/>
  <c r="D9" i="51"/>
  <c r="C18" i="51"/>
  <c r="J12" i="55"/>
  <c r="J23" i="53"/>
  <c r="E24" i="53"/>
  <c r="J23" i="51"/>
  <c r="J9" i="55"/>
  <c r="F22" i="53"/>
  <c r="C12" i="53"/>
  <c r="F22" i="51"/>
  <c r="E12" i="51"/>
  <c r="M9" i="49"/>
  <c r="N8" i="48"/>
  <c r="E22" i="48"/>
  <c r="E22" i="49"/>
  <c r="G9" i="49"/>
  <c r="K11" i="55"/>
  <c r="J24" i="53"/>
  <c r="G13" i="53"/>
  <c r="J24" i="51"/>
  <c r="J10" i="55"/>
  <c r="F23" i="53"/>
  <c r="C24" i="53"/>
  <c r="F23" i="51"/>
  <c r="E24" i="51"/>
  <c r="M13" i="49"/>
  <c r="J20" i="48"/>
  <c r="C11" i="48"/>
  <c r="E18" i="49"/>
  <c r="G21" i="49"/>
  <c r="E25" i="51"/>
  <c r="N12" i="49"/>
  <c r="I12" i="53"/>
  <c r="E23" i="53"/>
  <c r="J8" i="48"/>
  <c r="D20" i="51"/>
  <c r="L12" i="48"/>
  <c r="D18" i="48"/>
  <c r="G8" i="48"/>
  <c r="K6" i="49"/>
  <c r="N8" i="46"/>
  <c r="H9" i="53"/>
  <c r="D8" i="53"/>
  <c r="N10" i="48"/>
  <c r="D12" i="51"/>
  <c r="L24" i="48"/>
  <c r="F7" i="48"/>
  <c r="I9" i="48"/>
  <c r="C19" i="49"/>
  <c r="F6" i="49"/>
  <c r="J6" i="46"/>
  <c r="F6" i="46"/>
  <c r="D9" i="46"/>
  <c r="J21" i="49"/>
  <c r="G20" i="49"/>
  <c r="F12" i="49"/>
  <c r="H7" i="49"/>
  <c r="K12" i="46"/>
  <c r="G11" i="46"/>
  <c r="I18" i="45"/>
  <c r="K5" i="55"/>
  <c r="C13" i="51"/>
  <c r="L8" i="55"/>
  <c r="H7" i="53"/>
  <c r="L5" i="55"/>
  <c r="D6" i="53"/>
  <c r="H6" i="51"/>
  <c r="H21" i="48"/>
  <c r="E6" i="48"/>
  <c r="D22" i="51"/>
  <c r="I7" i="51"/>
  <c r="H24" i="48"/>
  <c r="J21" i="48"/>
  <c r="L18" i="48"/>
  <c r="C12" i="48"/>
  <c r="K20" i="48"/>
  <c r="D18" i="49"/>
  <c r="E7" i="49"/>
  <c r="J11" i="49"/>
  <c r="N12" i="46"/>
  <c r="J12" i="46"/>
  <c r="F12" i="46"/>
  <c r="E11" i="46"/>
  <c r="F20" i="49"/>
  <c r="C10" i="49"/>
  <c r="J24" i="49"/>
  <c r="L8" i="49"/>
  <c r="L9" i="46"/>
  <c r="H9" i="46"/>
  <c r="O18" i="45"/>
  <c r="P8" i="55"/>
  <c r="C25" i="53"/>
  <c r="F5" i="55"/>
  <c r="I8" i="51"/>
  <c r="F6" i="51"/>
  <c r="N7" i="48"/>
  <c r="K8" i="49"/>
  <c r="I8" i="46"/>
  <c r="E9" i="48"/>
  <c r="I7" i="49"/>
  <c r="N13" i="46"/>
  <c r="F13" i="46"/>
  <c r="I25" i="49"/>
  <c r="J10" i="46"/>
  <c r="E7" i="46"/>
  <c r="C21" i="49"/>
  <c r="F8" i="49"/>
  <c r="H7" i="46"/>
  <c r="K13" i="49"/>
  <c r="L20" i="48"/>
  <c r="C12" i="49"/>
  <c r="J8" i="46"/>
  <c r="D11" i="46"/>
  <c r="J7" i="55"/>
  <c r="J10" i="53"/>
  <c r="G23" i="53"/>
  <c r="J10" i="51"/>
  <c r="I6" i="55"/>
  <c r="F9" i="53"/>
  <c r="E11" i="53"/>
  <c r="F9" i="51"/>
  <c r="G11" i="51"/>
  <c r="H25" i="48"/>
  <c r="L19" i="48"/>
  <c r="E10" i="48"/>
  <c r="L9" i="49"/>
  <c r="C20" i="49"/>
  <c r="G12" i="51"/>
  <c r="P12" i="55"/>
  <c r="F12" i="55"/>
  <c r="H25" i="53"/>
  <c r="G9" i="53"/>
  <c r="P9" i="55"/>
  <c r="F9" i="55"/>
  <c r="D24" i="53"/>
  <c r="C20" i="53"/>
  <c r="H24" i="51"/>
  <c r="E20" i="51"/>
  <c r="F12" i="48"/>
  <c r="J6" i="48"/>
  <c r="M8" i="48"/>
  <c r="G25" i="49"/>
  <c r="F18" i="51"/>
  <c r="G11" i="55"/>
  <c r="J18" i="53"/>
  <c r="G21" i="53"/>
  <c r="P10" i="55"/>
  <c r="F10" i="55"/>
  <c r="D25" i="53"/>
  <c r="E9" i="53"/>
  <c r="H25" i="51"/>
  <c r="G9" i="51"/>
  <c r="N12" i="48"/>
  <c r="F18" i="48"/>
  <c r="I20" i="48"/>
  <c r="J6" i="49"/>
  <c r="C7" i="49"/>
  <c r="G10" i="51"/>
  <c r="O8" i="55"/>
  <c r="O5" i="55"/>
  <c r="H10" i="51"/>
  <c r="C19" i="48"/>
  <c r="C20" i="51"/>
  <c r="H10" i="48"/>
  <c r="K12" i="48"/>
  <c r="J8" i="49"/>
  <c r="J23" i="49"/>
  <c r="K9" i="46"/>
  <c r="J9" i="51"/>
  <c r="F8" i="51"/>
  <c r="G21" i="48"/>
  <c r="C22" i="51"/>
  <c r="H22" i="48"/>
  <c r="K24" i="48"/>
  <c r="E23" i="49"/>
  <c r="L12" i="49"/>
  <c r="M6" i="46"/>
  <c r="I6" i="46"/>
  <c r="E6" i="46"/>
  <c r="G20" i="48"/>
  <c r="D6" i="49"/>
  <c r="K18" i="49"/>
  <c r="H11" i="49"/>
  <c r="N11" i="46"/>
  <c r="J11" i="46"/>
  <c r="F11" i="46"/>
  <c r="H18" i="45"/>
  <c r="D12" i="53"/>
  <c r="L23" i="48"/>
  <c r="G8" i="55"/>
  <c r="E10" i="53"/>
  <c r="G5" i="55"/>
  <c r="I9" i="53"/>
  <c r="C21" i="51"/>
  <c r="J18" i="48"/>
  <c r="H18" i="49"/>
  <c r="D18" i="51"/>
  <c r="I20" i="51"/>
  <c r="D12" i="48"/>
  <c r="F9" i="48"/>
  <c r="H6" i="48"/>
  <c r="I11" i="48"/>
  <c r="M7" i="48"/>
  <c r="K12" i="49"/>
  <c r="C6" i="49"/>
  <c r="J10" i="49"/>
  <c r="M12" i="46"/>
  <c r="I12" i="46"/>
  <c r="E12" i="46"/>
  <c r="C13" i="46"/>
  <c r="J20" i="49"/>
  <c r="G8" i="49"/>
  <c r="L23" i="49"/>
  <c r="J18" i="49"/>
  <c r="K10" i="46"/>
  <c r="G9" i="46"/>
  <c r="G18" i="45"/>
  <c r="K8" i="55"/>
  <c r="C9" i="53"/>
  <c r="F12" i="53"/>
  <c r="N7" i="49"/>
  <c r="I9" i="51"/>
  <c r="C24" i="48"/>
  <c r="D12" i="49"/>
  <c r="G8" i="46"/>
  <c r="G6" i="48"/>
  <c r="H13" i="49"/>
  <c r="L13" i="46"/>
  <c r="C11" i="46"/>
  <c r="G18" i="49"/>
  <c r="H10" i="46"/>
  <c r="C8" i="48"/>
  <c r="I6" i="49"/>
  <c r="N7" i="46"/>
  <c r="F7" i="46"/>
  <c r="D6" i="51"/>
  <c r="D6" i="48"/>
  <c r="J25" i="49"/>
  <c r="H8" i="46"/>
  <c r="E19" i="48"/>
  <c r="J8" i="53"/>
  <c r="J8" i="51"/>
  <c r="F7" i="53"/>
  <c r="F7" i="51"/>
  <c r="D13" i="48"/>
  <c r="K9" i="48"/>
  <c r="G19" i="49"/>
  <c r="O12" i="55"/>
  <c r="H23" i="53"/>
  <c r="O9" i="55"/>
  <c r="D22" i="53"/>
  <c r="H22" i="51"/>
  <c r="L11" i="48"/>
  <c r="G19" i="48"/>
  <c r="P11" i="55"/>
  <c r="H24" i="53"/>
  <c r="O10" i="55"/>
  <c r="D23" i="53"/>
  <c r="H23" i="51"/>
  <c r="H23" i="48"/>
  <c r="E8" i="48"/>
  <c r="D25" i="51"/>
  <c r="J8" i="55"/>
  <c r="G23" i="51"/>
  <c r="G6" i="51"/>
  <c r="E23" i="48"/>
  <c r="L22" i="49"/>
  <c r="M7" i="55"/>
  <c r="I18" i="48"/>
  <c r="D10" i="48"/>
  <c r="J7" i="49"/>
  <c r="L6" i="46"/>
  <c r="D6" i="46"/>
  <c r="G12" i="49"/>
  <c r="H10" i="49"/>
  <c r="I11" i="46"/>
  <c r="J18" i="45"/>
  <c r="F6" i="48"/>
  <c r="I23" i="53"/>
  <c r="I18" i="53"/>
  <c r="K23" i="48"/>
  <c r="C12" i="51"/>
  <c r="J11" i="48"/>
  <c r="M13" i="48"/>
  <c r="C6" i="48"/>
  <c r="F13" i="49"/>
  <c r="L12" i="46"/>
  <c r="D12" i="46"/>
  <c r="C25" i="49"/>
  <c r="D11" i="49"/>
  <c r="J9" i="46"/>
  <c r="D18" i="45"/>
  <c r="J13" i="51"/>
  <c r="D9" i="48"/>
  <c r="E21" i="48"/>
  <c r="E8" i="46"/>
  <c r="L11" i="49"/>
  <c r="C18" i="45"/>
  <c r="F10" i="46"/>
  <c r="D24" i="49"/>
  <c r="M18" i="45"/>
  <c r="E11" i="48"/>
  <c r="F8" i="46"/>
  <c r="E9" i="49"/>
  <c r="H19" i="49"/>
  <c r="G13" i="46"/>
  <c r="K21" i="49"/>
  <c r="H8" i="48"/>
  <c r="G10" i="49"/>
  <c r="I10" i="46"/>
  <c r="C7" i="46"/>
  <c r="I19" i="49"/>
  <c r="H6" i="49"/>
  <c r="D7" i="46"/>
  <c r="E7" i="51"/>
  <c r="I23" i="48"/>
  <c r="E19" i="43"/>
  <c r="B19" i="43"/>
  <c r="F8" i="41"/>
  <c r="E13" i="41"/>
  <c r="E16" i="41"/>
  <c r="D6" i="41"/>
  <c r="F9" i="41"/>
  <c r="F12" i="41"/>
  <c r="E17" i="41"/>
  <c r="D7" i="41"/>
  <c r="D10" i="41"/>
  <c r="F13" i="41"/>
  <c r="J21" i="39"/>
  <c r="E13" i="39"/>
  <c r="G33" i="39"/>
  <c r="J19" i="39"/>
  <c r="G15" i="39"/>
  <c r="I34" i="39"/>
  <c r="F24" i="39"/>
  <c r="G12" i="39"/>
  <c r="I32" i="39"/>
  <c r="E21" i="39"/>
  <c r="F19" i="39"/>
  <c r="G21" i="39"/>
  <c r="F32" i="39"/>
  <c r="J37" i="39"/>
  <c r="F28" i="39"/>
  <c r="F9" i="39"/>
  <c r="I16" i="39"/>
  <c r="H25" i="39"/>
  <c r="I13" i="39"/>
  <c r="E37" i="39"/>
  <c r="H23" i="39"/>
  <c r="I19" i="39"/>
  <c r="G38" i="39"/>
  <c r="J24" i="39"/>
  <c r="E16" i="39"/>
  <c r="G36" i="39"/>
  <c r="H9" i="39"/>
  <c r="H8" i="39"/>
  <c r="E15" i="39"/>
  <c r="I9" i="39"/>
  <c r="H19" i="39"/>
  <c r="F30" i="39"/>
  <c r="F29" i="39"/>
  <c r="I36" i="39"/>
  <c r="E9" i="39"/>
  <c r="H28" i="39"/>
  <c r="K13" i="28"/>
  <c r="D13" i="28"/>
  <c r="I11" i="25"/>
  <c r="C8" i="28"/>
  <c r="G10" i="23"/>
  <c r="E18" i="13"/>
  <c r="G14" i="23"/>
  <c r="G13" i="13"/>
  <c r="C5" i="13"/>
  <c r="G16" i="95"/>
  <c r="G15" i="25"/>
  <c r="E16" i="13"/>
  <c r="G8" i="13"/>
  <c r="J11" i="28"/>
  <c r="H21" i="25"/>
  <c r="H9" i="25"/>
  <c r="I14" i="25"/>
  <c r="H13" i="23"/>
  <c r="M6" i="28"/>
  <c r="H9" i="23"/>
  <c r="E11" i="13"/>
  <c r="D16" i="95"/>
  <c r="G10" i="95"/>
  <c r="D6" i="25"/>
  <c r="I13" i="13"/>
  <c r="C6" i="13"/>
  <c r="H19" i="95"/>
  <c r="M9" i="28"/>
  <c r="E9" i="28"/>
  <c r="D13" i="25"/>
  <c r="E8" i="28"/>
  <c r="I12" i="23"/>
  <c r="G18" i="13"/>
  <c r="G6" i="25"/>
  <c r="G14" i="13"/>
  <c r="E5" i="13"/>
  <c r="C18" i="95"/>
  <c r="E20" i="25"/>
  <c r="I15" i="13"/>
  <c r="D8" i="13"/>
  <c r="L7" i="28"/>
  <c r="D9" i="28"/>
  <c r="E9" i="25"/>
  <c r="F17" i="25"/>
  <c r="D6" i="23"/>
  <c r="F16" i="13"/>
  <c r="F13" i="23"/>
  <c r="E12" i="13"/>
  <c r="F17" i="95"/>
  <c r="C12" i="95"/>
  <c r="H6" i="25"/>
  <c r="I14" i="13"/>
  <c r="E6" i="13"/>
  <c r="C7" i="95"/>
  <c r="E16" i="95"/>
  <c r="N9" i="28"/>
  <c r="I13" i="25"/>
  <c r="D7" i="25"/>
  <c r="E10" i="25"/>
  <c r="I5" i="13"/>
  <c r="E10" i="28"/>
  <c r="C10" i="13"/>
  <c r="D7" i="28"/>
  <c r="H20" i="25"/>
  <c r="J16" i="13"/>
  <c r="D12" i="13"/>
  <c r="G14" i="95"/>
  <c r="J14" i="13"/>
  <c r="E12" i="95"/>
  <c r="H7" i="95"/>
  <c r="I10" i="37"/>
  <c r="H8" i="37"/>
  <c r="K18" i="27"/>
  <c r="E17" i="97"/>
  <c r="H11" i="97"/>
  <c r="G21" i="97"/>
  <c r="H16" i="97"/>
  <c r="C13" i="97"/>
  <c r="D21" i="97"/>
  <c r="M13" i="28"/>
  <c r="E14" i="23"/>
  <c r="D14" i="95"/>
  <c r="D19" i="95"/>
  <c r="I7" i="25"/>
  <c r="D8" i="95"/>
  <c r="D7" i="95"/>
  <c r="D7" i="37"/>
  <c r="E9" i="37"/>
  <c r="D6" i="28"/>
  <c r="F20" i="25"/>
  <c r="I16" i="13"/>
  <c r="H11" i="13"/>
  <c r="C14" i="95"/>
  <c r="F14" i="13"/>
  <c r="I11" i="28"/>
  <c r="M12" i="28"/>
  <c r="D10" i="23"/>
  <c r="H19" i="13"/>
  <c r="F13" i="95"/>
  <c r="I8" i="23"/>
  <c r="H17" i="95"/>
  <c r="C11" i="95"/>
  <c r="F8" i="37"/>
  <c r="D13" i="37"/>
  <c r="I12" i="37"/>
  <c r="H18" i="27"/>
  <c r="C19" i="97"/>
  <c r="G12" i="97"/>
  <c r="G7" i="97"/>
  <c r="F18" i="97"/>
  <c r="F11" i="97"/>
  <c r="C7" i="97"/>
  <c r="I12" i="25"/>
  <c r="H13" i="13"/>
  <c r="E17" i="13"/>
  <c r="F10" i="25"/>
  <c r="G17" i="25"/>
  <c r="E13" i="95"/>
  <c r="G9" i="95"/>
  <c r="G9" i="37"/>
  <c r="G18" i="27"/>
  <c r="C18" i="13"/>
  <c r="J7" i="28"/>
  <c r="H14" i="95"/>
  <c r="D9" i="37"/>
  <c r="C14" i="97"/>
  <c r="E18" i="97"/>
  <c r="H9" i="97"/>
  <c r="D17" i="25"/>
  <c r="M10" i="28"/>
  <c r="D14" i="13"/>
  <c r="O7" i="55"/>
  <c r="H10" i="53"/>
  <c r="M6" i="55"/>
  <c r="D9" i="53"/>
  <c r="H9" i="51"/>
  <c r="J22" i="48"/>
  <c r="G7" i="48"/>
  <c r="D11" i="51"/>
  <c r="K12" i="55"/>
  <c r="G25" i="53"/>
  <c r="K9" i="55"/>
  <c r="E13" i="53"/>
  <c r="G13" i="51"/>
  <c r="H9" i="48"/>
  <c r="F21" i="49"/>
  <c r="L11" i="55"/>
  <c r="H18" i="53"/>
  <c r="K10" i="55"/>
  <c r="E25" i="53"/>
  <c r="G25" i="51"/>
  <c r="D21" i="48"/>
  <c r="F25" i="49"/>
  <c r="D19" i="51"/>
  <c r="H11" i="53"/>
  <c r="H11" i="48"/>
  <c r="F13" i="48"/>
  <c r="M9" i="48"/>
  <c r="L6" i="49"/>
  <c r="F8" i="53"/>
  <c r="E8" i="49"/>
  <c r="J19" i="48"/>
  <c r="I9" i="49"/>
  <c r="K7" i="46"/>
  <c r="C6" i="46"/>
  <c r="K10" i="49"/>
  <c r="L20" i="49"/>
  <c r="H11" i="46"/>
  <c r="J13" i="53"/>
  <c r="I8" i="48"/>
  <c r="J7" i="51"/>
  <c r="J6" i="51"/>
  <c r="C9" i="48"/>
  <c r="E21" i="51"/>
  <c r="D22" i="48"/>
  <c r="G24" i="48"/>
  <c r="E19" i="49"/>
  <c r="H12" i="49"/>
  <c r="K13" i="46"/>
  <c r="C12" i="46"/>
  <c r="I23" i="49"/>
  <c r="D10" i="49"/>
  <c r="I9" i="46"/>
  <c r="F18" i="45"/>
  <c r="P5" i="55"/>
  <c r="G11" i="48"/>
  <c r="H9" i="49"/>
  <c r="C8" i="46"/>
  <c r="J9" i="49"/>
  <c r="C20" i="48"/>
  <c r="D10" i="46"/>
  <c r="J22" i="49"/>
  <c r="N18" i="45"/>
  <c r="E7" i="48"/>
  <c r="D8" i="46"/>
  <c r="E6" i="49"/>
  <c r="M13" i="46"/>
  <c r="E13" i="46"/>
  <c r="E23" i="51"/>
  <c r="I13" i="48"/>
  <c r="L24" i="49"/>
  <c r="G10" i="46"/>
  <c r="C18" i="48"/>
  <c r="L13" i="49"/>
  <c r="M7" i="46"/>
  <c r="E18" i="45"/>
  <c r="D24" i="48"/>
  <c r="G7" i="46"/>
  <c r="C19" i="43"/>
  <c r="F16" i="41"/>
  <c r="E6" i="41"/>
  <c r="D11" i="41"/>
  <c r="D14" i="41"/>
  <c r="F17" i="41"/>
  <c r="E7" i="41"/>
  <c r="E10" i="41"/>
  <c r="D15" i="41"/>
  <c r="D20" i="41"/>
  <c r="F6" i="41"/>
  <c r="E11" i="41"/>
  <c r="F13" i="39"/>
  <c r="H33" i="39"/>
  <c r="I20" i="39"/>
  <c r="F11" i="39"/>
  <c r="J34" i="39"/>
  <c r="E25" i="39"/>
  <c r="H12" i="39"/>
  <c r="J32" i="39"/>
  <c r="E23" i="39"/>
  <c r="F20" i="39"/>
  <c r="I28" i="39"/>
  <c r="F33" i="39"/>
  <c r="J7" i="39"/>
  <c r="H16" i="39"/>
  <c r="E28" i="39"/>
  <c r="I17" i="39"/>
  <c r="J15" i="39"/>
  <c r="J13" i="39"/>
  <c r="F37" i="39"/>
  <c r="G24" i="39"/>
  <c r="J11" i="39"/>
  <c r="H38" i="39"/>
  <c r="I25" i="39"/>
  <c r="F16" i="39"/>
  <c r="H36" i="39"/>
  <c r="I23" i="39"/>
  <c r="I30" i="39"/>
  <c r="E20" i="39"/>
  <c r="E11" i="39"/>
  <c r="H20" i="39"/>
  <c r="E32" i="39"/>
  <c r="H17" i="39"/>
  <c r="E29" i="39"/>
  <c r="I7" i="39"/>
  <c r="J16" i="39"/>
  <c r="F7" i="39"/>
  <c r="J13" i="28"/>
  <c r="I21" i="25"/>
  <c r="G8" i="25"/>
  <c r="D16" i="25"/>
  <c r="F14" i="23"/>
  <c r="N6" i="28"/>
  <c r="D12" i="23"/>
  <c r="I11" i="13"/>
  <c r="H16" i="95"/>
  <c r="E11" i="95"/>
  <c r="F6" i="25"/>
  <c r="E14" i="13"/>
  <c r="D6" i="13"/>
  <c r="H11" i="28"/>
  <c r="H17" i="25"/>
  <c r="L12" i="28"/>
  <c r="D10" i="25"/>
  <c r="F7" i="23"/>
  <c r="E6" i="28"/>
  <c r="H17" i="13"/>
  <c r="C9" i="13"/>
  <c r="H10" i="95"/>
  <c r="N10" i="28"/>
  <c r="H12" i="23"/>
  <c r="C12" i="13"/>
  <c r="F12" i="95"/>
  <c r="D9" i="95"/>
  <c r="L9" i="28"/>
  <c r="D11" i="28"/>
  <c r="I9" i="25"/>
  <c r="I16" i="25"/>
  <c r="G6" i="23"/>
  <c r="G16" i="13"/>
  <c r="H14" i="23"/>
  <c r="I12" i="13"/>
  <c r="D18" i="95"/>
  <c r="G12" i="95"/>
  <c r="D8" i="25"/>
  <c r="F13" i="13"/>
  <c r="F6" i="13"/>
  <c r="I7" i="28"/>
  <c r="E17" i="25"/>
  <c r="K12" i="28"/>
  <c r="I10" i="25"/>
  <c r="H8" i="23"/>
  <c r="G6" i="28"/>
  <c r="G19" i="13"/>
  <c r="J9" i="13"/>
  <c r="D12" i="95"/>
  <c r="G6" i="95"/>
  <c r="E6" i="23"/>
  <c r="C11" i="13"/>
  <c r="D15" i="95"/>
  <c r="H11" i="95"/>
  <c r="D21" i="95"/>
  <c r="J9" i="28"/>
  <c r="D9" i="25"/>
  <c r="D13" i="23"/>
  <c r="F8" i="23"/>
  <c r="F15" i="95"/>
  <c r="I13" i="23"/>
  <c r="H21" i="95"/>
  <c r="F16" i="25"/>
  <c r="F9" i="25"/>
  <c r="C9" i="28"/>
  <c r="E7" i="13"/>
  <c r="K10" i="28"/>
  <c r="I10" i="13"/>
  <c r="F6" i="95"/>
  <c r="G7" i="95"/>
  <c r="G13" i="37"/>
  <c r="D6" i="37"/>
  <c r="F18" i="27"/>
  <c r="H10" i="97"/>
  <c r="F21" i="97"/>
  <c r="D15" i="97"/>
  <c r="C12" i="97"/>
  <c r="D20" i="97"/>
  <c r="E16" i="97"/>
  <c r="E21" i="25"/>
  <c r="J6" i="28"/>
  <c r="G8" i="95"/>
  <c r="L11" i="28"/>
  <c r="H16" i="13"/>
  <c r="J10" i="28"/>
  <c r="G19" i="95"/>
  <c r="E12" i="37"/>
  <c r="L18" i="27"/>
  <c r="I15" i="25"/>
  <c r="F8" i="25"/>
  <c r="G20" i="25"/>
  <c r="F8" i="13"/>
  <c r="L10" i="28"/>
  <c r="H10" i="13"/>
  <c r="E11" i="28"/>
  <c r="E12" i="28"/>
  <c r="H18" i="13"/>
  <c r="D13" i="13"/>
  <c r="G18" i="95"/>
  <c r="C17" i="13"/>
  <c r="F8" i="95"/>
  <c r="D13" i="95"/>
  <c r="E13" i="37"/>
  <c r="F9" i="37"/>
  <c r="O18" i="27"/>
  <c r="C18" i="97"/>
  <c r="F12" i="97"/>
  <c r="F6" i="97"/>
  <c r="E19" i="97"/>
  <c r="H13" i="97"/>
  <c r="D6" i="97"/>
  <c r="I13" i="28"/>
  <c r="H10" i="23"/>
  <c r="G5" i="13"/>
  <c r="E8" i="13"/>
  <c r="D20" i="25"/>
  <c r="I6" i="23"/>
  <c r="E8" i="25"/>
  <c r="G21" i="95"/>
  <c r="I7" i="37"/>
  <c r="J18" i="27"/>
  <c r="H12" i="13"/>
  <c r="N12" i="28"/>
  <c r="G12" i="23"/>
  <c r="H13" i="37"/>
  <c r="H19" i="97"/>
  <c r="D7" i="97"/>
  <c r="D12" i="97"/>
  <c r="I8" i="25"/>
  <c r="G11" i="13"/>
  <c r="E7" i="55"/>
  <c r="D6" i="55"/>
  <c r="E18" i="51"/>
  <c r="E12" i="49"/>
  <c r="J25" i="53"/>
  <c r="F24" i="53"/>
  <c r="N9" i="49"/>
  <c r="E10" i="49"/>
  <c r="I21" i="53"/>
  <c r="F25" i="51"/>
  <c r="G23" i="48"/>
  <c r="I24" i="51"/>
  <c r="D24" i="51"/>
  <c r="C8" i="49"/>
  <c r="L13" i="48"/>
  <c r="C10" i="48"/>
  <c r="G6" i="46"/>
  <c r="D13" i="49"/>
  <c r="C9" i="46"/>
  <c r="J7" i="53"/>
  <c r="F24" i="48"/>
  <c r="N13" i="48"/>
  <c r="I21" i="48"/>
  <c r="L7" i="49"/>
  <c r="K18" i="48"/>
  <c r="M9" i="46"/>
  <c r="H13" i="53"/>
  <c r="L10" i="48"/>
  <c r="K22" i="49"/>
  <c r="N10" i="46"/>
  <c r="J7" i="46"/>
  <c r="M10" i="46"/>
  <c r="L10" i="49"/>
  <c r="L18" i="45"/>
  <c r="F22" i="49"/>
  <c r="C10" i="46"/>
  <c r="H21" i="49"/>
  <c r="D10" i="51"/>
  <c r="I19" i="43"/>
  <c r="D12" i="41"/>
  <c r="F20" i="41"/>
  <c r="D13" i="41"/>
  <c r="F21" i="41"/>
  <c r="E12" i="41"/>
  <c r="H34" i="39"/>
  <c r="F12" i="39"/>
  <c r="G19" i="39"/>
  <c r="J33" i="39"/>
  <c r="H11" i="39"/>
  <c r="G8" i="39"/>
  <c r="G20" i="39"/>
  <c r="G16" i="39"/>
  <c r="F8" i="39"/>
  <c r="G25" i="39"/>
  <c r="F36" i="39"/>
  <c r="F17" i="39"/>
  <c r="I24" i="39"/>
  <c r="J30" i="39"/>
  <c r="H7" i="39"/>
  <c r="I8" i="39"/>
  <c r="G17" i="39"/>
  <c r="G30" i="39"/>
  <c r="N13" i="28"/>
  <c r="D15" i="25"/>
  <c r="F7" i="25"/>
  <c r="G13" i="25"/>
  <c r="C7" i="13"/>
  <c r="G10" i="28"/>
  <c r="D10" i="13"/>
  <c r="D10" i="28"/>
  <c r="C6" i="28"/>
  <c r="D18" i="13"/>
  <c r="C13" i="13"/>
  <c r="C16" i="95"/>
  <c r="D16" i="13"/>
  <c r="C15" i="95"/>
  <c r="G9" i="28"/>
  <c r="I8" i="28"/>
  <c r="F19" i="13"/>
  <c r="F15" i="13"/>
  <c r="F7" i="95"/>
  <c r="D20" i="13"/>
  <c r="M7" i="28"/>
  <c r="F12" i="25"/>
  <c r="E12" i="23"/>
  <c r="E6" i="25"/>
  <c r="D5" i="13"/>
  <c r="E16" i="25"/>
  <c r="F7" i="13"/>
  <c r="E6" i="95"/>
  <c r="G21" i="25"/>
  <c r="K6" i="28"/>
  <c r="C10" i="95"/>
  <c r="H7" i="28"/>
  <c r="J20" i="13"/>
  <c r="F9" i="95"/>
  <c r="H9" i="95"/>
  <c r="H7" i="37"/>
  <c r="G10" i="37"/>
  <c r="F16" i="97"/>
  <c r="E7" i="97"/>
  <c r="G10" i="97"/>
  <c r="F8" i="28"/>
  <c r="F12" i="13"/>
  <c r="J7" i="13"/>
  <c r="F13" i="37"/>
  <c r="G13" i="28"/>
  <c r="F20" i="13"/>
  <c r="H8" i="95"/>
  <c r="M11" i="28"/>
  <c r="G13" i="23"/>
  <c r="F5" i="13"/>
  <c r="J8" i="13"/>
  <c r="D12" i="37"/>
  <c r="E10" i="37"/>
  <c r="G6" i="97"/>
  <c r="D11" i="97"/>
  <c r="D16" i="97"/>
  <c r="N8" i="28"/>
  <c r="C12" i="28"/>
  <c r="J19" i="13"/>
  <c r="G10" i="13"/>
  <c r="G7" i="37"/>
  <c r="C16" i="13"/>
  <c r="G13" i="95"/>
  <c r="F13" i="97"/>
  <c r="H7" i="97"/>
  <c r="J18" i="13"/>
  <c r="C10" i="97"/>
  <c r="G10" i="25"/>
  <c r="L6" i="28"/>
  <c r="E9" i="97"/>
  <c r="H6" i="97"/>
  <c r="F17" i="13"/>
  <c r="E13" i="25"/>
  <c r="C10" i="28"/>
  <c r="I9" i="37"/>
  <c r="F20" i="97"/>
  <c r="G9" i="97"/>
  <c r="G14" i="97"/>
  <c r="C20" i="95"/>
  <c r="E21" i="97"/>
  <c r="H20" i="97"/>
  <c r="K9" i="28"/>
  <c r="D14" i="25"/>
  <c r="E8" i="37"/>
  <c r="D18" i="97"/>
  <c r="D13" i="97"/>
  <c r="D11" i="11"/>
  <c r="E17" i="10"/>
  <c r="C7" i="10"/>
  <c r="H10" i="11"/>
  <c r="E16" i="10"/>
  <c r="C6" i="10"/>
  <c r="C9" i="11"/>
  <c r="H13" i="10"/>
  <c r="D18" i="11"/>
  <c r="G8" i="11"/>
  <c r="F12" i="10"/>
  <c r="H6" i="10"/>
  <c r="D13" i="11"/>
  <c r="E19" i="10"/>
  <c r="C9" i="10"/>
  <c r="H12" i="11"/>
  <c r="E18" i="10"/>
  <c r="C8" i="10"/>
  <c r="C11" i="11"/>
  <c r="H15" i="10"/>
  <c r="D20" i="11"/>
  <c r="G10" i="11"/>
  <c r="F14" i="10"/>
  <c r="F18" i="11"/>
  <c r="E12" i="11"/>
  <c r="G17" i="10"/>
  <c r="E7" i="10"/>
  <c r="C12" i="11"/>
  <c r="G16" i="10"/>
  <c r="E13" i="11"/>
  <c r="C15" i="11"/>
  <c r="F9" i="10"/>
  <c r="H18" i="10"/>
  <c r="G21" i="11"/>
  <c r="C10" i="11"/>
  <c r="C13" i="11"/>
  <c r="F7" i="10"/>
  <c r="H10" i="10"/>
  <c r="C18" i="11"/>
  <c r="F16" i="11"/>
  <c r="H11" i="10"/>
  <c r="D6" i="11"/>
  <c r="D15" i="11"/>
  <c r="E20" i="10"/>
  <c r="H9" i="11"/>
  <c r="G20" i="11"/>
  <c r="D14" i="10"/>
  <c r="F20" i="11"/>
  <c r="J27" i="7"/>
  <c r="E22" i="93"/>
  <c r="G8" i="7"/>
  <c r="L24" i="7"/>
  <c r="L22" i="7"/>
  <c r="G36" i="7"/>
  <c r="I10" i="93"/>
  <c r="F7" i="7"/>
  <c r="G7" i="93"/>
  <c r="H7" i="93"/>
  <c r="F35" i="7"/>
  <c r="E26" i="93"/>
  <c r="I24" i="93"/>
  <c r="E20" i="7"/>
  <c r="L16" i="7"/>
  <c r="I13" i="93"/>
  <c r="F13" i="93"/>
  <c r="J11" i="7"/>
  <c r="F10" i="7"/>
  <c r="E6" i="93"/>
  <c r="F6" i="93"/>
  <c r="L35" i="7"/>
  <c r="I26" i="93"/>
  <c r="F26" i="93"/>
  <c r="E23" i="7"/>
  <c r="L20" i="7"/>
  <c r="I17" i="93"/>
  <c r="G27" i="7"/>
  <c r="H23" i="7"/>
  <c r="E16" i="7"/>
  <c r="G10" i="93"/>
  <c r="H10" i="93"/>
  <c r="E7" i="7"/>
  <c r="L19" i="9"/>
  <c r="E19" i="9"/>
  <c r="E24" i="7"/>
  <c r="F20" i="7"/>
  <c r="E17" i="93"/>
  <c r="G17" i="93"/>
  <c r="E15" i="7"/>
  <c r="L12" i="7"/>
  <c r="G9" i="93"/>
  <c r="H9" i="93"/>
  <c r="J7" i="7"/>
  <c r="F6" i="7"/>
  <c r="F9" i="93"/>
  <c r="L10" i="7"/>
  <c r="J22" i="7"/>
  <c r="J19" i="9"/>
  <c r="K19" i="9"/>
  <c r="J28" i="7"/>
  <c r="F27" i="7"/>
  <c r="I22" i="93"/>
  <c r="J22" i="93"/>
  <c r="E6" i="7"/>
  <c r="F15" i="7"/>
  <c r="J16" i="7"/>
  <c r="F25" i="93"/>
  <c r="N19" i="26"/>
  <c r="E22" i="53"/>
  <c r="C10" i="53"/>
  <c r="H7" i="48"/>
  <c r="E11" i="51"/>
  <c r="E8" i="53"/>
  <c r="I7" i="53"/>
  <c r="C25" i="48"/>
  <c r="F11" i="55"/>
  <c r="E10" i="55"/>
  <c r="E8" i="51"/>
  <c r="G13" i="49"/>
  <c r="J5" i="55"/>
  <c r="N9" i="48"/>
  <c r="M8" i="55"/>
  <c r="G8" i="51"/>
  <c r="D23" i="49"/>
  <c r="I7" i="48"/>
  <c r="M11" i="46"/>
  <c r="G8" i="53"/>
  <c r="C5" i="55"/>
  <c r="I22" i="49"/>
  <c r="L8" i="48"/>
  <c r="G22" i="49"/>
  <c r="H12" i="46"/>
  <c r="C18" i="49"/>
  <c r="F9" i="46"/>
  <c r="G24" i="53"/>
  <c r="D7" i="49"/>
  <c r="J13" i="46"/>
  <c r="E25" i="49"/>
  <c r="I18" i="51"/>
  <c r="E21" i="49"/>
  <c r="K6" i="46"/>
  <c r="M8" i="49"/>
  <c r="H20" i="49"/>
  <c r="J19" i="49"/>
  <c r="K8" i="46"/>
  <c r="F21" i="48"/>
  <c r="H19" i="43"/>
  <c r="D21" i="41"/>
  <c r="F10" i="41"/>
  <c r="E20" i="41"/>
  <c r="F11" i="41"/>
  <c r="E21" i="41"/>
  <c r="G34" i="39"/>
  <c r="E12" i="39"/>
  <c r="F25" i="39"/>
  <c r="I33" i="39"/>
  <c r="E19" i="39"/>
  <c r="F34" i="39"/>
  <c r="I15" i="39"/>
  <c r="G7" i="39"/>
  <c r="G28" i="39"/>
  <c r="H24" i="39"/>
  <c r="E36" i="39"/>
  <c r="E17" i="39"/>
  <c r="J23" i="39"/>
  <c r="G9" i="39"/>
  <c r="H21" i="39"/>
  <c r="I11" i="39"/>
  <c r="J36" i="39"/>
  <c r="G29" i="39"/>
  <c r="H13" i="28"/>
  <c r="K8" i="28"/>
  <c r="D8" i="23"/>
  <c r="J17" i="13"/>
  <c r="F11" i="95"/>
  <c r="D14" i="23"/>
  <c r="N11" i="28"/>
  <c r="F14" i="25"/>
  <c r="E7" i="25"/>
  <c r="H12" i="25"/>
  <c r="J5" i="13"/>
  <c r="F10" i="28"/>
  <c r="F9" i="13"/>
  <c r="E14" i="95"/>
  <c r="I17" i="25"/>
  <c r="D12" i="25"/>
  <c r="H6" i="28"/>
  <c r="F10" i="13"/>
  <c r="E7" i="95"/>
  <c r="F11" i="13"/>
  <c r="G7" i="28"/>
  <c r="H12" i="28"/>
  <c r="I20" i="13"/>
  <c r="E15" i="13"/>
  <c r="H6" i="95"/>
  <c r="D19" i="13"/>
  <c r="E20" i="95"/>
  <c r="F10" i="95"/>
  <c r="G8" i="28"/>
  <c r="H14" i="13"/>
  <c r="I17" i="13"/>
  <c r="H11" i="25"/>
  <c r="G9" i="23"/>
  <c r="G11" i="25"/>
  <c r="D11" i="95"/>
  <c r="E7" i="37"/>
  <c r="E18" i="27"/>
  <c r="G16" i="97"/>
  <c r="E6" i="97"/>
  <c r="G11" i="97"/>
  <c r="H20" i="13"/>
  <c r="E15" i="25"/>
  <c r="J13" i="13"/>
  <c r="H10" i="37"/>
  <c r="D11" i="25"/>
  <c r="E8" i="23"/>
  <c r="H10" i="25"/>
  <c r="D21" i="25"/>
  <c r="I6" i="28"/>
  <c r="C8" i="95"/>
  <c r="F14" i="95"/>
  <c r="I6" i="37"/>
  <c r="N18" i="27"/>
  <c r="F7" i="97"/>
  <c r="H12" i="97"/>
  <c r="D17" i="97"/>
  <c r="I18" i="13"/>
  <c r="G11" i="28"/>
  <c r="D11" i="13"/>
  <c r="C21" i="95"/>
  <c r="D8" i="28"/>
  <c r="F12" i="23"/>
  <c r="E6" i="37"/>
  <c r="E15" i="97"/>
  <c r="C7" i="28"/>
  <c r="G17" i="13"/>
  <c r="E14" i="97"/>
  <c r="E9" i="23"/>
  <c r="E9" i="95"/>
  <c r="G8" i="97"/>
  <c r="H9" i="28"/>
  <c r="D10" i="95"/>
  <c r="I14" i="23"/>
  <c r="I8" i="13"/>
  <c r="G12" i="37"/>
  <c r="C11" i="97"/>
  <c r="C16" i="97"/>
  <c r="E20" i="97"/>
  <c r="H13" i="95"/>
  <c r="H15" i="97"/>
  <c r="C17" i="97"/>
  <c r="I10" i="23"/>
  <c r="H9" i="13"/>
  <c r="C18" i="27"/>
  <c r="G13" i="97"/>
  <c r="D19" i="11"/>
  <c r="G9" i="11"/>
  <c r="C15" i="10"/>
  <c r="H18" i="11"/>
  <c r="E9" i="11"/>
  <c r="C14" i="10"/>
  <c r="E17" i="11"/>
  <c r="H21" i="10"/>
  <c r="F11" i="10"/>
  <c r="C17" i="11"/>
  <c r="H20" i="10"/>
  <c r="D10" i="10"/>
  <c r="D21" i="11"/>
  <c r="G11" i="11"/>
  <c r="C17" i="10"/>
  <c r="H20" i="11"/>
  <c r="E11" i="11"/>
  <c r="C16" i="10"/>
  <c r="C19" i="11"/>
  <c r="H7" i="11"/>
  <c r="F13" i="10"/>
  <c r="G18" i="11"/>
  <c r="H6" i="11"/>
  <c r="D12" i="10"/>
  <c r="E20" i="11"/>
  <c r="D9" i="11"/>
  <c r="E15" i="10"/>
  <c r="C20" i="11"/>
  <c r="H8" i="11"/>
  <c r="G13" i="11"/>
  <c r="C18" i="10"/>
  <c r="F8" i="11"/>
  <c r="F19" i="11"/>
  <c r="H12" i="10"/>
  <c r="E10" i="11"/>
  <c r="G14" i="10"/>
  <c r="F7" i="11"/>
  <c r="F17" i="11"/>
  <c r="E18" i="11"/>
  <c r="G6" i="11"/>
  <c r="H11" i="11"/>
  <c r="D7" i="10"/>
  <c r="F16" i="10"/>
  <c r="E21" i="10"/>
  <c r="E12" i="10"/>
  <c r="D21" i="10"/>
  <c r="D14" i="11"/>
  <c r="D8" i="10"/>
  <c r="G16" i="93"/>
  <c r="E12" i="7"/>
  <c r="E7" i="93"/>
  <c r="G19" i="7"/>
  <c r="H18" i="7"/>
  <c r="H25" i="93"/>
  <c r="E10" i="7"/>
  <c r="G18" i="93"/>
  <c r="F19" i="9"/>
  <c r="G19" i="9"/>
  <c r="J24" i="7"/>
  <c r="G23" i="7"/>
  <c r="H18" i="93"/>
  <c r="F17" i="93"/>
  <c r="E14" i="7"/>
  <c r="H10" i="7"/>
  <c r="G6" i="93"/>
  <c r="H6" i="93"/>
  <c r="F36" i="7"/>
  <c r="H26" i="93"/>
  <c r="J26" i="93"/>
  <c r="H24" i="7"/>
  <c r="F23" i="7"/>
  <c r="E19" i="93"/>
  <c r="G19" i="93"/>
  <c r="H15" i="7"/>
  <c r="H14" i="7"/>
  <c r="E10" i="93"/>
  <c r="G37" i="7"/>
  <c r="L7" i="7"/>
  <c r="F22" i="7"/>
  <c r="J36" i="7"/>
  <c r="G29" i="7"/>
  <c r="L27" i="7"/>
  <c r="G23" i="93"/>
  <c r="F22" i="93"/>
  <c r="H16" i="7"/>
  <c r="F14" i="7"/>
  <c r="I9" i="93"/>
  <c r="J9" i="93"/>
  <c r="H7" i="7"/>
  <c r="H6" i="7"/>
  <c r="G35" i="7"/>
  <c r="E29" i="7"/>
  <c r="G28" i="7"/>
  <c r="I23" i="93"/>
  <c r="J19" i="7"/>
  <c r="H13" i="93"/>
  <c r="J15" i="7"/>
  <c r="E23" i="93"/>
  <c r="F23" i="93"/>
  <c r="G20" i="7"/>
  <c r="L18" i="7"/>
  <c r="I14" i="93"/>
  <c r="F8" i="93"/>
  <c r="G11" i="7"/>
  <c r="I18" i="93"/>
  <c r="L29" i="7"/>
  <c r="H35" i="7"/>
  <c r="Q19" i="26"/>
  <c r="C18" i="53"/>
  <c r="E19" i="51"/>
  <c r="F24" i="51"/>
  <c r="C8" i="55"/>
  <c r="N13" i="49"/>
  <c r="D10" i="53"/>
  <c r="J9" i="53"/>
  <c r="L19" i="49"/>
  <c r="L11" i="46"/>
  <c r="F6" i="53"/>
  <c r="F19" i="48"/>
  <c r="G12" i="46"/>
  <c r="D13" i="46"/>
  <c r="K11" i="46"/>
  <c r="E13" i="49"/>
  <c r="G24" i="49"/>
  <c r="F11" i="48"/>
  <c r="I11" i="49"/>
  <c r="H18" i="48"/>
  <c r="F15" i="41"/>
  <c r="D16" i="41"/>
  <c r="D17" i="41"/>
  <c r="H32" i="39"/>
  <c r="E24" i="39"/>
  <c r="J9" i="39"/>
  <c r="J17" i="39"/>
  <c r="J12" i="39"/>
  <c r="H37" i="39"/>
  <c r="J29" i="39"/>
  <c r="J38" i="39"/>
  <c r="E8" i="39"/>
  <c r="H8" i="28"/>
  <c r="D15" i="13"/>
  <c r="C20" i="13"/>
  <c r="E11" i="25"/>
  <c r="E13" i="23"/>
  <c r="H14" i="25"/>
  <c r="E10" i="95"/>
  <c r="H7" i="25"/>
  <c r="D7" i="13"/>
  <c r="E10" i="13"/>
  <c r="C13" i="28"/>
  <c r="C14" i="13"/>
  <c r="G15" i="13"/>
  <c r="G15" i="95"/>
  <c r="I9" i="13"/>
  <c r="J12" i="28"/>
  <c r="D9" i="23"/>
  <c r="F12" i="37"/>
  <c r="D10" i="97"/>
  <c r="E8" i="97"/>
  <c r="I12" i="28"/>
  <c r="I13" i="37"/>
  <c r="J15" i="13"/>
  <c r="H13" i="25"/>
  <c r="I20" i="25"/>
  <c r="G8" i="37"/>
  <c r="F17" i="97"/>
  <c r="E12" i="97"/>
  <c r="D12" i="28"/>
  <c r="H9" i="37"/>
  <c r="D7" i="23"/>
  <c r="C21" i="97"/>
  <c r="H15" i="95"/>
  <c r="H20" i="95"/>
  <c r="C20" i="97"/>
  <c r="F10" i="23"/>
  <c r="G11" i="95"/>
  <c r="D14" i="97"/>
  <c r="D9" i="97"/>
  <c r="G20" i="97"/>
  <c r="E12" i="25"/>
  <c r="H18" i="97"/>
  <c r="E16" i="11"/>
  <c r="G11" i="10"/>
  <c r="C6" i="11"/>
  <c r="H13" i="11"/>
  <c r="D9" i="10"/>
  <c r="F18" i="10"/>
  <c r="G19" i="11"/>
  <c r="G13" i="10"/>
  <c r="C8" i="11"/>
  <c r="H15" i="11"/>
  <c r="D11" i="10"/>
  <c r="F20" i="10"/>
  <c r="D17" i="11"/>
  <c r="C13" i="10"/>
  <c r="E6" i="11"/>
  <c r="C12" i="10"/>
  <c r="G14" i="11"/>
  <c r="G15" i="10"/>
  <c r="H17" i="10"/>
  <c r="G7" i="11"/>
  <c r="D7" i="11"/>
  <c r="F10" i="10"/>
  <c r="G6" i="10"/>
  <c r="F9" i="11"/>
  <c r="E35" i="7"/>
  <c r="J18" i="93"/>
  <c r="J8" i="93"/>
  <c r="H22" i="7"/>
  <c r="G22" i="93"/>
  <c r="E18" i="7"/>
  <c r="G12" i="93"/>
  <c r="J6" i="7"/>
  <c r="C19" i="9"/>
  <c r="L23" i="7"/>
  <c r="F19" i="93"/>
  <c r="G16" i="7"/>
  <c r="J12" i="93"/>
  <c r="G7" i="7"/>
  <c r="J8" i="7"/>
  <c r="E25" i="93"/>
  <c r="H20" i="7"/>
  <c r="E16" i="93"/>
  <c r="G10" i="7"/>
  <c r="J35" i="7"/>
  <c r="F28" i="7"/>
  <c r="H24" i="93"/>
  <c r="L19" i="7"/>
  <c r="L37" i="7"/>
  <c r="H27" i="7"/>
  <c r="J14" i="93"/>
  <c r="F11" i="7"/>
  <c r="E28" i="7"/>
  <c r="E37" i="7"/>
  <c r="H8" i="7"/>
  <c r="E19" i="26"/>
  <c r="C19" i="26"/>
  <c r="D16" i="8"/>
  <c r="I7" i="8"/>
  <c r="D13" i="8"/>
  <c r="F7" i="8"/>
  <c r="O16" i="8"/>
  <c r="N16" i="8"/>
  <c r="K8" i="8"/>
  <c r="F13" i="8"/>
  <c r="N7" i="8"/>
  <c r="M9" i="8"/>
  <c r="H7" i="8"/>
  <c r="M16" i="8"/>
  <c r="F8" i="8"/>
  <c r="J7" i="8"/>
  <c r="G10" i="8"/>
  <c r="D14" i="8"/>
  <c r="H14" i="8"/>
  <c r="M13" i="8"/>
  <c r="F10" i="8"/>
  <c r="L8" i="8"/>
  <c r="J11" i="8"/>
  <c r="D9" i="8"/>
  <c r="H8" i="8"/>
  <c r="F15" i="8"/>
  <c r="K7" i="8"/>
  <c r="E15" i="8"/>
  <c r="I11" i="8"/>
  <c r="P17" i="24"/>
  <c r="F7" i="24"/>
  <c r="L17" i="24"/>
  <c r="N38" i="24"/>
  <c r="E28" i="24"/>
  <c r="I17" i="24"/>
  <c r="N13" i="24"/>
  <c r="K24" i="24"/>
  <c r="O7" i="24"/>
  <c r="G24" i="24"/>
  <c r="K7" i="24"/>
  <c r="L38" i="24"/>
  <c r="M37" i="24"/>
  <c r="E37" i="24"/>
  <c r="P11" i="24"/>
  <c r="M23" i="24"/>
  <c r="E24" i="24"/>
  <c r="L9" i="24"/>
  <c r="M29" i="24"/>
  <c r="O16" i="24"/>
  <c r="G7" i="24"/>
  <c r="K16" i="24"/>
  <c r="J38" i="24"/>
  <c r="G13" i="24"/>
  <c r="H29" i="24"/>
  <c r="G25" i="24"/>
  <c r="E30" i="24"/>
  <c r="O21" i="24"/>
  <c r="I25" i="24"/>
  <c r="I7" i="24"/>
  <c r="G11" i="24"/>
  <c r="P7" i="24"/>
  <c r="J20" i="24"/>
  <c r="I8" i="24"/>
  <c r="H20" i="24"/>
  <c r="N36" i="24"/>
  <c r="E7" i="24"/>
  <c r="L25" i="24"/>
  <c r="E36" i="24"/>
  <c r="G36" i="24"/>
  <c r="M25" i="24"/>
  <c r="P32" i="24"/>
  <c r="E25" i="24"/>
  <c r="G16" i="24"/>
  <c r="K33" i="24"/>
  <c r="O32" i="24"/>
  <c r="N7" i="24"/>
  <c r="E23" i="24"/>
  <c r="J16" i="24"/>
  <c r="F30" i="24"/>
  <c r="N32" i="24"/>
  <c r="I21" i="24"/>
  <c r="L32" i="24"/>
  <c r="M17" i="24"/>
  <c r="N11" i="24"/>
  <c r="H7" i="24"/>
  <c r="F13" i="24"/>
  <c r="J30" i="24"/>
  <c r="M16" i="24"/>
  <c r="O9" i="24"/>
  <c r="E32" i="24"/>
  <c r="G23" i="24"/>
  <c r="E33" i="24"/>
  <c r="H12" i="24"/>
  <c r="F37" i="24"/>
  <c r="E11" i="24"/>
  <c r="G12" i="24"/>
  <c r="M38" i="24"/>
  <c r="L28" i="24"/>
  <c r="O36" i="24"/>
  <c r="L23" i="24"/>
  <c r="I11" i="24"/>
  <c r="C13" i="48"/>
  <c r="K11" i="48"/>
  <c r="C22" i="49"/>
  <c r="J7" i="48"/>
  <c r="F24" i="49"/>
  <c r="G7" i="49"/>
  <c r="H25" i="49"/>
  <c r="J23" i="48"/>
  <c r="I13" i="46"/>
  <c r="F19" i="43"/>
  <c r="E9" i="41"/>
  <c r="H13" i="39"/>
  <c r="I38" i="39"/>
  <c r="G23" i="39"/>
  <c r="E34" i="39"/>
  <c r="E20" i="13"/>
  <c r="D6" i="95"/>
  <c r="I9" i="23"/>
  <c r="G7" i="13"/>
  <c r="I10" i="28"/>
  <c r="F18" i="13"/>
  <c r="F15" i="25"/>
  <c r="D17" i="13"/>
  <c r="D18" i="27"/>
  <c r="G9" i="13"/>
  <c r="J8" i="28"/>
  <c r="C9" i="95"/>
  <c r="C8" i="97"/>
  <c r="H8" i="25"/>
  <c r="C11" i="28"/>
  <c r="E11" i="97"/>
  <c r="L8" i="28"/>
  <c r="M18" i="27"/>
  <c r="F6" i="37"/>
  <c r="J12" i="13"/>
  <c r="C7" i="11"/>
  <c r="G10" i="10"/>
  <c r="F13" i="11"/>
  <c r="E8" i="11"/>
  <c r="G12" i="10"/>
  <c r="F15" i="11"/>
  <c r="E7" i="11"/>
  <c r="C19" i="10"/>
  <c r="F6" i="10"/>
  <c r="G12" i="11"/>
  <c r="D16" i="11"/>
  <c r="F15" i="10"/>
  <c r="F14" i="93"/>
  <c r="J25" i="93"/>
  <c r="H22" i="93"/>
  <c r="F10" i="93"/>
  <c r="E27" i="7"/>
  <c r="G18" i="7"/>
  <c r="E36" i="7"/>
  <c r="H36" i="7"/>
  <c r="F19" i="7"/>
  <c r="L6" i="7"/>
  <c r="F24" i="93"/>
  <c r="E9" i="93"/>
  <c r="H14" i="93"/>
  <c r="E8" i="93"/>
  <c r="G15" i="7"/>
  <c r="K19" i="26"/>
  <c r="R19" i="26"/>
  <c r="N9" i="8"/>
  <c r="H9" i="8"/>
  <c r="N8" i="8"/>
  <c r="L9" i="8"/>
  <c r="H15" i="8"/>
  <c r="O10" i="8"/>
  <c r="O8" i="8"/>
  <c r="G7" i="8"/>
  <c r="E13" i="8"/>
  <c r="D7" i="8"/>
  <c r="E11" i="8"/>
  <c r="O11" i="8"/>
  <c r="F11" i="8"/>
  <c r="O15" i="24"/>
  <c r="K15" i="24"/>
  <c r="P9" i="24"/>
  <c r="O34" i="24"/>
  <c r="K34" i="24"/>
  <c r="L19" i="24"/>
  <c r="F15" i="24"/>
  <c r="N16" i="24"/>
  <c r="E13" i="24"/>
  <c r="F21" i="24"/>
  <c r="O30" i="24"/>
  <c r="I15" i="24"/>
  <c r="F33" i="24"/>
  <c r="K8" i="24"/>
  <c r="H17" i="24"/>
  <c r="I24" i="24"/>
  <c r="P38" i="24"/>
  <c r="M33" i="24"/>
  <c r="H15" i="24"/>
  <c r="N9" i="24"/>
  <c r="F9" i="24"/>
  <c r="N34" i="24"/>
  <c r="K32" i="24"/>
  <c r="F24" i="24"/>
  <c r="O13" i="24"/>
  <c r="I9" i="24"/>
  <c r="E8" i="24"/>
  <c r="J7" i="24"/>
  <c r="P12" i="24"/>
  <c r="G30" i="24"/>
  <c r="H32" i="24"/>
  <c r="O33" i="24"/>
  <c r="G17" i="24"/>
  <c r="M13" i="24"/>
  <c r="I38" i="24"/>
  <c r="M30" i="24"/>
  <c r="D19" i="49"/>
  <c r="I24" i="49"/>
  <c r="E9" i="51"/>
  <c r="G12" i="48"/>
  <c r="L25" i="49"/>
  <c r="F9" i="49"/>
  <c r="N9" i="46"/>
  <c r="F11" i="49"/>
  <c r="K18" i="45"/>
  <c r="F19" i="49"/>
  <c r="E15" i="41"/>
  <c r="J20" i="39"/>
  <c r="I29" i="39"/>
  <c r="E38" i="39"/>
  <c r="E7" i="39"/>
  <c r="H30" i="39"/>
  <c r="F6" i="28"/>
  <c r="F11" i="28"/>
  <c r="E21" i="95"/>
  <c r="M8" i="28"/>
  <c r="G7" i="23"/>
  <c r="E14" i="25"/>
  <c r="C17" i="95"/>
  <c r="E19" i="13"/>
  <c r="D20" i="95"/>
  <c r="C6" i="97"/>
  <c r="E10" i="23"/>
  <c r="I7" i="23"/>
  <c r="E9" i="13"/>
  <c r="E13" i="97"/>
  <c r="E19" i="95"/>
  <c r="E15" i="95"/>
  <c r="F7" i="28"/>
  <c r="F7" i="37"/>
  <c r="H14" i="97"/>
  <c r="G6" i="37"/>
  <c r="D17" i="95"/>
  <c r="G19" i="10"/>
  <c r="E8" i="10"/>
  <c r="D10" i="11"/>
  <c r="G21" i="10"/>
  <c r="E10" i="10"/>
  <c r="D12" i="11"/>
  <c r="C21" i="10"/>
  <c r="G7" i="10"/>
  <c r="H8" i="10"/>
  <c r="F6" i="11"/>
  <c r="F11" i="11"/>
  <c r="H9" i="10"/>
  <c r="D19" i="9"/>
  <c r="F18" i="93"/>
  <c r="G14" i="93"/>
  <c r="H28" i="7"/>
  <c r="J18" i="7"/>
  <c r="E11" i="7"/>
  <c r="J29" i="7"/>
  <c r="J10" i="93"/>
  <c r="F7" i="93"/>
  <c r="J24" i="93"/>
  <c r="I16" i="93"/>
  <c r="H16" i="93"/>
  <c r="G8" i="93"/>
  <c r="I19" i="9"/>
  <c r="E19" i="7"/>
  <c r="O19" i="26"/>
  <c r="I19" i="26"/>
  <c r="J16" i="8"/>
  <c r="D10" i="8"/>
  <c r="E8" i="8"/>
  <c r="L15" i="8"/>
  <c r="L7" i="8"/>
  <c r="H10" i="8"/>
  <c r="D11" i="8"/>
  <c r="E10" i="8"/>
  <c r="K11" i="8"/>
  <c r="N11" i="8"/>
  <c r="F14" i="8"/>
  <c r="I8" i="8"/>
  <c r="M7" i="8"/>
  <c r="E9" i="8"/>
  <c r="E9" i="24"/>
  <c r="J37" i="24"/>
  <c r="H36" i="24"/>
  <c r="F16" i="24"/>
  <c r="J12" i="24"/>
  <c r="I33" i="24"/>
  <c r="L34" i="24"/>
  <c r="F29" i="24"/>
  <c r="K38" i="24"/>
  <c r="N8" i="24"/>
  <c r="L29" i="24"/>
  <c r="J33" i="24"/>
  <c r="G19" i="24"/>
  <c r="P15" i="24"/>
  <c r="L16" i="24"/>
  <c r="K21" i="24"/>
  <c r="G21" i="24"/>
  <c r="J8" i="24"/>
  <c r="I36" i="24"/>
  <c r="G32" i="24"/>
  <c r="O28" i="24"/>
  <c r="O17" i="24"/>
  <c r="L33" i="24"/>
  <c r="K37" i="24"/>
  <c r="N30" i="24"/>
  <c r="K28" i="24"/>
  <c r="G28" i="24"/>
  <c r="H21" i="24"/>
  <c r="I29" i="24"/>
  <c r="I23" i="24"/>
  <c r="E34" i="24"/>
  <c r="O12" i="24"/>
  <c r="P13" i="24"/>
  <c r="O24" i="24"/>
  <c r="J13" i="24"/>
  <c r="L12" i="24"/>
  <c r="I7" i="55"/>
  <c r="E10" i="51"/>
  <c r="E12" i="55"/>
  <c r="C19" i="51"/>
  <c r="E20" i="53"/>
  <c r="K25" i="48"/>
  <c r="E20" i="49"/>
  <c r="H8" i="51"/>
  <c r="H6" i="46"/>
  <c r="E9" i="46"/>
  <c r="I19" i="51"/>
  <c r="C22" i="48"/>
  <c r="K8" i="48"/>
  <c r="F8" i="55"/>
  <c r="L18" i="49"/>
  <c r="L7" i="46"/>
  <c r="J12" i="49"/>
  <c r="K10" i="48"/>
  <c r="H23" i="49"/>
  <c r="B18" i="45"/>
  <c r="F7" i="41"/>
  <c r="D8" i="41"/>
  <c r="D9" i="41"/>
  <c r="G32" i="39"/>
  <c r="F23" i="39"/>
  <c r="J8" i="39"/>
  <c r="H29" i="39"/>
  <c r="I12" i="39"/>
  <c r="G37" i="39"/>
  <c r="J28" i="39"/>
  <c r="E30" i="39"/>
  <c r="G11" i="39"/>
  <c r="F11" i="25"/>
  <c r="D9" i="13"/>
  <c r="G12" i="13"/>
  <c r="G12" i="28"/>
  <c r="C15" i="13"/>
  <c r="C19" i="13"/>
  <c r="I9" i="28"/>
  <c r="F9" i="23"/>
  <c r="H12" i="95"/>
  <c r="F16" i="95"/>
  <c r="G7" i="25"/>
  <c r="C8" i="13"/>
  <c r="J10" i="13"/>
  <c r="F9" i="28"/>
  <c r="G20" i="95"/>
  <c r="G8" i="23"/>
  <c r="I6" i="13"/>
  <c r="I8" i="37"/>
  <c r="E10" i="97"/>
  <c r="G12" i="25"/>
  <c r="H15" i="13"/>
  <c r="L13" i="28"/>
  <c r="F19" i="95"/>
  <c r="F13" i="25"/>
  <c r="J11" i="13"/>
  <c r="H6" i="37"/>
  <c r="G17" i="97"/>
  <c r="E13" i="28"/>
  <c r="E7" i="23"/>
  <c r="D8" i="37"/>
  <c r="F20" i="95"/>
  <c r="G19" i="97"/>
  <c r="D10" i="37"/>
  <c r="J6" i="13"/>
  <c r="F14" i="97"/>
  <c r="N7" i="28"/>
  <c r="H12" i="37"/>
  <c r="D19" i="97"/>
  <c r="F12" i="28"/>
  <c r="F9" i="97"/>
  <c r="F21" i="25"/>
  <c r="C15" i="97"/>
  <c r="E14" i="11"/>
  <c r="E9" i="10"/>
  <c r="G18" i="10"/>
  <c r="F10" i="11"/>
  <c r="F21" i="11"/>
  <c r="H14" i="10"/>
  <c r="G16" i="11"/>
  <c r="E11" i="10"/>
  <c r="G20" i="10"/>
  <c r="F12" i="11"/>
  <c r="H7" i="10"/>
  <c r="D18" i="10"/>
  <c r="G15" i="11"/>
  <c r="G9" i="10"/>
  <c r="C20" i="10"/>
  <c r="E6" i="10"/>
  <c r="D8" i="11"/>
  <c r="E21" i="11"/>
  <c r="D13" i="10"/>
  <c r="E13" i="10"/>
  <c r="F17" i="10"/>
  <c r="C21" i="11"/>
  <c r="F14" i="11"/>
  <c r="D20" i="10"/>
  <c r="J23" i="93"/>
  <c r="L36" i="7"/>
  <c r="H11" i="7"/>
  <c r="I25" i="93"/>
  <c r="E14" i="93"/>
  <c r="J10" i="7"/>
  <c r="J37" i="7"/>
  <c r="G24" i="7"/>
  <c r="J19" i="93"/>
  <c r="F16" i="7"/>
  <c r="G13" i="93"/>
  <c r="L8" i="7"/>
  <c r="F37" i="7"/>
  <c r="G24" i="93"/>
  <c r="E12" i="93"/>
  <c r="H17" i="93"/>
  <c r="G14" i="7"/>
  <c r="I8" i="93"/>
  <c r="L28" i="7"/>
  <c r="E24" i="93"/>
  <c r="J20" i="7"/>
  <c r="J16" i="93"/>
  <c r="F12" i="7"/>
  <c r="F24" i="7"/>
  <c r="L11" i="7"/>
  <c r="H8" i="93"/>
  <c r="H19" i="9"/>
  <c r="J12" i="7"/>
  <c r="F12" i="93"/>
  <c r="L14" i="7"/>
  <c r="H19" i="26"/>
  <c r="B19" i="26"/>
  <c r="M11" i="8"/>
  <c r="L13" i="8"/>
  <c r="F9" i="8"/>
  <c r="N13" i="8"/>
  <c r="I13" i="8"/>
  <c r="E16" i="8"/>
  <c r="I15" i="8"/>
  <c r="O15" i="8"/>
  <c r="I14" i="8"/>
  <c r="I10" i="8"/>
  <c r="K14" i="8"/>
  <c r="O13" i="8"/>
  <c r="M14" i="8"/>
  <c r="E14" i="8"/>
  <c r="E7" i="8"/>
  <c r="J8" i="8"/>
  <c r="G14" i="8"/>
  <c r="G9" i="8"/>
  <c r="H16" i="8"/>
  <c r="D8" i="8"/>
  <c r="J9" i="8"/>
  <c r="K15" i="8"/>
  <c r="O14" i="8"/>
  <c r="I16" i="8"/>
  <c r="M15" i="8"/>
  <c r="D15" i="8"/>
  <c r="J10" i="8"/>
  <c r="G9" i="24"/>
  <c r="K20" i="24"/>
  <c r="P37" i="24"/>
  <c r="G20" i="24"/>
  <c r="I28" i="24"/>
  <c r="E17" i="24"/>
  <c r="M34" i="24"/>
  <c r="J23" i="24"/>
  <c r="E29" i="24"/>
  <c r="H23" i="24"/>
  <c r="M20" i="24"/>
  <c r="F20" i="24"/>
  <c r="H37" i="24"/>
  <c r="P34" i="24"/>
  <c r="E16" i="24"/>
  <c r="F11" i="24"/>
  <c r="P20" i="24"/>
  <c r="H9" i="24"/>
  <c r="J19" i="24"/>
  <c r="F23" i="24"/>
  <c r="I20" i="24"/>
  <c r="P19" i="24"/>
  <c r="E20" i="24"/>
  <c r="F28" i="24"/>
  <c r="P23" i="24"/>
  <c r="N20" i="24"/>
  <c r="M12" i="24"/>
  <c r="L20" i="24"/>
  <c r="E12" i="24"/>
  <c r="M7" i="24"/>
  <c r="O23" i="24"/>
  <c r="K23" i="24"/>
  <c r="G8" i="24"/>
  <c r="N17" i="24"/>
  <c r="P36" i="24"/>
  <c r="F17" i="24"/>
  <c r="J29" i="24"/>
  <c r="H16" i="24"/>
  <c r="H34" i="24"/>
  <c r="L11" i="24"/>
  <c r="P30" i="24"/>
  <c r="H11" i="24"/>
  <c r="M8" i="24"/>
  <c r="F38" i="24"/>
  <c r="E38" i="24"/>
  <c r="H33" i="24"/>
  <c r="N19" i="24"/>
  <c r="O19" i="24"/>
  <c r="O29" i="24"/>
  <c r="L30" i="24"/>
  <c r="O11" i="24"/>
  <c r="H30" i="24"/>
  <c r="K11" i="24"/>
  <c r="J36" i="24"/>
  <c r="L21" i="24"/>
  <c r="M28" i="24"/>
  <c r="I13" i="24"/>
  <c r="N25" i="24"/>
  <c r="P25" i="24"/>
  <c r="G29" i="24"/>
  <c r="J32" i="24"/>
  <c r="N23" i="24"/>
  <c r="J24" i="24"/>
  <c r="F19" i="24"/>
  <c r="I37" i="24"/>
  <c r="P28" i="24"/>
  <c r="E15" i="24"/>
  <c r="J34" i="24"/>
  <c r="M9" i="24"/>
  <c r="K36" i="24"/>
  <c r="I34" i="24"/>
  <c r="I30" i="24"/>
  <c r="G7" i="53"/>
  <c r="J25" i="51"/>
  <c r="F25" i="53"/>
  <c r="F25" i="48"/>
  <c r="H12" i="51"/>
  <c r="K20" i="49"/>
  <c r="F12" i="51"/>
  <c r="H13" i="46"/>
  <c r="L10" i="46"/>
  <c r="I7" i="46"/>
  <c r="E8" i="41"/>
  <c r="I21" i="39"/>
  <c r="F21" i="39"/>
  <c r="F38" i="39"/>
  <c r="F15" i="39"/>
  <c r="H15" i="39"/>
  <c r="F13" i="28"/>
  <c r="K11" i="28"/>
  <c r="F21" i="95"/>
  <c r="G14" i="25"/>
  <c r="H16" i="25"/>
  <c r="E7" i="28"/>
  <c r="E17" i="95"/>
  <c r="C19" i="95"/>
  <c r="E13" i="13"/>
  <c r="E8" i="95"/>
  <c r="H17" i="97"/>
  <c r="G6" i="13"/>
  <c r="H7" i="23"/>
  <c r="I6" i="25"/>
  <c r="I18" i="27"/>
  <c r="H18" i="95"/>
  <c r="B18" i="27"/>
  <c r="I7" i="13"/>
  <c r="E18" i="95"/>
  <c r="G9" i="25"/>
  <c r="H21" i="97"/>
  <c r="F19" i="97"/>
  <c r="H8" i="97"/>
  <c r="G17" i="11"/>
  <c r="F19" i="10"/>
  <c r="D6" i="10"/>
  <c r="E19" i="11"/>
  <c r="F21" i="10"/>
  <c r="F8" i="10"/>
  <c r="H16" i="11"/>
  <c r="H19" i="10"/>
  <c r="C10" i="10"/>
  <c r="E14" i="10"/>
  <c r="C11" i="10"/>
  <c r="D16" i="10"/>
  <c r="F18" i="7"/>
  <c r="J23" i="7"/>
  <c r="L15" i="7"/>
  <c r="B19" i="9"/>
  <c r="I19" i="93"/>
  <c r="I12" i="93"/>
  <c r="E8" i="7"/>
  <c r="G25" i="93"/>
  <c r="J13" i="93"/>
  <c r="H29" i="7"/>
  <c r="E22" i="7"/>
  <c r="G26" i="93"/>
  <c r="H12" i="7"/>
  <c r="H23" i="93"/>
  <c r="L19" i="26"/>
  <c r="H11" i="8"/>
  <c r="J14" i="8"/>
  <c r="K9" i="8"/>
  <c r="J13" i="8"/>
  <c r="G15" i="8"/>
  <c r="L14" i="8"/>
  <c r="N15" i="8"/>
  <c r="G16" i="8"/>
  <c r="K10" i="8"/>
  <c r="I9" i="8"/>
  <c r="G13" i="8"/>
  <c r="N10" i="8"/>
  <c r="G11" i="8"/>
  <c r="H13" i="8"/>
  <c r="L8" i="24"/>
  <c r="H8" i="24"/>
  <c r="K30" i="24"/>
  <c r="J25" i="24"/>
  <c r="N21" i="24"/>
  <c r="E19" i="24"/>
  <c r="H19" i="24"/>
  <c r="H25" i="24"/>
  <c r="I16" i="24"/>
  <c r="G34" i="24"/>
  <c r="J17" i="24"/>
  <c r="N33" i="24"/>
  <c r="O8" i="24"/>
  <c r="F25" i="24"/>
  <c r="J21" i="24"/>
  <c r="H38" i="24"/>
  <c r="N15" i="24"/>
  <c r="L15" i="24"/>
  <c r="J15" i="24"/>
  <c r="L13" i="24"/>
  <c r="H13" i="24"/>
  <c r="I12" i="24"/>
  <c r="F34" i="24"/>
  <c r="O37" i="24"/>
  <c r="L7" i="24"/>
  <c r="K13" i="24"/>
  <c r="N37" i="24"/>
  <c r="L37" i="24"/>
  <c r="K29" i="24"/>
  <c r="K9" i="24"/>
  <c r="O25" i="24"/>
  <c r="P8" i="24"/>
  <c r="G38" i="24"/>
  <c r="N28" i="24"/>
  <c r="M11" i="24"/>
  <c r="K25" i="24"/>
  <c r="G6" i="55"/>
  <c r="E9" i="55"/>
  <c r="C8" i="53"/>
  <c r="I13" i="49"/>
  <c r="C10" i="55"/>
  <c r="M10" i="49"/>
  <c r="J13" i="48"/>
  <c r="F10" i="49"/>
  <c r="E10" i="46"/>
  <c r="E14" i="41"/>
  <c r="F14" i="41"/>
  <c r="G13" i="39"/>
  <c r="I37" i="39"/>
  <c r="J25" i="39"/>
  <c r="E33" i="39"/>
  <c r="G16" i="25"/>
  <c r="C6" i="95"/>
  <c r="I19" i="13"/>
  <c r="G17" i="95"/>
  <c r="G20" i="13"/>
  <c r="H15" i="25"/>
  <c r="H10" i="28"/>
  <c r="K7" i="28"/>
  <c r="F10" i="37"/>
  <c r="F15" i="97"/>
  <c r="F18" i="95"/>
  <c r="H6" i="13"/>
  <c r="C13" i="95"/>
  <c r="C9" i="97"/>
  <c r="F6" i="23"/>
  <c r="F8" i="97"/>
  <c r="D8" i="97"/>
  <c r="H6" i="23"/>
  <c r="H5" i="13"/>
  <c r="F10" i="97"/>
  <c r="G15" i="97"/>
  <c r="G18" i="97"/>
  <c r="C14" i="11"/>
  <c r="D17" i="10"/>
  <c r="H19" i="11"/>
  <c r="C16" i="11"/>
  <c r="D19" i="10"/>
  <c r="H21" i="11"/>
  <c r="E15" i="11"/>
  <c r="D15" i="10"/>
  <c r="H17" i="11"/>
  <c r="G8" i="10"/>
  <c r="H14" i="11"/>
  <c r="H16" i="10"/>
  <c r="H19" i="7"/>
  <c r="F29" i="7"/>
  <c r="F8" i="7"/>
  <c r="H19" i="93"/>
  <c r="E13" i="93"/>
  <c r="H37" i="7"/>
  <c r="F16" i="93"/>
  <c r="J17" i="93"/>
  <c r="G12" i="7"/>
  <c r="G22" i="7"/>
  <c r="J14" i="7"/>
  <c r="H12" i="93"/>
  <c r="G6" i="7"/>
  <c r="E18" i="93"/>
  <c r="F19" i="26"/>
  <c r="K13" i="8"/>
  <c r="K16" i="8"/>
  <c r="F16" i="8"/>
  <c r="O7" i="8"/>
  <c r="M10" i="8"/>
  <c r="L11" i="8"/>
  <c r="L10" i="8"/>
  <c r="M8" i="8"/>
  <c r="J15" i="8"/>
  <c r="L16" i="8"/>
  <c r="G8" i="8"/>
  <c r="N14" i="8"/>
  <c r="O9" i="8"/>
  <c r="J28" i="24"/>
  <c r="H28" i="24"/>
  <c r="L36" i="24"/>
  <c r="G37" i="24"/>
  <c r="P29" i="24"/>
  <c r="M19" i="24"/>
  <c r="M24" i="24"/>
  <c r="P21" i="24"/>
  <c r="M36" i="24"/>
  <c r="N29" i="24"/>
  <c r="F8" i="24"/>
  <c r="M15" i="24"/>
  <c r="N24" i="24"/>
  <c r="N12" i="24"/>
  <c r="F12" i="24"/>
  <c r="P33" i="24"/>
  <c r="M21" i="24"/>
  <c r="E21" i="24"/>
  <c r="F36" i="24"/>
  <c r="P24" i="24"/>
  <c r="L24" i="24"/>
  <c r="O38" i="24"/>
  <c r="M32" i="24"/>
  <c r="K19" i="24"/>
  <c r="H24" i="24"/>
  <c r="P16" i="24"/>
  <c r="G15" i="24"/>
  <c r="K17" i="24"/>
  <c r="G33" i="24"/>
  <c r="O20" i="24"/>
  <c r="J11" i="24"/>
  <c r="I19" i="24"/>
  <c r="K12" i="24"/>
  <c r="J9" i="24"/>
  <c r="I32" i="24"/>
  <c r="F32" i="24"/>
  <c r="E9" i="7" l="1"/>
  <c r="J22" i="24"/>
  <c r="I14" i="24"/>
  <c r="L10" i="24"/>
  <c r="F35" i="24"/>
  <c r="J19" i="26"/>
  <c r="E18" i="24"/>
  <c r="M39" i="24"/>
  <c r="J14" i="24"/>
  <c r="K22" i="24"/>
  <c r="O22" i="24"/>
  <c r="O10" i="28"/>
  <c r="N14" i="28"/>
  <c r="E26" i="24"/>
  <c r="L26" i="24"/>
  <c r="F14" i="24"/>
  <c r="N26" i="24"/>
  <c r="F11" i="37"/>
  <c r="M26" i="24"/>
  <c r="I35" i="24"/>
  <c r="N22" i="24"/>
  <c r="P31" i="24"/>
  <c r="G26" i="24"/>
  <c r="N10" i="24"/>
  <c r="F14" i="28"/>
  <c r="O7" i="28"/>
  <c r="C14" i="28"/>
  <c r="M14" i="24"/>
  <c r="M35" i="24"/>
  <c r="E14" i="24"/>
  <c r="K35" i="24"/>
  <c r="P14" i="24"/>
  <c r="K39" i="24"/>
  <c r="O35" i="24"/>
  <c r="F18" i="24"/>
  <c r="O39" i="24"/>
  <c r="G15" i="23"/>
  <c r="D11" i="23"/>
  <c r="F15" i="23"/>
  <c r="J14" i="28"/>
  <c r="O11" i="28"/>
  <c r="P8" i="28"/>
  <c r="K26" i="24"/>
  <c r="P10" i="24"/>
  <c r="H22" i="24"/>
  <c r="H35" i="24"/>
  <c r="O26" i="24"/>
  <c r="G14" i="24"/>
  <c r="L22" i="24"/>
  <c r="J35" i="24"/>
  <c r="G11" i="37"/>
  <c r="I11" i="37"/>
  <c r="E11" i="23"/>
  <c r="P12" i="28"/>
  <c r="O12" i="28"/>
  <c r="M10" i="24"/>
  <c r="M22" i="24"/>
  <c r="E35" i="24"/>
  <c r="I10" i="24"/>
  <c r="E22" i="24"/>
  <c r="M31" i="24"/>
  <c r="K10" i="24"/>
  <c r="I22" i="24"/>
  <c r="O31" i="24"/>
  <c r="H10" i="24"/>
  <c r="H14" i="24"/>
  <c r="P18" i="24"/>
  <c r="H26" i="24"/>
  <c r="L31" i="24"/>
  <c r="P35" i="24"/>
  <c r="O10" i="24"/>
  <c r="F22" i="24"/>
  <c r="G35" i="24"/>
  <c r="J10" i="24"/>
  <c r="L14" i="24"/>
  <c r="G22" i="24"/>
  <c r="J26" i="24"/>
  <c r="N31" i="24"/>
  <c r="G39" i="24"/>
  <c r="S19" i="26"/>
  <c r="D19" i="26"/>
  <c r="I18" i="25"/>
  <c r="I22" i="25" s="1"/>
  <c r="H11" i="23"/>
  <c r="I11" i="23"/>
  <c r="P6" i="28"/>
  <c r="I26" i="24"/>
  <c r="E39" i="24"/>
  <c r="N14" i="24"/>
  <c r="I39" i="24"/>
  <c r="H18" i="24"/>
  <c r="P26" i="24"/>
  <c r="H39" i="24"/>
  <c r="G18" i="24"/>
  <c r="F39" i="24"/>
  <c r="J18" i="24"/>
  <c r="F31" i="24"/>
  <c r="F40" i="24" s="1"/>
  <c r="L39" i="24"/>
  <c r="G19" i="26"/>
  <c r="P19" i="26"/>
  <c r="D11" i="37"/>
  <c r="I19" i="25"/>
  <c r="I23" i="25" s="1"/>
  <c r="E10" i="24"/>
  <c r="M18" i="24"/>
  <c r="I31" i="24"/>
  <c r="I18" i="24"/>
  <c r="E31" i="24"/>
  <c r="J39" i="24"/>
  <c r="K18" i="24"/>
  <c r="G31" i="24"/>
  <c r="N39" i="24"/>
  <c r="K14" i="24"/>
  <c r="L18" i="24"/>
  <c r="P22" i="24"/>
  <c r="H31" i="24"/>
  <c r="L35" i="24"/>
  <c r="P39" i="24"/>
  <c r="G10" i="24"/>
  <c r="O18" i="24"/>
  <c r="K31" i="24"/>
  <c r="K40" i="24" s="1"/>
  <c r="F10" i="24"/>
  <c r="O14" i="24"/>
  <c r="N18" i="24"/>
  <c r="F26" i="24"/>
  <c r="J31" i="24"/>
  <c r="N35" i="24"/>
  <c r="M19" i="26"/>
  <c r="E11" i="37"/>
  <c r="H11" i="37"/>
  <c r="O9" i="28"/>
  <c r="P7" i="28"/>
  <c r="D14" i="28"/>
  <c r="H14" i="28"/>
  <c r="K14" i="28"/>
  <c r="D19" i="25"/>
  <c r="D23" i="25" s="1"/>
  <c r="H18" i="25"/>
  <c r="H22" i="25" s="1"/>
  <c r="E18" i="25"/>
  <c r="E22" i="25" s="1"/>
  <c r="E15" i="23"/>
  <c r="G19" i="25"/>
  <c r="G23" i="25" s="1"/>
  <c r="O13" i="28"/>
  <c r="P9" i="28"/>
  <c r="E14" i="28"/>
  <c r="G14" i="28"/>
  <c r="I14" i="28"/>
  <c r="L14" i="28"/>
  <c r="M14" i="28"/>
  <c r="G11" i="23"/>
  <c r="G18" i="25"/>
  <c r="G22" i="25" s="1"/>
  <c r="I15" i="23"/>
  <c r="H19" i="25"/>
  <c r="H23" i="25" s="1"/>
  <c r="P11" i="28"/>
  <c r="H15" i="23"/>
  <c r="D18" i="25"/>
  <c r="D22" i="25" s="1"/>
  <c r="F11" i="23"/>
  <c r="E19" i="25"/>
  <c r="E23" i="25" s="1"/>
  <c r="O6" i="28"/>
  <c r="P10" i="28"/>
  <c r="F18" i="25"/>
  <c r="F22" i="25" s="1"/>
  <c r="D15" i="23"/>
  <c r="F19" i="25"/>
  <c r="F23" i="25" s="1"/>
  <c r="O8" i="28"/>
  <c r="P13" i="28"/>
  <c r="G14" i="39"/>
  <c r="F10" i="39"/>
  <c r="H31" i="39"/>
  <c r="I10" i="39"/>
  <c r="I39" i="39"/>
  <c r="H18" i="39"/>
  <c r="J39" i="39"/>
  <c r="I14" i="39"/>
  <c r="E35" i="39"/>
  <c r="H22" i="39"/>
  <c r="E14" i="39"/>
  <c r="E18" i="39"/>
  <c r="H10" i="39"/>
  <c r="J31" i="39"/>
  <c r="E10" i="39"/>
  <c r="I26" i="39"/>
  <c r="G39" i="39"/>
  <c r="F18" i="39"/>
  <c r="J26" i="39"/>
  <c r="H39" i="39"/>
  <c r="I22" i="39"/>
  <c r="G26" i="39"/>
  <c r="E39" i="39"/>
  <c r="J14" i="39"/>
  <c r="H26" i="39"/>
  <c r="F39" i="39"/>
  <c r="G31" i="39"/>
  <c r="J18" i="39"/>
  <c r="G10" i="39"/>
  <c r="E31" i="39"/>
  <c r="F31" i="39"/>
  <c r="I18" i="39"/>
  <c r="J10" i="39"/>
  <c r="F35" i="39"/>
  <c r="I31" i="39"/>
  <c r="F22" i="39"/>
  <c r="E22" i="39"/>
  <c r="E26" i="39"/>
  <c r="I35" i="39"/>
  <c r="H14" i="39"/>
  <c r="F26" i="39"/>
  <c r="J35" i="39"/>
  <c r="G18" i="39"/>
  <c r="G22" i="39"/>
  <c r="G35" i="39"/>
  <c r="F14" i="39"/>
  <c r="F27" i="39" s="1"/>
  <c r="J22" i="39"/>
  <c r="H35" i="39"/>
  <c r="F18" i="41"/>
  <c r="F22" i="41" s="1"/>
  <c r="D19" i="41"/>
  <c r="D23" i="41" s="1"/>
  <c r="E19" i="41"/>
  <c r="E23" i="41" s="1"/>
  <c r="D18" i="41"/>
  <c r="D22" i="41" s="1"/>
  <c r="F19" i="41"/>
  <c r="F23" i="41" s="1"/>
  <c r="E18" i="41"/>
  <c r="E22" i="41" s="1"/>
  <c r="G19" i="43"/>
  <c r="D19" i="43"/>
  <c r="J19" i="43"/>
  <c r="G14" i="46"/>
  <c r="E14" i="51"/>
  <c r="F26" i="49"/>
  <c r="P7" i="46"/>
  <c r="D14" i="46"/>
  <c r="I14" i="46"/>
  <c r="M14" i="46"/>
  <c r="I26" i="49"/>
  <c r="J26" i="49"/>
  <c r="O7" i="46"/>
  <c r="C14" i="46"/>
  <c r="O10" i="46"/>
  <c r="H26" i="49"/>
  <c r="E26" i="48"/>
  <c r="P11" i="46"/>
  <c r="P8" i="46"/>
  <c r="E14" i="48"/>
  <c r="F14" i="46"/>
  <c r="H14" i="46"/>
  <c r="J14" i="46"/>
  <c r="L14" i="46"/>
  <c r="N14" i="46"/>
  <c r="E14" i="46"/>
  <c r="P10" i="46"/>
  <c r="O11" i="46"/>
  <c r="I14" i="49"/>
  <c r="O8" i="46"/>
  <c r="D14" i="49"/>
  <c r="N14" i="48"/>
  <c r="N14" i="49"/>
  <c r="P13" i="46"/>
  <c r="O13" i="46"/>
  <c r="O12" i="46"/>
  <c r="P12" i="46"/>
  <c r="L14" i="49"/>
  <c r="E14" i="49"/>
  <c r="E26" i="49"/>
  <c r="M14" i="48"/>
  <c r="F26" i="48"/>
  <c r="I14" i="51"/>
  <c r="G14" i="49"/>
  <c r="I26" i="51"/>
  <c r="J14" i="51"/>
  <c r="H14" i="53"/>
  <c r="J14" i="53"/>
  <c r="O9" i="46"/>
  <c r="H14" i="49"/>
  <c r="I14" i="48"/>
  <c r="P9" i="46"/>
  <c r="O6" i="46"/>
  <c r="P6" i="46"/>
  <c r="K14" i="46"/>
  <c r="L26" i="49"/>
  <c r="C26" i="49"/>
  <c r="J14" i="49"/>
  <c r="I26" i="48"/>
  <c r="F14" i="48"/>
  <c r="J26" i="48"/>
  <c r="D26" i="48"/>
  <c r="J14" i="48"/>
  <c r="C26" i="48"/>
  <c r="M14" i="49"/>
  <c r="G14" i="51"/>
  <c r="E14" i="53"/>
  <c r="G26" i="53"/>
  <c r="D26" i="51"/>
  <c r="C14" i="49"/>
  <c r="K26" i="49"/>
  <c r="K14" i="48"/>
  <c r="L14" i="48"/>
  <c r="C14" i="51"/>
  <c r="H26" i="51"/>
  <c r="F26" i="51"/>
  <c r="D26" i="53"/>
  <c r="F26" i="53"/>
  <c r="C26" i="53"/>
  <c r="K14" i="49"/>
  <c r="F14" i="49"/>
  <c r="C14" i="48"/>
  <c r="G26" i="48"/>
  <c r="D14" i="48"/>
  <c r="H26" i="48"/>
  <c r="C26" i="51"/>
  <c r="I14" i="53"/>
  <c r="J26" i="51"/>
  <c r="C14" i="53"/>
  <c r="H26" i="53"/>
  <c r="J26" i="53"/>
  <c r="E26" i="51"/>
  <c r="D14" i="51"/>
  <c r="G26" i="49"/>
  <c r="D26" i="49"/>
  <c r="G14" i="48"/>
  <c r="K26" i="48"/>
  <c r="H14" i="48"/>
  <c r="L26" i="48"/>
  <c r="G26" i="51"/>
  <c r="H14" i="51"/>
  <c r="F14" i="51"/>
  <c r="E26" i="53"/>
  <c r="D14" i="53"/>
  <c r="F14" i="53"/>
  <c r="D13" i="55"/>
  <c r="E13" i="55"/>
  <c r="F13" i="55"/>
  <c r="G13" i="55"/>
  <c r="I13" i="55"/>
  <c r="J13" i="55"/>
  <c r="K13" i="55"/>
  <c r="L13" i="55"/>
  <c r="M13" i="55"/>
  <c r="O13" i="55"/>
  <c r="P13" i="55"/>
  <c r="I26" i="53"/>
  <c r="G14" i="53"/>
  <c r="C13" i="55"/>
  <c r="F38" i="7"/>
  <c r="F11" i="93"/>
  <c r="H11" i="93"/>
  <c r="J11" i="93"/>
  <c r="F15" i="93"/>
  <c r="H15" i="93"/>
  <c r="J15" i="93"/>
  <c r="F20" i="93"/>
  <c r="H20" i="93"/>
  <c r="J20" i="93"/>
  <c r="J21" i="93" s="1"/>
  <c r="J28" i="93" s="1"/>
  <c r="F27" i="93"/>
  <c r="H27" i="93"/>
  <c r="J27" i="93"/>
  <c r="E12" i="8"/>
  <c r="G12" i="8"/>
  <c r="I12" i="8"/>
  <c r="K12" i="8"/>
  <c r="M12" i="8"/>
  <c r="O12" i="8"/>
  <c r="E17" i="8"/>
  <c r="G17" i="8"/>
  <c r="I17" i="8"/>
  <c r="K17" i="8"/>
  <c r="M17" i="8"/>
  <c r="O17" i="8"/>
  <c r="O18" i="8" s="1"/>
  <c r="E38" i="7"/>
  <c r="G38" i="7"/>
  <c r="E11" i="93"/>
  <c r="G11" i="93"/>
  <c r="I11" i="93"/>
  <c r="E15" i="93"/>
  <c r="G15" i="93"/>
  <c r="I15" i="93"/>
  <c r="E20" i="93"/>
  <c r="G20" i="93"/>
  <c r="I20" i="93"/>
  <c r="I21" i="93" s="1"/>
  <c r="I28" i="93" s="1"/>
  <c r="E27" i="93"/>
  <c r="G27" i="93"/>
  <c r="I27" i="93"/>
  <c r="D12" i="8"/>
  <c r="F12" i="8"/>
  <c r="H12" i="8"/>
  <c r="J12" i="8"/>
  <c r="L12" i="8"/>
  <c r="N12" i="8"/>
  <c r="D17" i="8"/>
  <c r="F17" i="8"/>
  <c r="H17" i="8"/>
  <c r="J17" i="8"/>
  <c r="J18" i="8" s="1"/>
  <c r="L17" i="8"/>
  <c r="N17" i="8"/>
  <c r="F21" i="93"/>
  <c r="F28" i="93" s="1"/>
  <c r="E21" i="93"/>
  <c r="E28" i="93" s="1"/>
  <c r="G14" i="37"/>
  <c r="D14" i="37"/>
  <c r="I14" i="37"/>
  <c r="E14" i="37"/>
  <c r="H14" i="37"/>
  <c r="F14" i="37"/>
  <c r="E40" i="39" l="1"/>
  <c r="K41" i="24"/>
  <c r="K27" i="24"/>
  <c r="D16" i="23"/>
  <c r="E27" i="24"/>
  <c r="P40" i="24"/>
  <c r="M40" i="24"/>
  <c r="E16" i="23"/>
  <c r="H18" i="8"/>
  <c r="N18" i="8"/>
  <c r="F18" i="8"/>
  <c r="E40" i="24"/>
  <c r="E41" i="24" s="1"/>
  <c r="E15" i="37"/>
  <c r="E16" i="37" s="1"/>
  <c r="D15" i="37"/>
  <c r="D16" i="37" s="1"/>
  <c r="H15" i="37"/>
  <c r="H16" i="37" s="1"/>
  <c r="F15" i="37"/>
  <c r="F16" i="37" s="1"/>
  <c r="I15" i="37"/>
  <c r="I16" i="37" s="1"/>
  <c r="G15" i="37"/>
  <c r="G16" i="37" s="1"/>
  <c r="O14" i="28"/>
  <c r="G21" i="93"/>
  <c r="G28" i="93" s="1"/>
  <c r="P14" i="46"/>
  <c r="G27" i="39"/>
  <c r="P14" i="28"/>
  <c r="H40" i="24"/>
  <c r="N27" i="24"/>
  <c r="I16" i="23"/>
  <c r="O40" i="24"/>
  <c r="G16" i="23"/>
  <c r="I27" i="24"/>
  <c r="L18" i="8"/>
  <c r="D18" i="8"/>
  <c r="H27" i="39"/>
  <c r="J27" i="39"/>
  <c r="I27" i="39"/>
  <c r="O27" i="24"/>
  <c r="G40" i="24"/>
  <c r="G41" i="24" s="1"/>
  <c r="H16" i="23"/>
  <c r="L27" i="24"/>
  <c r="G27" i="24"/>
  <c r="P27" i="24"/>
  <c r="P41" i="24" s="1"/>
  <c r="M27" i="24"/>
  <c r="M41" i="24" s="1"/>
  <c r="J40" i="39"/>
  <c r="L40" i="24"/>
  <c r="O14" i="46"/>
  <c r="I40" i="39"/>
  <c r="F40" i="39"/>
  <c r="F41" i="39" s="1"/>
  <c r="G40" i="39"/>
  <c r="E27" i="39"/>
  <c r="E41" i="39" s="1"/>
  <c r="H40" i="39"/>
  <c r="J40" i="24"/>
  <c r="I40" i="24"/>
  <c r="N40" i="24"/>
  <c r="H27" i="24"/>
  <c r="F16" i="23"/>
  <c r="F27" i="24"/>
  <c r="J27" i="24"/>
  <c r="M18" i="8"/>
  <c r="I18" i="8"/>
  <c r="E18" i="8"/>
  <c r="K18" i="8"/>
  <c r="G18" i="8"/>
  <c r="H21" i="93"/>
  <c r="H28" i="93" s="1"/>
  <c r="H41" i="39" l="1"/>
  <c r="F41" i="24"/>
  <c r="G41" i="39"/>
  <c r="J41" i="24"/>
  <c r="L41" i="24"/>
  <c r="O41" i="24"/>
  <c r="I41" i="39"/>
  <c r="H41" i="24"/>
  <c r="N41" i="24"/>
  <c r="J41" i="39"/>
  <c r="I41" i="24"/>
  <c r="N10" i="55"/>
  <c r="R10" i="55" s="1"/>
  <c r="H38" i="7" l="1"/>
  <c r="I36" i="7" l="1"/>
  <c r="I37" i="7"/>
  <c r="I38" i="7"/>
  <c r="I35" i="7"/>
  <c r="J38" i="7"/>
  <c r="L38" i="7"/>
  <c r="L34" i="7"/>
  <c r="E40" i="16"/>
  <c r="B40" i="16"/>
  <c r="F40" i="16"/>
  <c r="G40" i="16"/>
  <c r="D40" i="16"/>
  <c r="C40" i="16"/>
  <c r="K36" i="7" l="1"/>
  <c r="K37" i="7"/>
  <c r="K38" i="7"/>
  <c r="K35" i="7"/>
  <c r="L17" i="9"/>
  <c r="E34" i="7" l="1"/>
  <c r="F34" i="7"/>
  <c r="H34" i="7"/>
  <c r="I32" i="7" s="1"/>
  <c r="G34" i="7"/>
  <c r="J34" i="7"/>
  <c r="K31" i="7" s="1"/>
  <c r="L7" i="9"/>
  <c r="L8" i="9"/>
  <c r="L9" i="9"/>
  <c r="L10" i="9"/>
  <c r="L11" i="9"/>
  <c r="L12" i="9"/>
  <c r="L13" i="9"/>
  <c r="L14" i="9"/>
  <c r="L15" i="9"/>
  <c r="I31" i="7" l="1"/>
  <c r="I33" i="7"/>
  <c r="K32" i="7"/>
  <c r="K33" i="7"/>
  <c r="I34" i="7" l="1"/>
  <c r="K34" i="7"/>
  <c r="L25" i="7"/>
  <c r="H5" i="55"/>
  <c r="N5" i="55"/>
  <c r="Q5" i="55"/>
  <c r="J21" i="7"/>
  <c r="H13" i="7"/>
  <c r="L21" i="7"/>
  <c r="F21" i="7"/>
  <c r="L13" i="7"/>
  <c r="J25" i="7"/>
  <c r="K25" i="7" s="1"/>
  <c r="F25" i="7"/>
  <c r="J30" i="7"/>
  <c r="J17" i="7"/>
  <c r="E30" i="7"/>
  <c r="E39" i="7" s="1"/>
  <c r="E17" i="7"/>
  <c r="J13" i="7"/>
  <c r="F9" i="7"/>
  <c r="E21" i="7"/>
  <c r="E25" i="7"/>
  <c r="H17" i="7"/>
  <c r="G9" i="7"/>
  <c r="G25" i="7"/>
  <c r="H21" i="7"/>
  <c r="H25" i="7"/>
  <c r="G30" i="7"/>
  <c r="G39" i="7" s="1"/>
  <c r="G17" i="7"/>
  <c r="L9" i="7"/>
  <c r="F17" i="7"/>
  <c r="F30" i="7"/>
  <c r="F39" i="7" s="1"/>
  <c r="L30" i="7"/>
  <c r="L39" i="7" s="1"/>
  <c r="F13" i="7"/>
  <c r="G13" i="7"/>
  <c r="H9" i="7"/>
  <c r="J9" i="7"/>
  <c r="H30" i="7"/>
  <c r="G21" i="7"/>
  <c r="E13" i="7"/>
  <c r="L17" i="7"/>
  <c r="H26" i="7" l="1"/>
  <c r="E26" i="7"/>
  <c r="E40" i="7" s="1"/>
  <c r="L26" i="7"/>
  <c r="L40" i="7" s="1"/>
  <c r="G26" i="7"/>
  <c r="G40" i="7" s="1"/>
  <c r="J26" i="7"/>
  <c r="F26" i="7"/>
  <c r="F40" i="7" s="1"/>
  <c r="I29" i="7"/>
  <c r="I28" i="7"/>
  <c r="K29" i="7"/>
  <c r="K28" i="7"/>
  <c r="H39" i="7"/>
  <c r="H40" i="7" s="1"/>
  <c r="I30" i="7"/>
  <c r="I27" i="7"/>
  <c r="J39" i="7"/>
  <c r="K30" i="7"/>
  <c r="K27" i="7"/>
  <c r="K23" i="7"/>
  <c r="K24" i="7"/>
  <c r="I24" i="7"/>
  <c r="I23" i="7"/>
  <c r="K22" i="7"/>
  <c r="K20" i="7"/>
  <c r="K19" i="7"/>
  <c r="I20" i="7"/>
  <c r="I19" i="7"/>
  <c r="I21" i="7"/>
  <c r="I15" i="7"/>
  <c r="I16" i="7"/>
  <c r="K16" i="7"/>
  <c r="K15" i="7"/>
  <c r="I17" i="7"/>
  <c r="I14" i="7"/>
  <c r="K17" i="7"/>
  <c r="K14" i="7"/>
  <c r="K12" i="7"/>
  <c r="K11" i="7"/>
  <c r="I12" i="7"/>
  <c r="I11" i="7"/>
  <c r="K13" i="7"/>
  <c r="K10" i="7"/>
  <c r="I13" i="7"/>
  <c r="I10" i="7"/>
  <c r="K9" i="7"/>
  <c r="K7" i="7"/>
  <c r="K8" i="7"/>
  <c r="K6" i="7"/>
  <c r="I9" i="7"/>
  <c r="I6" i="7"/>
  <c r="I7" i="7"/>
  <c r="I8" i="7"/>
  <c r="K21" i="7"/>
  <c r="K18" i="7"/>
  <c r="I25" i="7"/>
  <c r="I22" i="7"/>
  <c r="I18" i="7"/>
  <c r="R5" i="55"/>
  <c r="J40" i="7" l="1"/>
  <c r="K39" i="7" s="1"/>
  <c r="I39" i="7"/>
  <c r="K26" i="7"/>
  <c r="I26" i="7"/>
  <c r="I40" i="7" s="1"/>
  <c r="K40" i="7" l="1"/>
  <c r="F42" i="16"/>
  <c r="C42" i="16"/>
  <c r="C41" i="16"/>
  <c r="D42" i="16"/>
  <c r="B41" i="16"/>
  <c r="F41" i="16"/>
  <c r="B42" i="16"/>
  <c r="E42" i="16"/>
  <c r="D41" i="16"/>
  <c r="N11" i="55" l="1"/>
  <c r="N6" i="55"/>
  <c r="H7" i="55"/>
  <c r="H6" i="55"/>
  <c r="N8" i="55"/>
  <c r="N12" i="55"/>
  <c r="H12" i="55"/>
  <c r="Q8" i="55"/>
  <c r="Q9" i="55"/>
  <c r="Q11" i="55"/>
  <c r="N7" i="55"/>
  <c r="Q6" i="55"/>
  <c r="Q7" i="55"/>
  <c r="N9" i="55"/>
  <c r="H11" i="55"/>
  <c r="H9" i="55"/>
  <c r="H8" i="55"/>
  <c r="Q12" i="55"/>
  <c r="G42" i="16"/>
  <c r="E41" i="16"/>
  <c r="G41" i="16" s="1"/>
  <c r="R9" i="55" l="1"/>
  <c r="R7" i="55"/>
  <c r="R11" i="55"/>
  <c r="R8" i="55"/>
  <c r="Q13" i="55"/>
  <c r="R12" i="55"/>
  <c r="R6" i="55"/>
  <c r="N13" i="55"/>
  <c r="H13" i="55"/>
  <c r="R13" i="5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owerPivot Data" description="This connection is used by Excel for communication between the workbook and embedded PowerPivot data, and should not be manually edited or deleted." type="5" refreshedVersion="0" background="1">
    <dbPr connection="Provider=MSOLAP.4;Persist Security Info=True;Initial Catalog=Microsoft_SQLServer_AnalysisServices;Data Source=$Embedded$;MDX Compatibility=1;Safety Options=2;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<sst xmlns="http://schemas.openxmlformats.org/spreadsheetml/2006/main" count="57184" uniqueCount="4025">
  <si>
    <t>Sum of A1 Net</t>
  </si>
  <si>
    <t>Sum of A2 Net</t>
  </si>
  <si>
    <t>Sum of A3 Net</t>
  </si>
  <si>
    <t>Sum of A4 Net</t>
  </si>
  <si>
    <t>Sum of A5 Net</t>
  </si>
  <si>
    <t>Sum of B1a Net</t>
  </si>
  <si>
    <t>Sum of B1b Net</t>
  </si>
  <si>
    <t>Sum of B1c Net</t>
  </si>
  <si>
    <t>Sum of B2 Net</t>
  </si>
  <si>
    <t>Sum of B8 Net</t>
  </si>
  <si>
    <t>Sum of D1 Net</t>
  </si>
  <si>
    <t>Sum of D2 Net</t>
  </si>
  <si>
    <t>Non-Residential Development Report</t>
  </si>
  <si>
    <t>Decision Date</t>
  </si>
  <si>
    <t>Local Centre Name</t>
  </si>
  <si>
    <t>Count of D1 Net</t>
  </si>
  <si>
    <t>Sum of D1 Net2</t>
  </si>
  <si>
    <t>Count of D2 Net</t>
  </si>
  <si>
    <t>Sum of D2 Net2</t>
  </si>
  <si>
    <t>RP</t>
  </si>
  <si>
    <t>APG</t>
  </si>
  <si>
    <t>COU</t>
  </si>
  <si>
    <t>CO</t>
  </si>
  <si>
    <t>C</t>
  </si>
  <si>
    <t>BF</t>
  </si>
  <si>
    <t>-</t>
  </si>
  <si>
    <t>Durables</t>
  </si>
  <si>
    <t>PF</t>
  </si>
  <si>
    <t>Nil</t>
  </si>
  <si>
    <t>NB</t>
  </si>
  <si>
    <t>UC</t>
  </si>
  <si>
    <t>Not Known</t>
  </si>
  <si>
    <t>General Industry</t>
  </si>
  <si>
    <t>PFLA</t>
  </si>
  <si>
    <t>MIX</t>
  </si>
  <si>
    <t>OC</t>
  </si>
  <si>
    <t>Battersea Park Road</t>
  </si>
  <si>
    <t>Religious Premises</t>
  </si>
  <si>
    <t>Restaurant</t>
  </si>
  <si>
    <t>EXT</t>
  </si>
  <si>
    <t>Consumables</t>
  </si>
  <si>
    <t>Community Premises</t>
  </si>
  <si>
    <t>POLA</t>
  </si>
  <si>
    <t>Day Nursery</t>
  </si>
  <si>
    <t>Sports Facilities</t>
  </si>
  <si>
    <t>CON</t>
  </si>
  <si>
    <t>Services</t>
  </si>
  <si>
    <t>Vacant</t>
  </si>
  <si>
    <t>Ancillary to A1</t>
  </si>
  <si>
    <t>Other</t>
  </si>
  <si>
    <t>Café</t>
  </si>
  <si>
    <t>Light Industrial</t>
  </si>
  <si>
    <t>Distribution</t>
  </si>
  <si>
    <t>Storage</t>
  </si>
  <si>
    <t>Gdn</t>
  </si>
  <si>
    <t>Research and Development</t>
  </si>
  <si>
    <t>Medical Health Centre</t>
  </si>
  <si>
    <t>2009/0699</t>
  </si>
  <si>
    <t>2009/1506</t>
  </si>
  <si>
    <t>NSV</t>
  </si>
  <si>
    <t>Education or Training</t>
  </si>
  <si>
    <t>Osiers Road</t>
  </si>
  <si>
    <t>2009/3372</t>
  </si>
  <si>
    <t>Hotel</t>
  </si>
  <si>
    <t>Estate Agent</t>
  </si>
  <si>
    <t>Take-Aways</t>
  </si>
  <si>
    <t>2010/0271</t>
  </si>
  <si>
    <t>2010/0722</t>
  </si>
  <si>
    <t>2010/3703</t>
  </si>
  <si>
    <t>NSO</t>
  </si>
  <si>
    <t>PO</t>
  </si>
  <si>
    <t>Public House</t>
  </si>
  <si>
    <t>Financial or Professional Services</t>
  </si>
  <si>
    <t>GF</t>
  </si>
  <si>
    <t>Queenstown Road</t>
  </si>
  <si>
    <t>A1 Net</t>
  </si>
  <si>
    <t>A2 Net</t>
  </si>
  <si>
    <t>A3 Net</t>
  </si>
  <si>
    <t>A4 Net</t>
  </si>
  <si>
    <t>A5 Net</t>
  </si>
  <si>
    <t>B1a Net</t>
  </si>
  <si>
    <t>B1b Net</t>
  </si>
  <si>
    <t>B1c Net</t>
  </si>
  <si>
    <t>B2 Net</t>
  </si>
  <si>
    <t>B8 Net</t>
  </si>
  <si>
    <t>C1 Net</t>
  </si>
  <si>
    <t>D1 Net</t>
  </si>
  <si>
    <t>D2 Net</t>
  </si>
  <si>
    <t>Status</t>
  </si>
  <si>
    <t>Type</t>
  </si>
  <si>
    <t>Gain</t>
  </si>
  <si>
    <t>Loss</t>
  </si>
  <si>
    <t>%</t>
  </si>
  <si>
    <t>Net</t>
  </si>
  <si>
    <t>New Build</t>
  </si>
  <si>
    <t>Total</t>
  </si>
  <si>
    <t>Under Construction</t>
  </si>
  <si>
    <t>B1a</t>
  </si>
  <si>
    <t>B1b</t>
  </si>
  <si>
    <t>B1c</t>
  </si>
  <si>
    <t>B2</t>
  </si>
  <si>
    <t>B8</t>
  </si>
  <si>
    <t>Total Committed</t>
  </si>
  <si>
    <t>Total Potential</t>
  </si>
  <si>
    <t>Year</t>
  </si>
  <si>
    <t>Area</t>
  </si>
  <si>
    <t>Use Class</t>
  </si>
  <si>
    <t>Thames Policy Area</t>
  </si>
  <si>
    <t>Strategic Industrial Locations</t>
  </si>
  <si>
    <t>Locally Significant Industrial Areas</t>
  </si>
  <si>
    <t>Mixed Use Former Industrial Employment Areas</t>
  </si>
  <si>
    <t>Town Centre</t>
  </si>
  <si>
    <t>Putney Town Centre</t>
  </si>
  <si>
    <t>Tooting Town Centre</t>
  </si>
  <si>
    <t>Wandsworth Town Centre</t>
  </si>
  <si>
    <t>Grand Total</t>
  </si>
  <si>
    <t>Count of B1a Net</t>
  </si>
  <si>
    <t>Sum of B1a Net2</t>
  </si>
  <si>
    <t>Count of B1b Net</t>
  </si>
  <si>
    <t>Sum of B1b Net2</t>
  </si>
  <si>
    <t>Count of B1c Net</t>
  </si>
  <si>
    <t>Sum of B1c Net2</t>
  </si>
  <si>
    <t>Count of B2 Net</t>
  </si>
  <si>
    <t>Sum of B2 Net2</t>
  </si>
  <si>
    <t>Count of B8 Net</t>
  </si>
  <si>
    <t>Sum of B8 Net2</t>
  </si>
  <si>
    <t>Y</t>
  </si>
  <si>
    <t>C3 Gain</t>
  </si>
  <si>
    <t>C3 Loss</t>
  </si>
  <si>
    <t>C3 Net</t>
  </si>
  <si>
    <t>Residential Gain</t>
  </si>
  <si>
    <t>Putney</t>
  </si>
  <si>
    <t>Clapham Junction</t>
  </si>
  <si>
    <t xml:space="preserve">Under Construction </t>
  </si>
  <si>
    <t xml:space="preserve">Subject to Legal Agreement </t>
  </si>
  <si>
    <t>A1</t>
  </si>
  <si>
    <t>A2</t>
  </si>
  <si>
    <t>A3</t>
  </si>
  <si>
    <t>A4</t>
  </si>
  <si>
    <t>A5</t>
  </si>
  <si>
    <t>Local Centre</t>
  </si>
  <si>
    <t>2005/06</t>
  </si>
  <si>
    <t>2006/07</t>
  </si>
  <si>
    <t>2007/08</t>
  </si>
  <si>
    <t>2008/09</t>
  </si>
  <si>
    <t>2009/10</t>
  </si>
  <si>
    <t>2010/11</t>
  </si>
  <si>
    <t>2011/12</t>
  </si>
  <si>
    <t>2012/13</t>
  </si>
  <si>
    <t>Balham</t>
  </si>
  <si>
    <t>Tooting</t>
  </si>
  <si>
    <t>Wandsworth</t>
  </si>
  <si>
    <t>% in Town Centres</t>
  </si>
  <si>
    <t>(blank)</t>
  </si>
  <si>
    <t>Count of A1 Net</t>
  </si>
  <si>
    <t>Count of A2 Net</t>
  </si>
  <si>
    <t>Count of A3 Net</t>
  </si>
  <si>
    <t>Count of A4 Net</t>
  </si>
  <si>
    <t>Sum of A1 Net2</t>
  </si>
  <si>
    <t>Sum of A2 Net2</t>
  </si>
  <si>
    <t>Sum of A3 Net2</t>
  </si>
  <si>
    <t>Sum of A4 Net2</t>
  </si>
  <si>
    <t>Count of A5 Net</t>
  </si>
  <si>
    <t>Sum of A5 Net2</t>
  </si>
  <si>
    <t>Town Centre Name</t>
  </si>
  <si>
    <t>2013/14</t>
  </si>
  <si>
    <t>D1</t>
  </si>
  <si>
    <t>D2</t>
  </si>
  <si>
    <t>Floorspace (m²)</t>
  </si>
  <si>
    <t>2013/3516</t>
  </si>
  <si>
    <t>2011/3748</t>
  </si>
  <si>
    <t>Ancillary to A3</t>
  </si>
  <si>
    <t>AF</t>
  </si>
  <si>
    <t>P</t>
  </si>
  <si>
    <t>Gwynne Road</t>
  </si>
  <si>
    <t>Bar</t>
  </si>
  <si>
    <t>2012/1258</t>
  </si>
  <si>
    <t>2012/1443</t>
  </si>
  <si>
    <t>High Street Bank</t>
  </si>
  <si>
    <t>Kimber Road</t>
  </si>
  <si>
    <t>2012/2460</t>
  </si>
  <si>
    <t>2012/3143</t>
  </si>
  <si>
    <t>LDC</t>
  </si>
  <si>
    <t>Mitcham Lane</t>
  </si>
  <si>
    <t>2012/3960</t>
  </si>
  <si>
    <t>Address</t>
  </si>
  <si>
    <t>Easting</t>
  </si>
  <si>
    <t>Northing</t>
  </si>
  <si>
    <t>Application Status</t>
  </si>
  <si>
    <t>Legal Agreement Date</t>
  </si>
  <si>
    <t>Appeal Status</t>
  </si>
  <si>
    <t>Appeal Registered Date</t>
  </si>
  <si>
    <t>Appeal Decision Date</t>
  </si>
  <si>
    <t>Development Type</t>
  </si>
  <si>
    <t>Development Status</t>
  </si>
  <si>
    <t>Currency</t>
  </si>
  <si>
    <t>Land Type</t>
  </si>
  <si>
    <t>A1Description_Gain</t>
  </si>
  <si>
    <t>A2Description_Gain</t>
  </si>
  <si>
    <t>A3Description_Gain</t>
  </si>
  <si>
    <t>A4Description_Gain</t>
  </si>
  <si>
    <t>A5Description_Gain</t>
  </si>
  <si>
    <t>B1aDescription_Gain</t>
  </si>
  <si>
    <t>B1bDescription_Gain</t>
  </si>
  <si>
    <t>B1cDescription_Gain</t>
  </si>
  <si>
    <t>B2Description_Gain</t>
  </si>
  <si>
    <t>B8Description_Gain</t>
  </si>
  <si>
    <t>C1Description_Gain</t>
  </si>
  <si>
    <t>D1Description_Gain</t>
  </si>
  <si>
    <t>D2Description_Gain</t>
  </si>
  <si>
    <t>A1Description_Loss</t>
  </si>
  <si>
    <t>A2Description_Loss</t>
  </si>
  <si>
    <t>A3Description_Loss</t>
  </si>
  <si>
    <t>A4Description_Loss</t>
  </si>
  <si>
    <t>A5Description_Loss</t>
  </si>
  <si>
    <t>B1aDescription_Loss</t>
  </si>
  <si>
    <t>B1bDescription_Loss</t>
  </si>
  <si>
    <t>B1cDescription_Loss</t>
  </si>
  <si>
    <t>B2Description_Loss</t>
  </si>
  <si>
    <t>B8Description_Loss</t>
  </si>
  <si>
    <t>C1Description_Loss</t>
  </si>
  <si>
    <t>D1Description_Loss</t>
  </si>
  <si>
    <t>D2Description_Loss</t>
  </si>
  <si>
    <t>Ind,Emp&amp;Retail Report Gain</t>
  </si>
  <si>
    <t>Ind,Emp&amp;Retail Report Loss</t>
  </si>
  <si>
    <t>Ind,Emp&amp;Retail Report Net</t>
  </si>
  <si>
    <t>2014/0195</t>
  </si>
  <si>
    <t>NPA</t>
  </si>
  <si>
    <t>SLA</t>
  </si>
  <si>
    <t>2012/5286</t>
  </si>
  <si>
    <t>2012/5419</t>
  </si>
  <si>
    <t>2012/5814</t>
  </si>
  <si>
    <t>Ancillary to C3</t>
  </si>
  <si>
    <t>2013/1068</t>
  </si>
  <si>
    <t>2013/1283</t>
  </si>
  <si>
    <t>2013/1313</t>
  </si>
  <si>
    <t>2013/1479</t>
  </si>
  <si>
    <t>2013/1504</t>
  </si>
  <si>
    <t>Betting Shop</t>
  </si>
  <si>
    <t>2013/1978</t>
  </si>
  <si>
    <t>2013/2047</t>
  </si>
  <si>
    <t>2013/2106</t>
  </si>
  <si>
    <t>2013/2365</t>
  </si>
  <si>
    <t>PAG</t>
  </si>
  <si>
    <t>PANR</t>
  </si>
  <si>
    <t>2013/2746</t>
  </si>
  <si>
    <t>2013/2947</t>
  </si>
  <si>
    <t>2013/2961</t>
  </si>
  <si>
    <t>2013/3267</t>
  </si>
  <si>
    <t>2014/1122</t>
  </si>
  <si>
    <t>2014/1204</t>
  </si>
  <si>
    <t>2014/1471</t>
  </si>
  <si>
    <t>2014/1730</t>
  </si>
  <si>
    <t>2013/4653</t>
  </si>
  <si>
    <t>2013/4945</t>
  </si>
  <si>
    <t>Bellevue Road</t>
  </si>
  <si>
    <t>2013/5264</t>
  </si>
  <si>
    <t>2013/5712</t>
  </si>
  <si>
    <t>2013/5731</t>
  </si>
  <si>
    <t>2013/6430</t>
  </si>
  <si>
    <t>2013/6478</t>
  </si>
  <si>
    <t>2013/6533</t>
  </si>
  <si>
    <t>Conversion of rear part of ground floor shop to provide a self-contained one-bedroomed flat;  erection of single-storey rear extension and alterations including an additional door to the front elevation.</t>
  </si>
  <si>
    <t>2015/0771</t>
  </si>
  <si>
    <t>Demolition of existing garages and erection of detached two-storey 4 bedroom dwelling.</t>
  </si>
  <si>
    <t>2015/1090</t>
  </si>
  <si>
    <t>Change of use of basement and ground floor from a shop (Class Use A1) to a shop and veterinary clinic (Class Uses  A1/D1).</t>
  </si>
  <si>
    <t>2015/1203</t>
  </si>
  <si>
    <t>2015/1205</t>
  </si>
  <si>
    <t>2015/1235</t>
  </si>
  <si>
    <t>2015/1330</t>
  </si>
  <si>
    <t>2015/1496</t>
  </si>
  <si>
    <t>Erection of a two storey structure to accommodate a heat rejection plant, located to the southeast of the Power Station partially on the site of the water pumping station, for a temporary period of six years (until May 2021).</t>
  </si>
  <si>
    <t>2015/1510</t>
  </si>
  <si>
    <t>Change of use from shop (use class A1) to bar (use class A4) together with the installation of a replacement shopfront.</t>
  </si>
  <si>
    <t>2015/1520</t>
  </si>
  <si>
    <t>Alterations including increase in scale of rear extension and alterations to existing fenestration, in connection with change of use from Restaurant (A3) to a Live Work Unit (C3/A1/A2).</t>
  </si>
  <si>
    <t>2015/1591</t>
  </si>
  <si>
    <t>Application for prior approval for change of use of property from B1(a) offices to residential (use class C3).</t>
  </si>
  <si>
    <t>2014/6746</t>
  </si>
  <si>
    <t>2014/6765</t>
  </si>
  <si>
    <t>Demolition of existing building and erection of four dwelling houses with associated parking.</t>
  </si>
  <si>
    <t>2014/6851</t>
  </si>
  <si>
    <t>Change of use from B1 (office) to C3 (dwellinghouse) comprising 3 x apartments.</t>
  </si>
  <si>
    <t>2014/6901</t>
  </si>
  <si>
    <t>Erection of a part single-storey part two-storey rear extension, in connection with the change of use of first floor and part of the ground floor commercial space to form two residential flats (1 x 1 bed, 1 x studio) accessed off Dorothy Road.</t>
  </si>
  <si>
    <t>Employment Agency</t>
  </si>
  <si>
    <t>2014/6909</t>
  </si>
  <si>
    <t>2014/6941</t>
  </si>
  <si>
    <t>Determination as to whether prior approval is required to change of the use of first and second floors from offices to 10 x self contained studio flats.</t>
  </si>
  <si>
    <t>2014/6971</t>
  </si>
  <si>
    <t>Change of use of units 27, 1, 2, and 3 on the ground floor of buildings 1 and 2 from office (Class Use B1) to creche (Class Use D1).</t>
  </si>
  <si>
    <t>2014/7018</t>
  </si>
  <si>
    <t>2014/7080</t>
  </si>
  <si>
    <t>Construction of mansard roof extension to main roof; creation of front entrance door and change of use of first floor all in association with the creation of a two-bedroom residential unit.</t>
  </si>
  <si>
    <t>2014/7090</t>
  </si>
  <si>
    <t>2014/7166</t>
  </si>
  <si>
    <t>Conversion of 5 vacant residential garages into a 1 x 2 bedroom dwelling including excavation to create basement level accomodation and a courtyard.</t>
  </si>
  <si>
    <t>2014/7184</t>
  </si>
  <si>
    <t>Conversion of ground and first floor shop (Class A1) to a one-bedroom dwelling (Class C3); and external alterations (Prior Approval Application).</t>
  </si>
  <si>
    <t>2014/7206</t>
  </si>
  <si>
    <t>2014/7233</t>
  </si>
  <si>
    <t>Demolition and excavation of 5 garages to form a two-bedroom residential dwelling with at basement level and off street parking for a single car.</t>
  </si>
  <si>
    <t>2014/7305</t>
  </si>
  <si>
    <t>Conversion of rear office area (ancillary to shop A1 use class) to form a one-bedroom self-contained residential unit (Use Class C3), including external alterations to lower the roof and create a courtyard area.</t>
  </si>
  <si>
    <t>2014/7331</t>
  </si>
  <si>
    <t>Demolition of existing warehouse and the erection of a three-storey building to provide 9 flats.</t>
  </si>
  <si>
    <t>2014/7344</t>
  </si>
  <si>
    <t>Childrens Play Facilities</t>
  </si>
  <si>
    <t>2014/7399</t>
  </si>
  <si>
    <t>Change of use for part of ground floor from hairdressers (Use Class A1) to a residential studio (Class Use C3) (42 sqm).</t>
  </si>
  <si>
    <t>2015/0039</t>
  </si>
  <si>
    <t>2015/0140</t>
  </si>
  <si>
    <t>Demolition of existing industrial buildings (Use Class B2) and erection of 9 x 4 bedroom three-storey (with basement) residential dwellings (Class Use C3) with second floor balconies and roof terraces, including new access and parking areas.</t>
  </si>
  <si>
    <t>2015/0170</t>
  </si>
  <si>
    <t>Erection of roof extension over existing single-storey addition to create an additional storey and change of use from offices (Use Class B1a) to a 2-bedroom dwellinghouse (Use Class C3).</t>
  </si>
  <si>
    <t>2015/0317</t>
  </si>
  <si>
    <t>Prior approval for CoU from B1 to C3 @ 1 x 2 b/f.</t>
  </si>
  <si>
    <t>2015/0545</t>
  </si>
  <si>
    <t>Change of use office (Class B1) to residential (Class C3) to form a one bedroom house, with associated external alterations and front boundary wall on Bramfield Road frontage.</t>
  </si>
  <si>
    <t>2015/0639</t>
  </si>
  <si>
    <t>2014/4775</t>
  </si>
  <si>
    <t>Prior Approval for conversion from offices (Class B1) at second floor level to 2 x 1-bedroom and 2 x 2-bedroom residential units (Class C3).</t>
  </si>
  <si>
    <t>2014/5149</t>
  </si>
  <si>
    <t>2014/5345</t>
  </si>
  <si>
    <t>Change of part of ground floor use from existing Car Repair Workshop (Use Class B2) to flexible permission for retail (Use Class A1), or restaurant (Use Class A3) use with associated new shop front.</t>
  </si>
  <si>
    <t>2014/5357</t>
  </si>
  <si>
    <t>2014/5383</t>
  </si>
  <si>
    <t>Conversion of existing building at first, second, and third floor levels into 19 self contained apartments.</t>
  </si>
  <si>
    <t>2014/5494</t>
  </si>
  <si>
    <t>Demolish existing unit (Use Class B1) and construction of 2 storey building to provide 4 self contained apartments (2 x one bedroom and 2 x two bedroom) with refuse and store and cycle parking.</t>
  </si>
  <si>
    <t>2014/5516</t>
  </si>
  <si>
    <t>Erection of electricity service cabinet to serve house boat mooring.</t>
  </si>
  <si>
    <t>2014/5529</t>
  </si>
  <si>
    <t>Erection of an additional glazed storey to north eastern flank wall to provide an additional 208sqm of office floorspace.</t>
  </si>
  <si>
    <t>2014/5735</t>
  </si>
  <si>
    <t>Change of use of first floor units from offices (Use Class B1) to residentail (Use Class C3) as two studio flats.</t>
  </si>
  <si>
    <t>2014/5806</t>
  </si>
  <si>
    <t>Change of use of the ground and first floors of the building to form one residential dwelling (two storey) from its permittred Class B1(a) office.</t>
  </si>
  <si>
    <t>2014/5848</t>
  </si>
  <si>
    <t>Change of use of ground floor from (Class Use A1) to taxi hire business (Class Use Sui Generis) open 24 hours a day, 7 days a week.</t>
  </si>
  <si>
    <t>2014/6325</t>
  </si>
  <si>
    <t>Demolition of existing garages, erection of a single-storey plus basement attached self-contained dwelling fronting Blenkame Road with boundary treatment and associated landscaping.</t>
  </si>
  <si>
    <t>2014/6428</t>
  </si>
  <si>
    <t>Prior approval for the change of use of the front part of the ground floor from office use (Use class B1) to two self-contained residential units (Use Class C3).</t>
  </si>
  <si>
    <t>2014/6445</t>
  </si>
  <si>
    <t>Change of use of first floor area from retail (Class A1 use) to mini cab office (Sui Generis).</t>
  </si>
  <si>
    <t>2014/6447</t>
  </si>
  <si>
    <t>2014/6590</t>
  </si>
  <si>
    <t>2014/2603</t>
  </si>
  <si>
    <t>Prior approval for conversion of offices on first and second floors (B1) to 14 x residential flats (C3).</t>
  </si>
  <si>
    <t>2014/2692</t>
  </si>
  <si>
    <t>Demolition of existing covered playground structure and erection of a two-storey extension to accommodate a dining room and multi-purpose space at the rear of the school building.</t>
  </si>
  <si>
    <t>2014/2693</t>
  </si>
  <si>
    <t>2014/2810</t>
  </si>
  <si>
    <t>2014/2891</t>
  </si>
  <si>
    <t>Construction of an extension at roof level providing an additional storey to form staff room and toilets for the existing restaurant.</t>
  </si>
  <si>
    <t>2014/2898</t>
  </si>
  <si>
    <t>Change of use from store (Class B8) to a one-bedroom dwelling (Class C3).</t>
  </si>
  <si>
    <t>2014/3016</t>
  </si>
  <si>
    <t>Construction of 8no. mews houses (two terraces of 4 houses) in two- and three-storey buildings, including associated car parking, bin stores and landscaping.</t>
  </si>
  <si>
    <t>2014/3467</t>
  </si>
  <si>
    <t>Demolition of two single storey prefabricated concrete lock up storage units and excavation to enable erection of 1 x 3 bedroom three-storey house with office (as live/work unit) included at basement level.</t>
  </si>
  <si>
    <t>2014/3598</t>
  </si>
  <si>
    <t>2014/3755</t>
  </si>
  <si>
    <t>2014/3761</t>
  </si>
  <si>
    <t>Prior approval for conversion of office (Use Class B1a) to nine self-contained residential units (Use Class C3).</t>
  </si>
  <si>
    <t>2014/3837</t>
  </si>
  <si>
    <t>2014/3881</t>
  </si>
  <si>
    <t>Determination as to whether prior approval is required for change of use from retail (Class A1) to one residential unit (Class C3).</t>
  </si>
  <si>
    <t>2014/4301</t>
  </si>
  <si>
    <t>2014/4498</t>
  </si>
  <si>
    <t>Demolition of existing buildings. Erection of part two/ part three-storey building with accommodation in roof level, to provide 8 residential units together with cycle storage, roof terraces/balconies, communal gardens and landscaping.</t>
  </si>
  <si>
    <t>2014/4515</t>
  </si>
  <si>
    <t>2014/4531</t>
  </si>
  <si>
    <t>Erection of three-storey dwellinghouse with associated parking and landscaping.</t>
  </si>
  <si>
    <t>2014/4588</t>
  </si>
  <si>
    <t>Demolition of existing garages and construction of 3 houses (one detached house to front of the site and two semi-detached houses to rear) and two car parking spaces.</t>
  </si>
  <si>
    <t>2014/4626</t>
  </si>
  <si>
    <t>2014/4661</t>
  </si>
  <si>
    <t>2014/4665</t>
  </si>
  <si>
    <t>2014/0058</t>
  </si>
  <si>
    <t>Erection of a one-bedroom dwelling at the rear of No.14 Lavender Hill with the associated amenity space, refuse and cycle space.</t>
  </si>
  <si>
    <t>2014/0567</t>
  </si>
  <si>
    <t>2014/0618</t>
  </si>
  <si>
    <t>Construction of side/rear extension in connection with the conversion of part of existing hairdressers (Shop- Class A1) to one-bedroom flat (Class C3). Formation of window openings to rear facade.</t>
  </si>
  <si>
    <t>2014/0641</t>
  </si>
  <si>
    <t>Erection of a two-storey detached house with associated landscaping and parking.</t>
  </si>
  <si>
    <t>Change of use of ground floor office/shop as extension to existing self-contained flat and alterations to front elevation (re-submission)</t>
  </si>
  <si>
    <t>2014/1269</t>
  </si>
  <si>
    <t>Change of use of part of ground floor to provide 24-hour mini-cab service.</t>
  </si>
  <si>
    <t>2014/1622</t>
  </si>
  <si>
    <t>Change of use of the existing building from former community building (Class D1) to create four self-contained residential units comprising internal and external alterations (including terraces) and extensions.</t>
  </si>
  <si>
    <t>2014/1700</t>
  </si>
  <si>
    <t>Change of use from Use Class A1(retail shop) to Use Class A3 (restaurant) use.</t>
  </si>
  <si>
    <t>Demolition of existing single storey clubhouse pavilion and erection of new two storey clubhouse pavilion including a creche.</t>
  </si>
  <si>
    <t>2014/1823</t>
  </si>
  <si>
    <t>Erection of southern extension to sports hall to provide championship standard squash court and multipurpose sports hall.</t>
  </si>
  <si>
    <t>2014/2077</t>
  </si>
  <si>
    <t>2014/2278</t>
  </si>
  <si>
    <t>Conversion of existing office (Use Class B1a) into a one bedroom flat (Use Class C3).</t>
  </si>
  <si>
    <t>Erection of four-storey plus basement building to provide Class A1 shops at ground floor with 8 flats above including a first floor roof garden.</t>
  </si>
  <si>
    <t>Demolition of existing garage. Construction of three-storey side extension with rear roof extension and conversion into self contained two bedroomed dwelling. Installation of 6 solar panels to front roof slope.</t>
  </si>
  <si>
    <t>Erection of two-storey extension to the eastern side of the property and erection of external rear staircase to increase the size of the ground floor nursery and first floor residential accommodation.</t>
  </si>
  <si>
    <t>Erection of two semi-detached dwellings with private gardens following the demolition of existing garages.</t>
  </si>
  <si>
    <t>Demolition of garage and erection of two-storey house.</t>
  </si>
  <si>
    <t>Alterations to the rear addition, in association with the use of rear part for provision of toilet and shower facilities.</t>
  </si>
  <si>
    <t>Erection of a three storey building (between 72 Bedford Hill and the railway embankment) to provide a shop/store on ground floor and a two bedroom maisonette on first and second floors.  (Amended drawings received  showing alterations to the development)</t>
  </si>
  <si>
    <t>Demolition of existing workshop. Erection of two-storey, 1-bedroom house with first floor level terrace to rear.</t>
  </si>
  <si>
    <t>Construction of a detached single storey building to provide additional office space.</t>
  </si>
  <si>
    <t>Change of use from A1 shops to A2 financial and professional services.</t>
  </si>
  <si>
    <t>Change of use of shop (use class A1) to a hot food takeaway (use class A5) and installation of extract flue to the rear.</t>
  </si>
  <si>
    <t>Demolition of existing rear addition. Excavation of basement and erection of ground floor rear extension in connection with the use of the rear of the property as a three-bedroom dwelling.</t>
  </si>
  <si>
    <t>Redevelopment of an area of 2.15 hectares to provide a new United States Embassy, to a maximum possible height of 97m, associated buildings, and new access road from Nine Elms Lane.  (Outline application)</t>
  </si>
  <si>
    <t>Demolition of existing public house building. Redevelopment of the site to provide a five-storey building with shops and a cafe/community area on the ground floor and nine flats above with balconies/terraces, with 10 basement parking spaces.</t>
  </si>
  <si>
    <t>Values</t>
  </si>
  <si>
    <t>Offices</t>
  </si>
  <si>
    <t>2014/15</t>
  </si>
  <si>
    <t>Whole Site Area (Ha)</t>
  </si>
  <si>
    <t>Development</t>
  </si>
  <si>
    <t>Alterations including erection of a three storey extension adjoining the Royal College of Art Building to be used for education purposes (Class D1).</t>
  </si>
  <si>
    <t>Prior Approval</t>
  </si>
  <si>
    <t>Prior Approval Not Started</t>
  </si>
  <si>
    <t>Commercial B1, B2 and B8 Use Classes</t>
  </si>
  <si>
    <t>Potential</t>
  </si>
  <si>
    <t>Completions</t>
  </si>
  <si>
    <t>Rest of Borough</t>
  </si>
  <si>
    <t>Battersea Power Station</t>
  </si>
  <si>
    <t>2014/2837</t>
  </si>
  <si>
    <t>(All)</t>
  </si>
  <si>
    <t>LDC Exist</t>
  </si>
  <si>
    <t>2013/1327</t>
  </si>
  <si>
    <t>PD</t>
  </si>
  <si>
    <t>Erection of a two storey rear extension to provide additional commercial floorspace.</t>
  </si>
  <si>
    <t>S73</t>
  </si>
  <si>
    <t>PAR</t>
  </si>
  <si>
    <t>LDC Prop</t>
  </si>
  <si>
    <t>2015/1156</t>
  </si>
  <si>
    <t>2015/1211</t>
  </si>
  <si>
    <t>2015/1352</t>
  </si>
  <si>
    <t>Demolition of upper floors of existing (B1a Use Class) building and erection of three additional storeys to provide five self contained (C3 Use Class) flats (4 x 2 bedroom, 1 x 3 bedroom), including roof terraces, cycle and refuse storage.</t>
  </si>
  <si>
    <t>2015/1446</t>
  </si>
  <si>
    <t>2015/1571</t>
  </si>
  <si>
    <t>Erection of a single-storey extension in connection with the cafe fronting Priory Lane.</t>
  </si>
  <si>
    <t>2015/1700</t>
  </si>
  <si>
    <t>Erection of a three-storey (first to third floors) extension above delivery bay at southern end of building.</t>
  </si>
  <si>
    <t>2015/1777</t>
  </si>
  <si>
    <t>Determination as to whether prior approval is required for change of use from office (Class B1a) to three residential units (Class C3).</t>
  </si>
  <si>
    <t>2015/1855</t>
  </si>
  <si>
    <t>2015/1913</t>
  </si>
  <si>
    <t>Demolition of the existing garage/workshop buildings and the erection of 9 x 2-storey 3-bedroom dwellings with associated alterations including 9 car parking spaces and  cycle storage.</t>
  </si>
  <si>
    <t>2015/1999</t>
  </si>
  <si>
    <t>Erection of two-storey rear extension in connection with change of use of from office (Use Class B1) to 9 self-contained residential flats (3x1, 6x2 bed) (Use Class C3); external alterations including demolition of various ancillary buildings.</t>
  </si>
  <si>
    <t>2015/2071</t>
  </si>
  <si>
    <t>2015/2085</t>
  </si>
  <si>
    <t>Erection of single-storey extension to existing classroom fronting Skelgill Road.</t>
  </si>
  <si>
    <t>Determination as to whether prior approval is required for change of use from office (Class B1a) to one residential unit (Class C3).</t>
  </si>
  <si>
    <t>2015/2091</t>
  </si>
  <si>
    <t>Determination as to whether prior approval is required for change of use of first floor from office (Class B1a) to one residential unit (Class C3).</t>
  </si>
  <si>
    <t>2015/2093</t>
  </si>
  <si>
    <t>Determination as to whether prior approval is required for change of use from office (Class B1a) at ground floor and basement levels to three residential units (Class C3).</t>
  </si>
  <si>
    <t>2015/2110</t>
  </si>
  <si>
    <t>2015/2202</t>
  </si>
  <si>
    <t>Erection of single-storey rear extension to Caretaker office at rear of garages.</t>
  </si>
  <si>
    <t>2015/2235</t>
  </si>
  <si>
    <t>Change of use of part of ground floor from storage (Use Class B8) to a furniture showroom (Use Class A1) with external alterations to include a new shopfront along south elevation.</t>
  </si>
  <si>
    <t>2015/2251</t>
  </si>
  <si>
    <t>2015/2275</t>
  </si>
  <si>
    <t>2015/2404</t>
  </si>
  <si>
    <t>Determination as to whether prior approval is required for change of use from office (Class B1a) to a two bedroom residential unit (Class C3).</t>
  </si>
  <si>
    <t>2015/2434</t>
  </si>
  <si>
    <t>2015/2469</t>
  </si>
  <si>
    <t>2015/2506</t>
  </si>
  <si>
    <t>2015/2512</t>
  </si>
  <si>
    <t>2015/2601</t>
  </si>
  <si>
    <t>2015/2602</t>
  </si>
  <si>
    <t>2015/2650</t>
  </si>
  <si>
    <t>2015/2661</t>
  </si>
  <si>
    <t>Demolition of existing garages. Erection of 1 x single-storey, with basement, dwellinghouse (Class C3) fronting Combemartin Road with lightwells to the front and rear and new boundary treatment.</t>
  </si>
  <si>
    <t>2015/2690</t>
  </si>
  <si>
    <t>Demolition of existing school building, and construction of a new four-storey plus basement level building for use as a school for up to 36 pupils and 40 staff, with associated landscaping, boundary treatment and ancillary works.</t>
  </si>
  <si>
    <t>2015/2828</t>
  </si>
  <si>
    <t>2015/3069</t>
  </si>
  <si>
    <t>2015/3138</t>
  </si>
  <si>
    <t>Demolition of six of existing garages, nine storage sheds and erection of two semi-detached houses with associated landscaping.</t>
  </si>
  <si>
    <t>2015/3161</t>
  </si>
  <si>
    <t>Demolition of existing buildings and erection of three-storey building to provide 8 flats, with first and second level terraces and communal garden.</t>
  </si>
  <si>
    <t>2015/3191</t>
  </si>
  <si>
    <t>2015/3237</t>
  </si>
  <si>
    <t>2015/3244</t>
  </si>
  <si>
    <t>Demolition of existing garages in connection with the erection of a two-storey building comprising 6 houses (5 x 3 bed and 1 x 2 bed) with associated parking and landscaping.</t>
  </si>
  <si>
    <t>2015/3531</t>
  </si>
  <si>
    <t>Change of use of ground floor retail (Class A1) and upper floor flat (Class C3) to a 2-bedroom house (Class C3) including changes to the front elevation.</t>
  </si>
  <si>
    <t>2015/3563</t>
  </si>
  <si>
    <t>Determination as to whether prior approval is required for change of use from office (Class B1a) to 1 x 1-bedroom residential unit (Class C3).</t>
  </si>
  <si>
    <t>2015/3688</t>
  </si>
  <si>
    <t>2015/3757</t>
  </si>
  <si>
    <t>Demolition of existing storesheds and erection of two semi-detached 3 bedroom houses with associated landscaping.</t>
  </si>
  <si>
    <t>2015/3835</t>
  </si>
  <si>
    <t>Demolition of existing buildings and erection of a three-storey office building, with associated landscaping and boundary treatments.</t>
  </si>
  <si>
    <t>2015/3861</t>
  </si>
  <si>
    <t>Alterations including excavation to enlarge basement; erection of part single/part two-storey rear/side extensions with formation of balconies at ground and first floor levels in connection with the creation of 2x1 bedroom self-contained flats.</t>
  </si>
  <si>
    <t>2015/3877</t>
  </si>
  <si>
    <t>Determination as to whether prior approval is required for the change of use of ground floor from office (Class B1a) to residential (Class C3) to provide a two-bedroom flat.</t>
  </si>
  <si>
    <t>2015/3904</t>
  </si>
  <si>
    <t>2015/3994</t>
  </si>
  <si>
    <t>Erection of a glass pavilion, a pergola and swimming pool at roof level. Construction of terraces and landscaping with steps to 8th floor terrace. Alterations to 8th floor fenestration on south elevation.</t>
  </si>
  <si>
    <t>2015/4019</t>
  </si>
  <si>
    <t>Change of use of the rear ground floor from retail (Class A1) to two residential units (Class C3).</t>
  </si>
  <si>
    <t>2015/4077</t>
  </si>
  <si>
    <t>2015/4160</t>
  </si>
  <si>
    <t>Determination as to whether prior approval is required for change of use of second and third floors from office (Class B1a) to 2 x 2-bedroom residential units (Class C3).</t>
  </si>
  <si>
    <t>2015/4259</t>
  </si>
  <si>
    <t>Erection of three storey, 3-bedroom dwelling unit (Use Class C3) with rear glazed balcony at first floor level.</t>
  </si>
  <si>
    <t>2015/4386</t>
  </si>
  <si>
    <t>2015/4504</t>
  </si>
  <si>
    <t>2015/4528</t>
  </si>
  <si>
    <t>Alterations and extension of rear of building, erection of a mansard-style roof extension and internal alterations including part conversion of ground floor from restaurant to residential, all in connection with the formation of 6 self-contained flats.</t>
  </si>
  <si>
    <t>2015/4585</t>
  </si>
  <si>
    <t>2015/4654</t>
  </si>
  <si>
    <t>Change of use of ground floor from shop (Class A1) to osteopathy, physiotherapy and sports rehabilitation treatment centre (Class D1).</t>
  </si>
  <si>
    <t>2015/4710</t>
  </si>
  <si>
    <t>Part change of use of ground floor from general industrial use (Use Class B2) to a personal training studio (Use Class D2).</t>
  </si>
  <si>
    <t>2015/4768</t>
  </si>
  <si>
    <t>Change of use from Class B1(c) into 2x 2 bedroom flats (Class C3); alterations to fenestration to front and rear elevations (Revised Application).</t>
  </si>
  <si>
    <t>2015/4775</t>
  </si>
  <si>
    <t>2015/4797</t>
  </si>
  <si>
    <t>Change of use from residential (C3) to nursery and preschool (Class D1) catering for up to 62 children (0-5 years old). Replacement timber fence (1.9m high) to include a one-way glass panel and new signage to north elevation</t>
  </si>
  <si>
    <t>2015/4817</t>
  </si>
  <si>
    <t>Determination as to whether prior approval is required for change of use from office (Class B1a) to two residential units (Class C3).</t>
  </si>
  <si>
    <t>2015/4902</t>
  </si>
  <si>
    <t>Demolition of existing garages and erection of a part single/part two-storey dwelling (re-submission of approved planning application ref: 2013/0850)</t>
  </si>
  <si>
    <t>2015/4903</t>
  </si>
  <si>
    <t>Alterations including erection of 10 storage sheds for use by occupiers of Gravenel Gardens.</t>
  </si>
  <si>
    <t>2015/5021</t>
  </si>
  <si>
    <t>2015/5039</t>
  </si>
  <si>
    <t>Alterations to car parking provision to create 1472sqm of secure storage space for rent and retention of 439 car parking spaces.</t>
  </si>
  <si>
    <t>2015/5183</t>
  </si>
  <si>
    <t>Erection of extensions over ground floor offices and over ground floor fitness centre to create two office (Class B1) extensions.</t>
  </si>
  <si>
    <t>2015/5221</t>
  </si>
  <si>
    <t>Alterations in connection with the use of the upper floors as 2 flats (1 x three-bedroom and 1 x 1-bedroom) including erection of front and rear roof extension to provide an additional floor of accommodation.</t>
  </si>
  <si>
    <t>2015/5289</t>
  </si>
  <si>
    <t>Demolition of existing boiler room at roof level; erection of roof extension to provide additional storey to create 2 bedroom flat and associated roof terrace.</t>
  </si>
  <si>
    <t>2015/5307</t>
  </si>
  <si>
    <t>2015/5308</t>
  </si>
  <si>
    <t>2015/5315</t>
  </si>
  <si>
    <t>Demolition of existing building and erection of three-storey building to provide 9 residential self-contained flats (Outline All matters reserved).</t>
  </si>
  <si>
    <t>2015/5318</t>
  </si>
  <si>
    <t>Erection of a part single, part two-storey rear extension, installation of external metal staircase and additional windows in connection with the conversion of the first floor into a 1-bedroom residential unit.</t>
  </si>
  <si>
    <t>2015/5374</t>
  </si>
  <si>
    <t>2015/5395</t>
  </si>
  <si>
    <t>2015/5540</t>
  </si>
  <si>
    <t>Change of Use of lower and ground floor from retail (Use Class A1) to an estate agents (Use Class A2).</t>
  </si>
  <si>
    <t>2015/5557</t>
  </si>
  <si>
    <t>2015/5610</t>
  </si>
  <si>
    <t>2015/5711</t>
  </si>
  <si>
    <t>2015/5777</t>
  </si>
  <si>
    <t>2015/5835</t>
  </si>
  <si>
    <t>2015/5875</t>
  </si>
  <si>
    <t>Change of use from "flexible commercial space" to provide 7 residential apartments with associated screening and landscaping</t>
  </si>
  <si>
    <t>2015/5926</t>
  </si>
  <si>
    <t>Demolition of existing garages and erection of part one, part two, part three-storey building to provide 4x2 bedroom flats and 2x1 bed flats with associated cycle storage and boundary treatments.</t>
  </si>
  <si>
    <t>2015/5951</t>
  </si>
  <si>
    <t>2015/6034</t>
  </si>
  <si>
    <t>Determination as to whether prior approval is required for change of use from office (Class B1a) at second floor level to residential (Class C3) to provide three flats (2 x 1-bedroom and 1 x 2-bedroom).</t>
  </si>
  <si>
    <t>2015/6064</t>
  </si>
  <si>
    <t>Demolition of existing garages and erection of single-storey 2-bedroom house with accommodation at basement level including erection of a bike and bin store in front garden.</t>
  </si>
  <si>
    <t>2015/6263</t>
  </si>
  <si>
    <t>Change of use from office (Class B1a) to one residential unit (Class C3) including erection of single-storey rear extension.</t>
  </si>
  <si>
    <t>2015/6304</t>
  </si>
  <si>
    <t>2015/6357</t>
  </si>
  <si>
    <t>2015/6358</t>
  </si>
  <si>
    <t>2015/6637</t>
  </si>
  <si>
    <t>2015/6650</t>
  </si>
  <si>
    <t>Alterations including change of use of part of the ground floor from shop (Class A1) to residential  (Class C3) to provide 1 x two-bedroom flat including erection of single-storey rear/side extension and internal alterations.</t>
  </si>
  <si>
    <t>2015/6811</t>
  </si>
  <si>
    <t>2015/6813</t>
  </si>
  <si>
    <t>2015/6848</t>
  </si>
  <si>
    <t>Determination as to whether prior approval is required for change of use from office (Class B1a) to one residential unit (Class C3) to provide eleven flats (3 x 1-bedroom, 6 x 2-bedroom, and 2 x 3-bedroom).</t>
  </si>
  <si>
    <t>2015/6849</t>
  </si>
  <si>
    <t>2015/6929</t>
  </si>
  <si>
    <t>Erection of single-storey rear extension to create 1 x 2-bedroom flat (Corresponding Listed Building Reference Number 2016/0793).</t>
  </si>
  <si>
    <t>2015/7069</t>
  </si>
  <si>
    <t>2015/7075</t>
  </si>
  <si>
    <t>2015/7118</t>
  </si>
  <si>
    <t>Erection of 6 x 3-bedroom two-storey dwellings with associated access from Thrale Road, parking spaces, amenity and landscaping.</t>
  </si>
  <si>
    <t>2015/7245</t>
  </si>
  <si>
    <t>2015/7254</t>
  </si>
  <si>
    <t>Erection of a mansard roof extension to form living accommodation in connection with the conversion of part of the ground floor cafe, and first floor into a maisonette.</t>
  </si>
  <si>
    <t>2015/7275</t>
  </si>
  <si>
    <t>2015/7465</t>
  </si>
  <si>
    <t>Change of use of less than 500sqm of internal floorspace from storage (Use Class B8) to office (Use Class B1).</t>
  </si>
  <si>
    <t>2015/7472</t>
  </si>
  <si>
    <t>Erection of 3 x three-bedroom, three-storey terrace houses</t>
  </si>
  <si>
    <t>2015/7642</t>
  </si>
  <si>
    <t>2015/7648</t>
  </si>
  <si>
    <t>Erection of a two-storey building.</t>
  </si>
  <si>
    <t>2015/7658</t>
  </si>
  <si>
    <t>Use of the building  for storage purposes (Class B8).</t>
  </si>
  <si>
    <t>2015/7662</t>
  </si>
  <si>
    <t>2016/0141</t>
  </si>
  <si>
    <t>Demolition of existing garage to the rear of 958 Garratt Lane (fronting Garratt Terrace) and construction of a two-storey 2-bedroom house with the subdivision of the garden of 958 Garratt Lane.</t>
  </si>
  <si>
    <t>2016/0276</t>
  </si>
  <si>
    <t>Refurbishment of buildings to rear of club to provide enhanced gymnasium facilities. Erection of dormer extension in main roof to provide showers and changing rooms.  Installation of highly-insulated panel cladding to walls.</t>
  </si>
  <si>
    <t>2016/0280</t>
  </si>
  <si>
    <t>Change of use of the basement and a portion of the ground floor from C3 (residential) to D2 (Assembly and Leisure) and minor alterations to ground floor entrance.</t>
  </si>
  <si>
    <t>2016/0319</t>
  </si>
  <si>
    <t>Change of use from Cemetery Chapel (Sui Generis) to a single bedroom residential dwelling (Class C3) including external and internal refurbishment and alterations.</t>
  </si>
  <si>
    <t>2016/0326</t>
  </si>
  <si>
    <t>Demolition of building and garage (Class A1 and C3 use). Erection of two-storey building and single storey rear extension, together with enlargement of existing basement, in connection with use of building as an office/professional services (class B1/A2).</t>
  </si>
  <si>
    <t>2016/0406</t>
  </si>
  <si>
    <t>2016/0432</t>
  </si>
  <si>
    <t>2016/0435</t>
  </si>
  <si>
    <t>2016/0540</t>
  </si>
  <si>
    <t>Use of premises as car repair garage</t>
  </si>
  <si>
    <t>2016/0600</t>
  </si>
  <si>
    <t>Alterations including change of use of ground floor from retail (Use Class A1) to 1x2-bedroom residential unit (Use Class C3); and associated external alterations to the front elevation (including removal of shopfront).</t>
  </si>
  <si>
    <t>2016/0601</t>
  </si>
  <si>
    <t>Alterations including change of use of ground floor from retail (Use Class A1) to 1x1-bedroom residential unit (Use Class C3); and associated external alterations to front elevation (including removal of shopfront).</t>
  </si>
  <si>
    <t>2016/0602</t>
  </si>
  <si>
    <t>Alterations including change of use of ground floor from retail (Use Class A1) to 1x1 bedroom residential unit (Use Class C3); and associated external alterations to front elevation (including removal of shopfront).</t>
  </si>
  <si>
    <t>2016/0654</t>
  </si>
  <si>
    <t>2016/0664</t>
  </si>
  <si>
    <t>Change of Use from Sui Generis - Laundrette to A1 - Shops</t>
  </si>
  <si>
    <t>2016/0686</t>
  </si>
  <si>
    <t>Alterations in connection with the change of use from office (Class B1) to 1 x 1-bedroom house (Class C3) including erection of front and rear roof extension and ground floor side extension. (Amendments to design of roof extension)</t>
  </si>
  <si>
    <t>2016/0711</t>
  </si>
  <si>
    <t>2016/0914</t>
  </si>
  <si>
    <t>2016/0918</t>
  </si>
  <si>
    <t>Change of use to day centre (Class D1) and installation of replacement shopfront to corner unit.</t>
  </si>
  <si>
    <t>2016/0954</t>
  </si>
  <si>
    <t>Change of use of property from day centre (Class D1) to 3 x 2 bedroom and 1 x 1 bedroom residential units (Class C3); formation of side lightwells and alterations to fenestration to all elevations.</t>
  </si>
  <si>
    <t>2016/1048</t>
  </si>
  <si>
    <t>2016/1139</t>
  </si>
  <si>
    <t>Change of use of commercial unit B from business (Use Class B1) to pilates studio (Use Class D2).</t>
  </si>
  <si>
    <t>Prior Approval Pending</t>
  </si>
  <si>
    <t>2015/16</t>
  </si>
  <si>
    <t>2007/5659</t>
  </si>
  <si>
    <t>The redevelopment of the site by the erection of a three/four storey building to provide 2 units (A1-A5 use) at ground and basement with 10 flats above, and the erection of a separate building over the rear access with Byton Road to provide a maisonette.</t>
  </si>
  <si>
    <t>Demolition of all existing buildings on site including St Peter's Church hall and vicarage. Erection of new church and community building on 3 levels at the southern end of the site, and 69 residential units (including new vicarage) in buildings up to 8-storeys high at the northern end and western side of the site; basement car park for 58 vehicles accessed off Plough Road.</t>
  </si>
  <si>
    <t>Erection of six buildings ranging in height up to fifteen-storeys and two single-storey commercial pavilions to provide approximately 8,712sq.m. of commercial floorspace (including community and leisure uses) and 504 residential units (308 private/196 affordable). Provision of open space, new vehicular and pedestrian access points and associated parking.</t>
  </si>
  <si>
    <t>Demolition of existing office building. Erection of an 8-storey plus basement block to provide commercial floorspace (Use Classes A2, B1 and D1) together with 29 flats  (including 8 affordable) with 29 car parking spaces, cycle spaces and associated landscaping.</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</si>
  <si>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</si>
  <si>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2010/4417</t>
  </si>
  <si>
    <t>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t>
  </si>
  <si>
    <t>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t>
  </si>
  <si>
    <t>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t>
  </si>
  <si>
    <t>Erection of three-storey building plus basement and rear lightwell to provide retail (Class A1) unit in front part of ground and lower ground floors, a one-bedroom maisonette on the ground and lower ground floors, and two 2-bedroom flats on the upper floors with rear balconies.</t>
  </si>
  <si>
    <t>Demolition of existing single-storey rear extension and construction of a new single-storey rear extension to existing Lodge building to be occupied within a mixture of uses comprising retail and office, café and car showroom (Sui Generis use class) with the demolition of all existing outbuildings and construction of a new single-storey building to the north-west boundary (the café) and construction of single-storey covered storage units to the north-west and south-east boundaries (the car showroom).</t>
  </si>
  <si>
    <t>Change of use of rear part at first floor level of no.10 from ancillary space for the ground floor retail unit to residential, providing additional accommodation for the existing flat, including rear roof extension and extension above part of existing two-storey back addition to form enclosed roof terrace.</t>
  </si>
  <si>
    <t>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t>
  </si>
  <si>
    <t>2016/1098</t>
  </si>
  <si>
    <t>Alterations in connection with the conversion of basement and ground floor self contained flats (Class C3) and office (Class B1) into part retail (Class A1) and part residential (Class C3) (1 x one-bedroom flat); conversion of the remainder of the property from 1 x three-bedrrom flat into 1 x one-bedroom flat and 1 x two-bedroom flat including erection of single storey rear/side extension, mansard roof extension to main rear roof and above part of two-storey back addition. Excavation at basement level to create rear lightwell; alterations to include replacement shopfront. (Revised description following amendments to drawings).</t>
  </si>
  <si>
    <t>2016/1119</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</si>
  <si>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</si>
  <si>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2016/1137</t>
  </si>
  <si>
    <t>Change of use of Unit C Molasses House from restaurant (Class Use A3) to business (Class Use B1)</t>
  </si>
  <si>
    <t>2016/1170</t>
  </si>
  <si>
    <t>Excavation to enlarge basement including formation of front and rear lightwells; erection of single-storey rear extension in connection with change of use of basement and ground floors from retail (Class A1) to 1 x 1-bedroom and 1 x 2-bedroom flats (Class C3).</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</si>
  <si>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</si>
  <si>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2016/2116</t>
  </si>
  <si>
    <t>Change of use to upper and lower ground floor shop (Class A1)  to include both Class A1 (retail) and Class A2 (financial and professional services) uses.</t>
  </si>
  <si>
    <t>2016/2162</t>
  </si>
  <si>
    <t>Erection of single-storey rear/side extension.</t>
  </si>
  <si>
    <t>2016/2174</t>
  </si>
  <si>
    <t>Change of use from office (Use Class B1) to children's activity club (Use Class D1).</t>
  </si>
  <si>
    <t>2016/2182</t>
  </si>
  <si>
    <t>Change of use of offices on part of ground, mezzanine and first floor and all other upper levels (2-4) from (Class B1a) to residential (Class C3) to provide 61 residential units.</t>
  </si>
  <si>
    <t>2016/4163</t>
  </si>
  <si>
    <t>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t>
  </si>
  <si>
    <t>2016/4977</t>
  </si>
  <si>
    <t>2016/5007</t>
  </si>
  <si>
    <t>Demolition of existing garage and erection of a single-storey (plus basement) 1-bedroom house. Replacement of existing boundary wall fronting Ritherdon Road.</t>
  </si>
  <si>
    <t>2016/5029</t>
  </si>
  <si>
    <t>Change of use and alterations in connection with conversion of railway arches (Sui Generis) to office (Class B1).  Installation of new shopfronts and alterations including parking  provisions.</t>
  </si>
  <si>
    <t>2016/5073</t>
  </si>
  <si>
    <t>Erection of part single, part two-storey 2-bedroom detached house, including new boundary treatment, vegetation removal, landscaping and bike and bin stores, with access from Morris Gardens.</t>
  </si>
  <si>
    <t>Demolition of existing single-storey garages and erection of a three-storey building to provide 5 flats, with associated amenity space including balconies and roof terraces, with cycle store to rear and relocation of entrance to existing allotments at rear.</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</si>
  <si>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</si>
  <si>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Erection rear extension at lower ground, ground, first and second floor levels with roof terraces at first and third floor levels to provide office space at lower ground and ground floor levels and change of use of upper floors from offices to 3 x 1 bedroom flats and a studio flat.</t>
  </si>
  <si>
    <t>Erection of rear extension at first, second and third floor levels together with alterations including formation of new roofs, first floor acoustic enclosure at rear, roof terraces and formation of refuse store at rear in connection with conversion of upper floors into 12 flats. (renewal of planning permission dated 23.07.2010 ref. 2010/2523)</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</si>
  <si>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</si>
  <si>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Demolition of the existing southern end entrance structure and construction of two single-storey buildings and a new terrace/courtyard area to house a multi-purpose meeting room, kitchen, WCs and offices for the South London Swimming Club. The proposal would also include extensions to the existing changing cubicles along the side of the pool, extension of the existing west side seating terrace 1.5m into the existing built up mound; the installation of new public cycle stands by the existing north entrance and the exchange of common land into the lido site to the north of the site and the exchange of lido land into common land to the south of the site.</t>
  </si>
  <si>
    <t>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t>
  </si>
  <si>
    <t>Construction of part single-storey and part two-storey rear extension, with roof terrace to the rear at first floor level, and erection of full mansard roof extension in connection with the enlargement of the existing 2 bedroom flat (C3 use class) at first and second floor levels and creation of an additional (B1 use class) unit at ground floor level.</t>
  </si>
  <si>
    <t>Construction of a single-storey rear extension to be used as a function room; rear roof terraces at upper ground floor and first floor level; installation of new door and windows to side and rear elevations; new shop front and changes to the internal layout.</t>
  </si>
  <si>
    <t>2013/2786</t>
  </si>
  <si>
    <t>Change of use from B1 (Business) to C3 (Residential) / A1 (Shop). The change of use application would provide for a two-bedroom flat at first floor level and a shop at part of ground floor, with first floor extension &amp; installation of a new shopfront.</t>
  </si>
  <si>
    <t>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t>
  </si>
  <si>
    <t>Construction of extensions at ground, first and new second floor level and alterations to the site and creation of a mixed-use quarter comprising of: a new semi-public open space for external markets and occasional events; 8no. new starter shop units (Class A1) + restaurant/cafe (Class A3) units; and 9no. flats (Class C3) with a mix of 1-bed, 2-bed and 3-bed units at first and second floor levels.  New access gates, cycle and refuse storage.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</si>
  <si>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</si>
  <si>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Construction of a single-storey front extension to create a new entrance fronting Grant Road and double height and two-storey side and rear extensions to extend the existing sanctuary hall and to provide a new fully glazed multi-purpose meeting hall and ancillary residential accommodation with onsite parking.</t>
  </si>
  <si>
    <t>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t>
  </si>
  <si>
    <t>Minor material amendments to planning permission ref. 2013/2262 (dated 09/08/13) for retention of main facades with demolition of remainder of existing building; erection of four-storey building to provide 9 residential units incorporating roof terraces and cycle storage, with associated alterations to windows/doors within retained facades to enable the developmenet to be carried out other than in accordance with the approved plans. The amendments sought include alterations to the internal layouts resulting in provision of 8 x two-bedroom apartments and one studio unit, and alterations to the existing ground floor window to the north elevation to form doors to allow access to outdoor amenity space.</t>
  </si>
  <si>
    <t>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t>
  </si>
  <si>
    <t>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t>
  </si>
  <si>
    <t>Demolition of two-storey existing teaching block at front of school; erection of two-storey extension at the front of the school (comprising of a new hall and three classrooms); alterations and extension to School Keepers House; internal refurbishments to existing building; installation of replacement front boundary and entrance with associated landscaping.</t>
  </si>
  <si>
    <t>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t>
  </si>
  <si>
    <t>Part change of use of A2 Use Class commercial unit to C3 Use Class to form 1 x one-bedroom self contained flat. Including the demolition of a single-storey extension to the rear and the erection of a single-storey extension to rear together with other alterations.</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</si>
  <si>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</si>
  <si>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the changing of Development Zones O1 &amp; RS4 from outline to detailed elements of the outline planning permission; the submission of detailed designs for O1 &amp; RS4, Town Square, High Street and Prospect; deletion of parameter plans, Architectural Code and Placemaking Code for O1 &amp; RS4; changes to the massing, height, disposition, land use and residential mix of O1 &amp; RS4; provision of additional retail car parking through creation of two additional levels of basement parking beneath O1 &amp; RS4; relocating gym from the first floor of the Power Station to lower ground floor in RS4; introducing an element of affordable housing into O1; relocation of D1 community facility to the Prospect; deletion of student housing from the proposed land uses, and other consequential changes). (The application is accompanied by an Addendum to the Environmental Statement). - REVISED PROPOSAL: SEE COVERING LETTER DATED 28 JULY 2014</t>
  </si>
  <si>
    <t>2014/3529</t>
  </si>
  <si>
    <t>Alterations including the erection of single-storey rear/side extension.</t>
  </si>
  <si>
    <t>Alterations involving change of use of ground floor restaurant (A3) to part shop/commerical floorspace (A1/A2) and involving extensions to form two dwellings; demolition of rear single-storey additions and erection of part single, part two-storey rear extension; new shopfront and new window to front and rear.</t>
  </si>
  <si>
    <t>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</si>
  <si>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</si>
  <si>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Demolition of existing building and erection of a five storey building plus basement to provide 25 residential units (4 x one bedroom, 20 x two bedroom, 1 x three bedroom) and two commercial units (Class A1/A2, 470sqm of floorspace) together with cycle storage and refuse stores.</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</si>
  <si>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</si>
  <si>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Demolition of existing buildings and construction of a new development consisting of a four-storey block to provide 8no. flats, and 7no. two-storey (plus roof space) family houses, all for affordable rent.  Associated landscaping, car parking, bicycle and refuse storage.</t>
  </si>
  <si>
    <t>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t>
  </si>
  <si>
    <t>Alterations including erection of external metal staircase on the west side of the building (towards its southern end) extending from ground floor level up to third floor level and insertion of access doors at all levels. Works in connection with proposed change of use from storage use (class B8)  to recording studio and editing suites (Sui Generis use class).</t>
  </si>
  <si>
    <t>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
Applications for listed building consent for the elements of the works concerning Queenstown Road station (ref.2014/4687), and Battersea Park Railway Bridge (ref. 2014/4688) are submitted concurrently.</t>
  </si>
  <si>
    <t>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t>
  </si>
  <si>
    <t>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t>
  </si>
  <si>
    <t>2014/6050</t>
  </si>
  <si>
    <t>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t>
  </si>
  <si>
    <t>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t>
  </si>
  <si>
    <t>2014/6454</t>
  </si>
  <si>
    <t>Demolition of existing single storey dining and teaching building (at the northern part of the site) and the replacement with a dining/kitchen, teaching and nursery building (with basement level).</t>
  </si>
  <si>
    <t>Change of use of existing warehouse (Use Class B8) including partial demolition of existing structure and replacement of existing flat roof with a multi pitched roof to create a 1 bedroom dwelling (Use Class C3) with associated excavation and external changes.</t>
  </si>
  <si>
    <t>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t>
  </si>
  <si>
    <t>2014/6859</t>
  </si>
  <si>
    <t>Erection of single-storey side extension to restaurant.</t>
  </si>
  <si>
    <t>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t>
  </si>
  <si>
    <t>Conversion to provide 3 x residential units. Erection of basement extension with rear lightwell, ground floor rear extension and first floor rear extension to include staircase and roof terrace, and creation of second floor roof terrace. Erection of rear roof extension.</t>
  </si>
  <si>
    <t>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t>
  </si>
  <si>
    <t>Change of use of no.19 Cabul Road from offices (Use Class B1) to provide 2 x 2 bed flats (Use Class C3), with basement excavation, ground floor side/rear extension and roof extension to main rear roof slope and over part of rear addition.  _x000D_
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
Demolition of nos. 31 to 37 Cabul Road and erection of 4x family dwellinghouses with lower ground floor excavations.</t>
  </si>
  <si>
    <t>2014/7326</t>
  </si>
  <si>
    <t>Erection of roof extension to workshop to create first floor.</t>
  </si>
  <si>
    <t>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t>
  </si>
  <si>
    <t>Alterations and extensions to the existing building including erection of part single, part two storey roof extension; erection of ground, first and second floor extensions into part of the internal courtyard area; removal of part of the façade facing Wandsworth Park; creation of portal gateway entrance off Deodar Road and other reconfiguration works. Proposed alterations and extensions in connection with provision of a total of 2,225 sq.m.  commercial floorspace at basement and ground floor levels, and 53 residential units (all private tenure) on the first to fourth floors, (10 x one-bedroom, 40 x two-bedroom and 3 x three-bedroom), with balconies, terraces and winter gardens,  with 10 basement car parking spaces accessed via car lift, and associated cycle parking provision and landscaping works.</t>
  </si>
  <si>
    <t>Alterations and erection of three-storey (first to third floors) rear extension in connection with conversion of upper floors into 3 x 1 bedroom self contained flats with communal first floor rear terrace. Erection of three-storey house at rear with first floor rear terrace and second floor rear balcony.</t>
  </si>
  <si>
    <t>Alterations and extensions to provide 4 self-contained units, including part single / part two-storey rear extension; mansard roof extension above part of back addition and to main rear roof. Refurbishment and alterations to existing shop (Class A1) to provide a commercial unit (shop/Class A1 or financial and professional services/Class A2) on the ground and basement levels.</t>
  </si>
  <si>
    <t>Erection of a two-storey extension above the front part of the building facing Howie Street and the erection of a part-four and part-eight storey extension to the central and northern part of the building to provide additional office (Use Class B1a) and ancillary floorspace.</t>
  </si>
  <si>
    <t>Part demolition of existing building and erection of a 4-storey building accommodating retail (A1 use class) at ground floor and basement level, and 5 self-contained residential units (C3 use class) (3 x 1 bed, 2 x 2 bed) above, together with associated alterations.</t>
  </si>
  <si>
    <t>Demolition of existing building and erection of two-storey building to provide approximately 4816.sqm of Class B8 (storage and distribution) use and associated office space, creation of new vehicle access from Kimber Road, creation of 8 on-site car parking spaces, vehicle loading bay and turning circle accessed from Kimber Road.</t>
  </si>
  <si>
    <t>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t>
  </si>
  <si>
    <t>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t>
  </si>
  <si>
    <t>Extension of the ground floor area for retail use. Extension of existing residential block of 4 dwelling units at the front of the site to create additional storey (for 1 x 3-bedroom flat), with alterations to frontage and replacement shopfront.  Construction of 4 x 2-bedroom flats to the rear of the site in a two storey extension set above the extended ground floor retail unit, with associated roof terraces/balconies, communal courtyard, cycle storage and refuse storage.</t>
  </si>
  <si>
    <t>Demolition of rear workshop. Alterations including erection of rear two-storey extension, internal layout change to incorporate two additional dwellings, conversion of two small shops into one shop and formation of a roof terrace above no. 116. Creation of new shared entrance within the shop front to proposed flats.</t>
  </si>
  <si>
    <t>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t>
  </si>
  <si>
    <t>Infill existing ground floor open under croft area at northern end of building with timber cladding, aluminium and glazed elevations and erection of single-storey rear extension. Use of the enclosed area as office and drop in centre (Class B1). Application for a Temporary Permission.</t>
  </si>
  <si>
    <t>Demolition of existing building and redevelopment of the site by the erection of two buildings of two to four-storeys high to provide 16 residential units fronting either Putney Bridge Road or Fawe Park Road, including balconies/terraces and with associated cycle parking provision.</t>
  </si>
  <si>
    <t>Demolition of the existing building (Class B1 Use) and redevelopment of the site to provide a 4 -7 storey care facility (Class C2 Use) comprising 102 units, together with ancillary retail, cafe, day centre and accessible swimming pool; access, parking and associated landscaping.</t>
  </si>
  <si>
    <t>Conversion of the rear part of ground floor retail unit and upper floor flat into 1x1bedroom and 1x2-bedroom self contained flats. Alterations to front dormer and enlargement of rear dormer including erection of two-storey side extension; insertion of additional windows, french doors safety railings to rear and side elevation, including new entrance door fronting onto Glendarvon Street. Formation of roof terrace at second floor level with screening.</t>
  </si>
  <si>
    <t>Demolition of the existing building and the erection of a new two to five-storey building with basement, comprising 913.6sqm of retail space (Class A1) at basement and ground floor, and 15 flats (1 x 3-bedroom and 14 x 2-bedroom), with balconies and a roof terrace above.</t>
  </si>
  <si>
    <t>Change of use of the upper floors and rear yard area from public house (Use Class A4) to six residential units (Use Class C3).  Erection of additional storey and formation of roof terrace with balustrade to rear.  Erection part-four storey part-two storey extension to rear and side addition, including formation of roof terraces on 1st and 2nd floors with safety balustrade. Alterations to lower ground level including cycle storage and refuse storage.</t>
  </si>
  <si>
    <t>Erection of two-storey rear extension (at first and second floor levels) with roof extension above in association with the creation of 6 no. residential units. Erection of ground floor rear extension to retail unit, basement alterations, and replacement external stair to rear.  Erection of detached cycle and refuse store to the rear of the site.</t>
  </si>
  <si>
    <t>2015/2761</t>
  </si>
  <si>
    <t>Alterations to ground floor frontage along Dinsmore Road, and basement extension.</t>
  </si>
  <si>
    <t>Erection of mansard roof extension to main front roof and external alterations to front elevation; erection of two-storey rear extension (with french doors and safety railings at second floor); formation of roof terrace at rear first floor level in conjunction with the conversion of the upper floors into two self-contained flats (2 x 2 bedroom units).</t>
  </si>
  <si>
    <t>2015/2905</t>
  </si>
  <si>
    <t>Erection of first floor extension above the existing single storey storage building (with access from Caistor Mews).</t>
  </si>
  <si>
    <t>Demolition of garages and excavation in connection with erection of two storey dwelling (basement and ground floors). (Reduced lower ground footprint).</t>
  </si>
  <si>
    <t>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t>
  </si>
  <si>
    <t>Alterations including removal of rear external staircases, flues and soil vent pipes; erection of three-storey rear extension at second floor level; erection of single-storey rear extension at forth-floor level; installation of lantern style roof light at second floor level to the rear; installation of new and replacement windows and doors to side and rear elevations; installation of metal security gate to undercroft fronting Putney High Street; installation of replacement shopfront and installation of lanterns to front elevation; internal alterations; restoration works and other alterations in connection with the use as a public house with 16 hotel guest bedrooms. Three-storey extension to the detached building at the rear of the site.</t>
  </si>
  <si>
    <t>Demolition of existing buildings to rear of site (Use Class B1) and erection of part 2/3-storey buildings to provide 7 residential units (Use Class C3) formed of 1x studio unit, 3x 1-bedroom units and 3x 2-bedroom units with associated balconies and roof terraces.  Retention of and alterations to front building to provide 1x 3-bedroom unit with associated cycle and refuse storage and landscaping.</t>
  </si>
  <si>
    <t>Demolition of existing part one, part two-storey commercial unit (Use Class B1) and erection of replacement part one, part two-storey plus basement commercial unit (Use Class B1) and associated works.</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</si>
  <si>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</si>
  <si>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Change of use from restaurant (Class A3) to residential (Class C3) with alterations to provide two additional self contained flats. Alterations include; modifications to ground floor front elevation; erection of mansard roof extension to main rear roof including raising the ridge by 300mm (with French doors) and above part of two-storey back addition; formation of roof terrace above two-storey back addition with 1.7m screen adjacent to 177 Replingham Road; erection of single-storey rear/side extension including alterations to the rear to include 1.8m high rear boundary fence.</t>
  </si>
  <si>
    <t>Alterations including erection of 3-storey rear extension and formation of roof terraces with 1.7m safety balustrade at first and second floor levels; creation of new entrances to flats along side elevation in connection with use of upper floors into 3 x 1 bedroom flats.</t>
  </si>
  <si>
    <t>2015/4784</t>
  </si>
  <si>
    <t>Construction of a new Bulk Waste Transfer Station to handle up to 25,000 tonnes of recyclable materials on the southern part of the Feathers Wharf site, including the construction of a new waste transfer building, for use in conjunction with the existing adjacent Smugglers Way waste facility, for an 8 year temporary period. Use of the northern part of the site for the storage of construction plant for a temporary 5 year period. Refurbishment of existing elevated section of riverside walkway on the north side of existing waste transfer station, including encasing it with mesh security fencing and a roof, and the construction of an extension to the riverside walkway along the northern and western sides of Feathers Wharf.</t>
  </si>
  <si>
    <t>2015/4804</t>
  </si>
  <si>
    <t>Erection of a single-storey extension fronting Cortis road.</t>
  </si>
  <si>
    <t>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t>
  </si>
  <si>
    <t>Excavation to enlarge existing basement including formation of front and rear lightwells to provide two 1-bedroom flats; demolition of existing side garage and erection of single storey side extension to provide 1 additional bedroom in ground floor flat. (Revisions to planning permission ref 2014/5704 dated 18/12/14 to include increased basement floorspace and provision of two flats instead of one).</t>
  </si>
  <si>
    <t>2015/5072</t>
  </si>
  <si>
    <t>Erection of two-storey 2-bedroom dwelling at basement and ground floor levels (accessed from passage between 11 and 13 Stanmer Street and entrance gate) with lightwell to Stanmer Street.</t>
  </si>
  <si>
    <t>Demolition of existing building and redevelopment to provide a mixed use development comprising units in flexible (Class A1 or A2 or A3 or A4) shop/financial and professional services/cafe/restaurant/drinking establishment use and (Class C3) residential use (39 flats) within a new six storey building, with 11 car parking spaces, 53 cycle parking spaces and associated works.</t>
  </si>
  <si>
    <t>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t>
  </si>
  <si>
    <t>Change of use of ground floor mini-cab office (sui generis use) to form a ground floor flat (Use Class C3) with erection of part single- part two-storey side/rear extension including formation of roof terrace at first floor level. Alterations including erection of dormer roof extension to main rear roof.</t>
  </si>
  <si>
    <t>Demolition of the main school building, sixth form common room, and two demountable classrooms. Erection of two school buildings comprising a 3-storey 'L' shaped building fronting Hearnville Road and Chestnut Grove, and a part 2-part 3-storey rectangular building parallel to the railway line. Erection of substation to the east of the Victorian Building on Hearnville Road, and erection of kiln and store as an extension to the Art Block. Relocation of temporary buildings and containers. Provision of a central landscaped area and replacement sports pitches. Alterations to the access arrangements. Reconfiguration of the existing car park, and provision of cycle storage.</t>
  </si>
  <si>
    <t>Alterations to retained public house including the erection of roof extension over to provide 1 x 1-bedroom, 2 x 2-bedroom and 1 x 3-bedroom residential units with roof terraces. Erection of two-storey 2-bedroom house with roof terrace to the west of the public house. Erection of three-storey (plus basement) building to the north of the public house to provide 4 x 2-bedroom flats accessed via a glazed bridge link.  Associated landscaping to include bicycle and waste storage and communal garden</t>
  </si>
  <si>
    <t>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t>
  </si>
  <si>
    <t>Alterations including erection of roof extensions to main rear/side roof with a terrace at second floor rear level; erection of a two storey rear/side extension with french doors and balustrade at first floor rear level and infilling gated entrance at street level all in connection with the conversion of the property to form 1 no. maisonette and 2 no. flats (2 x 1 bedroom units) and retaining a smaller office on ground floor level</t>
  </si>
  <si>
    <t>2015/5850</t>
  </si>
  <si>
    <t>Alterations and extensions in connection with the conversion of upper floors into 2 flats; change of use to convert existing rear ground floor office unit (B1) to residential (C3) to allow 1 flat. Extensions and alterations to include: front and rear mansard roof extensions to main roof (with french doors and safety railings); erection of replacement two-storey back addition linked to two-storey rear extension (basement and ground floor against rear boundary). Installation of new shopfront.</t>
  </si>
  <si>
    <t>Change of use of accommodation from retail (Class Use A1) to residential (Class Use C3), incorporating amended rear roof extension and extension above two-storey back addition and creation of roof terrace, enlargement of single-storey rear infill extension and basement, and creation of lightwell at front with railings surround. Removal of shed in rear garden and alterations to side boundary wall, removal of shopfront to create two self-contained residential flats.</t>
  </si>
  <si>
    <t>2015/5954</t>
  </si>
  <si>
    <t>Erection of single-storey rear/side extension, external alterations, excavation to enlarge basement including formation of front lightwell (with railings surround), replacement windows and insertion of rooflights in connection with the conversion of existing nine bedroom (House of Multiple Occupation - Use Class sui generis) to a six bedroom family dwelling house (Use Class C3). Formation of hard landscaping to front garden and vehicle crossover in connection with the provision of one car parking space.</t>
  </si>
  <si>
    <t>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t>
  </si>
  <si>
    <t>Demolition of the existing waste transfer station and associated structures; retention of the existing dock and the redevelopment of the site to provide a new enclosed waste transfer station and associated facilities (Use Class sui generis), with new buildings above the waste transfer station containing residential and ancillary residential facilities (Use Class C3); provision of areas of hard and soft landscaping and a new riverfront path; works to provide vehicular accesses on Cringle Street; provision of basement car parking, related works to integrate the development with the adjoining Battersea Power Station masterplan development and other associated works. (Application for outline planning permission with detailed elements provided in relation to the new waste transfer station). An Environmental Statement has been submitted with the application under the Town and Country Planning (Environmental Impact Assessment) (Amendment) Regulations 2015.</t>
  </si>
  <si>
    <t>Demolition and/or relocation of all buildings and structures on site and the construction of a temporary waste transfer station comprising: a single-storey (double-height) structure to accommodate the waste unloading and compaction facilities; an office building; the provision of a riverside crane; construction of an associated campshed within the River Thames; provision of hard standing areas for waste handling and container storage; provision of new boundary treatments; the creation of vehicular access from Cringle Street and other associated works in connection with the use of the site for a waste transfer station during the associated redevelopment of the Cringle Dock waste transfer station; and the subsequent demolition of the temporary waste transfer station and all associated works. (An Environmental Statement has been submitted with the application under the Town and Country Planning (Environmental Impact Assessment) (Amendment) Regulations 2015).</t>
  </si>
  <si>
    <t>2015/6444</t>
  </si>
  <si>
    <t>Conversion of cafe (ground floor and basement) into a 3 x  bed Self Contained Flat</t>
  </si>
  <si>
    <t>Change of use from restaurant (Class A3) to mixed use restaurant (Class A3) and drinking establishment (Class A4). Proposed opening hours  8:00am to 00:00pm Mondays to Saturdays and 08:00am to 22:30pm on Sundays and Bank Holidays.</t>
  </si>
  <si>
    <t>Redevelopment of part of the site including the partial demolition of existing west wing of the administration block and hall to create 1263 sqm of additional floorspace, including the erection of a two-storey extension to the administration block,  a new multi-purpose hall with single-storey extension for replacement kitchen, replacement garage and bin store, new facade and internal alterations to retained office accommodation, new vehicular access off Melrose Road and use of 65 Melrose Road as ancillary residential accommodation together with landscape improvements including felling of 5 trees.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</si>
  <si>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</si>
  <si>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</si>
  <si>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2015/6923</t>
  </si>
  <si>
    <t>Excavation to create a basement underneath the existing building.</t>
  </si>
  <si>
    <t>Erection of a part single/part three-storey rear extension and rear roof extensions to provide additional accommodation for existing flats at no.9 and no.11 including conversion of the upper floors of no. 11 to provide (2 x 2-bedroom and 2 x1-bedroom units).</t>
  </si>
  <si>
    <t>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t>
  </si>
  <si>
    <t>Retention and conversion of main Audiology House building, and demolition and redevelopment of the side and rear extensions and factory building to rear, to create 16. residential units (consisting of 13 flats and 3 dwellinghouses; provision of associated car parking  (to provide 7 spaces) and cycle parking, private and communal amenity space, hard and soft landscaping and other associated works</t>
  </si>
  <si>
    <t>Part demolition and conversion of dance academy (Use Class D1) to residential (Use Class C3), erection of single-storey roof extension and erection of five-storey extension (to provide 34 residential units); erection of 5 x four-storey townhouses; associated landscaping and car parking.</t>
  </si>
  <si>
    <t>2015/7533</t>
  </si>
  <si>
    <t>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t>
  </si>
  <si>
    <t>Partial demolition of club house in connection with the part change of use of the building from D2 (assembly and leisure) to C3 (residential) with the erection of 2x3 storey 4 bedroom semi-detached dwellinghouses including creation of 4 x car parking spaces in roadway.</t>
  </si>
  <si>
    <t>Change of use of ground and basement levels from retail (Class A1) to restaurant and cafe (Class A3). Erection of a single-storey plant unit located on the flat roof to rear of the building to house two air conditioning units. Installation of new shop front.</t>
  </si>
  <si>
    <t>2016/0501</t>
  </si>
  <si>
    <t>Provision of enclosed floodlit football pitches and a single storey building for changing rooms and cycle parking to the southern part of Falcon Park.  Associated landscaping improvements include the provision pedestrian open space and playground to the former car park to the northern end of the site.</t>
  </si>
  <si>
    <t>2016/0647</t>
  </si>
  <si>
    <t>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</si>
  <si>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</si>
  <si>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2016/0742</t>
  </si>
  <si>
    <t>Erection of single-storey rear extension.</t>
  </si>
  <si>
    <t>2016/0857</t>
  </si>
  <si>
    <t>Alterations in connection with the conversion of tenants stores into 1 x two-bedroom flat (Class C3). Installation of five windows and re-landscaping to provide additional four car parking space.</t>
  </si>
  <si>
    <t>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t>
  </si>
  <si>
    <t>2016/0923</t>
  </si>
  <si>
    <t>Erection of single-storey rear extensions to units 5 and 6.</t>
  </si>
  <si>
    <t>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t>
  </si>
  <si>
    <t>2016/1193</t>
  </si>
  <si>
    <t>Change of use of part of the ground floor from retail (Class A1) to residential (Class C3) to provide a self-contained studio flat including erection of single-storey side/rear extension.  Erection of front and rear roof extension to provide an additional floor of accommodation to provide a self-contained studio flat.</t>
  </si>
  <si>
    <t>2016/1252</t>
  </si>
  <si>
    <t>Erection of single-storey rear extension at first floor level in connection with change of use of rear basement and ground floors from retail (Use Class A1) to 1 x 1-bedroom residential unit (Use Class C3) accessed from Abberley Mews.</t>
  </si>
  <si>
    <t>2016/1268</t>
  </si>
  <si>
    <t>Change of use from shops (Class A1) to restaurant (Class A3) and installation of extract flue to rear.</t>
  </si>
  <si>
    <t>2016/1443</t>
  </si>
  <si>
    <t>Retrospective change of use of ground floor cab office (Sui Generis) to allow additional coffee shop/cafe use (Use Class A3).</t>
  </si>
  <si>
    <t>2016/1517</t>
  </si>
  <si>
    <t>2016/1558</t>
  </si>
  <si>
    <t>Erection of single storey church hall building.</t>
  </si>
  <si>
    <t>2016/1698</t>
  </si>
  <si>
    <t>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t>
  </si>
  <si>
    <t>2016/1705</t>
  </si>
  <si>
    <t>Alterations including erection of roof extension to main rear roof and above two-storey back addition; erection of first floor rear extension to main building; erection of part single, part two-storey rear/side extension to rear garage building connecting it to the main building; creation of first floor roof terrace enclosed by railings. Works in connection with proposed use of upper floors of main building as 2 flats ( 1x2 and 1x1 bedroom) accessed from Merton Road, and use of rear part as 1x1 bedroom maisonette accessed from Coliston Passage. Provision of associated cycle and refuse storage at front and rear.</t>
  </si>
  <si>
    <t>2016/1735</t>
  </si>
  <si>
    <t>Determination as to whether prior approval is required for change of use of lower ground and ground floors from retail (Class A1) to 1x2 bedroom unit (Class C3) with associated external alterations to front and rear.</t>
  </si>
  <si>
    <t>2016/1793</t>
  </si>
  <si>
    <t>Erection of single-storey rear extension and rear external side staircase to provide access to a proposed first floor level self contained office and existing residential units.</t>
  </si>
  <si>
    <t>2016/1804</t>
  </si>
  <si>
    <t>Erection of single-storey side and rear extension in connection with the change of use of the shop (A1) to part professional and financial services (A2) at the front, and part self contained one bedroom flat (C3) at the rear. Other alterations to include insertion of windows in side and rear elevation and alterations to include installation of replacement shopfront.</t>
  </si>
  <si>
    <t>2016/1844</t>
  </si>
  <si>
    <t>2016/1853</t>
  </si>
  <si>
    <t>Determination as to whether prior approval is required for change of use from office (Class B1a) to one residential unit (Class C3) at ground, first and second floor levels.</t>
  </si>
  <si>
    <t>2016/1889</t>
  </si>
  <si>
    <t>2016/1892</t>
  </si>
  <si>
    <t>Change of use to a mini cab office (Sui Generis)</t>
  </si>
  <si>
    <t>2016/1961</t>
  </si>
  <si>
    <t>A temporary modular building for Quest Employment Support Team which will be used to assist young adults into work. The structure is proposed to be sited in the corner of the disused car park at the back of Weekley Square by the Grant Road bicycle stand and will be accessible via Grant Road. Signage will be applied to the side of the structure.</t>
  </si>
  <si>
    <t>Change of use from (Class Use  A1) travel agency to (Class Use A1) sandwich bar/delicatessan/food shop.</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</si>
  <si>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</si>
  <si>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Erection of four-storey building to align with Nos. 94-100 Balham High Road and erection of a two storey extension to existing building to create a 24 room hotel (Class C1) with a mixed café use (Class A3) at ground floor level, and associated cycle and refuse storage. The existing ground floor post office to be retained.</t>
  </si>
  <si>
    <t>2016/2261</t>
  </si>
  <si>
    <t>Determination as to whether prior approval is required for change of use from office (Class B1a) to 2 x 1-bedroom and 1 x 2-bedroom residential units (Class C3) at second floor level.</t>
  </si>
  <si>
    <t>2016/2265</t>
  </si>
  <si>
    <t>Determination as to whether prior approval is required for change of use from office (Class B1a) to 6 x 1-bedroom residential unit (Class C3) on first, second and third floors.</t>
  </si>
  <si>
    <t>2016/2294</t>
  </si>
  <si>
    <t>Alterations including erection of part single, part two-storey rear/side extension; erection of roof extension (including balcony with safety railings) above two-storey back addition in connection with use of property as 1 x 3 bedroom, 2 x 1 bedroom flats.</t>
  </si>
  <si>
    <t>2016/2315</t>
  </si>
  <si>
    <t>Variation of conditions 2 (approved plans), 3 (materials of the winter balconies), 4 (noise insulation), 5 (landscaping), 13 (no pipework to elevations), 15 (photovoltaic panels) and 17 (lighting strategy) pursuant to planning permission dated 28/10/14 ref. 2013/6052 (Erection of a 15-storey residential tower with roof garden and projecting winter gardens to provide 14 residential flats constructed over the existing five-storey mixed use office and residential Heliport House building (20 storeys high in total). Heliport House would be re-clad and extended to include a conference room 'pod' at third floor level with off street car parking at ground floor level.) so as to vary the triggers of the conditions to allow the commencement of development in the form of below ground works.  Amendments to the design of the approved scheme including: amendment to the application site boundary; alterations to the elevations and floorplans; extension to the basement; changes to car parking arrangement and amount.</t>
  </si>
  <si>
    <t>2016/2345</t>
  </si>
  <si>
    <t>Conversion of ground floor minicab (use class sui generis) and upper floor flat to a 5-bedroom dwellinghouse, and replacement of shopfront with windows and front door.</t>
  </si>
  <si>
    <t>2016/2392</t>
  </si>
  <si>
    <t>Determination as to whether prior approval is required for change of use from office (Class B1a) to 3 x 2-bedroom and 3 x 1-bedroom residential units (Class C3) at first, second and third floors.</t>
  </si>
  <si>
    <t>2016/2396</t>
  </si>
  <si>
    <t>Determination as to whether prior approval is required for change of use from office (Class B1a) to 1 x 2-bedroom and 3 x 1-bedroom residential units (Class C3) at third floor level.</t>
  </si>
  <si>
    <t>2016/2397</t>
  </si>
  <si>
    <t>Change of use from B1(office) to D1(non residential institution).</t>
  </si>
  <si>
    <t>2016/2424</t>
  </si>
  <si>
    <t>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
_x000D_
(The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t>
  </si>
  <si>
    <t>2016/2444</t>
  </si>
  <si>
    <t>Determination as to whether prior approval is required for change of use from office (Class B1a) to 2 x 2-bedroom residential units (Class C3) at first floor.</t>
  </si>
  <si>
    <t>2016/2445</t>
  </si>
  <si>
    <t>2016/2446</t>
  </si>
  <si>
    <t>2016/2466</t>
  </si>
  <si>
    <t>2016/2467</t>
  </si>
  <si>
    <t>Removal of portacabin-style shipping container. Erection of single-storey wooden outbuilding for use as a meeting room, classroom and craft store.</t>
  </si>
  <si>
    <t>2016/2586</t>
  </si>
  <si>
    <t>Demolition of 206 Mitcham Road, and construction of a four-storey building (plus basement level) to provide 1 x 3-bedroom, 2 x 1-bedroom and 4 x 2-bedroom flats with roof terraces and rear balconies, and basement office accommodation with front lightwell (Use Class B1a).  Construction of an additional storey of accommodation to  208 Mitcham Road (to provide 2 x 1-bedroom flats), extension and provision of roof terraces to 2no. existing flats at first and second floor.  Alterations to existing light industrial units (2A Stella Road - Use Class B1c) to provide office space (Class B1a).  Associated landscaping including ground floor communal garden, parking and refuse storage.</t>
  </si>
  <si>
    <t>2016/2601</t>
  </si>
  <si>
    <t>Alterations including change of use from restaurant (Class A3) at ground floor and ancillary accommodation at first and second floors above to part retail unit/office unit (Class A1 / A2) and part residential unit (Class C3) to the rear at ground floor level and seperate residential units above (forming 2 x 1 bedroom flats and 1 x 2 bedroom flat). Associated extensions including erection of rear roof extension to main rear roof (with French doors and safety railings); erection of single-storey rear/side extension and formation of roof terrace at rear first floor level. Installation of new shopfront.</t>
  </si>
  <si>
    <t>2016/2670</t>
  </si>
  <si>
    <t>2016/2748</t>
  </si>
  <si>
    <t>Determination as to whether prior approval is required for change of use of office at ground floor level from (Class B1a) to residential (Class C3) to provide 1 bedroom self-contained flat</t>
  </si>
  <si>
    <t>2016/2773</t>
  </si>
  <si>
    <t>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t>
  </si>
  <si>
    <t>2016/2786</t>
  </si>
  <si>
    <t>Proposed pavilion structure with raised garden above and storage for public furniture items to be used in Bourne Valley Wharf beneath.</t>
  </si>
  <si>
    <t>2016/2862</t>
  </si>
  <si>
    <t>Erection of single-storey side/rear extension.</t>
  </si>
  <si>
    <t>2016/2871</t>
  </si>
  <si>
    <t>Alterations including erection of single-storey side extension.</t>
  </si>
  <si>
    <t>2016/2881</t>
  </si>
  <si>
    <t>Change of use from retail (Class A1) to residential (Class C3) and erection of single-storey rear extension to create a 2-bedroom flat.</t>
  </si>
  <si>
    <t>Alterations including erection of an additional floor in conjunction with a change of use from storage and distribution (B8) to workshop (B1(c)) and office (B1(a)).</t>
  </si>
  <si>
    <t>2016/2902</t>
  </si>
  <si>
    <t>Change of use from office (Class B1) to financial and professional services (Class A2).</t>
  </si>
  <si>
    <t>2016/2903</t>
  </si>
  <si>
    <t>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t>
  </si>
  <si>
    <t>2016/2922</t>
  </si>
  <si>
    <t>Determination as to whether prior approval is required for change of use from office (Class B1a) to 3 x 1-bedroom flats and 3 studio flats (Class C3) at ground, first and roof levels.</t>
  </si>
  <si>
    <t>2016/2985</t>
  </si>
  <si>
    <t>Change of use from office (Class B1) to dental surgery (Class D1).</t>
  </si>
  <si>
    <t>2016/2986</t>
  </si>
  <si>
    <t>Demolition of existing building and erection of a new four-storey plus basement level building for use as either class B1 (office use) or class D1 (non residential institutions) at rear part of ground floor and lower ground floor, class A3 (cafe) including external seating area in front part ground floor, and 6 x 2-bed flats on the first to third floors, with associated terraces/balconies.</t>
  </si>
  <si>
    <t>2016/3001</t>
  </si>
  <si>
    <t>Erection of a two-storey ground and first floor rear extension to extend the shop and flat above, and relocate the external stairs at the rear.</t>
  </si>
  <si>
    <t>2016/3028</t>
  </si>
  <si>
    <t>Excavation to create basement to provide additional commercial space.</t>
  </si>
  <si>
    <t>2016/3045</t>
  </si>
  <si>
    <t>Alterations including erection of a single storey rear extension to provide an ancillary seating area for an existing cafe.</t>
  </si>
  <si>
    <t>2016/3055</t>
  </si>
  <si>
    <t>2016/3067</t>
  </si>
  <si>
    <t>Determination as to whether prior approval is required for change of use of part of the Shalom Bungalow from care home (Class C2) to registered nursery (Class D1).</t>
  </si>
  <si>
    <t>2016/3196</t>
  </si>
  <si>
    <t>Change of use of basement and part ground floor from Opticians (Class Use D1) to Retail (Class Use A1) and to convert part ground floor to C3 (residential) to enlarge existing studio flat to create 1 x 1-bedroom residential unit (Class Use C3). Relocation of existing side door at ground floor level.</t>
  </si>
  <si>
    <t>2016/3205</t>
  </si>
  <si>
    <t>Demolition of four storey office building (Class B1a) fronting Garratt Lane and the erection of a part four, part five-storey front extension to provide storage floorspace (class B8); alterations to facade of retained building and reconfiguration of parking and associated landscaping.</t>
  </si>
  <si>
    <t>2016/3220</t>
  </si>
  <si>
    <t>Change of use from cafe (Class A3)  to Tattoo Parlour (Sui-Generis).</t>
  </si>
  <si>
    <t>2016/3244</t>
  </si>
  <si>
    <t>Change of use of retail units (Class Use A1) to drug and alcohol rehabilitation unit (Class Use D1); Alterations including replacement of shopfronts, external lighting and air conditioning units.</t>
  </si>
  <si>
    <t>2016/3275</t>
  </si>
  <si>
    <t>Conversion of ground floor from the approved Class B1 use (artists studios) to 2 x 1-bedroom flats.</t>
  </si>
  <si>
    <t>2016/3337</t>
  </si>
  <si>
    <t>Determination as to whether prior approval is required for change of use from financial and professional services (Class A2) to residential (Class C3) to provide 1x studio flat at basement level.</t>
  </si>
  <si>
    <t>2016/3340</t>
  </si>
  <si>
    <t>Erection of 1 x 5-bedroom single storey house (plus basement level and lightwells), with vehicle access and front boundary treatment, garden room/cycle store.</t>
  </si>
  <si>
    <t>2016/3344</t>
  </si>
  <si>
    <t>Determination as to whether prior approval is required for change of use of office from (Class B1a) to residential (Class C3) to provide 1 x 2-bedroom flats.</t>
  </si>
  <si>
    <t>2016/3363</t>
  </si>
  <si>
    <t>Determination as to whether prior approval is required for change of use of office (Class B1a) to residential (Class C3) to provide 9 x 1 bedroom and 4 x 2-bedroom flats at ground, first, second and third floor levels.</t>
  </si>
  <si>
    <t>2016/3364</t>
  </si>
  <si>
    <t>Determination as to whether prior approval is required for change of use from office (Class B1a) to 3 x 1-bedroom residential units (Class C3) at ground floor level.</t>
  </si>
  <si>
    <t>2016/3365</t>
  </si>
  <si>
    <t>Determination as to whether prior approval is required for change of use from office (Class B1a) to 1 x 2-bedroom and 2 x 1-bedroom flats (Class C3) on ground floor level.</t>
  </si>
  <si>
    <t>2016/3439</t>
  </si>
  <si>
    <t>Determination as to whether prior approval is required for change of use of office at lower ground and ground floors (Class Use B1a) to 1x1 bedroom residential unit (Class Use C3).</t>
  </si>
  <si>
    <t>2016/3441</t>
  </si>
  <si>
    <t>Determination as to whether prior approval is required for change of use from office (Class B1a) to 4 x 2-bedroom residential units (Class C3) at second and third floors.</t>
  </si>
  <si>
    <t>2016/3444</t>
  </si>
  <si>
    <t>Determination as to whether prior approval is required for change of use of office at ground floor level (class B1a) to residential (Class C3) to provide  1 x 2-bedroom residential flat.</t>
  </si>
  <si>
    <t>2016/3445</t>
  </si>
  <si>
    <t>Determination as to whether prior approval is required for change of use of office at ground floor level (Class B1a) to residential (Class C3)  to provide 2 x 2-bedroom and 1 x 1-bedroom residential flats.</t>
  </si>
  <si>
    <t>2016/3447</t>
  </si>
  <si>
    <t>Determination as to whether prior approval is required for change of use of office at first floor level (Class B1a) to 3 x 2-bedroom residential and 1 x 1-bedroom residential  units (Class C3).</t>
  </si>
  <si>
    <t>2016/3450</t>
  </si>
  <si>
    <t>Determination as to whether prior approval is required for change of use of office at ground floor level (Class B1a) to residential (Class C3) to provide 1 x 1-bedroom residential flat at ground floor level.</t>
  </si>
  <si>
    <t>2016/3451</t>
  </si>
  <si>
    <t>Determination as to whether prior approval is required for change of use of office at ground floor level  (Class B1a) to residential (Class C3) to provide 4 x 1-bedroom residential flats.</t>
  </si>
  <si>
    <t>2016/3452</t>
  </si>
  <si>
    <t>Determination as to whether prior approval is required for change of use from office (Class B1a) to 4 x 1-bedroom residential units (Class C3) at ground level</t>
  </si>
  <si>
    <t>2016/3494</t>
  </si>
  <si>
    <t>Erection of single-storey side extension in connection with conversion of garage into 1 x studio flat, alterations to front boundary and provision of cycle and bin store in front garden.</t>
  </si>
  <si>
    <t>2016/3541</t>
  </si>
  <si>
    <t>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t>
  </si>
  <si>
    <t>2016/3548</t>
  </si>
  <si>
    <t>Erection of single and two-storey extensions to east, south and west elevations of pool building; erection of single-storey storage building to the north of pool building and health club, installation of replacement outdoor pool and associated landscaping and engineering works.</t>
  </si>
  <si>
    <t>2016/3569</t>
  </si>
  <si>
    <t>2016/3628</t>
  </si>
  <si>
    <t>Demolition of existing building and erection of a three-storey building to provide church hall (Class D1) on the ground floor and 2 x 2-bedroom ancillary residential flats above including projecting balconies at rear of first and second floors.</t>
  </si>
  <si>
    <t>Determination as to whether prior approval is required for change of use from retail (Class A1) to a restaurant (Class A3).</t>
  </si>
  <si>
    <t>2016/3656</t>
  </si>
  <si>
    <t>Demolition of existing garage and erection of a two-storey building to provide 1 x 2-bedroom flat and bin store.</t>
  </si>
  <si>
    <t>2016/3682</t>
  </si>
  <si>
    <t>Determination as to whether prior approval is required for change of use of rear part of ground floor from shop (Class A1) to a cafe/restaurant (Class A3) and addition of flue to rear.</t>
  </si>
  <si>
    <t>2016/3707</t>
  </si>
  <si>
    <t>Determination as to whether prior approval is required for change of use from office (Class B1a) to 5 x 3-bedroom residential units (Class C3) at first, second and third floor levels.</t>
  </si>
  <si>
    <t>2016/3716</t>
  </si>
  <si>
    <t>Change of use of ground floor shop (Class A1) to a restaurant/café  (Class A3). Erection of single-storey side and rear extensions and external staircase to first floor; alterations to shopfront and intallation of high level ventilation ducts at rear; use of forecourt for outdoor seating,</t>
  </si>
  <si>
    <t>2016/3733</t>
  </si>
  <si>
    <t>Determination as to whether prior approval is required for change of use from office use (Class B1a) to residential use (Class C3) to provide 10 residential units.</t>
  </si>
  <si>
    <t>2016/3762</t>
  </si>
  <si>
    <t>Erection of a single-storey rear extension and three roof mounted air conditioning  units.</t>
  </si>
  <si>
    <t>2016/3778</t>
  </si>
  <si>
    <t>2016/3803</t>
  </si>
  <si>
    <t>Erection of a substation; alterations to access and gates.</t>
  </si>
  <si>
    <t>2016/3841</t>
  </si>
  <si>
    <t>Change of use of the front part of the ground floor from retail (Class A1) to financial and professional services (Class A2) and change of use of the rear part to residential (Class C3) to provide 1 x 1-bedroom flat.</t>
  </si>
  <si>
    <t>2016/3870</t>
  </si>
  <si>
    <t>Determination as to whether prior approval is required for change of use of offices at ground and second floor levels from (Class B1a) to residential (Class C3) to provide 1 x studio, 1 x 1-bedroom flat and 1 x 3-bedroom flat at second floor, and 1 x 1-bedroom flat at ground floor.</t>
  </si>
  <si>
    <t>2016/3873</t>
  </si>
  <si>
    <t>Determination as to whether prior approval is required for change of use from office at ground floor level (Class B1a) to residential (Class C3) to provide 2 x 2-bedroom flats.</t>
  </si>
  <si>
    <t>2016/3909</t>
  </si>
  <si>
    <t>Determination as to whether prior approval is required for change of use of office at first floor (front), second and third floor levels from (Class B1a) to residential (Class C3) to provide 3 x 2-bedroom flats</t>
  </si>
  <si>
    <t>2016/4016</t>
  </si>
  <si>
    <t>Demolition of the existing building and erection of a new building up to five-storeys high, plus basement level, to provide 9,596 sq.m. of class B1(a) office floorspace and 751 sq.m. of commercial floorspace (for either A1/A3/B1 or D1 use), with associated plant, and including the provision of roof terraces, together with 22 basement car parking spaces accessed from Deodar Road, and associated cycle parking provision.</t>
  </si>
  <si>
    <t>2016/4028</t>
  </si>
  <si>
    <t>Erection of a four-storey building to provide 2 x 2-bedroom flats and formation of roof terrace to rear.</t>
  </si>
  <si>
    <t>2016/4033</t>
  </si>
  <si>
    <t>Erection of 1 x two-storey (plus roof and basement levels, and first floor roof terrace) 3-bedroom house adjoining no. 76A Stanley Grove, and erection of 1 x two-storey (plus basement level) 4-bedroom house to rear.  Erection of replacement electricity substation, cycle store and refuse store to Stanley Road frontage.</t>
  </si>
  <si>
    <t>2016/4081</t>
  </si>
  <si>
    <t>Determination as to whether prior approval is required for change of use of office   from (Class B1a) to residential (Class C3)</t>
  </si>
  <si>
    <t>2016/4188</t>
  </si>
  <si>
    <t>APP</t>
  </si>
  <si>
    <t>2016/4223</t>
  </si>
  <si>
    <t>Change of use from Smoothie Bar (Class Use A1) to a Nail and Beauty Bar (Class Use Sui Generis)</t>
  </si>
  <si>
    <t>2016/4253</t>
  </si>
  <si>
    <t>Determination as to whether prior approval is required for change of use of office at first floor level from (Class B1a) to 6 x 2-bedroom residential units (Class C3).</t>
  </si>
  <si>
    <t>2016/4287</t>
  </si>
  <si>
    <t>2016/4321</t>
  </si>
  <si>
    <t>Determination as to whether prior approval is required for change of use of office  from (Class B1a) to 2 x 1-bedroom residential units(Class C3).</t>
  </si>
  <si>
    <t>2016/4349</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</si>
  <si>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</si>
  <si>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2016/4435</t>
  </si>
  <si>
    <t>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t>
  </si>
  <si>
    <t>2016/4465</t>
  </si>
  <si>
    <t>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t>
  </si>
  <si>
    <t>2016/4474</t>
  </si>
  <si>
    <t>Alterations in connection with change of use of ground floor commercial space from shop (Class A1) to financial and professional services (Class A2) and rear store area to residential use (Class C3). Erection of roof extension to create additional storey of accommodation and extensions at first, second floor and third floor, and creation of roof terraces in connection with creation of 2 x 1-bedroom and 2 x 2-bedroom residential units.</t>
  </si>
  <si>
    <t>2016/4486</t>
  </si>
  <si>
    <t>Demolition of part of exisitng building; erection of a new single store link extension and refubishment of existing sections to create new dining hall, transport office, caterers store; extend existing kitchen, new second floor level to rear section to provide additional classrooms; internal alterations replacement windows, relocation of internal partitions and new substation building to rear grounds.</t>
  </si>
  <si>
    <t>2016/4583</t>
  </si>
  <si>
    <t>Demolition and rebuild of shared penthouse extension above flats 13 &amp; 14 at main roof level.</t>
  </si>
  <si>
    <t>2016/4601</t>
  </si>
  <si>
    <t>Construction of a primary substation to the south-west of the existing Flower Market building measuring circa 70m long, 15m wide and up to 5.4m high.</t>
  </si>
  <si>
    <t>2016/4647</t>
  </si>
  <si>
    <t>Alterations including demolition of rear elevation, mansard roof extension to create an additional storey of residential accommodation, erection of part single, part two storey rear extension, excavation of basement and  conversion of ground floor shop from Sui Generis (mini-cab office) to part Class A2 (financial and professional services) and part Class C3 (residential) to create 2 x 2-bedroom flats.</t>
  </si>
  <si>
    <t>2016/4671</t>
  </si>
  <si>
    <t>Determination as to whether prior approval is required for change of use of rear of unit from financial and professional services (Class A2) to 1 x 1-bedroom flat (Class C3) and external alterations.</t>
  </si>
  <si>
    <t>2016/4742</t>
  </si>
  <si>
    <t>Erection of three-storey rear extension and replacement sash windows in UPVC in connection with use of property as a House of Multiple Occupation - 7 rooms (Class Sui Generis).</t>
  </si>
  <si>
    <t>2016/4806</t>
  </si>
  <si>
    <t>Change of use from artist's studio (Sui Generis) to offices (Classes B1 or A2) with alterations including two-storey extension.</t>
  </si>
  <si>
    <t>2016/4807</t>
  </si>
  <si>
    <t>Alterations in connection with conversion of garage into a 2-bedroom one storey dwelling plus basement level.</t>
  </si>
  <si>
    <t>2016/4824</t>
  </si>
  <si>
    <t>Erection of single-storey wc building in courtyard (Concurrent listed building consent application ref 2016/4906).</t>
  </si>
  <si>
    <t>Library</t>
  </si>
  <si>
    <t>2016/4839</t>
  </si>
  <si>
    <t>Determination as to whether prior approval is required for change of use of office  from (Class B1a) to 2 x 2-bedroom and 2 x 1-bedroom residential units (Class C3).</t>
  </si>
  <si>
    <t>2016/4941</t>
  </si>
  <si>
    <t>Determination as to whether prior notification is required for change of use of ground floor from retail (Class A1, ) to a restaurant (Class A3).</t>
  </si>
  <si>
    <t>2016/4970</t>
  </si>
  <si>
    <t>Change of use from betting office (Sui Generis) to a retail shop (Class A1).</t>
  </si>
  <si>
    <t>2016/4971</t>
  </si>
  <si>
    <t>Change of use of ground floor from Taxi business (Sui Generis) to a retail shop (Class A1).</t>
  </si>
  <si>
    <t>2016/4974</t>
  </si>
  <si>
    <t>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t>
  </si>
  <si>
    <t>2016/5085</t>
  </si>
  <si>
    <t>Alterations including part demolition of ground floor rear and erection of extensions to first floor in connection with conversion of rear of property into 2 x two-bedroom dwellings, accessed from rear. Alterations to ground floor shop.</t>
  </si>
  <si>
    <t>2016/5132</t>
  </si>
  <si>
    <t>Change of use of ground floor unit from retail (Class A1) to minicab office (Sui Generis).</t>
  </si>
  <si>
    <t>2016/5183</t>
  </si>
  <si>
    <t>Demolition of existing buildings and erection of a part 3, part 4-storey building to accommodate 15 residential dwellings including landscaping, cycle and refuse storage and a riverside walkway. (Revised scheme following refusal of 2015/6103).</t>
  </si>
  <si>
    <t>2016/5209</t>
  </si>
  <si>
    <t>Demolition of the existing builder and timber merchant building (Class B1) and redevelopment with a part 2, part 3 storey building plus basement level comprising 17 apartments (Class C3) (2 x 1 beds, 12 x 2 beds and 3 x 3 beds) and associated landscaping, car and cycle parking.</t>
  </si>
  <si>
    <t>2016/5214</t>
  </si>
  <si>
    <t>Determination as to whether prior approval is required for change of use from office (Class B1a) to 1 x 2-bedroom residential unit (Class C3).</t>
  </si>
  <si>
    <t>2016/5215</t>
  </si>
  <si>
    <t>Determination as to whether prior approval is required for change of use from office (Class B1a) to 1 x 3-bedroom residential unit (Class C3).</t>
  </si>
  <si>
    <t>2016/5216</t>
  </si>
  <si>
    <t>2016/5219</t>
  </si>
  <si>
    <t>2016/5225</t>
  </si>
  <si>
    <t>Erection of a single-storey rear/side extension.</t>
  </si>
  <si>
    <t>2016/5245</t>
  </si>
  <si>
    <t>Demolition of existing garages and erection of  2 x 2-storey, 3-bedroom houses with associated landscaping and 2 x off-street parking spaces with access from Summerley Street.</t>
  </si>
  <si>
    <t>2016/5294</t>
  </si>
  <si>
    <t>Demolition of existing garage and erection of a two-storey 1-bedroom detached house with associated landscaping, boundary treatment, cycle and refuse storage.</t>
  </si>
  <si>
    <t>2016/5329</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</si>
  <si>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</si>
  <si>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2016/5367</t>
  </si>
  <si>
    <t>Erection of two-storey extension at first and second floor levels to the main school building at the northern end of the site..</t>
  </si>
  <si>
    <t>2016/5408</t>
  </si>
  <si>
    <t>Demolition of the existing buildings and redevelopment of the site for a part 3-/4-/5-storey scheme comprising 45 (Class C3) residential units, 362 sqm (GIA) (Class D2) community floorspace, 161 sqm (GIA) flexible office floorspace; refurbishment of the existing club house to provide 169 sqm (GIA) (Class D2) community floorspace and associated landscaped outdoor space.</t>
  </si>
  <si>
    <t>2016/5420</t>
  </si>
  <si>
    <t>Change of use of the ground floor from Class A1 (retail) to Class A 4 (drinking establishment).  Opening hours Monday - Saturday 10:00-00:30hrs, Sundays and bank holidays 12:00-00:00hrs. (Retrospective application).</t>
  </si>
  <si>
    <t>2016/5422</t>
  </si>
  <si>
    <t>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t>
  </si>
  <si>
    <t>2016/5443</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</si>
  <si>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</si>
  <si>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2016/5488</t>
  </si>
  <si>
    <t>Demolition of existing garage (for the repair of motor vehicles) and erection of replacement garage with ancillary office space above.</t>
  </si>
  <si>
    <t>2016/5598</t>
  </si>
  <si>
    <t>Alterations and extensions to existing building to the rear of 32 Brightwell Crescent in connection with conversion of building into 4 x 1-bedroom and 1 x 2-bedroom houses and associated cycle and refuse storage.</t>
  </si>
  <si>
    <t>2016/5620</t>
  </si>
  <si>
    <t>Change of use of part of ground floor shop (Class A1)  into 1 x 1 bedroom flat (Class C3), and alterations to side elevation at ground floor.</t>
  </si>
  <si>
    <t>2016/5644</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</si>
  <si>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</si>
  <si>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2016/5713</t>
  </si>
  <si>
    <t>Determination as to whether prior approval is required for change of use from offices at first floor level (Class B1a) to 1 x 2-bedroom and 2 x 1-bedroom residential units (Class C3).</t>
  </si>
  <si>
    <t>2016/5729</t>
  </si>
  <si>
    <t>Erection of a three-storey building (plus basement level and roof terrace level) to provide 7 flats (3 x 1-bedroom, 2 x 2-bedroom and 2 x 3-bedroom units), with ground, first and second level balconies at front and rear elevations.</t>
  </si>
  <si>
    <t>2016/5738</t>
  </si>
  <si>
    <t>Demolition of existing garages and redevelopment to provide  18 units (15 flats and 3 houses) within 3 and 4 storey blocks with associated vehicle and cycle parking, bin storage and landscaping.</t>
  </si>
  <si>
    <t>2016/5739</t>
  </si>
  <si>
    <t>Demolition of existing garages and redevelopment for a part one, two and three storey residential block to provide 4 units with associated vehicle and cycle parking, bin store, landscaping and reconfiguration of existing parking court (amended description).</t>
  </si>
  <si>
    <t>2016/5757</t>
  </si>
  <si>
    <t>Change of use of upper and lower ground floors restaurant &amp; sandwich bar (Class A3) to 3 x commercial units (Class B1a), including external alterations to the front, side and rear elevations.</t>
  </si>
  <si>
    <t>2016/5770</t>
  </si>
  <si>
    <t>Alterations including erection of part single, part two-storey side/rear extension (including basement extension and rear lightwell) in connection with erection of a 1x1-bedroom unit on Garratt Terrace frontage.</t>
  </si>
  <si>
    <t>2016/5804</t>
  </si>
  <si>
    <t>Change of use from storage facility (Class B8) to a single family dwelling house (Class C3) including external alterations.</t>
  </si>
  <si>
    <t>2016/5828</t>
  </si>
  <si>
    <t>Change of use of ground floor of no. 241 from Financial and Professional Services (Class  A2) to Retail (Class  A1) and to combine the ground floors of no's. 241 and 243 creating 1 x retail unit, by removing internal wall.</t>
  </si>
  <si>
    <t>2016/5921</t>
  </si>
  <si>
    <t>Erection of a marquee for use of indoor carpet bowls and other indoor sports and recreational activities.</t>
  </si>
  <si>
    <t>2016/5946</t>
  </si>
  <si>
    <t>Change of use from a Shop A1 use to D1 use for a Physiotherapy practice.</t>
  </si>
  <si>
    <t>2016/5949</t>
  </si>
  <si>
    <t>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t>
  </si>
  <si>
    <t>2016/6020</t>
  </si>
  <si>
    <t>Demolition of existing two-storey residential property and construction of a 10-storey building plus basement to provide a mixed use development comprising office (B1 use) floorspace at ground and first floor level and 9 x two and three bedroom self-contained flats (C3 use) above, with a residents gym and bike store at basement level and refuse store and one onsite disabled car parking space at ground level.</t>
  </si>
  <si>
    <t>2016/6029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</si>
  <si>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from:_x000D_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</si>
  <si>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2016/6113</t>
  </si>
  <si>
    <t>Change of use from retail (Class Use A1) to educational and cultural centre (Class Use D1).</t>
  </si>
  <si>
    <t>2016/6118</t>
  </si>
  <si>
    <t>2016/6122</t>
  </si>
  <si>
    <t>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t>
  </si>
  <si>
    <t>2016/6135</t>
  </si>
  <si>
    <t>Change of use from retail (Use Class A1) to mixed use retail (Use Class A1) and children's party venue (Sui Generis).</t>
  </si>
  <si>
    <t>2016/6161</t>
  </si>
  <si>
    <t>Demolition of single storey building and erection of replacement two-storey extension with basement including lightwell and roof terrace. New gated entrance.</t>
  </si>
  <si>
    <t>2016/6164</t>
  </si>
  <si>
    <t>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t>
  </si>
  <si>
    <t>2016/6169</t>
  </si>
  <si>
    <t>Erection of a 5-storey building (plus basement) to provide a 34-room hotel on the upper floors, with access from Upper Richmond Road; rear balconies at first, second, third and fourth floor levels and front roof terrace at fourth floor level. Ground floor to include a separate surgery (Class D1), cafe (Class A3) and hotel lobby; associated refuse and cycle storage.</t>
  </si>
  <si>
    <t>2016/6170</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</si>
  <si>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1-bedroom flats on upper floors. Installation of new shopfront.</t>
  </si>
  <si>
    <t>2016/6192</t>
  </si>
  <si>
    <t>Determination as to whether prior approval is required for change of use of basement and part ground floor level from retail (Class A1) to 1 x 2-bedroom flat (Class C3).</t>
  </si>
  <si>
    <t>2016/6201</t>
  </si>
  <si>
    <t>Demolition of existing building and erection of a single storey office building to be used for car hire purposes (Use Class Sui Generis), with associated parking and including the creation of a car wash area with raised canopy over, cycle and bin store, and erection of sections of 1.2m high weld mesh boundary fencing and gates</t>
  </si>
  <si>
    <t>2016/6205</t>
  </si>
  <si>
    <t>Change of use from restaurant (Class Use A3) to office space (Class Use B1).</t>
  </si>
  <si>
    <t>2016/6228</t>
  </si>
  <si>
    <t>2016/6259</t>
  </si>
  <si>
    <t>Determination as to whether prior approval is required for change of use of office at first floor level from (Class B1a) to residential (Class C3) to provide 1 x 2-bedroom  and 1 x 1-bedroom flats.</t>
  </si>
  <si>
    <t>2016/6295</t>
  </si>
  <si>
    <t>Continued use of application site as shop/restaurant (Class A1/A3) and garden as a seating area for the restaurant between the hours of 0800 and 2130hrs Monday to Sunday (removal of condition 1 on permission ref. 2015/5108 for change of use from A3 use (restaurant) to A1/A3 use (shop/restaurant) with new exterior access for use of the garden as a seating area for the restaurant, and shopfront alterations).</t>
  </si>
  <si>
    <t>2016/6386</t>
  </si>
  <si>
    <t>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t>
  </si>
  <si>
    <t>2016/6417</t>
  </si>
  <si>
    <t>2016/6438</t>
  </si>
  <si>
    <t>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t>
  </si>
  <si>
    <t>2016/6473</t>
  </si>
  <si>
    <t>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t>
  </si>
  <si>
    <t>2016/6504</t>
  </si>
  <si>
    <t>Alterations in connection with change of use from off license (Class Use A1) to restaurant/bar (Mixed use Classes A3 &amp; A4) including new shopfront, outdoor seating area to front with railings around and high level extractor duct to rear.</t>
  </si>
  <si>
    <t>2016/6511</t>
  </si>
  <si>
    <t>Demolition of existing garages and erection of a six bedroom, part single, part two-storey dwelling with basement, on-site parking and associated landscaping.</t>
  </si>
  <si>
    <t>2016/6523</t>
  </si>
  <si>
    <t>Demolition of existing buildings and construction of an electricity substation</t>
  </si>
  <si>
    <t>2016/6533</t>
  </si>
  <si>
    <t>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t>
  </si>
  <si>
    <t>2016/6539</t>
  </si>
  <si>
    <t>Alterations including enlargement of front lightwell, replace front door with a window and change of use from live / work unit (Sui Generis) to 1 x 3-bedroom flat (Class Use C3).</t>
  </si>
  <si>
    <t>2016/6541</t>
  </si>
  <si>
    <t>Determination as to whether prior approval is required for change of use of office at first floor level from (Class B1a) to residential (Class C3) to provide 1 x 1-bedroom unit.</t>
  </si>
  <si>
    <t>2016/6575</t>
  </si>
  <si>
    <t>Change of use from BT telephone box (sui generis) to office "pod" (sui generis) providing printing, scanning, copying and wifi services.</t>
  </si>
  <si>
    <t>2016/6608</t>
  </si>
  <si>
    <t>Determination as to whether the prior approval is required for the change of use from retail unit (Use Class A1) to restaurant (Use Class A3) and installation of external extract flue.</t>
  </si>
  <si>
    <t>2016/6655</t>
  </si>
  <si>
    <t>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t>
  </si>
  <si>
    <t>2016/6658</t>
  </si>
  <si>
    <t>Alterations including erection of roof extension to provide an additional storey for the children's day nursery.(Revised scheme following refused permission dated 18th April 2016 ref 2016/0877 (Alterations including erection of roof extension to provide an additional storey for the children's day nursery)).children's day nursery)) and the continued use of the first floor of the property as a nursery (Class D1).</t>
  </si>
  <si>
    <t>2016/6734</t>
  </si>
  <si>
    <t>Erection of a two-storey terrace comprising 5 x 1-bedroom houses.</t>
  </si>
  <si>
    <t>2016/6854</t>
  </si>
  <si>
    <t>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t>
  </si>
  <si>
    <t>2016/6873</t>
  </si>
  <si>
    <t>Demolition</t>
  </si>
  <si>
    <t>Demolition of former industrial buildings.</t>
  </si>
  <si>
    <t>2016/6874</t>
  </si>
  <si>
    <t>Determination as to whether prior approval is required for change of use from retail (Class A1) to 1 x 2-bedroom flat (Class C3).</t>
  </si>
  <si>
    <t>2016/6876</t>
  </si>
  <si>
    <t>Determination as to whether prior approval is required for change of use from retail (Class A1) to 1 x 1-bedroom flat (Class C3).</t>
  </si>
  <si>
    <t>2016/6925</t>
  </si>
  <si>
    <t>Change of use of ground floor from retail (Use Class A1) to financial and professional services (Use Class A2).</t>
  </si>
  <si>
    <t>2016/6985</t>
  </si>
  <si>
    <t>Change of use from restaurant (Class A3) to a self contained flat (Class C3); including formation of front lightwell, alterations to the front elevation and erection of a front boundary wall.</t>
  </si>
  <si>
    <t>2016/6999</t>
  </si>
  <si>
    <t>Alterations to the ground floor frontage and erection of first floor rear extension to provide additional B1(a) office floorspace; associated cycle and car parking.</t>
  </si>
  <si>
    <t>2016/7075</t>
  </si>
  <si>
    <t>Determination as to whether prior approval is required for change of use from office (Class B1a) to 35 x residential units (Class C3) at first to fourth floors.</t>
  </si>
  <si>
    <t>2016/7080</t>
  </si>
  <si>
    <t>Alterations including erection of single storey rear extension in connection with change of use from retail (Class A1) to veterinary clinic (Class D1)</t>
  </si>
  <si>
    <t>2016/7087</t>
  </si>
  <si>
    <t>Use of part of the property as a day nursery (Use Class D1 - a non-residential institution).</t>
  </si>
  <si>
    <t>2016/7129</t>
  </si>
  <si>
    <t>Change of use from use from rental and repair of motorcycles and scooters with ancillary retail and office floorspace (Sui Generis) to light industrial (B1(c)), general industrial (B2) and/or storage and distribution (B8).</t>
  </si>
  <si>
    <t>2016/7161</t>
  </si>
  <si>
    <t>Determination as to whether prior approval is required for change of use from retail (Class A1) to restaurant (Class A3).</t>
  </si>
  <si>
    <t>2016/7167</t>
  </si>
  <si>
    <t>Erection of a three-storey (plus basement) 2-bedroom detached house with roof terrace with associated landscaping and refuse storage.</t>
  </si>
  <si>
    <t>2016/7179</t>
  </si>
  <si>
    <t>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t>
  </si>
  <si>
    <t>2016/7186</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</si>
  <si>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</si>
  <si>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2016/7195</t>
  </si>
  <si>
    <t>Change of use from joinery workshop (Class B1c)  to gym/ fitness centre (Class D2).</t>
  </si>
  <si>
    <t>2016/7213</t>
  </si>
  <si>
    <t>Use of two vacant railway arches (nos 98/99) for B1 office/welfare cabins (amended description).</t>
  </si>
  <si>
    <t>2016/7216</t>
  </si>
  <si>
    <t>Demolition of existing building and erection of a part 5/part 6 storey building to provide 22 residential units and 106 sqm B1(a) office floorspace, with communal external amenity space at fifth floor level.</t>
  </si>
  <si>
    <t>2016/7217</t>
  </si>
  <si>
    <t>Change of use to allow flexible use for either A1 (shop), A2 (financial and professional services), A3 (food and drink), B1 (business), D1 (non-residential institutions) or D2 (assembly and leisure) use.</t>
  </si>
  <si>
    <t>2016/7263</t>
  </si>
  <si>
    <t>Refurbishment, fit-out, external facades and new-build works to three railway arches (numbered 717 to 719) known as the 'Amenity Arches'. External works include an enclosed paddock for dogs &amp; an accessible ramp.</t>
  </si>
  <si>
    <t>2016/7270</t>
  </si>
  <si>
    <t>Change of use of ground floor from the approved Class A1 (retail)/Class A2 (financial and professional services) use to Class D2 (assembly and leisure) for use as a gym.  Proposed opening hours of 6am to 11.00pm Monday to Friday, 7am to 10pm Saturday and 7am to 10pm Sunday and Bank Holidays.</t>
  </si>
  <si>
    <t>2016/7340</t>
  </si>
  <si>
    <t>Change of use from Retail (Class A1) to Beauty Therapist (Sui Generis). Alterations including excavation to create basement with formation of rear lightwell with grille over and replacement shopfront.</t>
  </si>
  <si>
    <t>2016/7356</t>
  </si>
  <si>
    <t>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t>
  </si>
  <si>
    <t>2016/7408</t>
  </si>
  <si>
    <t>Alterations including erection of roof extension to provide additional B1(a) office floorspace; alterations to front and side elevations; provision of a rear roof terrace; and alterations to the front boundary treatment, refuse arrangements and access.</t>
  </si>
  <si>
    <t>2016/7424</t>
  </si>
  <si>
    <t>Erection of extension to plant enclosure at ground level at rear of property and installation of 6 x air conditioning units and 1 x emergency generator.</t>
  </si>
  <si>
    <t>2016/7462</t>
  </si>
  <si>
    <t>Determination as to whether prior approval is required for change of use from retail (Class A1) to 2 x 1-bedroom flats (Class C3).</t>
  </si>
  <si>
    <t>2017/0014</t>
  </si>
  <si>
    <t>Determination as to whether prior approval is required for change of use of first and second floors from office (Class B1a) to residential (Class C3) to provide 3 x 2-bedroom and 1 x 1-bedroom flats.</t>
  </si>
  <si>
    <t>2017/0015</t>
  </si>
  <si>
    <t>Determination as to whether prior approval is required for change of use from financial and professional services (Class A2) to residential (Class C3) to provide 1x1 studio flat at ground floor level.</t>
  </si>
  <si>
    <t>2017/0090</t>
  </si>
  <si>
    <t>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t>
  </si>
  <si>
    <t>2017/0153</t>
  </si>
  <si>
    <t>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t>
  </si>
  <si>
    <t>2017/0175</t>
  </si>
  <si>
    <t>Alterations including erection of extension at ground floor level in connection with change of use from clinic (Class D1) to 2 x 2-bedroom flats (Class C3).</t>
  </si>
  <si>
    <t>2017/0194</t>
  </si>
  <si>
    <t>Determination as to whether prior approval is required for change of use of rear part of ground and first floors from retail (Class A1) to 1 x 1-bedroom residential unit (Class C3), with associated external alterations.</t>
  </si>
  <si>
    <t>2017/0226</t>
  </si>
  <si>
    <t>Change of use from Photography ( class B1 ) to a Barre Studio (Class D2)</t>
  </si>
  <si>
    <t>2017/0240</t>
  </si>
  <si>
    <t>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t>
  </si>
  <si>
    <t>2017/0244</t>
  </si>
  <si>
    <t>Change of use from office (Class B1) to non-residential institutions (Class D1) physiotherapists.</t>
  </si>
  <si>
    <t>2017/0248</t>
  </si>
  <si>
    <t>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t>
  </si>
  <si>
    <t>2017/0261</t>
  </si>
  <si>
    <t>2017/0319</t>
  </si>
  <si>
    <t>Application under Section 73 of the Town and Country Planning Act (as amended) for amendments to planning permission (ref:2015/6357) dated 4th July 2016 for demolition of the existing waste transfer station and associated structures; retention of the existing dock and redevelopment of the site to provide a new enclosed waste transfer station and associated facilities (use class Sui Generis) with new buildings located above the transfer station containing residential and ancillary residential facilities (Use Class C3); provision of areas of hard and soft landscaping and a new riverfront path; works to provide vehicular accesses on Cringle Street; provision of basement car parking, related works to integrate the development with the adjoining  Battersea Power Station Masterplan development and other associated works (application for outline planning permission with detailed elements provided in relation to the new waste transfer station). (The Amendments include the introduction of flexible A1/A3/D2 uses in place of the ancillary wharf use).</t>
  </si>
  <si>
    <t>2017/0333</t>
  </si>
  <si>
    <t>Change of use from Class B1 (light industrial/offices) to a motor cycle/van courier service and minicab operation (sui generis).</t>
  </si>
  <si>
    <t>2017/0401</t>
  </si>
  <si>
    <t>Retrospective Change of Use from (Class A1) to (Class A3) with opening hours of Monday to Friday 07.00 to 18.00, Saturday Sunday and Bank holidays 08.00 to 18.00; intallation of flue pipe on rear elevation.</t>
  </si>
  <si>
    <t>2017/0437</t>
  </si>
  <si>
    <t>Demolition of existing office building and erection of a two-storey building to provide 1x1 bedroom flat.</t>
  </si>
  <si>
    <t>2017/0473</t>
  </si>
  <si>
    <t>Change of use from Professional and Financial Services ( Class  A2 ) to a Residential Dwelling ( Class C3 ), erection of single storey rear extension and erection of a front boundary wall.</t>
  </si>
  <si>
    <t>2017/0498</t>
  </si>
  <si>
    <t>Determination as to whether prior approval is required for change of use of first floor level from financial and professional services (Class A2) to residential (Class C3) to provide 2 x 1 bedroom flats.</t>
  </si>
  <si>
    <t>2017/0535</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</si>
  <si>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</si>
  <si>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2017/0560</t>
  </si>
  <si>
    <t>2017/0565</t>
  </si>
  <si>
    <t>Change of use from a shop (Class Use A1) to a cafe/restaurant (Class Use A3) and installation of extractor flue to rear elevation with acoustic barrier surround on flat roof.</t>
  </si>
  <si>
    <t>2017/0580</t>
  </si>
  <si>
    <t>Demolition of existing retail buildings and phased construction of 14 residential blocks (with 3 podiums) ranging from 8 to 15 storeys to provide a mixed use scheme including 517 residential units (Class C3), 5098 s.q.m. GIA of business (Class B1) and 2745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2011 as amended.</t>
  </si>
  <si>
    <t>2017/0592</t>
  </si>
  <si>
    <t>Alterations in connection with change of use from storage and distribution (Class B8) to fitness studio (Class D2).</t>
  </si>
  <si>
    <t>2017/0627</t>
  </si>
  <si>
    <t>Continue use as a 1 bedroom flat.</t>
  </si>
  <si>
    <t>2017/0637</t>
  </si>
  <si>
    <t>Infill of undercroft space beneath the block to provide 3 self-contained flats (1 x 1-bedroom and 2 x 2-bedroom) with associated amenity space and the provision of three car parking spaces to the east of Shenstone House.</t>
  </si>
  <si>
    <t>2017/0644</t>
  </si>
  <si>
    <t>2017/0679</t>
  </si>
  <si>
    <t>Demolition of existing 2-storey building and erection of 2 x 2-bedroom three-storey houses.</t>
  </si>
  <si>
    <t>2017/0692</t>
  </si>
  <si>
    <t>Installation of replacement shopfront (with bi-fold doors) and erection of 1.3m high boundary screening in connection with the use of the area to the front for outdoor seating (hours of use 8am to 6pm).  Alterations in connection with change of use from retail (Class A1) to cafe (Class A3).</t>
  </si>
  <si>
    <t>2017/0745</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</si>
  <si>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</si>
  <si>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2017/0775</t>
  </si>
  <si>
    <t>Change of use of first floor from education and training centre (Class D1) to a NHS talking therapy service (Class D1), with proposed opening hours 07:00am to 22:00pm Monday to Friday and 08:00am to 17:00pm Saturday.</t>
  </si>
  <si>
    <t>2017/0847</t>
  </si>
  <si>
    <t>2017/0899</t>
  </si>
  <si>
    <t>Non-material amendment (under Section 96a of the Town and Country Planning Act) of planning permission 2011/1815 (as amended) dated 30/03/12 (for the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changes comprise the change of the lobby in Unit 2 to A2/A3/A4; omission of a office unit (Use Class B1) in Unit 3 in Plot A11, and the change of use of Unit 7 in Plot A09 from office (Use Class B1) to retail/restaurant use (Use Class A1/ A3).</t>
  </si>
  <si>
    <t>2017/0926</t>
  </si>
  <si>
    <t>Determination as to whether prior approval is required for change of use from financial and professional services (Class A2) to three flats (Class C3) with associated external alterations to front elevation.</t>
  </si>
  <si>
    <t>2017/0931</t>
  </si>
  <si>
    <t>Change of use of amusement centre at basement and ground level (Class sui generis) to coffee shop (Class A1/A3). Proposed opening hours 06:30 to 20:00 Monday to Saturday and 08:00 to 18:30 Sunday and Bank Holidays. Alterations and  installation of replacement shopfront.</t>
  </si>
  <si>
    <t>2017/0937</t>
  </si>
  <si>
    <t>Erection of temporary buildings in the British Genius Site and others around the Park up to a maximum height 9.5m from the period 16 August 2017 to 1 October 2019 (to be used for a variety of events in the Park). Permanent retention of timber shed to the rear of the Pump House Gallery, to house catering facilities relating to the gallery</t>
  </si>
  <si>
    <t>2017/0952</t>
  </si>
  <si>
    <t>Alterations to front elevation, merging of two units and change of use from retail/restaurant (Class A1/A3) to retail (Class A1).</t>
  </si>
  <si>
    <t>2017/0960</t>
  </si>
  <si>
    <t>Change of use from shop (Class A1) to hot food take away (Class A5). Installation of an intake grille and extraction duct/flume.</t>
  </si>
  <si>
    <t>2017/0982</t>
  </si>
  <si>
    <t>Alterations including erection of mansard roof extension to main rear roof (with french doors and safety railings), erection of extension over two storey back addition and formation of roof terrace over with 1.7m screen surround, and erection of single-storey side extension in connection with conversion into 2 x 2-bedroom flats.</t>
  </si>
  <si>
    <t>2017/1008</t>
  </si>
  <si>
    <t>2017/1030</t>
  </si>
  <si>
    <t>Change of use from office (Class B1) at part basement, part ground and part first floor to financial and professional services (Class A2) and business (Class B1).</t>
  </si>
  <si>
    <t>2017/1036</t>
  </si>
  <si>
    <t>Erection of single storey extension on the northern side of the main building.</t>
  </si>
  <si>
    <t>2017/1096</t>
  </si>
  <si>
    <t>Erection of two-storey 3-bedroom house (with loft level accommodation provided via a rear dormer) to the end of the Hazelbourne Road terrace.</t>
  </si>
  <si>
    <t>2017/1223</t>
  </si>
  <si>
    <t>Alterations in connection with change of use from Office (Class B1) to Yoga Studio (Class D2).</t>
  </si>
  <si>
    <t>2017/1233</t>
  </si>
  <si>
    <t>Alterations and the change of use from office (Class B1a) to residential (Class C3) including erection of a single storey rear extension, erection of mansard roof extension (with balconies to the rear), formation of roof terraces to rear; excavation to create basement; infill of existing archway, formation of refuse and cycle storage in connection with conversion to 2 x 3-bedroom, 2 x 2-bedroom and 4 x studio flats.</t>
  </si>
  <si>
    <t>2017/1247</t>
  </si>
  <si>
    <t>2017/1456</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</si>
  <si>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</si>
  <si>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2017/1458</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</si>
  <si>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
_x000D_
For Listed Building Consent refer to planning application reference number: 2017/1847.</t>
  </si>
  <si>
    <t>2017/1464</t>
  </si>
  <si>
    <t>Change of use of  basement and ground floor from retail (Class A1) to restaurant (Class A3). Installation of flue to rear.  Proposed opening hours 12:00am to 23:00pm Monday to Friday, 11:00am to 23:00pm Saturday and 11:00am to 23:00pm on Sunday and Bank Holidays.</t>
  </si>
  <si>
    <t>2017/1499</t>
  </si>
  <si>
    <t>Change of use from general industry/storage (Class B2/B8) to a gymnasium (Class D2).</t>
  </si>
  <si>
    <t>2017/1508</t>
  </si>
  <si>
    <t>Retention of temporary modular building for further period until 31/03/2028.</t>
  </si>
  <si>
    <t>2017/1530</t>
  </si>
  <si>
    <t>Determination as to whether prior approval is required for change of use of offices (Class B1a) to residential (class C3) to provide 1 dwelling house</t>
  </si>
  <si>
    <t>2016/17</t>
  </si>
  <si>
    <t>Non-Residential Site Area (ha)</t>
  </si>
  <si>
    <t>2016/2096</t>
  </si>
  <si>
    <t>2016/2026</t>
  </si>
  <si>
    <t>2016/2027</t>
  </si>
  <si>
    <t>2016/2029</t>
  </si>
  <si>
    <t>2015/0591</t>
  </si>
  <si>
    <t>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
An Environmental Statement has been submitted with the application under The Town and Country Planning (Environmental Impact Assessment) Regulations 2011.</t>
  </si>
  <si>
    <r>
      <t>Change in Floorspace (m²</t>
    </r>
    <r>
      <rPr>
        <sz val="9"/>
        <rFont val="Arial"/>
        <family val="2"/>
        <scheme val="minor"/>
      </rPr>
      <t>)</t>
    </r>
  </si>
  <si>
    <t>Linden Lodge School, 61 Princes Way</t>
  </si>
  <si>
    <t>Digby Stuart College, Roehampton Lane (Digby Stuart &amp; Southlands Colleges)</t>
  </si>
  <si>
    <t>8.1.2</t>
  </si>
  <si>
    <t>2018/0758</t>
  </si>
  <si>
    <t>Erection of single storey security gatehouse at entrance from Roehampton Lane.</t>
  </si>
  <si>
    <t>Trinity Court Nursing Home, 165-167 Trinity Road</t>
  </si>
  <si>
    <t>2017/4355</t>
  </si>
  <si>
    <t>Erection of single storey (plus habitable roofspace) detached 10-bedroom residential building ancillary to Trinity Court Nursing Home.</t>
  </si>
  <si>
    <t>Land adjoining 14, Cairns Road (16)</t>
  </si>
  <si>
    <t>Ransomes Dock, 35-37 Parkgate Road (Ransomes Dock Business Centre)</t>
  </si>
  <si>
    <t>2017/0125</t>
  </si>
  <si>
    <t>Erection of five two-storey flats with roof terraces above the existing business units of the Ransomes Dock Business Centre at third floor level.</t>
  </si>
  <si>
    <t>70-74 St Johns Hill (Public open space east of 76)</t>
  </si>
  <si>
    <t>Gargoyle Wharf, York Road/Bridgend Road (Battersea Reach, (former Guinness Site))</t>
  </si>
  <si>
    <t>Craven Court, 1 Taybridge Road</t>
  </si>
  <si>
    <t>374 Old York Road</t>
  </si>
  <si>
    <t>257 Putney Bridge Road</t>
  </si>
  <si>
    <t>2017/3227</t>
  </si>
  <si>
    <t>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t>
  </si>
  <si>
    <t>Garratt Park Depot (Council Deport), Maskell Road</t>
  </si>
  <si>
    <t>12-14 Lombard Road (Lombard Wharf)</t>
  </si>
  <si>
    <t>10.5</t>
  </si>
  <si>
    <t>2017/2634</t>
  </si>
  <si>
    <t>Variation of conditions 2 (compliance with approved drawings) and 3 (ground and mezzanine floors - A3 and A4 uses only) pursuant to planning permission dated 12/06/2015 ref. 2014/6909 (Demolition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to allow the use of part of the mezzanine floor for office (class B1a) use and the use of part of the ground floor to provide a separate access and core for the proposed office space.</t>
  </si>
  <si>
    <t>Newcombe House, 319-323 Battersea Park Road</t>
  </si>
  <si>
    <t>Riverside West, Smugglers Way</t>
  </si>
  <si>
    <t>Battersea Technology College and 3 Culovert Road, 401 Battersea Park Road (Harris Academy)</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</si>
  <si>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
 _x000D_
The main revisions to the original scheme are summarised as:_x000D_
 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t>
  </si>
  <si>
    <t>Estate House, 225-231 Upper Richmond Road</t>
  </si>
  <si>
    <t>2017/1804</t>
  </si>
  <si>
    <t>Conversion of storage area at first floor level into a 2-bedroom self contained flat.</t>
  </si>
  <si>
    <t>Section House, 3-5 Nightingale Lane</t>
  </si>
  <si>
    <t>Trade Tower, Plantation Wharf, Coral Row (Plantation Wharf)</t>
  </si>
  <si>
    <t>10.15</t>
  </si>
  <si>
    <t>Land South of, Nine Elms Lane (North of Post Office Way) (US Embassy)</t>
  </si>
  <si>
    <t>2.1.15</t>
  </si>
  <si>
    <t>26 Stewarts Road</t>
  </si>
  <si>
    <t>50 &amp; 50A Webbs Road</t>
  </si>
  <si>
    <t>114 Falcon Road</t>
  </si>
  <si>
    <t>Land rear of 319-321 (1a Burr road), 319-321 Merton Road</t>
  </si>
  <si>
    <t>2017/6506</t>
  </si>
  <si>
    <t>Battersea Park Studios, 2 Shuttleworth Road (131 Battersea High Street)</t>
  </si>
  <si>
    <t>2017/0764</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</si>
  <si>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</si>
  <si>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Car Showroom and Premises, 632-640 Garratt Lane</t>
  </si>
  <si>
    <t>5-25 Burr Road</t>
  </si>
  <si>
    <t>2017/5499</t>
  </si>
  <si>
    <t>Erection of first and second floor additions to provide class B1 business premises. (Renewal of planning permission dated 27 September 2013 Ref 2013/3855 )</t>
  </si>
  <si>
    <t>265 Putney Bridge Road</t>
  </si>
  <si>
    <t>Market Towers, 1 Nine Elms Lane (One Nine Elms)</t>
  </si>
  <si>
    <t>2.1.12</t>
  </si>
  <si>
    <t>2014/0871</t>
  </si>
  <si>
    <t>Minor-material amendments, under Section 73 of the Town and Country Planning Act, to pp 2012/0380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Minor amendments include: i. removal of office floorspace and enlargement of the hotel; ii. redistribution of residential and hotel uses.; iii. reduction in the height of  podium building.; iv. removal of the high level 'Skybridge' and reprovision of leisure facilities in podium building_x000D_
v. re-articulation of the top of the towers and amendments to external facade.  _x000D_
vi. redistribution of residential amenity areas vii. increase in size of basement level 2 from 11,331 sqm to 12,627 sqm. viii amendments to site access, servicing and drop-off arrangements. ix. changes to the landscaping strategy.x increase in car parking spaces from 109 to 124. An Environmental Statement has been submitted with the planning application under the Town and Country Planning (Environmental Impact Assessment) (England and Wales) Regulations 2011.</t>
  </si>
  <si>
    <t>2015/5942</t>
  </si>
  <si>
    <t>S96A</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</si>
  <si>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</si>
  <si>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648b Garratt Lane</t>
  </si>
  <si>
    <t>2017/3668</t>
  </si>
  <si>
    <t>Continued use as vehicle repair workshop (Class B2).</t>
  </si>
  <si>
    <t>4.1.3</t>
  </si>
  <si>
    <t>Alexander House, 155 Merton Road</t>
  </si>
  <si>
    <t>2017/4389</t>
  </si>
  <si>
    <t>The change of use of the lower ground floor from a non residential institution (Class D1) to a business use (Class B1).</t>
  </si>
  <si>
    <t>169 St Johns Hill</t>
  </si>
  <si>
    <t>220A Queenstown Road</t>
  </si>
  <si>
    <t>5 Beechcroft Road</t>
  </si>
  <si>
    <t>2017/4958</t>
  </si>
  <si>
    <t>Demolition of existing building and erection of a three-storey building to provide 1 x 1-bedroom, 2 x 2-bedroom and 1 x 3-bedroom flats with private amenity area and the use of the ground floor as a community Class D1.</t>
  </si>
  <si>
    <t>371 Garratt Lane</t>
  </si>
  <si>
    <t>56 Battersea Bridge Road</t>
  </si>
  <si>
    <t>2018/1163</t>
  </si>
  <si>
    <t>Determination as to whether prior approval is required for change of use from retail (Class A1) to restaurant (Class A3)</t>
  </si>
  <si>
    <t>(rear of 2), 2B Credenhill Street</t>
  </si>
  <si>
    <t>2017/3054</t>
  </si>
  <si>
    <t>Demolition of existing workshop building and erection of a two-storey 1-bedroom house (fronting Fallsbrook Road) with associated landscaping, cycle and refuse storage.</t>
  </si>
  <si>
    <t>294 Merton Road</t>
  </si>
  <si>
    <t>Prince of Wales, 186 Battersea Bridge Road</t>
  </si>
  <si>
    <t>2017/3434</t>
  </si>
  <si>
    <t>Change of use of ground and lower ground floors from a public house (Use Class A4) to retail store (Use Class A1).</t>
  </si>
  <si>
    <t>41-49 and 49-59, 49-59 Battersea Park Road (Booker &amp; BMW Sites)</t>
  </si>
  <si>
    <t>2.1.13</t>
  </si>
  <si>
    <t>Rear of 76, Tooting High Street</t>
  </si>
  <si>
    <t>2017/6089</t>
  </si>
  <si>
    <t>Demolition of existing garages and erection of a 2-storey, 3-bedroom dwellinghouse with basement and habitable roofspace including a rear mansard roof.</t>
  </si>
  <si>
    <t>and 5 Upper Richmond Road, 72 West Hill</t>
  </si>
  <si>
    <t>252 Upper Richmond Road</t>
  </si>
  <si>
    <t>2017/3124</t>
  </si>
  <si>
    <t>Alterations to the rear elevation to allow change of part of the ground and basement levels from a shop (Class A1) to a 1 x 2-bedroom flat (Class C3) with rear terrace and external steps.</t>
  </si>
  <si>
    <t>6-10 Mitcham Road</t>
  </si>
  <si>
    <t>Argylle House, 1a All Saints Passage</t>
  </si>
  <si>
    <t>253 Lavender Hill</t>
  </si>
  <si>
    <t>Kwik Fit 289, 279-291 Balham High Road</t>
  </si>
  <si>
    <t>Upper floors, 362 Old York Road</t>
  </si>
  <si>
    <t>2017/5907</t>
  </si>
  <si>
    <t>Alterations including erection of first floor rear extension with roof terrace above in connection with conversion of upper flat into two studio flats.</t>
  </si>
  <si>
    <t>180 Northcote Road</t>
  </si>
  <si>
    <t>99-101 Putney High Street</t>
  </si>
  <si>
    <t>2017/4558</t>
  </si>
  <si>
    <t>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t>
  </si>
  <si>
    <t>Unit 1, The Chapel, RVPB, Fitzhugh Grove</t>
  </si>
  <si>
    <t>2017/4453</t>
  </si>
  <si>
    <t>Change of use from Offices (Class B1) to a mixed use art studio, offices, workshop, gallery and showroom (sui generis) including internal and external alterations.</t>
  </si>
  <si>
    <t>First floor, 107-109 Wandsworth High Street</t>
  </si>
  <si>
    <t>2017/6149</t>
  </si>
  <si>
    <t>Erection of a single-storey rear extension (to enclose courtyard) including a shop front, to provide a shop (Class A1) unit fronting Buckhold Road.</t>
  </si>
  <si>
    <t>1a Bennerley Road</t>
  </si>
  <si>
    <t>2017/5175</t>
  </si>
  <si>
    <t>Demolition of existing garage and erection of a new four-storey building plus basement and rear amenity areas to create 1 x 3-bedroom  and 2 x 1-bedrom flats.</t>
  </si>
  <si>
    <t>174 Battersea Park Road</t>
  </si>
  <si>
    <t>Upper floors, 182 Balham High Road</t>
  </si>
  <si>
    <t>99 Battersea Rise</t>
  </si>
  <si>
    <t>2017/5168</t>
  </si>
  <si>
    <t>Change of use from Shop ( Class A1) to Assembly and Leisure (Class A1/D2) and alterations to shop front.</t>
  </si>
  <si>
    <t>Khasla Centre, 95 Upper Tooting Road</t>
  </si>
  <si>
    <t>2017/5189</t>
  </si>
  <si>
    <t>Erection of new roof extension to provide additional floor above the hall.</t>
  </si>
  <si>
    <t>199b Upper Richmond Road (Flats 1 &amp; 2)</t>
  </si>
  <si>
    <t>2018/0582</t>
  </si>
  <si>
    <t>Change of use from shop (Class A1) to flexible use of ground floor for either Class A1 (shop), A2 (financial and professional services), D1 (medical or training) or D2 (yoga studio or gym) use [amended description].</t>
  </si>
  <si>
    <t>66 West Hill</t>
  </si>
  <si>
    <t>83 Beechcroft Road</t>
  </si>
  <si>
    <t>Upper floors, 535 Garratt Lane</t>
  </si>
  <si>
    <t>2018/1619</t>
  </si>
  <si>
    <t>Change of use from Hairdressers (Class A1) to a Dental Surgery (Class D1).</t>
  </si>
  <si>
    <t>178 Balham High Road</t>
  </si>
  <si>
    <t>Coach house rear of, 812 Garratt Lane (812c also known as 812d workshop)</t>
  </si>
  <si>
    <t>2017/6759</t>
  </si>
  <si>
    <t>Change of use of ground floor from workshop/storage (B1/B8) to residential (C3) in connection with creation of 1 x 2-bedroom flat. Erection of single-storey rear extension and alterations to fenestration.</t>
  </si>
  <si>
    <t>42 Keswick Road</t>
  </si>
  <si>
    <t>65 Battersea Bridge Road</t>
  </si>
  <si>
    <t>2017/4351</t>
  </si>
  <si>
    <t>Use of the lower ground and ground floor of the property as a 2-bedroom flat.</t>
  </si>
  <si>
    <t>2017/4445</t>
  </si>
  <si>
    <t>Change of use from Shop (Class A1)  to Nail Salon (Sui Generis ).</t>
  </si>
  <si>
    <t>182 Lavender Hill</t>
  </si>
  <si>
    <t>Our Lady &amp; St Peter RC Church &amp; Presbytery, 15 Victoria Drive</t>
  </si>
  <si>
    <t>30 Bushnell Road</t>
  </si>
  <si>
    <t>2017/6647</t>
  </si>
  <si>
    <t>Use of ground floor as day nursery/childcare (Class D1) with residential above (Class C3) for up to 9 children between 07:30am to 18:30pm Mondays to Fridays.</t>
  </si>
  <si>
    <t>89 Mitcham Road</t>
  </si>
  <si>
    <t>113 Mitcham Road</t>
  </si>
  <si>
    <t>Upper floors, 10 Tooting High Street</t>
  </si>
  <si>
    <t>Old Garden House, The Lanterns, Bridge Lane</t>
  </si>
  <si>
    <t>2013/6634</t>
  </si>
  <si>
    <t>Alteration to reduce number of approved flats from 8 to 3 houses involving internal changes only.</t>
  </si>
  <si>
    <t>Ground floor, 280 Earlsfield Road</t>
  </si>
  <si>
    <t>2017/5079</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</si>
  <si>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</si>
  <si>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122a Plough Road</t>
  </si>
  <si>
    <t>2017/2851</t>
  </si>
  <si>
    <t>Use as residential unit (Class C3).</t>
  </si>
  <si>
    <t>94 East Hill (1-5 Cecil House)</t>
  </si>
  <si>
    <t>2017/5394</t>
  </si>
  <si>
    <t>Change of use of ground floor and basement retail  (Class A1) to a counselling and psychotherapy practice (Class D1)</t>
  </si>
  <si>
    <t>St Francis Xavier College (part), Malwood Road (St Francis Place)</t>
  </si>
  <si>
    <t>53 Lydden Grove</t>
  </si>
  <si>
    <t>Land rear of 26, Longley Road (26a)</t>
  </si>
  <si>
    <t>2017/2843</t>
  </si>
  <si>
    <t>Erection of a 2-bedroom bungalow and associated garden to the rear of 26 Longley Road.</t>
  </si>
  <si>
    <t>2a Isis Street</t>
  </si>
  <si>
    <t>2018/0250</t>
  </si>
  <si>
    <t>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t>
  </si>
  <si>
    <t>Ship House, 34-35 Battersea Square (JSS Pinnacle House (35))</t>
  </si>
  <si>
    <t>175 Wandsworth High Street</t>
  </si>
  <si>
    <t>Lock up garages, 26-40 Balham New Road</t>
  </si>
  <si>
    <t>2017/2817</t>
  </si>
  <si>
    <t>Erection of 8 x 4-bedroom three-storey (plus basement) houses.</t>
  </si>
  <si>
    <t>Our Lady of Mount Carmel &amp; St Joseph, 8 Battersea Park Road</t>
  </si>
  <si>
    <t>65a Bramfield Road (145a Northcote Road)</t>
  </si>
  <si>
    <t>2017/4891</t>
  </si>
  <si>
    <t>Demolition of existing garage fronting Bramfield Road and erection of a new two-storey office (B1) building.</t>
  </si>
  <si>
    <t>81-87 Upper Tooting Road</t>
  </si>
  <si>
    <t>Putney Place, 84-88 Upper Richmond Road (Putney Plaza / Oracle)</t>
  </si>
  <si>
    <t>6.2.3</t>
  </si>
  <si>
    <t>Non-material amendment to planning permission dated 02/06/2016 ref 2016/2468 (Non-material amendment to planning permission dated 3 March 2012 ref 2010/5483 _x000D_
(Demolition of existing office buildings (class B1a) and redevelopment to comprise of the erection of 4 buildings ranging in height from 11-storeys (up to 40.6m), 8-storeys (up to 30.2m), 5-storeys (up to 19.5m) and 7-storeys (up to 25.7m) to provide a mixed-use scheme comprising: 148 residential units; 1215sq.m offices (class B1a); 600sq.m flexible retail/financial and professional services/restaurant/café/offices/non-residential institutions/assembly and leisure (A1/A2/A3/B1a/D1/D2); 65 basement car parking spaces; 2 car club spaces at ground floor; 178 cycle parking spaces; landscaping including a new pedestrian route from Woodlands Way to Upper Richmond Road; play area; allotments; communal gardens; ancillary plant and associated works)  so as to allow the change of use from Unit 6 Block D from offices (B1a) to gymnasium (D2) and Unit 8 from offices (B1a) to physiotherapist practices (D1) and amendments to landscaping works in relation to conditon 9 of non-material amendment dated 24 April 2013 ref 2013/0782.) to allow update to approved plan 2251_SK_010G relating to the use of Unit 8 in Development Block D.</t>
  </si>
  <si>
    <t>Land rear of 6-8a, Fontenoy Road</t>
  </si>
  <si>
    <t>2017/1604</t>
  </si>
  <si>
    <t>Demolition of existing garages and erection of single-storey (plus basement) 4-bedroom house; erection of single storey outbuilding; associated landscaping, parking and cycle provision.</t>
  </si>
  <si>
    <t>297-301 Balham High Road (1-9 Belgravia House, 301)</t>
  </si>
  <si>
    <t>94-94a Longley Road</t>
  </si>
  <si>
    <t>2017/3823</t>
  </si>
  <si>
    <t>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t>
  </si>
  <si>
    <t>143-149 Merton Road (1-14 Priscilla Court, 145)</t>
  </si>
  <si>
    <t>Minor material amendment to planning permission 2014/6409 dated 23/03/2015 (Conversion of an unused ground floor commercial unit (A2) to form 2 self-contained, shared ownership flats. Alterations including terraces, windows and doors.) to allow the removal of step/kink in new external wall along Merton Road and Avening Terrace elevation so that it now follows the line of the existing concrete plinth originally intended for commercial unit glazing;  Proposed external area now amended to be 2 No. private amenity spaces, rather than the communal facility; New external doors/windows types and swings amended to suit floor layouts;  Internal layout nominally amended to suit LTH criteria.</t>
  </si>
  <si>
    <t>Rear of 118, St Johns Hill</t>
  </si>
  <si>
    <t>Falcon Wharf, 32-34 Lombard Road (Hotel Rafayel)</t>
  </si>
  <si>
    <t>20a Trinity Road</t>
  </si>
  <si>
    <t>2017/0534</t>
  </si>
  <si>
    <t>Demolition of existing backland structure and erection of a two-storey (1 x 2-bedroom) house.</t>
  </si>
  <si>
    <t>Mission Church development site, 22-24 Kellino Street (Tooting Boys' Club)</t>
  </si>
  <si>
    <t>Land adj. and rear of 58, Topsham Road</t>
  </si>
  <si>
    <t>Land adjoining 23, Boundaries Road</t>
  </si>
  <si>
    <t>1a Colinette Road</t>
  </si>
  <si>
    <t>191-195 Balham High Road</t>
  </si>
  <si>
    <t>31-43 Putney High Street</t>
  </si>
  <si>
    <t>6.1.3</t>
  </si>
  <si>
    <t>2017/5724</t>
  </si>
  <si>
    <t>Demolition of the existing buildings and erection of a mixed use development of between seven and ten-storeys, plus  basement level, to provide flexible Class A1/A2/A3 uses (shops, financial and professional services, restaurants and cafes);  Class B1(a) offices, and a 179 room hotel, together with associated works including a landscaped public courtyard and cycle parking facilities.</t>
  </si>
  <si>
    <t>Land rear of 39, Himley Road (39b)</t>
  </si>
  <si>
    <t>89-93 Putney High Street</t>
  </si>
  <si>
    <t>Variation of condition 9 pursuant to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[development description amended as per Non-Material Amendment 2016/5606 dated 11/10/2016]; to add Use Class A2 at basement and ground floor levels.</t>
  </si>
  <si>
    <t>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t>
  </si>
  <si>
    <t>204 Mitcham Road</t>
  </si>
  <si>
    <t>2018/1437</t>
  </si>
  <si>
    <t>Change of use of the ground and basement level from A1/A2/A3/A4/A5 to A1/A2/A3/A4/A5 and D2 (Gym) use.</t>
  </si>
  <si>
    <t>Chelsea Bridge Wharf (southern site), Queenstown Road (Phase 5, Residential Blocks F &amp; G (Lanson House &amp; Burnelli House))</t>
  </si>
  <si>
    <t>2017/4900</t>
  </si>
  <si>
    <t>Temporary use  of the ground floor of the Lanson Building as a sales and marketing suite (4 years).</t>
  </si>
  <si>
    <t>Former Domus Tiles site, 31-33 Parkgate Road/Elcho Street (27-33 Parkgate Road &amp; 2-42 Elcho Street)</t>
  </si>
  <si>
    <t>10.1.1</t>
  </si>
  <si>
    <t>The Forester, 114 Allfarthing Lane</t>
  </si>
  <si>
    <t>and land to rear, 501a Old York Road</t>
  </si>
  <si>
    <t>Tiffany Heights, 59 Standen Road</t>
  </si>
  <si>
    <t>Land between 1 and 3, 1a Wimbledon Park Road</t>
  </si>
  <si>
    <t>2017/6507</t>
  </si>
  <si>
    <t>Erection of a two-storey (basement and ground floor), 4-bedroom house including sunken courtyard, off-street parking, associated landscaping and alterations to boundary treatment included raised front boundary wall and trellis.</t>
  </si>
  <si>
    <t>South Lambeth Goods Depot, Cringle St./Battersea Park Rd., Kirtling Street (Battersea Power Station)</t>
  </si>
  <si>
    <t>2.1.1</t>
  </si>
  <si>
    <t>Phase 7 (RS-WF)</t>
  </si>
  <si>
    <t>2015/5923</t>
  </si>
  <si>
    <t>Application for Amendments to the planning permission dated the 05/12/2014 (ref: 2014/2837)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site-wide land use changes, alterations to unit mix within Development Zones O1 &amp; RS4, increases in height at roof level of Development Zone O1, redesign to Malaysia Square, increase in basement footprint; and other altetrations to buildings in relation to the Northern Line Extension, and landscaping and circulation amendments).</t>
  </si>
  <si>
    <t>Phase 3 (O-1)</t>
  </si>
  <si>
    <t>Phase 3 (RS-4)</t>
  </si>
  <si>
    <t>Phase 4 (RS-5)</t>
  </si>
  <si>
    <t>Phase 5 (RS-6)</t>
  </si>
  <si>
    <t>Phase 6 (RS-2)</t>
  </si>
  <si>
    <t>2016/5098</t>
  </si>
  <si>
    <t>DT</t>
  </si>
  <si>
    <t>Details of the scale of the buildings and structures, external appearance of those buildings and structures including facing materials, and landscaping (Condition 3) in relation to Phase 1 (Development Zone RS-1) of the Battersea Power Station development of outline planning permission dated 23rd August 2011 (ref.2009/3575) for restoration, extension, alterations and conversion of the Power Station building and demolition of other buildings and development of the land surrounding the Power Station to provide a mix of uses and open space and landscaping works. (The application consists of a partial resubmission of reserved matters relating to Phase 1 as approved 20/12/12 (ref. 2012/4584), 08/05/13 (ref. 2013/1192), 20/12/13 (ref. 2013/4229) and 02/11/2015 (ref. 2015/2320) (and also constitutes a consolidation of decision notices in relation to Phase 1 Reserve Matters)</t>
  </si>
  <si>
    <t>Phase 1 (RS-1)</t>
  </si>
  <si>
    <t>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t>
  </si>
  <si>
    <t>Jetty</t>
  </si>
  <si>
    <t>74-80 Upper Tooting Road (1-18 Whitham Court, 76)</t>
  </si>
  <si>
    <t>2017/3226</t>
  </si>
  <si>
    <t>Alterations in connection with use of the of units as counselling and psychotherapy clinic (Class D1).</t>
  </si>
  <si>
    <t>Phase III Riverside Quarter, Point Pleasant (Phase III Riverside Quarter)</t>
  </si>
  <si>
    <t>3.3.1</t>
  </si>
  <si>
    <t>Springfield Hospital site, 61 Glenburnie Road</t>
  </si>
  <si>
    <t>9.1</t>
  </si>
  <si>
    <t>2018/0882</t>
  </si>
  <si>
    <t>Alterations including erection of a two-storey pre-fabricated modular conference centre building on the eastern part of the site (to the north-east of the Elizabeth Newton Wing), for a temporary period of five years, in order to accommodate existing meeting room, study and office facilities during the re-development of the Springfield site, together with the provision of a new access pathway.</t>
  </si>
  <si>
    <t>2018/0919</t>
  </si>
  <si>
    <t>Alterations, including lighting and surface treatment, in connection with the provision of 207 car parking spaces on the western part of the site for a 5 year temporary period, in order to replace displaced car parking spaces during the re-development of the Springfield site. [The proposed parking spaces would be located adjacent to 156 existing parking spaces for hospital use].</t>
  </si>
  <si>
    <t>Garages rear of 60, Granville Road (Land adjoining playing field Viewfield Road)</t>
  </si>
  <si>
    <t>2017/6683</t>
  </si>
  <si>
    <t>Demoliton of existing double garages and erection of single-storey (plus basement) 1-bedroom house.</t>
  </si>
  <si>
    <t>South London Lofts, 36-38 Old Devonshire Road</t>
  </si>
  <si>
    <t>Upper floors, 33-37 St Johns Hill (Flats 1-10)</t>
  </si>
  <si>
    <t>2017/5336</t>
  </si>
  <si>
    <t>Alterations including change of use of the commercial tenancy at 35 St Johns Hill from Sui Generis to D1 involving alterations to shop front; Change of use of the rear part of the site from D1/A2 to C3; Erection of single-storey rear extension to provide 2 x 2 bedroom units; provision of cycle and bin storage.</t>
  </si>
  <si>
    <t>130-132 Wandsworth High Street</t>
  </si>
  <si>
    <t>2018/0079</t>
  </si>
  <si>
    <t>Demolition of existing two-storey building and erection of a six-storey building to provide a commercial unit (for either A1-A5 or D2 use) on the ground floor, and one studio, 6 x 1-bedroom flats; 1 x 2-bedroom flat, with associated roof terraces, on the upper floors.</t>
  </si>
  <si>
    <t>Garages between 77 &amp; 85, Ravenslea Road</t>
  </si>
  <si>
    <t>Battersea Dogs &amp; Cats Home, 4 Battersea Park Road</t>
  </si>
  <si>
    <t>2.1.4</t>
  </si>
  <si>
    <t>41-43 Bedford Hill</t>
  </si>
  <si>
    <t>Ibstock Place School, Clarence Lane (The Row)</t>
  </si>
  <si>
    <t>2017/0925</t>
  </si>
  <si>
    <t>Demolition of existing single storey refectory building and replacement with new single storey refectory building including new kitchen, servery, stores, mezzanine and basement and provision of a temporary kitchen and dining facilities on the southern games area during construction.</t>
  </si>
  <si>
    <t>Ground Floor, 103 East Hill</t>
  </si>
  <si>
    <t>2018/0280</t>
  </si>
  <si>
    <t>Alterations including formation of side courtyard in connection with change of use of part of ground floor from Class A3 to part Class A1 (retail) and C3 (1-bedroom flat)</t>
  </si>
  <si>
    <t>London Rowing Club, Embankment</t>
  </si>
  <si>
    <t>4 Ingate Place</t>
  </si>
  <si>
    <t>2017/2608</t>
  </si>
  <si>
    <t>Use of the whole building as B1(a) office space (Certificate of lawfulness for existing use)</t>
  </si>
  <si>
    <t>2017/3392</t>
  </si>
  <si>
    <t>Ground floor and first floor extensions to the existing building, and the creation of two additional floor levels to provide 1,119sqm of new office floorspace (use class B1(a)). The total floorspace within the building will be 2,080sqm and will accommodate small and medium business enterprises (SMEs).</t>
  </si>
  <si>
    <t>Garages rear of 168, Bedford Hill</t>
  </si>
  <si>
    <t>Garages rear of 194, Bedford Hill</t>
  </si>
  <si>
    <t>2018/0283</t>
  </si>
  <si>
    <t>Demolition of existing garage and erection of a single-storey (plus basement) 1-bedroom detached house including alterations to the front boundary wall.</t>
  </si>
  <si>
    <t>Paddock School, Priory Lane</t>
  </si>
  <si>
    <t>26 Tooting High Street</t>
  </si>
  <si>
    <t>South Thames College, Wandsworth High Street</t>
  </si>
  <si>
    <t>2014/0692</t>
  </si>
  <si>
    <t>Demolition of part of the existing refectory; single-storey extension of the existing refectory and kitchen.</t>
  </si>
  <si>
    <t>163-165 Tooting High Street</t>
  </si>
  <si>
    <t>L'Ecole de Battersea, Trott Street (Former Sacred Heart RC School)</t>
  </si>
  <si>
    <t>2018/0857</t>
  </si>
  <si>
    <t>Alterations and erection of a first floor extension above the existing storage building to provide additional office and storage space.</t>
  </si>
  <si>
    <t>Graveney School, Welham Road</t>
  </si>
  <si>
    <t>2017/4508</t>
  </si>
  <si>
    <t>Demolition of existing family centre; Erection of part single, part two and part three-storey teaching block including 2.7m high dome observatory and roof terraces to provide 9 additional  classrooms and a learning resource room.</t>
  </si>
  <si>
    <t>241 Wimbledon Park Road</t>
  </si>
  <si>
    <t>Dovercourt, 98 York Road (Lookers Volkswagen)</t>
  </si>
  <si>
    <t>10.3</t>
  </si>
  <si>
    <t>32-34 Upper Tooting Road</t>
  </si>
  <si>
    <t>336 Garratt Lane</t>
  </si>
  <si>
    <t>Putney High School, 35-37 Putney Hill</t>
  </si>
  <si>
    <t>2017/4616</t>
  </si>
  <si>
    <t>Alterations including erection of a two-storey modular teaching building (1,389 sqm) for a temporary period of four years; creation of a new permanent pedestrian entrance and an emergency access on Lytton Grove, landscape improvements, rationalisation of staff car parking (including net increase of one parking bay); replacement boundary treatment to 1.8m high fronting Lytton Grove.</t>
  </si>
  <si>
    <t>Roehampton Club, Roehampton Lane</t>
  </si>
  <si>
    <t>2017/5493</t>
  </si>
  <si>
    <t>Demolition of existing indoor tennis dome near the north-western corner of the site and the erection of a replacement indoor tennis dome structure to provide 3 x indoor tennis courts with ancillary toilet facilities, plant and viewing gallery.</t>
  </si>
  <si>
    <t>Wandsworth Prison, Heathfield Road</t>
  </si>
  <si>
    <t>9.4</t>
  </si>
  <si>
    <t>2016/4422</t>
  </si>
  <si>
    <t>Demolition of disused laundry building.</t>
  </si>
  <si>
    <t>UK</t>
  </si>
  <si>
    <t>2017/4947</t>
  </si>
  <si>
    <t>Erection of extension to accommodate lift installation (in connection with Listed Building application 2017/4982).</t>
  </si>
  <si>
    <t>Royal Hospital for Neuro Disability 101-119, 101 West Hill</t>
  </si>
  <si>
    <t>2017/4215</t>
  </si>
  <si>
    <t>Erection of a first floor extension to Drapers Ward and internal refurbishment of ward which includes the demolition of most of the internal layout. Replacement of the ground floor gym roof and windows. Installation of solar shading to the Alexandra Wing second floor quiet gym and replacement of rooflights, internal layout and refurbishment.</t>
  </si>
  <si>
    <t>181-207 Tooting High Street</t>
  </si>
  <si>
    <t>5.3</t>
  </si>
  <si>
    <t>38-40 Lower Richmond Road</t>
  </si>
  <si>
    <t>2017/3859</t>
  </si>
  <si>
    <t>Change of use from shop (Class A1) to restaurant/cafe (Class A3).</t>
  </si>
  <si>
    <t>131 St Johns Hill</t>
  </si>
  <si>
    <t>Putney Evangelical Church, Sefton Street</t>
  </si>
  <si>
    <t>2017/6357</t>
  </si>
  <si>
    <t>Demolition of existing church and erection of 2 x two storey (plus roof) 4-bedroom houses with associated landscape and boundary treatment.</t>
  </si>
  <si>
    <t>108 Upper Tooting Road</t>
  </si>
  <si>
    <t>2017/2632</t>
  </si>
  <si>
    <t>Change of use of part of the unit into a mini cab office (Class Use Sui Generis) and installation of shopfront.</t>
  </si>
  <si>
    <t>527 Garratt Lane</t>
  </si>
  <si>
    <t>2017/3268</t>
  </si>
  <si>
    <t>Continued use of basement and ground floors as a  restaurant and hot food takeaway (Class A3/A5).</t>
  </si>
  <si>
    <t>9 Lavender Hill</t>
  </si>
  <si>
    <t>2017/6675</t>
  </si>
  <si>
    <t>Use of the rear ground floor and basement as a self-contained flat.</t>
  </si>
  <si>
    <t>79-85 Putney High Street</t>
  </si>
  <si>
    <t>Roehampton Hall, Alton Road (The Cornerstone)</t>
  </si>
  <si>
    <t>2017/6304</t>
  </si>
  <si>
    <t>Alterations in connection with temporary change of use of ground floor and part basement/first floor levels from non residentail institutions (Class D1) to office (Class B1); associated landscaping and provision of two dedicated accessible parking spaces. Installation of vehicle barrier. Provision of refuse/cycle storage.</t>
  </si>
  <si>
    <t>Eaton House School, 58 Clapham Common North Side</t>
  </si>
  <si>
    <t>16 Tooting Bec Road</t>
  </si>
  <si>
    <t>2017/3288</t>
  </si>
  <si>
    <t>Change of use from estate agent (Class A2) to restaurant (Class A3).</t>
  </si>
  <si>
    <t>114 Tooting High Street</t>
  </si>
  <si>
    <t>2017/4171</t>
  </si>
  <si>
    <t>Change of use of rear ground floor addition from Shop (Class A1) to a Restaurant and Café (Class A3) with the extension of opening hours to the whole premises to 09:00- 23:30 hours Sundays to Thursdays and 09:00 to 00:00 hours Fridays and Saturdays.</t>
  </si>
  <si>
    <t>50 HavelockTerrace (Formerly 1 Gladstone Terrace)</t>
  </si>
  <si>
    <t>Western Riverside Transfer Station, Smugglers Way</t>
  </si>
  <si>
    <t>3.5</t>
  </si>
  <si>
    <t>Variation of condition 2 (hours of use) and condition 3 (restricted use) of planning permission dated 01/04/2015, ref. 2014/1184  (for change of use to storage purposes, (class B8), for storage of  construction plant including the installation of up to 13 shipping containers and laying out of 10 ancillary car parking spaces for a temporary period) so as to allow a variation of opening hours to between 06:00 to 19:00 every day, and to allow use of part of the site (approx. 80%)for storage purposes (class B8) and part of the site (approx. 20%) for coach parking (sui generis) use. [N.B. The temporary use approved under application 2014/1184 was conditioned to be for a 5 year period].</t>
  </si>
  <si>
    <t>Lidl, 141 Falcon Lane</t>
  </si>
  <si>
    <t>4.1.1</t>
  </si>
  <si>
    <t>2017/2972</t>
  </si>
  <si>
    <t>Demolition of existing Lidl foodstore and the erection of a replacement part-two/part-three storey Lidl foodstore (7405sq.m total gross floor area) with associated car and cycle parking and landscaping.</t>
  </si>
  <si>
    <t>56 Tooting High Street</t>
  </si>
  <si>
    <t>26 Wadham Road</t>
  </si>
  <si>
    <t>2017/4458</t>
  </si>
  <si>
    <t>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t>
  </si>
  <si>
    <t>526 Garratt Lane</t>
  </si>
  <si>
    <t>160 Franciscan Road</t>
  </si>
  <si>
    <t>Granard School, Cortis Road</t>
  </si>
  <si>
    <t>Unit 8 Mandeville Courtyard, 142 Battersea Park Road</t>
  </si>
  <si>
    <t>Former Caretaker House, Boyce House, Aldrington Road</t>
  </si>
  <si>
    <t>2017/0340</t>
  </si>
  <si>
    <t>Demolition of existing structure, and the erection of 1 x 2-bedroom bungalow with private parking and garden, including works to surrounding trees.</t>
  </si>
  <si>
    <t>82-84 Battersea Rise</t>
  </si>
  <si>
    <t>2017/3026</t>
  </si>
  <si>
    <t>Change of use of ground and basement floors from A3 to flexible use of A1, A2, A3 and D2 (Reconsultation: Opening hours for D2 use only to be extended to: 0600 - 21:00 (Monday to Friday) and 0730 to 2100 (Sat and Sun).</t>
  </si>
  <si>
    <t>1 Station Parade, Balham High Road</t>
  </si>
  <si>
    <t>245 Mitcham Lane</t>
  </si>
  <si>
    <t>70 Upper Tooting Road</t>
  </si>
  <si>
    <t>2017/3232</t>
  </si>
  <si>
    <t>Alterations including erection of single storey rear extension in connection with partial change of use at ground floor from shop (Class A1) into 1 x 2-bedroom flat (Class C3).</t>
  </si>
  <si>
    <t>Cockpen House, 20-30 Buckhold Road</t>
  </si>
  <si>
    <t>208-214 York Road and, 4 Chatfield Road</t>
  </si>
  <si>
    <t>10.10</t>
  </si>
  <si>
    <t>Tideway Industrial Estate, 87 Kirtling Street (Riverlight)</t>
  </si>
  <si>
    <t>2.1.9</t>
  </si>
  <si>
    <t>2017/2988</t>
  </si>
  <si>
    <t>Non-Material Amendment to planning permission 2015/1200 dated 05/08/15 (for the 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Amendment comprises an extension to the mezzanine level within Block E (Riverlight 2) to accommodate additional A3 restaurant/cafe floorspace.</t>
  </si>
  <si>
    <t>2017/3050</t>
  </si>
  <si>
    <t>Partial approval of details pursuant to Condition 19 (details of flexible commercial floorspace) relating to unit A2 (B1 office use) in the north end of Block A (Riverlight 5) only of planning permission 2011/3748, dated 15/12/11 (for the 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and approval of Condition 19 of the subsequent variation permissions 2013/4116, dated 29/11/13, 2013/6051, dated 05/03/14, 2014/2334, dated 08/08/14 and 2015/1200, dated 05/08/15.</t>
  </si>
  <si>
    <t>2017/6932</t>
  </si>
  <si>
    <t>Non-Material Amendment to planning permission 2015/1200 dated 05/08/15 (for the 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Amendment comprises the change of use of 32sqm of B1 floor space at mezzanine level within Block E (Riverlight 2) to accommodate ancillary A3 restaurant/cafe floorspace.</t>
  </si>
  <si>
    <t>New Covent Garden Market, Nine Elms Lane (Combined Main Market, Entrance site and Thessaly College site)</t>
  </si>
  <si>
    <t>2.1.27</t>
  </si>
  <si>
    <t>Apex Site</t>
  </si>
  <si>
    <t>Entrance Site</t>
  </si>
  <si>
    <t>Market Site - Existing</t>
  </si>
  <si>
    <t>Northern Site - Existing</t>
  </si>
  <si>
    <t>Northern Site - N8</t>
  </si>
  <si>
    <t>Northern Site - Other Buildings</t>
  </si>
  <si>
    <t>2015/4508</t>
  </si>
  <si>
    <t>Non-material amendment (under Section 96a of the Town and Country Planning Act) of planning permission 2014/2810, dated 11/02/15 for:_x000D_
 - the addition of a second storey to the 'Accommodation Block' located adjacent to the existing multi-storey car park; _x000D_
 - introduction of a sprinkler tank adjacent to the 'Accommodation Block';_x000D_
 - reduction in ridge height of the three main trading blocks, including alterations to the 'facade wrapping' to accommodate the height change;_x000D_
 - reduction in size of the rooflights of the three main trading blocks;_x000D_
 - increase width of the internal buyers walk; _x000D_
 - reduction in size, change to the internal arrangement and change to the exterior walls and doors of the Interim Distribution Unit (IDU);_x000D_
 - reduction in size of roof garden on Garden Heart Building; and_x000D_
 - internal rearrangement at ground floor level of the Garden Heart building and Flower Market.</t>
  </si>
  <si>
    <t>Market Site - Flower Market</t>
  </si>
  <si>
    <t>Market Site - Garden Heart Building</t>
  </si>
  <si>
    <t>Market Site - Trader Blocks A-C</t>
  </si>
  <si>
    <t>2015/6432</t>
  </si>
  <si>
    <t>Non-material amendment (under Section 96a of the Town and Country Planning Act) of planning permission 2014/2810, dated 11/02/15 for:_x000D_
 - Relocation of the substation 32.5m further south along the south-east boundary into the Consolidation Area and a reduction in its footprint by 79sqm and a reduction in its height by 0.37m;_x000D_
 - Amended siting of the Consolidation Area 5.3m further northwards with the northern end of the canopy structure extending 8.3m further northwards;_x000D_
 - Relocation of the fork lift truck access to the Consolidation Area 34m northwards along the Market Loop Road;_x000D_
 - Relocation of the Van Wash plant room from the north side of the Van Wash building to along the south-west boundary and enclosed within the extended acoustic barrier; and_x000D_
- Increase in ground floor level of the Consolidation Area (including the height of the acoustic wall) by 0.92m, and which results in a 0.23m height increase to the Van Washes.</t>
  </si>
  <si>
    <t>Market Site - Ancillary Buildings</t>
  </si>
  <si>
    <t>and land at rear (21-23), 3-4 Osiers Road (Dandara Site / Radius)</t>
  </si>
  <si>
    <t>3.3.2</t>
  </si>
  <si>
    <t>Battersea Gasholder, 101 Prince of Wales Drive</t>
  </si>
  <si>
    <t>Minor Material Amendment pursuant to conditions 1 (approved drawings), 7 (phasing plan), 8 (unit number &amp; floorspace restrictions), 14 (restricted use of residents' gym) and 19 (landscape details) of planning permission 2015/5347, dated 05/02/2016 for amendments to the basement comprising reduction in the approved footprint and reorganisation of the layout; part excavation of an additional level of basement to provide a gym; internal alterations to residential ancillary areas and alterations to the unit mix to convert a 2-bed unit into a 3-bed unit in Block D; facade alterations incorporating external balconies above terrace levels, relocation of Block J entrance; additional plant and screening to roofs; reduction in area of the private roof terraces and provision of a communal roof terrace on Block E; internal increase in the A1 retail and flexible B1/D1 floorspaces; footprint reduction of Block M (A3 café use); additional office floorspace provided in Blocks A and F; amendments to landscaping and construction phasing plan; and rewording of commencement triggers to the Cultural Strategy in the Section 106 Agreement and to conditions 23 (external plant equipment details), 25 (external noise mitigation) and 26 (noise insulation measures)._x000D_
Permission 2015/5347 was a Minor Material Amendment to permission 2015/0591, dated 18/09/15 for relocation of the existing onsite telecommunications equipment to the roof of Block J. (Permission 2015/0591 was for a mixed-use development comprising 839 residential units and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basement car and cycle parking and vehicular access.</t>
  </si>
  <si>
    <t>Non Material Amendment to planning permission 2016/1517, dated 24/10/2016 for 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and basement car and cycle parking. An Environmental Statement was submitted with the application under The Town and Country Planning (Environmental Impact Assessment) Regulations 2011 (as amended 2015). (The amendments are to Block M (café) only and comprise façade alterations, the insertion of a mezzanine level resulting in 135sqm increase in floorspace and changes to the wording of Condition 8 (unit number &amp; floorspace restrictions) to reflect the new floorspace area of the cafe (Class A3) use).</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</si>
  <si>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
_x000D_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</si>
  <si>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56-70, 56-66 Putney High Street (Wereldhave Site)</t>
  </si>
  <si>
    <t>6.1.1</t>
  </si>
  <si>
    <t>Marco Polo House, 346 Queenstown Road (Vista, Chelsea Bridge)</t>
  </si>
  <si>
    <t>2.1.5</t>
  </si>
  <si>
    <t>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t>
  </si>
  <si>
    <t>2018/0356</t>
  </si>
  <si>
    <t>Change of use of part of the ground floor and first floor from class A1/A2/A3/B1 use (retail, financial and professional services, restaurant/café, business) to class D2 use (Assembly and Leisure) to allow for use as a gymnasium.</t>
  </si>
  <si>
    <t>Unit B, 12-18 Radstock Street</t>
  </si>
  <si>
    <t>10.1.2</t>
  </si>
  <si>
    <t>Ram Brewery, Capital Studios &amp; Duvall Works, Ram Street/Armoury Way/Wandsworth High Street (The Ram Quarter)</t>
  </si>
  <si>
    <t>3.1.2</t>
  </si>
  <si>
    <t>2017/5718</t>
  </si>
  <si>
    <t>Partial demolition, internal and external alterations of the Grade II listed Brewers House and Grade II* listed Brewery Complex (Building 11) in connection to the change of use to comprise a Heritage Centre (Use Class D1), Restaurant (Use Class A3) and retained small scale Brewery (Micro Brewery, Use Class B2), and installation of plant and ventilation equipment, signage and lighting._x000D_
_x000D_
Associated Listed Building Consent ref: 2017/5696.</t>
  </si>
  <si>
    <t>B and Q Depot, Smugglers Way</t>
  </si>
  <si>
    <t>3.7</t>
  </si>
  <si>
    <t>Peabody Estate, St Johns Hill</t>
  </si>
  <si>
    <t>4.1.5</t>
  </si>
  <si>
    <t>Homebase, Swandon Way</t>
  </si>
  <si>
    <t>3.6</t>
  </si>
  <si>
    <t>Homebase, 198 York Road</t>
  </si>
  <si>
    <t>10.4</t>
  </si>
  <si>
    <t>2017/3886</t>
  </si>
  <si>
    <t>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t>
  </si>
  <si>
    <t>2018/1359</t>
  </si>
  <si>
    <t>Erection of a sales and marketing suite for a temporary period of 18 months and associated landscaping.</t>
  </si>
  <si>
    <t>74 St Rule Street</t>
  </si>
  <si>
    <t>83 Lavender Hill</t>
  </si>
  <si>
    <t>2017/6631</t>
  </si>
  <si>
    <t>Erection of a mansard roof extension to main rear roof and extensions at first, second and third floors and change of use of the property into 8-bedroom HMO (from Class C3 to Class Sui Genres).</t>
  </si>
  <si>
    <t>Hornsby House Primary School, Hearnville Road</t>
  </si>
  <si>
    <t>2017/3469</t>
  </si>
  <si>
    <t>Temporary retention of 2 x single storey modular buildings and erection of first floor extension to existing modular building (part retrospective).</t>
  </si>
  <si>
    <t>3-4 Chivalry Road</t>
  </si>
  <si>
    <t>2017/2604</t>
  </si>
  <si>
    <t>Determination as to whether prior notification is required for change of use from offices (Class B1a) to 9 x studio flats (Class C3)</t>
  </si>
  <si>
    <t>Land rear of and basement/ground floor, 629 Garratt Lane</t>
  </si>
  <si>
    <t>45 Upper Tooting Road</t>
  </si>
  <si>
    <t>2017/3853</t>
  </si>
  <si>
    <t>Erection of part single part two-storey rear extension (plus basement) to create office accommodation (Class B1).</t>
  </si>
  <si>
    <t>9-15 Elcho Street</t>
  </si>
  <si>
    <t>Workshop rear of 7-9, Aldis Street</t>
  </si>
  <si>
    <t>2017/3405</t>
  </si>
  <si>
    <t>Demolition of existing and erection of 2 x 3-bedroom houses (single-storey with basements) with associated cycle and refuse storage, car parking and landscaping.</t>
  </si>
  <si>
    <t>Big Yellow Storage, 100 Garratt Lane</t>
  </si>
  <si>
    <t>Garage adjoining 67, 67A Blakenham Road</t>
  </si>
  <si>
    <t>51 Lydden Grove</t>
  </si>
  <si>
    <t>2017/3453</t>
  </si>
  <si>
    <t>294 Cavendish Road</t>
  </si>
  <si>
    <t>The Roche School, 11 Frogmore</t>
  </si>
  <si>
    <t>2017/5753</t>
  </si>
  <si>
    <t>Alterations including demolition of teaching block in west elevation of playground and erection of two-storey building (plus basement). Erection of extension (plus basement) to teaching block on east elevation of playground and extension at third floor level including erection of clock tower to main building; internal alterations to provide additional classrooms (21 in total) to allow for increase of pupils from 328 to 380 and increase in staff from 80 to 88 (REVISED PLANS)</t>
  </si>
  <si>
    <t>Land rear of 4-24, Thrale Road (Land rear of Mitcham Lane)</t>
  </si>
  <si>
    <t>178-192 Thessaly Road</t>
  </si>
  <si>
    <t>Side alleyway, 74 Battersea Rise</t>
  </si>
  <si>
    <t>35 Upper Tooting Road</t>
  </si>
  <si>
    <t>2017/6037</t>
  </si>
  <si>
    <t>Continued use as restaurant (A3)</t>
  </si>
  <si>
    <t>729 Garratt Lane</t>
  </si>
  <si>
    <t>88 Bedford Hill</t>
  </si>
  <si>
    <t>Unit 4 Triangle House, 2 Broomhill Road</t>
  </si>
  <si>
    <t>2017/3254</t>
  </si>
  <si>
    <t>Determination as to whether prior approval is required for change of use of office at ground, first and second floor floor levels from (Class B1a) to residential (Class C3) to provide 1 x 2-bedroom flat and 2 x 1-bedroom flats.</t>
  </si>
  <si>
    <t>St Peter with St Paul Church, Vicarage and, 23-31 Plough Road (Parkside St. Peters)</t>
  </si>
  <si>
    <t>4.1.6</t>
  </si>
  <si>
    <t>78 Balham High Road</t>
  </si>
  <si>
    <t>Herb Garden, Battersea Park Yard, Albert Bridge Road</t>
  </si>
  <si>
    <t>BPS Phase 4a, Sleaford Street (Sleaford Street Industrial Estate &amp; Dairy Crest Distribution Depot)</t>
  </si>
  <si>
    <t>2.1.14</t>
  </si>
  <si>
    <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</si>
  <si>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Royal Mail Group Site, Ponton Road (Nine Elms Parkside)</t>
  </si>
  <si>
    <t>2.1.18</t>
  </si>
  <si>
    <t>Plot A</t>
  </si>
  <si>
    <t>Plot B</t>
  </si>
  <si>
    <t>Plot C</t>
  </si>
  <si>
    <t>Plot D</t>
  </si>
  <si>
    <t>Plot F</t>
  </si>
  <si>
    <t>Plot G</t>
  </si>
  <si>
    <t>Christies Auctioneers Depot, 40-42 Ponton Road (The Residence)</t>
  </si>
  <si>
    <t>2.1.19</t>
  </si>
  <si>
    <t>2016/4720</t>
  </si>
  <si>
    <t>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t>
  </si>
  <si>
    <t>Dadu's Parade, 180-218 Upper Tooting Road</t>
  </si>
  <si>
    <t>5.1</t>
  </si>
  <si>
    <t>2017/4726</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</si>
  <si>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</si>
  <si>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6-28 Gwynne Road (The Regent)</t>
  </si>
  <si>
    <t>Former Garage, 39-41 East Hill</t>
  </si>
  <si>
    <t>9.5</t>
  </si>
  <si>
    <t>Former Prices Candles Factory, 110 York Road</t>
  </si>
  <si>
    <t>10.2</t>
  </si>
  <si>
    <t>262 Upper Tooting Road</t>
  </si>
  <si>
    <t>515 Garratt Lane</t>
  </si>
  <si>
    <t>184 Northcote Road</t>
  </si>
  <si>
    <t>Unit 2, 10 Bective Place</t>
  </si>
  <si>
    <t>11 Webbs Road</t>
  </si>
  <si>
    <t>22 Trinity Road</t>
  </si>
  <si>
    <t>294 Upper Richmond Road (Flats a, b &amp; c)</t>
  </si>
  <si>
    <t>2017/4159</t>
  </si>
  <si>
    <t>Alterations including excavation to enlarge basement with formation of front lightwell and single-storey rear extension in connection with change of use of rear part of ground floor from restaurant (Class A3) to a 2-bedroom flat (Class C3).</t>
  </si>
  <si>
    <t>The Castle, 38 Tooting High Street</t>
  </si>
  <si>
    <t>2017/5439</t>
  </si>
  <si>
    <t>Retention of marquee to the rear of public house (Class A4)  for temporary period of up to 24 months.</t>
  </si>
  <si>
    <t>99 Mitcham Lane</t>
  </si>
  <si>
    <t>Land rear of 134, Cavendish Road</t>
  </si>
  <si>
    <t>25 Northcote Road</t>
  </si>
  <si>
    <t>Park House, 233 Roehampton Lane</t>
  </si>
  <si>
    <t>149-151 Wandsworth High Street</t>
  </si>
  <si>
    <t>2017/4246</t>
  </si>
  <si>
    <t>Demolition of building behind a retained facade. Erection of a four-storey building to provide two ground floor retail units with 2 x1-bedroom flats and 2 x 2-bedroom flat above. Formation of two roof terraces.</t>
  </si>
  <si>
    <t>Nightingale House, 105 Nightingale Lane</t>
  </si>
  <si>
    <t>55a Byrne Road</t>
  </si>
  <si>
    <t>66 Fairfield Street</t>
  </si>
  <si>
    <t>Lanterns Lodge, The Lanterns, Bridge Lane</t>
  </si>
  <si>
    <t>155 Burntwood Lane</t>
  </si>
  <si>
    <t>62 West Hill</t>
  </si>
  <si>
    <t>2018/0752</t>
  </si>
  <si>
    <t>Alterations including raising the ridge height by 2.1 metres of existing outbuilding  in connection with the change of use of outbuilding from Storage (Class B8) to school (Class D1). Opening hours proposed as 09:00- 19:00 hrs Mondays, Tuesdays and Thursdays and 09:00- 14:00 hrs on Saturdays.</t>
  </si>
  <si>
    <t>Land rear of 88, Thurleigh Road</t>
  </si>
  <si>
    <t>1A, 1 Winders Road</t>
  </si>
  <si>
    <t>25-29 Tooting High Street</t>
  </si>
  <si>
    <t>5.2</t>
  </si>
  <si>
    <t>Allfarthing Primary School, St Anns Crescent</t>
  </si>
  <si>
    <t>Ferrier Industrial Estate, 4 Ferrier Street</t>
  </si>
  <si>
    <t>St Michaels School, 39 Granville Road</t>
  </si>
  <si>
    <t>2017/6115</t>
  </si>
  <si>
    <t>Erection of a single-storey rear extension to provide a nursery for 24 children to operate 09:00 to 18:00; relocation of recycling store.</t>
  </si>
  <si>
    <t>The Alchemist, 225 St Johns Hill</t>
  </si>
  <si>
    <t>6 Lavender Hill</t>
  </si>
  <si>
    <t>The Spencer Club, Fieldview</t>
  </si>
  <si>
    <t>2017/6442</t>
  </si>
  <si>
    <t>Erection of replacement single storey sports building to house indoor cricket nets with associated boundary treatment and formation of pedestrian access from Fieldview.</t>
  </si>
  <si>
    <t>214 Upper Richmond Road</t>
  </si>
  <si>
    <t>100 Upper Tooting Road</t>
  </si>
  <si>
    <t>Ima House, 20 Northfields</t>
  </si>
  <si>
    <t>120 Upper Richmond Road</t>
  </si>
  <si>
    <t>535 Battersea Park Road</t>
  </si>
  <si>
    <t>2017/3967</t>
  </si>
  <si>
    <t>Alterations including erection of single storey side extension and installation of new shopfront.</t>
  </si>
  <si>
    <t>Brandlehow Primary School, Brandlehow Road</t>
  </si>
  <si>
    <t>Thomas's Preparatory School, 28-40, 28 Battersea High Street</t>
  </si>
  <si>
    <t>19-21 Mitcham Road</t>
  </si>
  <si>
    <t>Unit 6 The Kimber Centre, 54 Kimber Road</t>
  </si>
  <si>
    <t>2016/0568</t>
  </si>
  <si>
    <t>Erection of two-storey extension to front of warehouse under existing retained roof.</t>
  </si>
  <si>
    <t>St Marys C of E Primary School, Felsham Road</t>
  </si>
  <si>
    <t>Linton Fuels, Osiers Road (Land at Linton Fuels Osiers Road)</t>
  </si>
  <si>
    <t>3.3.4</t>
  </si>
  <si>
    <t>Unit 118 Prospect Quay, 98 Point Pleasant</t>
  </si>
  <si>
    <t>Cringle Dock, Cringle Street</t>
  </si>
  <si>
    <t>2.1.6</t>
  </si>
  <si>
    <t>9, Osiers Road (11 and 19 Osiers Road)</t>
  </si>
  <si>
    <t>3.3.3</t>
  </si>
  <si>
    <t>The London Mosque, 16 Gressenhall Road</t>
  </si>
  <si>
    <t>Jessica House, Red Lion Square</t>
  </si>
  <si>
    <t>253a, 253-255 Putney Bridge Road</t>
  </si>
  <si>
    <t>2018/0386</t>
  </si>
  <si>
    <t>Change of use of part of the ground floor from retail (Class A1) to office (Class B1) including internal alterations.</t>
  </si>
  <si>
    <t>28-30 Putney High Street</t>
  </si>
  <si>
    <t>5-7 Tooting High Street</t>
  </si>
  <si>
    <t>191 Replingham Road</t>
  </si>
  <si>
    <t>South Thames College &amp; Welbeck House, 17-27 Garratt Lane</t>
  </si>
  <si>
    <t>3.1.4</t>
  </si>
  <si>
    <t>Non-material amendment to planning permission dated 08/07/2015 ref 2014/5149 (Demolition of existing buildings and erection of four new buildings ranging in height from 4 to 26 storeys to provide 201 residential units, 2,458sq.m of commercial floor space (Class A1,A2,A3, A4 and A5,B1(a) and D1 (relocation of Wandsworth Library) and associated parking, access routes, amenity space, public realm works and alterations to the adjacent Old Burial Ground on Garratt Lane) to removal and replacement of substations on site, reduce the height of blocks by between 300mm-1050mm, alterations to shopfront of block D, provision of caretaker room  in block D, alteration to access of basement car park; reconfigured basement plan including increase in car parking spaces; relocation od staircase in block A; alterations to layout of residential units; removal of one lift in block A; basement extract ventilation proposed to block A/ B; lift over-run and roof plant indicated; alterations to fenestration; increase in gym floorspace and commercial bin store provided in block D.</t>
  </si>
  <si>
    <t>Main Site, Ballymore, Ponton Road (Embassy Gardens)</t>
  </si>
  <si>
    <t>2.1.16</t>
  </si>
  <si>
    <t>2014/1097</t>
  </si>
  <si>
    <t>Minor-material amendments (under S73 of Town and Country Planning Act) to pp_x000D_
2011/1815 granted 30/03/2012 for demolition of all existing buildings and_x000D_
construction of a mixed use redevelopment to provide residential units, including_x000D_
affordable housing, retail, financial and professional services, cafe/restaurant, bar_x000D_
and hot food take-away uses, car showrooms, office floorspace and flexible_x000D_
workspace, a hotel, community uses and assembly and leisure uses, associated_x000D_
basement and ground level parking and servicing; energy centres; new vehicle and_x000D_
pedestrian access and circulation; and new public amenity space and landscaping_x000D_
including part of the 'Linear Park'.  Amendments relate to plot A09 only, and include introduction of business centre and resident's cinema at ground floor level, and relocating swimming pool to first floor podium level, and elevational changes.  Involving amendments to conditions 61 (approved drawings) and 10 part J (assembly  &amp; leisure maximum floorspace).</t>
  </si>
  <si>
    <t>2015/4499</t>
  </si>
  <si>
    <t>'Submission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</si>
  <si>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A03</t>
  </si>
  <si>
    <t>A04</t>
  </si>
  <si>
    <t>A05</t>
  </si>
  <si>
    <t>2015/5658</t>
  </si>
  <si>
    <t>Proposal seeks amendments to the approved development specification and condition 10; revised ground uses parameter plan; revised vertical parameter plan and revised horizontal parameter plan.</t>
  </si>
  <si>
    <t>A07</t>
  </si>
  <si>
    <t>2015/5664</t>
  </si>
  <si>
    <t>Details of Reserved Matters (scale, layout, access, external appearance and landscaping) for plot A01 of Phase 3,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</si>
  <si>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A01</t>
  </si>
  <si>
    <t>2016/6747</t>
  </si>
  <si>
    <t>Non Material Amendment (S96) to the Reserved Matters (scale, layout, access, external appearance and landscaping) for plot A02 of Phase 3 approved under application reference 2015/4932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Amendments sought include (i) Re-design the ground floor and mezzanine levels (ii) Enlarge the 10th floor to recover the office space lost on ground floor and mezzanine (iii) Re-design the core (iv) Underground car parking has been replaced by surface parking along the eastern edge of the building providing 6 bays</t>
  </si>
  <si>
    <t>A02</t>
  </si>
  <si>
    <t>A09</t>
  </si>
  <si>
    <t>A10</t>
  </si>
  <si>
    <t>A11</t>
  </si>
  <si>
    <t>2017/6436</t>
  </si>
  <si>
    <t>The use of Unit 2 Plot A10 within Phase 1 of the Embassy Gardens Development as a flexible A2 (Financial and Professional Services), A3 (Restaurant/Café) A4 (Drinking Establishment) with opening hours of 7.00 to 24.00 Mon to Sunday.</t>
  </si>
  <si>
    <t>2018/0508</t>
  </si>
  <si>
    <t>The change of use of Unit 1B to create two self-contained units comprising a beauty salon/cafe (A1 and A3 Use) and an indoor cycling studio (D2 Use) and associated external alterations.</t>
  </si>
  <si>
    <t>172-176 Balham High Road</t>
  </si>
  <si>
    <t>34 Elmbourne Road</t>
  </si>
  <si>
    <t>2017/4646</t>
  </si>
  <si>
    <t>Part Change of Use of Basement Residential Swimming Pool (Class C3) to Residential Swimming Pool and Swimming School (Class C3/D2)</t>
  </si>
  <si>
    <t>Garages adjacent to, 125 Pendle Road</t>
  </si>
  <si>
    <t>19 Thrale Road</t>
  </si>
  <si>
    <t>2017/3065</t>
  </si>
  <si>
    <t>Alterations including change from 1 x 1-bedroom to 1 x 2-bedroom flat; part change of use of A2 Use Class commercial unit to C3 Use Class to provide additional floor area for 2-bedroom flat; alterations to rear elevation.</t>
  </si>
  <si>
    <t>111-113 Wandsworth High Street</t>
  </si>
  <si>
    <t>2017/6538</t>
  </si>
  <si>
    <t>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t>
  </si>
  <si>
    <t>Garages adjoining 2, Sutherland Grove</t>
  </si>
  <si>
    <t>British Genius site, Battersea Park, Albert Bridge Road</t>
  </si>
  <si>
    <t>and land rear of 100, 98-100 Tooting Bec Road</t>
  </si>
  <si>
    <t>45 Trinity Road</t>
  </si>
  <si>
    <t>Unit 25-28 Ransomes Dock, 35-37 Parkgate Road (Ransomes Dock Business Centre)</t>
  </si>
  <si>
    <t>2018/0808</t>
  </si>
  <si>
    <t>Determination as to whether prior approval is required for change of use of office at thrid floor level (Use Class B1(a)) to residential (Use Class C3) to provide 1 x 2  bedroom flat.</t>
  </si>
  <si>
    <t>50 Thessaly Road</t>
  </si>
  <si>
    <t>22 Melrose Road</t>
  </si>
  <si>
    <t>2017/4893</t>
  </si>
  <si>
    <t>Retention of alterations in connection with continued use as a house in multiple occupation (Class C4).</t>
  </si>
  <si>
    <t>Rear of 32, Brightwell Crescent</t>
  </si>
  <si>
    <t>Richmond Mansions, Lower Richmond Road</t>
  </si>
  <si>
    <t>1 Lavender Sweep</t>
  </si>
  <si>
    <t>2017/5758</t>
  </si>
  <si>
    <t>Determination as to whether prior approval is required for change of use of offices (Class B1a) to residential (Class C3) to provide 4 x 1-bedroom flats.</t>
  </si>
  <si>
    <t>Site adjoining 60, Aliwal Road</t>
  </si>
  <si>
    <t>The Crown Hotel, 102 Lavender Hill</t>
  </si>
  <si>
    <t>25 Pensbury Place</t>
  </si>
  <si>
    <t>2.1.33</t>
  </si>
  <si>
    <t>Blithe Spirit, 157 Balham High Road</t>
  </si>
  <si>
    <t>Reef House, Coral Row (Plantation Wharf)</t>
  </si>
  <si>
    <t>1A Dinsmore Road</t>
  </si>
  <si>
    <t>3 &amp; 4 The Boulevard, Balham High Road</t>
  </si>
  <si>
    <t>36 Lavender Hill</t>
  </si>
  <si>
    <t>The Mission Hall, Walkers Place</t>
  </si>
  <si>
    <t>Unit 21-24, 35-37 Parkgate Road (Ransomes Dock Business Centre)</t>
  </si>
  <si>
    <t>2018/0812</t>
  </si>
  <si>
    <t>Determination as to whether prior approval is required for change of use of office at second floor level (Use Class B1(a)) to residential (Use Class C3) to provide 1 x 1 bedroom flat.</t>
  </si>
  <si>
    <t>Southfields Post Office and St Pauls Church Hall, 265-271 Wimbledon Park Road</t>
  </si>
  <si>
    <t>2018/0357</t>
  </si>
  <si>
    <t>Demolition of existing building and erection of four storey building (with lower ground floor level) to provide 1 x 3-bedroom, 5 x 2-bedroom, 1 x 1-bedroom and 1 x studio flats with terraces to front and rear; 2 x retail units (Class A1) at ground floor level with associated car parking, cycle and refuse storage.</t>
  </si>
  <si>
    <t>2-8 Leverson Street</t>
  </si>
  <si>
    <t>47 Balham Hill</t>
  </si>
  <si>
    <t>2017/2194</t>
  </si>
  <si>
    <t>Change of use from estate agent (Class A2) to drinking establishment (Class A4) including external alterations, and proposed opening hours of 10:00 to 23:00 Sunday to Thursday and bank holidays, and 10:00 to 01:00 Friday and Saturday.</t>
  </si>
  <si>
    <t>239 Wimbledon Park Road</t>
  </si>
  <si>
    <t>235 Queenstown Road</t>
  </si>
  <si>
    <t>Ground floor, 112 Tooting High Street</t>
  </si>
  <si>
    <t>57-59 Balham Hill</t>
  </si>
  <si>
    <t>2017/4913</t>
  </si>
  <si>
    <t>Alterations in connection with change of use of ground floor from Sui Generis to flexible use (Class A1-A3 and D2 ( gym/fitness studio/yoga centre).</t>
  </si>
  <si>
    <t>Tooting Market, 21-23 Tooting High Street</t>
  </si>
  <si>
    <t>2017/5511</t>
  </si>
  <si>
    <t>Alterations to the approved market extension including changes to the north-western building line and the inclusion of a flat roof section with plant over-run to the rear; change of use from the approved A3/A4 to include A1/A3/A4/B1 uses; and use of the Totterdown Street entrance to the site for general access during market opening hours (part retrospective).</t>
  </si>
  <si>
    <t>The Castle, 115 Battersea High Street</t>
  </si>
  <si>
    <t>Variation of condition 11 (restricted use) pursuant to planning permission dated 19/6/2015 ref: 2014/6892 (Demolition of existing public house and erection of a replacement building up to four-storeys high to provide a new public house on the ground floor with 9 residential units above with associated amenity space, including pub garden, roof terraces and balconies and cycle parking facilities.) to vary the condition to allow a change of use of ground floor from drinking establishment (Class A4) to non-residential institutions (day nursery) (Class D1).</t>
  </si>
  <si>
    <t>3-4 Podmore Road</t>
  </si>
  <si>
    <t>1A Garratt Terrace, 58-62 Tooting High Street</t>
  </si>
  <si>
    <t>134-142 Mitcham Road (Pearl Chemist)</t>
  </si>
  <si>
    <t>Land west of, 17 Broadwater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</si>
  <si>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</si>
  <si>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206-208 &amp; 2A Stella Road, Mitcham Road</t>
  </si>
  <si>
    <t>58a Selkirk Road</t>
  </si>
  <si>
    <t>192 Upper Richmond Road</t>
  </si>
  <si>
    <t>2018/0294</t>
  </si>
  <si>
    <t>Change of use from financial and professional services (Class A2) to skincare clinic (Class D1).</t>
  </si>
  <si>
    <t>137 Putney Bridge Road</t>
  </si>
  <si>
    <t>Saint John Bosco College, Princes Way (Former John Paul II School)</t>
  </si>
  <si>
    <t>Rear of 667-669, 667-669 Garratt Lane</t>
  </si>
  <si>
    <t>10.8</t>
  </si>
  <si>
    <t>21 Balham High Road</t>
  </si>
  <si>
    <t>2017/4140</t>
  </si>
  <si>
    <t>Demolition of two-storey back addition. Erection of single storey rear extension to provide 1 x 1-bedroom flats.</t>
  </si>
  <si>
    <t>Land south of 75, 75 Alston Road</t>
  </si>
  <si>
    <t>28 Thessaly Road</t>
  </si>
  <si>
    <t>157 Upper Tooting Road</t>
  </si>
  <si>
    <t>160 Upper Tooting Road</t>
  </si>
  <si>
    <t>Delta House, Riverside Road</t>
  </si>
  <si>
    <t>197 Blackshaw Road</t>
  </si>
  <si>
    <t>Swaffield Primary School, St Anns Hill</t>
  </si>
  <si>
    <t>R/O Southwest London Law Centres, 101A Tooting High Street</t>
  </si>
  <si>
    <t>Tooting Bec Lido, Tooting Bec Road</t>
  </si>
  <si>
    <t>76 Queenstown Road</t>
  </si>
  <si>
    <t>915 Garratt Lane</t>
  </si>
  <si>
    <t>2017/5094</t>
  </si>
  <si>
    <t>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t>
  </si>
  <si>
    <t>507 Battersea Park Road</t>
  </si>
  <si>
    <t>open croft area, 1-29 Danebury Avenue</t>
  </si>
  <si>
    <t>8.1.1</t>
  </si>
  <si>
    <t>Carlton House (&amp; 27A Carlton Drive), 85-91 Upper Richmond Road</t>
  </si>
  <si>
    <t>6.2.4</t>
  </si>
  <si>
    <t>44-46 Falcon Road</t>
  </si>
  <si>
    <t>2 Tooting Bec Road</t>
  </si>
  <si>
    <t>2017/3193</t>
  </si>
  <si>
    <t>Change of use from retail (Class A1) to a restaurant and cafe (Class A3).</t>
  </si>
  <si>
    <t>18 Fallsbrook Road</t>
  </si>
  <si>
    <t>Land Adjacent, 10 Glentanner Way</t>
  </si>
  <si>
    <t>Centre Square 1-9, 1 Hardwicks Square</t>
  </si>
  <si>
    <t>land adjacent to 72, 72A Bedford Hill</t>
  </si>
  <si>
    <t>28 Tooting Bec Road</t>
  </si>
  <si>
    <t>115 Lower Richmond Road</t>
  </si>
  <si>
    <t>Battersea Bar/The Chopper, 58-70 York Road</t>
  </si>
  <si>
    <t>10.14</t>
  </si>
  <si>
    <t>129-139 Beaumont Road</t>
  </si>
  <si>
    <t>2017/2058</t>
  </si>
  <si>
    <t>Demolition of the existing parade of shops to be replaced with a mixed use, commercial / residential block. Proposed block to be 5 storey and incorporate 28 residential units with commercial space at ground floor.</t>
  </si>
  <si>
    <t>Broadway Studio, 28 Tooting High Street</t>
  </si>
  <si>
    <t>4.1.7</t>
  </si>
  <si>
    <t>70A Ravensbury Road</t>
  </si>
  <si>
    <t>Land r/o, 14A Lavender Hill</t>
  </si>
  <si>
    <t>Carlson Court, 116 Putney Bridge Road</t>
  </si>
  <si>
    <t>2017/2221</t>
  </si>
  <si>
    <t>Non-material amendment to planning permission dated 15/09/2016 ref 2016/4016 [Demolition of the existing building and erection of a new building up to five-storeys high, plus basement level, to provide 9,596 sq.m. of class B1(a) office floorspace and 751 sq.m. of commercial floorspace (for either A1/A3/B1 or D1 use), with associated plant, and including the provision of roof terraces, together with 22 basement car parking spaces accessed from Deodar Road, and associated cycle parking provision] to allow a correction to the description of development to replace D1 use with D2 use in order to be consistent with the use shown on the approved drawings.</t>
  </si>
  <si>
    <t>Land rear of, 76-77 Stanley Grove (Land adjacent to 76a Stanley Grove)</t>
  </si>
  <si>
    <t>Church of the Nazarene, 2 Grant Road</t>
  </si>
  <si>
    <t>Heliport House, 38 Lombard Road</t>
  </si>
  <si>
    <t>15 Fernthorpe Road</t>
  </si>
  <si>
    <t>148-150 Penwith Road</t>
  </si>
  <si>
    <t>2017/3067</t>
  </si>
  <si>
    <t>Determination as to whether prior approval is required for change of use of offices on part first and second floor levels from (Class B1a)  to residential (Class C3) to provide 3 x 2-bedroom, 3 x 1-bedroom and 1 x studio flats.</t>
  </si>
  <si>
    <t>2017/6636</t>
  </si>
  <si>
    <t>Alterations in connection with change of use from Music School (Class D1) to residential (Class C3) to provide 2 x 1-bedroom flats.</t>
  </si>
  <si>
    <t>The Imperial Laundry, 71 Warriner Gardens</t>
  </si>
  <si>
    <t>Phase 2 Development Wandsworth Business Village, Buckhold Road (Former Army Cadet Force Building)</t>
  </si>
  <si>
    <t>3.1.1</t>
  </si>
  <si>
    <t>335 Battersea Park Road</t>
  </si>
  <si>
    <t>343 Wimbledon Park Road</t>
  </si>
  <si>
    <t>Chatfield Court, 56 Chatfield Road</t>
  </si>
  <si>
    <t>Unit 2 Windward House, Square Rigger Row</t>
  </si>
  <si>
    <t>Bedford House, 215 Balham High Road</t>
  </si>
  <si>
    <t>86-88 Garratt Lane</t>
  </si>
  <si>
    <t>2017/2933</t>
  </si>
  <si>
    <t>Erection of a single storey building, with associated wheelchair access ramp, for temporary use (18 months) for marketing purposes in connection with the consented Mapleton Crescent development (ref: 2015/5777)</t>
  </si>
  <si>
    <t>56 Trinity Road</t>
  </si>
  <si>
    <t>10-10A, 10 Selkirk Road</t>
  </si>
  <si>
    <t>Units 21,22 &amp; 23 Ransomes Dock, 35-37 Parkgate Road (Ransomes Dock Business Centre)</t>
  </si>
  <si>
    <t>2017/3103</t>
  </si>
  <si>
    <t>Determination as to whether prior approval is required for change of use of office at first floor level from (Class B1a) to residential (Class C3) to provide 1 x 2-bedroom and 1 x 1-bedroom flats.</t>
  </si>
  <si>
    <t>90-92 Garratt Lane</t>
  </si>
  <si>
    <t>15 St Johns Hill</t>
  </si>
  <si>
    <t>2016/6980</t>
  </si>
  <si>
    <t>Change of use of the second and third floors from office (Class B1a) to residential (Class C3) to provide two one-bedroom flats (retrospective).</t>
  </si>
  <si>
    <t>261 Lavender Hill</t>
  </si>
  <si>
    <t>Unit 17, 18 21, 22 &amp; 23 Ransomes Dock Business Centre, 35-37 Parkgate Road (Ransomes Dock Business Centre)</t>
  </si>
  <si>
    <t>64 St Johns Road</t>
  </si>
  <si>
    <t>2017/4151</t>
  </si>
  <si>
    <t>Prior approval for change of use of first, second and third floors from offices (Class B1a) to residential use (Class C3) as 3 flats.</t>
  </si>
  <si>
    <t>159 Putney High Street</t>
  </si>
  <si>
    <t>135 Wandsworth High Street</t>
  </si>
  <si>
    <t>2017/3565</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</si>
  <si>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</si>
  <si>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176 Upper Tooting Road</t>
  </si>
  <si>
    <t>Neals Farm Cottage and The Lodge, Dorlcote Road</t>
  </si>
  <si>
    <t>271-273 Upper Richmond Road</t>
  </si>
  <si>
    <t>7 Lavender Hill</t>
  </si>
  <si>
    <t>525 Old York Road</t>
  </si>
  <si>
    <t>Alterations to include the erection of enlarged dormer to front roof slope,  erection of a part-single, part two-storey rear extension, rear mansard roof extension and roof extension with roof terrace over rear addition; basement excavation with rear enclosed courtyard and formation of side lightwell; change of use of rear part of ground floor commercial unit/shop (Class Use B1)  to residential (Class Use C3) in connection with retention of office (Class B1) unit and provision of three flats (subsequent application to planning permission ref: 2014/4269 dated 18/09/2016)</t>
  </si>
  <si>
    <t>Land Adjacent, 33 Vandyke Close</t>
  </si>
  <si>
    <t>71 Lavender Hill</t>
  </si>
  <si>
    <t>8 York Road</t>
  </si>
  <si>
    <t>25 Frogmore</t>
  </si>
  <si>
    <t>Rear of, 60 Culverden Road</t>
  </si>
  <si>
    <t>House Boat Jadu, Vicarage Crescent</t>
  </si>
  <si>
    <t>Unit A, 46 Oakmead Road</t>
  </si>
  <si>
    <t>Unit F The Mews, 6 Putney Common</t>
  </si>
  <si>
    <t>14 Oakhill Road</t>
  </si>
  <si>
    <t>115 Mitcham Lane</t>
  </si>
  <si>
    <t>1 Putney Wharf Tower, Brewhouse Lane</t>
  </si>
  <si>
    <t>56-66 Gwynne Road</t>
  </si>
  <si>
    <t>116 Upper Richmond Road</t>
  </si>
  <si>
    <t>166 Battersea Park Road</t>
  </si>
  <si>
    <t>Land rear of, 13 Thurleigh Road</t>
  </si>
  <si>
    <t>Hookham Court Garages, Deeley Road</t>
  </si>
  <si>
    <t>241 Balham High Road</t>
  </si>
  <si>
    <t>and 2-24 Mendip Road, 1-9 Chatfield Road</t>
  </si>
  <si>
    <t>10.6</t>
  </si>
  <si>
    <t>Battersea Park East, Queenstown Road (Battersea Exchange)</t>
  </si>
  <si>
    <t>2.1.30</t>
  </si>
  <si>
    <t>Tooting Constitutional Club, 111-113 Tooting High Street</t>
  </si>
  <si>
    <t>289 Battersea Park Road</t>
  </si>
  <si>
    <t>9.10</t>
  </si>
  <si>
    <t>Car Park and Land South of, Osiers Road</t>
  </si>
  <si>
    <t>ground floor, 25 Alston Road</t>
  </si>
  <si>
    <t>2017/3215</t>
  </si>
  <si>
    <t>Alterations including erection of single-storey rear extension in connection with the change of use of ground floor from office (Class B1) to 1 x 1 bedroom flat (Class C3),</t>
  </si>
  <si>
    <t>1 Gatton Road</t>
  </si>
  <si>
    <t>1 Leeward House, Square Rigger Row</t>
  </si>
  <si>
    <t>Units 2, 3, 4, 5, 6, &amp; 7 Leeward House, Square Rigger Row (Plantation Wharf)</t>
  </si>
  <si>
    <t>East &amp; West 1,2,3,4, &amp; 8, Square Rigger Row (Plantation Wharf)</t>
  </si>
  <si>
    <t>Units 3,4,5,6,7, &amp; 8 Windward House, Square Rigger Row (Plantation Wharf)</t>
  </si>
  <si>
    <t>46 Ponton Road</t>
  </si>
  <si>
    <t>2.1.20</t>
  </si>
  <si>
    <t>194 Lavender Hill</t>
  </si>
  <si>
    <t>Land west of River Wandle / north of electricity sub-station, Mapleton Crescent</t>
  </si>
  <si>
    <t>199 Garratt Lane</t>
  </si>
  <si>
    <t>19-21 &amp; 31-37, Cabul Road</t>
  </si>
  <si>
    <t>341 Battersea Park Road</t>
  </si>
  <si>
    <t>3 Selkirk Road</t>
  </si>
  <si>
    <t>Garages in, Heathwall Street</t>
  </si>
  <si>
    <t>26 Lavender Hill</t>
  </si>
  <si>
    <t>Ground floor, 89 Replingham Road</t>
  </si>
  <si>
    <t>2 Ravenswood Road</t>
  </si>
  <si>
    <t>2A Revelstoke Road</t>
  </si>
  <si>
    <t>and Land rear of 224, 224 Tooting High Street</t>
  </si>
  <si>
    <t>rear of, 135 Mitcham Road</t>
  </si>
  <si>
    <t>2017/0406</t>
  </si>
  <si>
    <t>Change of use from office (Class B1) to 1 x 1-bedroom dwelling (Class C3) and alterations including erection of first floor extension..</t>
  </si>
  <si>
    <t>Land at, Stormont Road</t>
  </si>
  <si>
    <t>Ground Floor, 38 Replingham Road</t>
  </si>
  <si>
    <t>87 Putney High Street</t>
  </si>
  <si>
    <t>281 Lavender Hill</t>
  </si>
  <si>
    <t>2 Balham Grove</t>
  </si>
  <si>
    <t>St Goar Cottage, Manfred Road</t>
  </si>
  <si>
    <t>147 Northcote Road</t>
  </si>
  <si>
    <t>173 Battersea Church Road (163-199)</t>
  </si>
  <si>
    <t>8 Bellevue Road</t>
  </si>
  <si>
    <t>193 Lower Richmond Road</t>
  </si>
  <si>
    <t>Bright Cook House, 139 Upper Richmond Road</t>
  </si>
  <si>
    <t>149 Balham Hill</t>
  </si>
  <si>
    <t>627 Garratt Lane</t>
  </si>
  <si>
    <t>Land rear of 63A, 63 Westcote Road</t>
  </si>
  <si>
    <t>31 St Johns Hill</t>
  </si>
  <si>
    <t>Unit D The Mews, 6 Putney Common</t>
  </si>
  <si>
    <t>161 Wimbledon Park Road</t>
  </si>
  <si>
    <t>186-188 Balham High Road</t>
  </si>
  <si>
    <t>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t>
  </si>
  <si>
    <t>79 Trinity Road</t>
  </si>
  <si>
    <t>60 Lavender Hill</t>
  </si>
  <si>
    <t>Land adjacent to 75, 75 Kimber Road</t>
  </si>
  <si>
    <t>48 &amp; 47A, 48 Lower Richmond Road</t>
  </si>
  <si>
    <t>250 Upper Tooting Road</t>
  </si>
  <si>
    <t>Garages &amp; Land west of 17 &amp; 19, 17 Sutherland Grove (2a Combemartin Road)</t>
  </si>
  <si>
    <t>Unit 16 Mandeville Courtyard, 142 Battersea Park Road</t>
  </si>
  <si>
    <t>Unit B The Mews, 6 Putney Common</t>
  </si>
  <si>
    <t>Unit C The Mews, 6 Putney Common</t>
  </si>
  <si>
    <t>4 Abercrombie Street</t>
  </si>
  <si>
    <t>Unit 3 &amp; 20 Ransomes Dock Business Centre, 35-37 Parkgate Road (Ransomes Dock Business Centre)</t>
  </si>
  <si>
    <t>Caretaker Office Overstrand Mansions, Prince of Wales Drive</t>
  </si>
  <si>
    <t>520 Garratt Lane</t>
  </si>
  <si>
    <t>6 Broadwater Road</t>
  </si>
  <si>
    <t>2017/2748</t>
  </si>
  <si>
    <t>Demolition of commercial properties and erection of three - storey building (plus roof terrace) to provide 1 x two bedroom &amp; 2 x one bedroom flats, with associated landscaping and refuse stores.</t>
  </si>
  <si>
    <t>53-55 Tooting High Street</t>
  </si>
  <si>
    <t>44 Melrose Court, Melrose Road</t>
  </si>
  <si>
    <t>Phoenix Members Bar Club, 37 Groom Crescent (Former Greenside Social Club)</t>
  </si>
  <si>
    <t>Garages west of, 13 Limpsfield Avenue</t>
  </si>
  <si>
    <t>47 Thurleigh Road</t>
  </si>
  <si>
    <t>203 Replingham Road</t>
  </si>
  <si>
    <t>The Stable Yard, 16A Balham Hill</t>
  </si>
  <si>
    <t>Land adjacent Jordan Lodge, Nutwell Street</t>
  </si>
  <si>
    <t>157A, 157 Mitcham Road</t>
  </si>
  <si>
    <t>Unit E The Mews, 6 Putney Common</t>
  </si>
  <si>
    <t>259 Putney Bridge Road</t>
  </si>
  <si>
    <t>5 St Georges Court, 131 Putney Bridge Road</t>
  </si>
  <si>
    <t>Change of Use from Office [class B1] to Residential [class C3] in connection with the provision of a one- bedroom flat.</t>
  </si>
  <si>
    <t>Land adjacent 75, 75 Putney Bridge Road</t>
  </si>
  <si>
    <t>9-11 Chestnut Grove</t>
  </si>
  <si>
    <t>615 Garratt Lane</t>
  </si>
  <si>
    <t>Land and forecourt adjacent to, 44 Rowditch Lane</t>
  </si>
  <si>
    <t>Land adjacent to 13-48 Gravenel Gardens, Nutwell Street</t>
  </si>
  <si>
    <t>175 Replingham Road</t>
  </si>
  <si>
    <t>The Bricklayers Arms, 32 Waterman Street</t>
  </si>
  <si>
    <t>Chestnut Grove School, 45 Chestnut Grove</t>
  </si>
  <si>
    <t>Variation of conditions 2 (in accordance with approved drawings), 4 (surface water drainage scheme) &amp; 30 (external lighting)  pursuant to planning permission dated 16/12/2015 ref 2015/5395 (Demolition of the main school building, sixth form common room, and two demountable classrooms. Erection of two school buildings comprising a 3-storey 'L' shaped building fronting Hearnville Road and Chestnut Grove, and a part 2-part 3-storey rectangular building parallel to the railway line. Erection of substation to the east of the Victorian Building on Hearnville Road, and erection of kiln and store as an extension to the Art Block. Relocation of temporary buildings and containers. Provision of a central landscaped area and replacement sports pitches. Alterations to the access arrangements. Reconfiguration of the existing car park, and provision of cycle storage) to provide floodlighting, additional sports pitch, outdoor dining space and retain portacabin classrooms.</t>
  </si>
  <si>
    <t>Land east of 11-13 (11A), 11-13 Stanmer Street</t>
  </si>
  <si>
    <t>Prince of Wales P.H, 270 Cavendish Road</t>
  </si>
  <si>
    <t>Unit 3 River Reach Business Park, Gartons Way</t>
  </si>
  <si>
    <t>114 Upper Richmond Road</t>
  </si>
  <si>
    <t>2017/4676</t>
  </si>
  <si>
    <t>Change of use from shop ( Class A1 to marketing suite (Sui Generis).</t>
  </si>
  <si>
    <t>7 The Boulevard, Balham High Road</t>
  </si>
  <si>
    <t>Jack's Place, 12 York Road</t>
  </si>
  <si>
    <t>Units 1 &amp; 2, 9 Osiers Road</t>
  </si>
  <si>
    <t>2018/0675</t>
  </si>
  <si>
    <t>Alterations including installation of roller shutter doors and bunded diesel storage tank in connection with proposed change of use from  Class B8 (storage and distribution) to use for the storage and distribution of vehicles and diesel, with associated office space (use class Sui Generis).</t>
  </si>
  <si>
    <t>Garages &amp; Forecourt 72-82, 72-82 Gaskarth Road (1-6 Gaskarth Road)</t>
  </si>
  <si>
    <t>28 Lacy Road</t>
  </si>
  <si>
    <t>118 Upper Tooting Road</t>
  </si>
  <si>
    <t>2017/5176</t>
  </si>
  <si>
    <t>Alterations including excavation of basement and rear courtyard and erection of four-storey (including basement) rear extension to provide commercial floorspace (Class A1/A2 use) over part of ground and basement levels and 4 x residential studios (Class C3).</t>
  </si>
  <si>
    <t>826 Garratt Lane</t>
  </si>
  <si>
    <t>Former White Lion P.H., 14-16 Putney High Street</t>
  </si>
  <si>
    <t>72 Lower Richmond Road</t>
  </si>
  <si>
    <t>357-359, 357-359 Garratt Lane</t>
  </si>
  <si>
    <t>2018/0078</t>
  </si>
  <si>
    <t>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t>
  </si>
  <si>
    <t>207 Garratt Lane</t>
  </si>
  <si>
    <t>213 Upper Richmond Road</t>
  </si>
  <si>
    <t>Audiology House, 45 Nightingale Lane</t>
  </si>
  <si>
    <t>22 Trewint Street</t>
  </si>
  <si>
    <t>97 St Johns Hill</t>
  </si>
  <si>
    <t>55 Kimber Road</t>
  </si>
  <si>
    <t>Penthouse 81 Riverside One, 22 Hester Road</t>
  </si>
  <si>
    <t>Land East of, 22 Balham New Road</t>
  </si>
  <si>
    <t>Putney Lower Common Cemetery Chapels, Lower Richmond Road</t>
  </si>
  <si>
    <t>53 Melrose Road</t>
  </si>
  <si>
    <t>74 Lightermans Walk</t>
  </si>
  <si>
    <t>234a Battersea Park Road</t>
  </si>
  <si>
    <t>163 Fallsbrook Road</t>
  </si>
  <si>
    <t>8 Ravensbury Terrace</t>
  </si>
  <si>
    <t>2018/0563</t>
  </si>
  <si>
    <t>Demolition of existing buildings and erection of a part 1, part 3, part 4-storey building to accommodate 9 residential dwellings (1x 1-bedroom, 7 x 2-bedroom and 1 x 3-bedroom units) and 344sq.m  of business floorspace (Class B1 use), with associated landscaping, cycle and refuse storage, and works to the river wall.</t>
  </si>
  <si>
    <t>219 Lower Richmond Road</t>
  </si>
  <si>
    <t>581 Garratt Lane</t>
  </si>
  <si>
    <t>36 Battersea Square</t>
  </si>
  <si>
    <t>958 Garratt Lane</t>
  </si>
  <si>
    <t>85 Putney High Street</t>
  </si>
  <si>
    <t>197-199 and 197a, Replingham Road</t>
  </si>
  <si>
    <t>Ground floor, 72 Upper Tooting Road</t>
  </si>
  <si>
    <t>Ground floor, 41 West Hill</t>
  </si>
  <si>
    <t>Ground floor, 43 West Hill</t>
  </si>
  <si>
    <t>Ground Floor, 39 West Hill</t>
  </si>
  <si>
    <t>7 Rayners Road</t>
  </si>
  <si>
    <t>4-6, Yukon Road</t>
  </si>
  <si>
    <t>Earlsfield House, 1 Swaffield Road</t>
  </si>
  <si>
    <t>2017/4253</t>
  </si>
  <si>
    <t>Erection of a three-storey side extension to provide a 3-bedroom town house with alterations as part of change of use of Earlsfield House to provide 4 x 2-bedroom residential units.</t>
  </si>
  <si>
    <t>68a, Kelmscott Road</t>
  </si>
  <si>
    <t>84 Lower Richmond Road</t>
  </si>
  <si>
    <t>Land adjacent, 80 Manville Road</t>
  </si>
  <si>
    <t>272 Franciscan Road</t>
  </si>
  <si>
    <t>2017/4656</t>
  </si>
  <si>
    <t>Continued use as a Guesthouse (C1) for more than 10 years</t>
  </si>
  <si>
    <t>256 &amp; 262, Wimbledon Park Road (Petrol Station)</t>
  </si>
  <si>
    <t>Shell Savoy Filling Station, 262 York Road</t>
  </si>
  <si>
    <t>Land rear of, 117 Fernlea Road</t>
  </si>
  <si>
    <t>2018/0885</t>
  </si>
  <si>
    <t>Demolition of existing garage fronting Cavendish Road and erection of a single storey (plus basement and roof) 3-bedroom detached house, formation of lightwells and refuse storage.</t>
  </si>
  <si>
    <t>513 Battersea Park Road</t>
  </si>
  <si>
    <t>Land rear of 20-28, Taybridge Road</t>
  </si>
  <si>
    <t>Land rear of 4, 4 Granville Road</t>
  </si>
  <si>
    <t>Units 5, 6 and 14 Ransomes Dock Business Centre, 35-37 Parkgate Road (Ransomes Dock Business Centre)</t>
  </si>
  <si>
    <t>15 West Hill</t>
  </si>
  <si>
    <t>Office 23c Network Business Centre, 329-339 Putney Bridge Road</t>
  </si>
  <si>
    <t>396-398, 396 Garratt Lane</t>
  </si>
  <si>
    <t>Rear of 67, 67 Webbs Road</t>
  </si>
  <si>
    <t>235a - 237a, Wimbledon Park road</t>
  </si>
  <si>
    <t>341 Queenstown Road</t>
  </si>
  <si>
    <t>2017/6512</t>
  </si>
  <si>
    <t>Change of use from former bank premises (Class A2) including ancillary accommodation at first and second floor levels to religious building (Class D1) and alterations including new entrance doors and formation of mansard roof extension over existing flat roof section.</t>
  </si>
  <si>
    <t>505-507, Garratt Lane</t>
  </si>
  <si>
    <t>2017/1262</t>
  </si>
  <si>
    <t>Alterations including changes to the ground floor front elevation and internal subdivision of ground and basement floors to provide 2 x duplex commercial units and refuse and cycle storage area for upper floors.</t>
  </si>
  <si>
    <t>187 Merton road</t>
  </si>
  <si>
    <t>Unit 6 Compass House, Smugglers Way</t>
  </si>
  <si>
    <t>Falcon Park, Cabul Road</t>
  </si>
  <si>
    <t>339 Battersea Park Road</t>
  </si>
  <si>
    <t>8 Coral Row</t>
  </si>
  <si>
    <t>6 &amp; 7, Square Rigger Row (Plantation Wharf)</t>
  </si>
  <si>
    <t>Unit 6, 27 Osiers Road</t>
  </si>
  <si>
    <t>92a, 92A Balham High road</t>
  </si>
  <si>
    <t>Youth Centre Support Building on car park south of, Weekly Square</t>
  </si>
  <si>
    <t>Unit 10 Mandeville Court, 142 Battersea Park Road</t>
  </si>
  <si>
    <t>2 Umbria Street</t>
  </si>
  <si>
    <t>2017/5515</t>
  </si>
  <si>
    <t>Alterations including partial demolition of outbuilding and erection of a single-storey extension plus basement in connection with use as a three bedroom house; associated landscaping, pedestrian gate to Nepean Street and cycle and refuse storage.</t>
  </si>
  <si>
    <t>9 Upper Tooting Road</t>
  </si>
  <si>
    <t>Aminah Mansions 55F, Tooting High Street</t>
  </si>
  <si>
    <t>205 Upper Richmond Road</t>
  </si>
  <si>
    <t>1-9 Church row (part of Phase 3 Ram Brewery), Wandsworth Plain</t>
  </si>
  <si>
    <t>27 Southolm Street</t>
  </si>
  <si>
    <t>8 Roedean Crescent</t>
  </si>
  <si>
    <t>2017/1864</t>
  </si>
  <si>
    <t>Erection of a three-storey (plus basement) 6-bedroom dwelling with additional living accommodation at lower ground floor level and lightwells to the front and rear; roof terrace on rear first floor level.</t>
  </si>
  <si>
    <t>Brathway Hall, Brathway Road</t>
  </si>
  <si>
    <t>Ground Floor, 83 Mitcham Lane</t>
  </si>
  <si>
    <t>43-45 Parkgate Road</t>
  </si>
  <si>
    <t>2016/5392</t>
  </si>
  <si>
    <t>Change of Use from Use Class A1 (retail) to Use Class B1(a) (office)</t>
  </si>
  <si>
    <t>281-285a, Battersea Park Road</t>
  </si>
  <si>
    <t>Unit 5 Old School House, Bridge Lane</t>
  </si>
  <si>
    <t>164 East Hill</t>
  </si>
  <si>
    <t>2017/0883</t>
  </si>
  <si>
    <t>Alterations including the erection of two dormer roof extensions to main rear roof; part three, part four storey (including basement) rear/side extension including formation of rear roof terrace with 1.5m high surround at second floor level; provision of cycle and refuse storage in rear garden in connection with use as 3 x 2 and 1 x 3 bedroom flats.</t>
  </si>
  <si>
    <t>Unit 15 Mandeville Courtyard, 142 Battersea Park Road</t>
  </si>
  <si>
    <t>Rear of 96-100  (garages at Holmbury Court), 96-100 Upper Tooting Road</t>
  </si>
  <si>
    <t>Garages rear of 21, Granard Avenue</t>
  </si>
  <si>
    <t>37 Oldridge Road</t>
  </si>
  <si>
    <t>2017/3137</t>
  </si>
  <si>
    <t>Demolition of existing building and erection of a four-storey building to provide 1 x studio, 1 x 1-bedroom and 2 x 2 bedroom flats, the erection of  a single-storey (plus basement) 1-bedroom house; associated cycle and refuse storage.</t>
  </si>
  <si>
    <t>(north east of) Unit 72 Winbledon Stadium Business Centre, Riverside Road</t>
  </si>
  <si>
    <t>2017/1973</t>
  </si>
  <si>
    <t>Erection of 2 x  two-storey industrial units providing flexible workspace suitable for B1c/B2/B8 Use.</t>
  </si>
  <si>
    <t>23 Balham High Road</t>
  </si>
  <si>
    <t>Units 14 to 19 Blades Court, 121 Deodar Road</t>
  </si>
  <si>
    <t>Unit 33 Ransomes Dock Business Centre, 35-37 Parkgate Road (Ransomes Dock Business Centre)</t>
  </si>
  <si>
    <t>2018/0806</t>
  </si>
  <si>
    <t>Determination as to whether prior approval is required for change of use from office at second floor level (Use Class B1(a)) to residential (Use Class C3) to provide 2 x 3 bedroom flats.</t>
  </si>
  <si>
    <t>Studio 1 Dovedale Studios, 465 Battersea Park road</t>
  </si>
  <si>
    <t>Studio 2 Dovedale Studios, 465 Battersea Park Road</t>
  </si>
  <si>
    <t>Studio 4 Dovedale Studios, 465 Battersea Park Road</t>
  </si>
  <si>
    <t>Studio 5 Dovedale Studios, 465 Battersea Park Road</t>
  </si>
  <si>
    <t>Ground floor, 51 Queenstown Road</t>
  </si>
  <si>
    <t>192-194, 192-194 Tooting High Street</t>
  </si>
  <si>
    <t>104 &amp; 104a, 104 Mitcham Road</t>
  </si>
  <si>
    <t>39-43 and 39-43a, 39 West Hill</t>
  </si>
  <si>
    <t>Battersea District Library, 265 Lavender Hill</t>
  </si>
  <si>
    <t>302-304, 302-304 Cavendish Road</t>
  </si>
  <si>
    <t>Garages south of 19-27, 19 Skelbrook Road</t>
  </si>
  <si>
    <t>261-293, 261-293 Queenstown Road (Sixt Rent a Car 275)</t>
  </si>
  <si>
    <t>Railway Arches 98-102, 98-102 Sopwith Way</t>
  </si>
  <si>
    <t>501 Battersea Park Road</t>
  </si>
  <si>
    <t>2017/0975</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</si>
  <si>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</si>
  <si>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523 Old York Road</t>
  </si>
  <si>
    <t>128-130, 128 Balham High Road</t>
  </si>
  <si>
    <t>7-11 St Johns Hill</t>
  </si>
  <si>
    <t>Unit C Molasses House, Clove Hitch Quay</t>
  </si>
  <si>
    <t>131 Lower Richmond Road</t>
  </si>
  <si>
    <t>189b, 189b Balham High Road</t>
  </si>
  <si>
    <t>241-243, 241-243 Wimbledon Park Road</t>
  </si>
  <si>
    <t>127 Mitcham Lane</t>
  </si>
  <si>
    <t>2017/2382</t>
  </si>
  <si>
    <t>Alterations including conversion of part of ground floor from Class A1 (retail) to Class C3 (residential) and erection of a two-storey extension on top the existing single storey rear addition to provide 1 x 2-bedroom and 4 x 1-bedroom units with access from Blegborough Road and associated cycle and refuse storage. Raising of roof to main building and rear dormer extensions to provide additional living space. Roof terraces and balconies at first, second and third floor level.</t>
  </si>
  <si>
    <t>163-165, 163-165 Balham High Road</t>
  </si>
  <si>
    <t>Ground floor flat, 38a Upper Richmond Road</t>
  </si>
  <si>
    <t>96 Felsham Road</t>
  </si>
  <si>
    <t>g/f/1st/2nd/fl waterfall house, 223 Tooting High Street</t>
  </si>
  <si>
    <t>95 Putney High Street</t>
  </si>
  <si>
    <t>Oliver House School 7-11, 7-11 Nightingale Lane</t>
  </si>
  <si>
    <t>2017/1952</t>
  </si>
  <si>
    <t>Demolition of garage and erection of single-storey classroom with a canopy link to main building. Erection of cycle and bin store to the rear and the construction of retaining wall.</t>
  </si>
  <si>
    <t>410 Garratt Lane</t>
  </si>
  <si>
    <t>2017/3512</t>
  </si>
  <si>
    <t>Proposed change of use from an Estate Agents (Class A2) to a veterinary clinic (Class D1) on the ground floor and basement, with ancillary retail space (Class A1) on the ground floor.</t>
  </si>
  <si>
    <t>15-27 Falcon Road</t>
  </si>
  <si>
    <t>Smiths Yard, Summerley Street</t>
  </si>
  <si>
    <t>2017/2142</t>
  </si>
  <si>
    <t>Erection of a single storey (plus basement) building for Class B1 office use in front courtyard.</t>
  </si>
  <si>
    <t>131-133 East Hill</t>
  </si>
  <si>
    <t>212 Tooting High Street</t>
  </si>
  <si>
    <t>2017/2588</t>
  </si>
  <si>
    <t>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t>
  </si>
  <si>
    <t>2A &amp; B and 12 &amp; 14, Church Lane</t>
  </si>
  <si>
    <t>Heathmere School Keeper's House, Alton Road</t>
  </si>
  <si>
    <t>243 Lavender Hill</t>
  </si>
  <si>
    <t>Unit 4 River Reach Business Park 1, Gartons Way</t>
  </si>
  <si>
    <t>Streatham Park Bowling Club, Pringle Gardens</t>
  </si>
  <si>
    <t>505 Old York Road</t>
  </si>
  <si>
    <t>Stag House Putney Vale Youth Centre, Stroud Crescent</t>
  </si>
  <si>
    <t>Telephpne Box south of Library Space, 108 Battersea Park Road</t>
  </si>
  <si>
    <t>528-536 Garratt Lane</t>
  </si>
  <si>
    <t>2017/2903</t>
  </si>
  <si>
    <t>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t>
  </si>
  <si>
    <t>49 Tooting High Street</t>
  </si>
  <si>
    <t>29 Hardwicks Square</t>
  </si>
  <si>
    <t>276 Battersea Park Road</t>
  </si>
  <si>
    <t>86 Moyser Road</t>
  </si>
  <si>
    <t>56 Brookwood Road</t>
  </si>
  <si>
    <t>2017/4859</t>
  </si>
  <si>
    <t>Alterations to front elevation in connection with change of use from retail shop (Class A1) to residential (Class C3) to provide three-bedroom dwelling house.</t>
  </si>
  <si>
    <t>Units 5 &amp; 6, 54 Kimber Road</t>
  </si>
  <si>
    <t>533 Garratt Lane</t>
  </si>
  <si>
    <t>62 Tooting High Street</t>
  </si>
  <si>
    <t>ground floor, 50 Upper Tooting Road</t>
  </si>
  <si>
    <t>Land rear of 163-165, 163-165 Mitcham Road</t>
  </si>
  <si>
    <t>Sub-Station south-west of NCGM (flower market), Nine Elms Lane</t>
  </si>
  <si>
    <t>Bourne Valley Wharf Raised Garden, Riverside Walk</t>
  </si>
  <si>
    <t>Palmerston Court, 1-3 Havelock Terrace</t>
  </si>
  <si>
    <t>Garages north of 99-152, 99-152 Gideon Road</t>
  </si>
  <si>
    <t>Garages and parking spaces 57-84, 57-84 Gideon Road</t>
  </si>
  <si>
    <t>189 Balham High Road</t>
  </si>
  <si>
    <t>Basement &amp; Ground Floor, 155 Battersea Park road</t>
  </si>
  <si>
    <t>193 Garratt Lane</t>
  </si>
  <si>
    <t>2017/3621</t>
  </si>
  <si>
    <t>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t>
  </si>
  <si>
    <t>Garage rear of, 130 Wimbledon Park road</t>
  </si>
  <si>
    <t>2017/6319</t>
  </si>
  <si>
    <t>Demolition of existing garage and erection of a single-storey (plus basement and attic accommodation) 2-bedroom detached house with associated cycle and refuse storage.</t>
  </si>
  <si>
    <t>298 Cavendish Road</t>
  </si>
  <si>
    <t>64-64c, 64-64c Battersea Rise</t>
  </si>
  <si>
    <t>Albany House, Portslade Road</t>
  </si>
  <si>
    <t>1023-1025 Garratt Lane</t>
  </si>
  <si>
    <t>Ground Floor, 40 Battersea Rise</t>
  </si>
  <si>
    <t>Part of Plantation Wharf, York Place, Gartons Way (Plantation Wharf)</t>
  </si>
  <si>
    <t>Ivory House, Clove Hitch Quay (Plantation Wharf)</t>
  </si>
  <si>
    <t>Spice Court, Ivory Square (Plantation Wharf)</t>
  </si>
  <si>
    <t>Port House, Square Rigger Row (Plantation Wharf)</t>
  </si>
  <si>
    <t>Gwynneth Morgan Day Centre, 50-52, 50-52 East Hill</t>
  </si>
  <si>
    <t>2016/3761</t>
  </si>
  <si>
    <t>Change of use of the existing retail unit (Class A1) and alterations including the erection of a first floor extension to provide additional accommodation for use of the entire building as a Day Care Centre (Class D1); with associated soft and hard landscaping, car parking, and cycle and refuse storage.</t>
  </si>
  <si>
    <t>521 Old York Road</t>
  </si>
  <si>
    <t>Shenstone House, Aldrington Road</t>
  </si>
  <si>
    <t>Land at Wandsworth Riverside Quarter Phase 3 (Building 6B), Point Pleasant/Osiers Road</t>
  </si>
  <si>
    <t>97A Mayford Road</t>
  </si>
  <si>
    <t>Unit 3 Taylors Yard, 67 Alderbrook Road</t>
  </si>
  <si>
    <t>Land west of 86-96, Garratt Lane</t>
  </si>
  <si>
    <t>9 Clavering Place</t>
  </si>
  <si>
    <t>2017/0258</t>
  </si>
  <si>
    <t>Change of use from a House of Multiple Occupation (Class C4) to a larger House of Multiple Occupation (Sui Generis) by allowing an additional bedroom to be used.</t>
  </si>
  <si>
    <t>Arch 7, Cranleigh Mews</t>
  </si>
  <si>
    <t>The Platt Christian Centre, Felsham Road</t>
  </si>
  <si>
    <t>3 Hildreth Street Mews</t>
  </si>
  <si>
    <t>Basement and Ground Floor, 902 Garratt Lane</t>
  </si>
  <si>
    <t>2017/3252</t>
  </si>
  <si>
    <t>Determination as to whether prior approval is required for change of use from retail (Class A1) to residential (Class C3).</t>
  </si>
  <si>
    <t>1 Holbeach Mews</t>
  </si>
  <si>
    <t>Flat B, 18 Revelstoke Road</t>
  </si>
  <si>
    <t>Land rear of 59, 59 Marius Road</t>
  </si>
  <si>
    <t>2018/0989</t>
  </si>
  <si>
    <t>Demolition of existing vehicle garage and erection of a two-storey storage building (Class B8).</t>
  </si>
  <si>
    <t>31 Ruvigny Gardens</t>
  </si>
  <si>
    <t>2 Bellevue Parade, Bellevue Road</t>
  </si>
  <si>
    <t>487 Merton Road</t>
  </si>
  <si>
    <t>2017/2605</t>
  </si>
  <si>
    <t>Determination as to whether prior approval is required for change of use from retail (Class A1) to 1 x 2-bedroom flat (Class C3) with associated external alterations to front elevations.</t>
  </si>
  <si>
    <t>Ground Floor, 110 Mitcham Road</t>
  </si>
  <si>
    <t>161-163, 161-163 Putney High Street</t>
  </si>
  <si>
    <t>10 Montfort Place</t>
  </si>
  <si>
    <t>Second Floor Regent House, 16-18 Lombard Road</t>
  </si>
  <si>
    <t>2017/3542</t>
  </si>
  <si>
    <t>Determination as to whether prior approval is required for change of use from office(Class B1a)  to 4 x 1-bedroom, 3 x 2-bedroom and 4 x 3bedroom flats (Class C3).</t>
  </si>
  <si>
    <t>Units 11-13 &amp; 24-25 Blades Court, 121 Deodar Road</t>
  </si>
  <si>
    <t>2017/4356</t>
  </si>
  <si>
    <t>Determination as to whether prior approval is required for change of use from offices (Class B1a) to residential (Class C3) to provide 12 x 1 bedroom  and 3 x 2-bedroom flats.</t>
  </si>
  <si>
    <t>166 Upper Richmond Road</t>
  </si>
  <si>
    <t>2017/2023</t>
  </si>
  <si>
    <t>Demolition of existing 5-storey office building and construction of a new 6-storey (plus lower-ground floor) mixed-use building with office space at lower-ground and ground floors and 5 x 2 bed residential flats above (1 x unit per floor level)</t>
  </si>
  <si>
    <t>547 Battersea Park Road</t>
  </si>
  <si>
    <t>2017/3282</t>
  </si>
  <si>
    <t>Erection of a mansard extension to main roof to form an additional floor of accommodation in connection with the change of use of the upper floors to create 3 x 1-bedroom self contained flats. Alterations to ground floor shop including alterations to shopfront and creation of ancillary office and courtyard area to rear.</t>
  </si>
  <si>
    <t>Basement and Ground Floor, 168 Balham High Road</t>
  </si>
  <si>
    <t>2017/1195</t>
  </si>
  <si>
    <t>Erection of single-storey rear extension to ground floor shop and alterations to rear external metal staircase to ground floor.</t>
  </si>
  <si>
    <t>179 Northcote Road</t>
  </si>
  <si>
    <t>2017/1628</t>
  </si>
  <si>
    <t>Change of use from retail (Class A1) to a mixed use as a Pilates studio and physiotherapy practice (Classes D1/D2).</t>
  </si>
  <si>
    <t>Unit M303A Trident Business Centre, 89 Bickersteth Road</t>
  </si>
  <si>
    <t>2017/1524</t>
  </si>
  <si>
    <t>Change of use to an administration office for a car hire business (Class Sui Genres)  where only bookings are taken by phone (continuation of use granted by temporary permission ref. 2016/0734).</t>
  </si>
  <si>
    <t>71 Northcote Road</t>
  </si>
  <si>
    <t>2017/6117</t>
  </si>
  <si>
    <t>Change of use from Class A1(Shops) to Class A3 (Restaurants and Cafes).  Erection of side and rear extensions at ground, first and second floor levels to provide 4no. residential units (1 x bedsit; 1 x 1-bedroom and 2 x 2-bedroom flats.).</t>
  </si>
  <si>
    <t>882-884 Garratt Lane</t>
  </si>
  <si>
    <t>2017/0948</t>
  </si>
  <si>
    <t>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t>
  </si>
  <si>
    <t>Unit 39a and 49B Meridian House, Juniper Drive</t>
  </si>
  <si>
    <t>2017/1411</t>
  </si>
  <si>
    <t>Change of use from A1, A2, A3 and B1 to yoga studio (Class D2). Proposed opening hours 06:00pm to 22:00am Monday to Friday and 07:00pm to 21:00pm Saturday, Sunday and Bank Holidays.</t>
  </si>
  <si>
    <t>Wardens Office and Club Room, 280-308 Cortis Road</t>
  </si>
  <si>
    <t>2017/1887</t>
  </si>
  <si>
    <t>Alterations in connection with change of use of Warden's office and club room (Sui Generis) to residential (Class C3) to provide 2 x 1-bedroom flats.</t>
  </si>
  <si>
    <t>Ground floor, 42 Battersea Rise</t>
  </si>
  <si>
    <t>2017/1858</t>
  </si>
  <si>
    <t>Change of use from Class A2 to Class A3 (food and drink) and installation of external extract flu to rear elevation; Opening hours Sunday 09:00 to 00:00, Monday - Saturday 09:00 to 00:30 (on the morning following).</t>
  </si>
  <si>
    <t>127 Northcote Road</t>
  </si>
  <si>
    <t>2017/4681</t>
  </si>
  <si>
    <t>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t>
  </si>
  <si>
    <t>22 Bangalore Street</t>
  </si>
  <si>
    <t>2017/2123</t>
  </si>
  <si>
    <t>Demolition of single storey extension and garage and erection of 1 x 2-bedroom two-storey house; associated alterations including landscaping, refuse and cycle storage.</t>
  </si>
  <si>
    <t>Fitzroy House, 267 Merton Road</t>
  </si>
  <si>
    <t>2017/2259</t>
  </si>
  <si>
    <t>Change of use of part of the premises from a shop (Use Class A1) to a warehouse  (Use Class B8).</t>
  </si>
  <si>
    <t>Land adjacent, 1 Charlmont Road</t>
  </si>
  <si>
    <t>2018/0109</t>
  </si>
  <si>
    <t>Erection of a two-storey 2-bedroom dwellinghouse with associated boundary treatment, bin storage and bike storage.</t>
  </si>
  <si>
    <t>107 Allfarthing Lane</t>
  </si>
  <si>
    <t>2017/4296</t>
  </si>
  <si>
    <t>Determination as to whether prior approval is required for change of use from retail (Class A1) to 1 x 1-bedroom flat and 1 studio flat (Class C3).</t>
  </si>
  <si>
    <t>16 The Boulevard, Balham High Road</t>
  </si>
  <si>
    <t>2017/5042</t>
  </si>
  <si>
    <t>Change of use from retail (Class A1) to a  restaurant and cafe (Class A3) and installation of extract flue to the rear elevation. Proposed opening hours 09:00am to 22:00pm Monday to Sunday and Bank Holidays.</t>
  </si>
  <si>
    <t>Livra UK Unit 6, Riverside Yard</t>
  </si>
  <si>
    <t>2017/2095</t>
  </si>
  <si>
    <t>Erection of three-storey building for use as workshop and warehouse with offices above (use Classes B1, B2 and B8) with associated car parking, disabled parking, bike storage and bin storage areas.</t>
  </si>
  <si>
    <t>River Walk abutting, 105-115 Deodar Road</t>
  </si>
  <si>
    <t>2017/2707</t>
  </si>
  <si>
    <t>Change of use of the extension of the river walk in Wandsworth Park from Class D2 (assembly and leisure) to Class C3 (dwellinghouses) in order for the gardens of 105-115 Deodar Road to extend into the river walk area (approx. 176 sq.m).</t>
  </si>
  <si>
    <t>Wandsworth Solid Transfer Station, Pensbury Place</t>
  </si>
  <si>
    <t>2017/1219</t>
  </si>
  <si>
    <t>Extension to existing single-storey portacabin located in the south of the site to create a second storey.</t>
  </si>
  <si>
    <t>97 St Johns Road</t>
  </si>
  <si>
    <t>2017/3122</t>
  </si>
  <si>
    <t>61-64, 61-64 Sefton Street</t>
  </si>
  <si>
    <t>2017/6931</t>
  </si>
  <si>
    <t>Demolition of existing buildings and erection of a four storey building comprising 105sq.m ground floor commercial unit (Use Classes A1, A2 or B1), 3 x 1-bedroom and 2 x 2-bedroom flats above with front roof terrace and a two-storey, 2-bedroom mews house at the rear with two parking spaces, refuse and cycle storage.</t>
  </si>
  <si>
    <t>8 Bedford Hill</t>
  </si>
  <si>
    <t>2017/3070</t>
  </si>
  <si>
    <t>Determination as to whether prior approval is required for change of use of ground floor from retail (Class A1) to a restaurant (Class A3).</t>
  </si>
  <si>
    <t>57 Louisville Road</t>
  </si>
  <si>
    <t>2017/5495</t>
  </si>
  <si>
    <t>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t>
  </si>
  <si>
    <t>Ground Floor South Wing The Grange, Bank Lane</t>
  </si>
  <si>
    <t>2017/2937</t>
  </si>
  <si>
    <t>Change of use of ground floor of the south Wing from leisure (Class D2) to office (Class B1).</t>
  </si>
  <si>
    <t>132 Northcote Road</t>
  </si>
  <si>
    <t>2017/3061</t>
  </si>
  <si>
    <t>Alterations including erection of side conservatory and single storey rear extension in connection with the change of use from retail (Class A1) to restaurant/cafe (Class A3). Opening hours 07:00 to 22:00 Monday to Sunday (Amended description).</t>
  </si>
  <si>
    <t>36-38, 36-38 Northcote Road</t>
  </si>
  <si>
    <t>2017/3100</t>
  </si>
  <si>
    <t>Change of Use of the ground floor from Class A1 (retail) to Class A3 (restaurant and cafe).</t>
  </si>
  <si>
    <t>The Queens Arms P.H, 139 St Philip Street</t>
  </si>
  <si>
    <t>2017/5029</t>
  </si>
  <si>
    <t>Demolition of storage facility and erection of 1 x 3-bedroom two-storey (plus basement) house with associated landscaping and refuse and cycle store.</t>
  </si>
  <si>
    <t>2018/0300</t>
  </si>
  <si>
    <t>Use of the basement and ground floors as a public house (Use Class A4), an additional storey through a roof extension to create a 1 x 3-bedroom flat, a single storey side extension at first floor level and conversion of the first and second floors into 3 x 2-bedroom flats and 1 x studio flat.</t>
  </si>
  <si>
    <t>179 Battersea Park road</t>
  </si>
  <si>
    <t>2017/3404</t>
  </si>
  <si>
    <t>Erection of three storey rear extension and side extension on the third floor and conversion of basement into shop storage.</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</si>
  <si>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</si>
  <si>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</si>
  <si>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2018/0494</t>
  </si>
  <si>
    <t>Unit 27 Jasmine House, Juniper Drive</t>
  </si>
  <si>
    <t>2017/3418</t>
  </si>
  <si>
    <t>Change of use from Class A1 (Retail) to Class B1 (Office)</t>
  </si>
  <si>
    <t>18 Lavender Road</t>
  </si>
  <si>
    <t>2017/3789</t>
  </si>
  <si>
    <t>Determination as to whether prior notification is required for change of use for a temporary period of up to two years from the Class A1 retail unit at ground floor to a Class A3 use for a period of two years from 18 September 2017 (Prior notification under Sch 2, Part 4, Class D of GPDO).</t>
  </si>
  <si>
    <t>Unit 1 &amp; 2, 2 Chestnut Grove</t>
  </si>
  <si>
    <t>2017/3797</t>
  </si>
  <si>
    <t>Alterations, including to shopfront,  in connection with change of use from retail (Class A1) to restaurant (Class A3) and installation of flue. (Revised plans).</t>
  </si>
  <si>
    <t>Unit (A) 35 Block T, Battersea Reach</t>
  </si>
  <si>
    <t>2017/3607</t>
  </si>
  <si>
    <t>Change of use from Classes A1, A2, A3, and B1 to D2 (Assembly and Leisure). Opening hours 06:00 - 23:00 Monday to Sunday.</t>
  </si>
  <si>
    <t>38 Balham Hill</t>
  </si>
  <si>
    <t>2017/3980</t>
  </si>
  <si>
    <t>Determination as to whether prior approval is required for change of use from estate agent (Class A2) to spin studio (Class D2).</t>
  </si>
  <si>
    <t>Brocklebank Health Centre, 249 Garratt Lane (and others), 229-247 Garratt Lane (Garratt Lane and Atheldene Regeneration Site)</t>
  </si>
  <si>
    <t>2017/4141</t>
  </si>
  <si>
    <t>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t>
  </si>
  <si>
    <t>Ground Floor, 231 Merton Road</t>
  </si>
  <si>
    <t>2017/4125</t>
  </si>
  <si>
    <t>Change of use from Cafe &amp; Restaurant (Class A3) to a shop (Class A1).</t>
  </si>
  <si>
    <t>Putney Pharmacy Basement, 278 Upper Richmond Road</t>
  </si>
  <si>
    <t>2017/4184</t>
  </si>
  <si>
    <t>Change of use of basement from shop (Class A1) to clinic (Class D1).</t>
  </si>
  <si>
    <t>40 Old Devonshire Road</t>
  </si>
  <si>
    <t>2017/4217</t>
  </si>
  <si>
    <t>Alterations including changes to the site frontage and a first floor rear extension to allow the conversion of the main garage building to B1 (office) use, and change of use of right hand building to 1 x 1-bedroom unit.</t>
  </si>
  <si>
    <t>Car storage site rear of, 1 Kenlor Road</t>
  </si>
  <si>
    <t>2017/3040</t>
  </si>
  <si>
    <t>Retention of a single-storey car port to be used in conjunction with the car repair shop and change of use from a car dealership to a car repair shop (Class B2).</t>
  </si>
  <si>
    <t>2018/1219</t>
  </si>
  <si>
    <t>Demolition of existing single storey building and the erection of a single-storey one bedroom detached house.</t>
  </si>
  <si>
    <t>15a Selkirk Road</t>
  </si>
  <si>
    <t>2017/3316</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</si>
  <si>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
_x000D_
Amendments:_x000D_
Additional drawings/information has been submitted in regard to existing and proposed relationships with neighbouring residential properties, waste storage and vehicular access.</t>
  </si>
  <si>
    <t>71-73, 71-73 Upper Tooting Road</t>
  </si>
  <si>
    <t>2017/3824</t>
  </si>
  <si>
    <t>Alterations in connection with change of use from retail (Class A1) to study centre (Class D1).</t>
  </si>
  <si>
    <t>96 Moyser Road</t>
  </si>
  <si>
    <t>2017/5308</t>
  </si>
  <si>
    <t>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t>
  </si>
  <si>
    <t>Land rear of 73-77, 73-77 Dahomey Road</t>
  </si>
  <si>
    <t>2017/4429</t>
  </si>
  <si>
    <t>Use of the land for storage of builders materials (Class B8) (continued use for more than 10 years).</t>
  </si>
  <si>
    <t>125 Lavender Hill</t>
  </si>
  <si>
    <t>2017/4305</t>
  </si>
  <si>
    <t>Change of use of the rear part of the ground floor unit from a window showroom and office (Class A1) to residential (class C3) and alterations including erection of single-storey rear and side extensions to create 1 x 2 bedroom unit. Relocation of entrance of existing first floor flat from Lavender Hill to Stormont Road. Alterations to fenestration.</t>
  </si>
  <si>
    <t>17 &amp; 19, 17 &amp; 19 Wimbledon Road</t>
  </si>
  <si>
    <t>2017/4568</t>
  </si>
  <si>
    <t>Alterations in connection with change of use from retail (Class A1) to restaurant (Class A3) and installation of associated extract duct to the flank elevation of 19 Wimbledon Road.</t>
  </si>
  <si>
    <t>Unit 61 Wimbledon Businees Stadium Centre, Riverside Road</t>
  </si>
  <si>
    <t>2017/4930</t>
  </si>
  <si>
    <t>Erection of single and three storey front extensions to provide additional storage  floorspace (Class B8) with ancillary offices and 4 x parking spaces.</t>
  </si>
  <si>
    <t>UKD House, Norstead Place</t>
  </si>
  <si>
    <t>2017/4686</t>
  </si>
  <si>
    <t>Change of Use from B1(a) Offices to D1 Church and Daytime Nursery to operate between 0730 and 1830 hours, Monday to Friday and 0800 to 1800 at weekends and Bank Holidays.</t>
  </si>
  <si>
    <t>2 Ritherdon Road</t>
  </si>
  <si>
    <t>2017/4368</t>
  </si>
  <si>
    <t>Change of use from retail (Class A1) to beauty salon (Sui Generis).</t>
  </si>
  <si>
    <t>189d, 189d Balham High Road</t>
  </si>
  <si>
    <t>2017/4844</t>
  </si>
  <si>
    <t>Demolition of existing garages and erection of 8 x three-storey, 3-bedroom houses and associated landscaping, cycle storage, carparking and refuse stores.</t>
  </si>
  <si>
    <t>250 Battersea Park road</t>
  </si>
  <si>
    <t>2017/4640</t>
  </si>
  <si>
    <t>Change of use of rear part ground and rear lower ground floors from Class A1 (Retail) to Sui Generis (Dog grooming and day care)</t>
  </si>
  <si>
    <t>366 Garratt Lane</t>
  </si>
  <si>
    <t>2017/5146</t>
  </si>
  <si>
    <t>Change of use of ground and basement floor from Class A4 (Drinking Establishment) to Class A3 (Restaurant/Cafe) and Class A5 (Hot Food Takaway) including installation of high level kitchen ventilation duct against rear elevation.</t>
  </si>
  <si>
    <t>basement &amp; ground floor, 217 Longley road</t>
  </si>
  <si>
    <t>2017/3907</t>
  </si>
  <si>
    <t>Alterations in connection with change of use from hairdressing salon (Class A1) to tattoo studio (Sui Generis) (retrospective).</t>
  </si>
  <si>
    <t>158-160 Balham High Road</t>
  </si>
  <si>
    <t>2017/5299</t>
  </si>
  <si>
    <t>Determination as to whether prior approval is required for change of use from business (Class B1)  to 7 x studio flats (Class C3).</t>
  </si>
  <si>
    <t>Railway Arches, 9 Lombard Road</t>
  </si>
  <si>
    <t>2018/0466</t>
  </si>
  <si>
    <t>Change of use from Storage and Distribution (Class B8) to Gym (Class D2) including installation of ventilation equipment.</t>
  </si>
  <si>
    <t>Basement and Ground floor, 77 Lower Richmond Road</t>
  </si>
  <si>
    <t>2017/7023</t>
  </si>
  <si>
    <t>Alterations including replacement shopfront, excavation to enlarge basement including the formation of a front lightwell with safety railings; alterations to single storey rear extension, erection of refuse and buggy store and creation of yard/play area with alterations to rear boundary treatment and access in connection with change of use from Shop (Class A1) to Day Nursery (Class D1) with associated boundary treatment. *Application re-consulted upon due to the submission of additional information (Travel Plan).</t>
  </si>
  <si>
    <t>Wandle &amp; Willow Annex, St Georges Hospital, Blackshaw Road</t>
  </si>
  <si>
    <t>2017/4195</t>
  </si>
  <si>
    <t>Erection of 2no. temporary (five year period) modular buildings comprising (1) a 3 storey modular office building (Use Class C2), measuring 1,598.7sq m (GEA), providing a temporary ancillary office function, and (2) a single storey modular building, measuring 758 sq m (GEA), providing replacement clinical outpatient facilities (Use Class C2) (Retrospective application)</t>
  </si>
  <si>
    <t>13 Upper Tooting Road</t>
  </si>
  <si>
    <t>2017/5043</t>
  </si>
  <si>
    <t>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t>
  </si>
  <si>
    <t>27-29 Hardwicks Square</t>
  </si>
  <si>
    <t>2017/5349</t>
  </si>
  <si>
    <t>Determination as to whether prior approval is required for change of use of offices at part ground and first floor levels from (Class B1a) to residential (Class C3) to provide one studio, 5 x 1 and 2 x 2 bedroom units.</t>
  </si>
  <si>
    <t>205 Lower Richmond road</t>
  </si>
  <si>
    <t>2017/5450</t>
  </si>
  <si>
    <t>Alterations in connection with change of use of basement and ground floor from restaurant (Class A3) to hot food take away (Class A5).</t>
  </si>
  <si>
    <t>16 Smiths Yard</t>
  </si>
  <si>
    <t>2017/5807</t>
  </si>
  <si>
    <t>Change of use from beauty therapy purpose (Class Sui Generis) to flexible use for beauty therapy purposes (Class Sui Generis) and dental treatment (Class D1).</t>
  </si>
  <si>
    <t>Unit B Putney Exchange, Putney High Street</t>
  </si>
  <si>
    <t>2017/5797</t>
  </si>
  <si>
    <t>Change of use from retail (Class A1) to Beauty treatment rooms (Sui generis).</t>
  </si>
  <si>
    <t>65 Balham High Road</t>
  </si>
  <si>
    <t>2017/6926</t>
  </si>
  <si>
    <t>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t>
  </si>
  <si>
    <t>116-118, 116-118 Upper Richmond Road</t>
  </si>
  <si>
    <t>2017/5682</t>
  </si>
  <si>
    <t>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t>
  </si>
  <si>
    <t>1-11 &amp; 15-25 Howie St, 1-4 Elcho St, 7-9 &amp; 15-25 Parkgate Rd &amp; souther, Radstock Street (RAC Building)</t>
  </si>
  <si>
    <t>2017/6064</t>
  </si>
  <si>
    <t>Demolition of existing buildings and redevelopment of site to provide a part 4-storey (23.43m high) and part 8-storey (32.75m high) college building (D1 use class) with ancillary uses including business incubators, academic research and conferencing space, to also include a cafe (A3 use class) with new shopfront accessed from Parkgate Road and shop (A1 use class) accessed from Howie Street, together with public realm, highway and parking (including cycle parking), waste storage, plant, including photovoltaics at roof level and associated works.</t>
  </si>
  <si>
    <t>69 Vant Road</t>
  </si>
  <si>
    <t>2017/4624</t>
  </si>
  <si>
    <t>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t>
  </si>
  <si>
    <t>2 Eardley Road</t>
  </si>
  <si>
    <t>2017/5648</t>
  </si>
  <si>
    <t>Alterations including amalgamation of flats A and B, enlargement of window opening and installation of french doors. Demolition of existing garages and erection of two-storey (plus roof level) 3-bedroom detached house with associated landscaping, cycle and refuse storage.</t>
  </si>
  <si>
    <t>174 Franciscan Road</t>
  </si>
  <si>
    <t>2018/0664</t>
  </si>
  <si>
    <t>Alterations in connection with change of use of shop (Class A1) to restaurant/cafe (Class A1/A3); new shopfront; new extractor fan to the rear.</t>
  </si>
  <si>
    <t>226 Battersea Park Road</t>
  </si>
  <si>
    <t>2018/0111</t>
  </si>
  <si>
    <t>Change of use from scrap metal shop (Sui Generis) to Retail (Class A1) with ancillary office space.</t>
  </si>
  <si>
    <t>Irene House, 218 Balham High road</t>
  </si>
  <si>
    <t>2017/6160</t>
  </si>
  <si>
    <t>Determination as to whether prior approval is required for change of use from offices (Class B1) to 71 residential units (33 x studio flats, 19 x 1-bedroom flats, 18 x 2-bedroom flats and 1 x 3-bedroom flat) (Class C3).</t>
  </si>
  <si>
    <t>Du Cane Court Shop Du Cane Court, Balham High Road</t>
  </si>
  <si>
    <t>2017/6236</t>
  </si>
  <si>
    <t>ground floor, 185 Replingham Road</t>
  </si>
  <si>
    <t>2017/6256</t>
  </si>
  <si>
    <t>Alterations including replacement fenestration to front and side elevations in connection with change of use from physiotherapy practice (Class D1) to a 1-bedroom flat (Class C3).</t>
  </si>
  <si>
    <t>14 Hildreth Street</t>
  </si>
  <si>
    <t>2017/6416</t>
  </si>
  <si>
    <t>Change of use from shop (Class A1) to restaurant and cafe (Class A3). Replacement shopfront and extarct flue to rear. Proposed opening hours 12:00 to 21:00 Monday to Sunday and Bank Holidays.</t>
  </si>
  <si>
    <t>99 St Johns Road</t>
  </si>
  <si>
    <t>2017/6074</t>
  </si>
  <si>
    <t>Alterations to shopfront and change of use from Hairdresser (Class A1) to Pilates Studio (Class D2).</t>
  </si>
  <si>
    <t>121-135 Putney High Street</t>
  </si>
  <si>
    <t>2017/6286</t>
  </si>
  <si>
    <t>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t>
  </si>
  <si>
    <t>30 Sisters Avenue</t>
  </si>
  <si>
    <t>2017/5993</t>
  </si>
  <si>
    <t>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t>
  </si>
  <si>
    <t>Units 10 &amp; 12 and Pennethorne Square, Lavender Road</t>
  </si>
  <si>
    <t>2017/6127</t>
  </si>
  <si>
    <t>Amalgamation of units 10 and 12 Lavender Road and change of use from retail (Class A1) to office/business (Class B1/A2) including minor alterations to existing frontage.</t>
  </si>
  <si>
    <t>Garages west of 1a, 1a Isis Street</t>
  </si>
  <si>
    <t>2017/5244</t>
  </si>
  <si>
    <t>The demolition of existing garages and the erection of a two-storey 1-bedroom dwelling.</t>
  </si>
  <si>
    <t>1 Armoury Way</t>
  </si>
  <si>
    <t>2017/6205</t>
  </si>
  <si>
    <t>Erection of a four-storey plus basement building to provide 1532sq.m. of floorspace for flexible use at ground floor level (Classes A1-A2 and B1a - Retail, Financial and Professional Services, and Offices) and Offices (Class B1a) on upper floors. *Application re-consulted as existing plans now available to view*</t>
  </si>
  <si>
    <t>92 Putney Bridge Road</t>
  </si>
  <si>
    <t>2017/6642</t>
  </si>
  <si>
    <t>Demolition of existing building and redevelopment of the site to provide a five storey building comprising 309 sq.m. of flexible Class A1/A2/A3/D1 use at ground floor, 839 sqm of Class B1a (Office) use at first and second floor, and nine residential units on the upper floors, together with associated cycle parking.</t>
  </si>
  <si>
    <t>St Boniface Church, Mitcham Road</t>
  </si>
  <si>
    <t>2017/6478</t>
  </si>
  <si>
    <t>Demolition of existing church halls on the west side of St Boniface Church and erection of part two, part three-storey building to existing Mitcham Road terrace and two-storey, three-storey and four-storey buildings to the rear. To accommodate a mixed use development including a community centre  (Class D1) with ancillary offices and cafe, presbytery with four units for priests and two guest rooms, retail units (Class A1) and 10 residential units (5 x 2-bedroom and 5 x 3-bedroom). Associated car parking, cycle and refuse storage, boundary treatment and landscaping.</t>
  </si>
  <si>
    <t>6-10, 6-10 Ingate Place</t>
  </si>
  <si>
    <t>2018/0544</t>
  </si>
  <si>
    <t>Demolition of existing buildings on site and construction of 1 new building ranging from 6 to 10 storeys in height comprising of office (Use Class B1a) to accommodate co-working and small and medium enterprises (SMEs) on all floors, light industrial (Use Class B1c) at the rear of the ground floor (plus partial mezzanine) and at basement level, dual use of the first, second and third floors for office (Use Class B1a)/light industrial (Use Class B1c) and ancillary facilities, public realm improvements and associated landscaping.</t>
  </si>
  <si>
    <t>16 (E) Baltimore House, Battersea Reach</t>
  </si>
  <si>
    <t>2017/6084</t>
  </si>
  <si>
    <t>Change of use from Assembly and Leisure (Class D2) to flexible Business (Class B1) and Assembly and Leisure (Class D2) .</t>
  </si>
  <si>
    <t>269 Putney Bridge Road</t>
  </si>
  <si>
    <t>2017/6712</t>
  </si>
  <si>
    <t>Change of use of the rear part of ground floor and part of the basement from retail (Class A1) to a music school (Class D1).</t>
  </si>
  <si>
    <t>Site adjacent to 1-8, 1-8 Arnal Crescent</t>
  </si>
  <si>
    <t>2017/6531</t>
  </si>
  <si>
    <t>Erection of four-storey building to provide 3 x 2-bedroom and 1 x 1-bedroom flats with balconies and associated landscaping and refuse/cycle storage (revised daylight/sunlight report).</t>
  </si>
  <si>
    <t>Garages north of Fordyce House, Colson way</t>
  </si>
  <si>
    <t>2017/6846</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</si>
  <si>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</si>
  <si>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Land north of Grant road incl parcels of land on c/o Plough/Winstanley, Grant Road</t>
  </si>
  <si>
    <t>2017/6864</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</si>
  <si>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</si>
  <si>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38 Havelock Terrace</t>
  </si>
  <si>
    <t>2017/7026</t>
  </si>
  <si>
    <t>Redevelopment of the site to provide a new 10 storey building, plus basement, comprising 544m2 of light industrial use (Class B1(c)) on the ground, mezzanine and first floor levels; 3,000m2 of office use (Class B1(a)) on the upper floor levels 2-9; 100m2 of shared B1(a)/ B1(c) space at the basement level, along with 508m2 of associated cycle storage, washing and changing facilities, plant, services, refuse stores and a roof terrace. All 4,152m2 of floorspace is proposed as managed workspace aimed at Small and Medium Enterprises (SMEs) serving the emerging digital and creative sectors.</t>
  </si>
  <si>
    <t>Public House, 5 Lavender Hill</t>
  </si>
  <si>
    <t>2017/6906</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</si>
  <si>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</si>
  <si>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Basement, 264 Upper Richmond Road</t>
  </si>
  <si>
    <t>2017/6973</t>
  </si>
  <si>
    <t>Change of use of basement from Class A1 to Sui Generis for use as a tattoo parlour.</t>
  </si>
  <si>
    <t>62 St Johns Road</t>
  </si>
  <si>
    <t>2017/6849</t>
  </si>
  <si>
    <t>Alterations including infill of lower and upper ground floor lightwells, and first floor rear extension to allow the change of use of upper levels from Shop (Class A1) to 3 no. residential units (Class C3).</t>
  </si>
  <si>
    <t>Rear Ground floor Flat, 102 Eardley Road</t>
  </si>
  <si>
    <t>2018/0061</t>
  </si>
  <si>
    <t>Use as residential (Class C3) for more than 4 years.</t>
  </si>
  <si>
    <t>The Bedford, 77 Bedford Hill</t>
  </si>
  <si>
    <t>2018/0263</t>
  </si>
  <si>
    <t>Alterations including change of second floor function room, kitchen and ancillary rooms to guest bedrooms (increase total from 10 to 15 bedrooms at second and third floor levels) (Class A4/C1 use - public house with guest rooms). Erection of a single-storey rear extension. (Accompanying listed building application ref.2018/0341)</t>
  </si>
  <si>
    <t>29b, 29b Sudbrooke Road</t>
  </si>
  <si>
    <t>2018/0334</t>
  </si>
  <si>
    <t>Alterations including erection of two dormer windows to main rear roof to provide an additional floorspace (Class B1).</t>
  </si>
  <si>
    <t>Ground Floor, 280 Trinity Road</t>
  </si>
  <si>
    <t>2018/0254</t>
  </si>
  <si>
    <t>Change of use from doctors surgery (Class D1)  to residential (Class C3)</t>
  </si>
  <si>
    <t>Store rear of 27, 27 Webbs Road</t>
  </si>
  <si>
    <t>2018/0569</t>
  </si>
  <si>
    <t>Determination as to whether prior approval is required for change of use from storage (Class B8) to residential (Class C3) to provide 1 x studio flat.</t>
  </si>
  <si>
    <t>Blocks M &amp; N Part of units 42 &amp; 43, Juniper Drive</t>
  </si>
  <si>
    <t>2018/0297</t>
  </si>
  <si>
    <t>Amalgamation of Unit E and part of Unit D Meridian House and change of use from Class A1, A2, A3 and B1 to Class A1, A2, A3, B1 and D2 for the use as a gym.</t>
  </si>
  <si>
    <t>125 Lower Richmond Road</t>
  </si>
  <si>
    <t>2018/0359</t>
  </si>
  <si>
    <t>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t>
  </si>
  <si>
    <t>231 Putney Bridge Road</t>
  </si>
  <si>
    <t>2018/0376</t>
  </si>
  <si>
    <t>Alterations including erection of front and rear mansard extension to main roof and conversion of upper floors to 1 x 1-bedroom and 5 x 2-bedroom flats with roof terraces at all upper floors; refuse and cycle storage accessed from the rear.</t>
  </si>
  <si>
    <t>111 St Johns Hill</t>
  </si>
  <si>
    <t>2018/0464</t>
  </si>
  <si>
    <t>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t>
  </si>
  <si>
    <t>130 Brookwood Road</t>
  </si>
  <si>
    <t>2018/0247</t>
  </si>
  <si>
    <t>Change of use of ground floor from Class A2 to Class C3 forming a 1-bedroom flat. Erection of first floor level extension to building at rear including replacement screening to terrace and formation of ground floor cycle and refuse storage.</t>
  </si>
  <si>
    <t>Basement &amp; Ground Floor, 130 Putney High Street</t>
  </si>
  <si>
    <t>2018/0559</t>
  </si>
  <si>
    <t>Alterations in connection with change of use from betting shop (Sui Generis) to dental surgery (Class D1).</t>
  </si>
  <si>
    <t>117 Putney High Street</t>
  </si>
  <si>
    <t>2018/0778</t>
  </si>
  <si>
    <t>Determination as to whether prior approval is required for change of use of office at first and second floor levels (Class B1a) to residential (Class C3) to provide 3 x 1-bedroom flats.</t>
  </si>
  <si>
    <t>The Surgery, Claudia Place</t>
  </si>
  <si>
    <t>2018/0585</t>
  </si>
  <si>
    <t>Demolition of existing building and erection of a part-single, part four-storey 3-bedroomed dwellinghouse including roof terrace, with one off-street parking space.</t>
  </si>
  <si>
    <t>Land adjacent 177, 177 Battersea Park Road</t>
  </si>
  <si>
    <t>2018/0515</t>
  </si>
  <si>
    <t>Erection of a sales and marketing suite for a temporary period of two years on land adjacent to 177 Battersea Park Road.</t>
  </si>
  <si>
    <t>2017/6930</t>
  </si>
  <si>
    <t>Alterations including erection of dormer roof extension and erection of rear extension at first floor level (with french doors and safety railings) in connection conversion of two-bedroom flat and first floor office to 6 x 1-bedroom flats.</t>
  </si>
  <si>
    <t>Unit 31 Ransomes Dock Business Centre, 35-37 Parkgate Road (Ransomes Dock Business Centre)</t>
  </si>
  <si>
    <t>2018/0807</t>
  </si>
  <si>
    <t>Determination as to whether prior approval is required for change of use from office at ground floor level (Use Class B1(a)) to residential (Use Class C3) to provide 1 x 1 bedroom and 1 x 2 bedroom flats.</t>
  </si>
  <si>
    <t>Unit 19 Ransomes Dock Business Centre, 35-37 Parkgate Road (Ransomes Dock Business Centre)</t>
  </si>
  <si>
    <t>2018/0813</t>
  </si>
  <si>
    <t>Determination as to whether prior approval is required for change of use of office at first floor level (Use Class B1(a)) to residential (Use Class C3) to provide 1 x studio flat.</t>
  </si>
  <si>
    <t>Unit 16 Ransomes Dock Business Centre, 35-37 Parkgate Road (Ransomes Dock Business Centre)</t>
  </si>
  <si>
    <t>2018/1606</t>
  </si>
  <si>
    <t>Determination as to whether prior approval is required for change of use of office Class B1a) to residential (Class C3) to provide 2 x 1-bedroom flats.</t>
  </si>
  <si>
    <t>Unit 15 Ransomes Dock Business Centre, 35-37 Parkgate Road (Ransomes Dock Business Centre)</t>
  </si>
  <si>
    <t>2018/0815</t>
  </si>
  <si>
    <t>Determination as to whether prior approval is required for change of use of office at first floor level (UseClass B1(a)) to residential (Use Class C3) to provide 1 x 2 bedroom flat.</t>
  </si>
  <si>
    <t>Unit 11-12 Ransomes Dock Business Centre, 35-37 Parkgate Road (Ransomes Dock Business Centre)</t>
  </si>
  <si>
    <t>2018/0816</t>
  </si>
  <si>
    <t>Determination as to whether prior approval is required for change of use of office at second floor level (Use Class B1(a) to residential (Use Class 3) to provide 1 x 2 bedroom flat.</t>
  </si>
  <si>
    <t>Unit 7-10 Ransomes Dock Business Centre, 35-37 Parkgate Road (Ransomes Dock Business Centre)</t>
  </si>
  <si>
    <t>2018/0817</t>
  </si>
  <si>
    <t>Determination as to whether prior approval is required for change of use of office at first floor level  (Use Class B1(a)) to residential (Use Class C3) to provide 1 x 1 bedroom flat and 1 x 2 bedroom flat.</t>
  </si>
  <si>
    <t>Cedars Hall 141, 141 Welham Road</t>
  </si>
  <si>
    <t>2018/0669</t>
  </si>
  <si>
    <t>Erection of two-storey extension over the existing two-storey element of the existing student accommodation building at the Cedars Hall to provide 34 x 1 bed 1 person units.</t>
  </si>
  <si>
    <t>Higher Education Accommodation</t>
  </si>
  <si>
    <t>59 St Johns Road</t>
  </si>
  <si>
    <t>2018/0845</t>
  </si>
  <si>
    <t>Alterations in connection with change of use from retail (Class A1) to a mixed use as a beauty salon and retail shop (Classes A1/D1) with the installation of a new shopfront.</t>
  </si>
  <si>
    <t>2 Chatfield Road</t>
  </si>
  <si>
    <t>2018/0732</t>
  </si>
  <si>
    <t>Alterations in connection with change of use from office (Class B1a) to assembley and leisure (Class D2).</t>
  </si>
  <si>
    <t>Ground floor 281, 281 Wimbledon Park road</t>
  </si>
  <si>
    <t>2018/0159</t>
  </si>
  <si>
    <t>Determination as to whether prior approval is required for change of use from retail (Class A1) to a cafe (Class A3) with associated external alterations to front elevation.</t>
  </si>
  <si>
    <t>Car Park @ Putney Exchange, Putney High Street</t>
  </si>
  <si>
    <t>2018/0905</t>
  </si>
  <si>
    <t>Change of use of part of the roof level car park to a food led 'pop-up' venue (Use Class A3/A4) and the associated erection of a single-storey pergola, with access through the shopping centre</t>
  </si>
  <si>
    <t>Snack Bars</t>
  </si>
  <si>
    <t>Land east of 57, 57 Putney Bridge Road</t>
  </si>
  <si>
    <t>2018/1079</t>
  </si>
  <si>
    <t>Erection of five storey building to provide 5 x studio flats with associated cycle and bin storage.</t>
  </si>
  <si>
    <t>Garages south of 156-232, 156-232 Whitlock Drive</t>
  </si>
  <si>
    <t>2017/6139</t>
  </si>
  <si>
    <t>Demolition of existing garages and erection of three-storey (plus basement) building to provide 2x 3-bedroom flats, 6x 2-bedroom flats and 1x 1-bedroom flat with associated landscaping, underground parking, bin and cycle storage.</t>
  </si>
  <si>
    <t>2a Keswick Broadway, Upper Richmond Road</t>
  </si>
  <si>
    <t>2018/1102</t>
  </si>
  <si>
    <t>Change of use from taxi office (Sui generis) to nail bar (Sui generis)- Retrospective.</t>
  </si>
  <si>
    <t>43 Leverson Street</t>
  </si>
  <si>
    <t>2018/1169</t>
  </si>
  <si>
    <t>Conversion of the ground floor property from retail (Class A1) to a one-bedroom flat (Class C3 Residential) with access to the rear garden and alterations including new shopfront.</t>
  </si>
  <si>
    <t>99 Mitcham Road</t>
  </si>
  <si>
    <t>2018/0972</t>
  </si>
  <si>
    <t>Change of use from hairdresser (Class A1) to beauty salon (Sui Generis).</t>
  </si>
  <si>
    <t>Glassmill 1, 1 Battersea Bridge Road</t>
  </si>
  <si>
    <t>2018/1311</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</si>
  <si>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</si>
  <si>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79 Mitcham Road</t>
  </si>
  <si>
    <t>2018/1411</t>
  </si>
  <si>
    <t>Change of use from shop (Class A1) to hot food takeaway (Class A5).</t>
  </si>
  <si>
    <t>662-664, 662-664 Garratt Lane</t>
  </si>
  <si>
    <t>2017/1867</t>
  </si>
  <si>
    <t>Alterations including erection of roof extension to provide additional floor and erection of Hindu dome structure on roof.</t>
  </si>
  <si>
    <t>103a, 103A Lavender Hill</t>
  </si>
  <si>
    <t>2017/1383</t>
  </si>
  <si>
    <t>Determination as to whether prior approval is required for change of use from retail (Class A1) to a cafe (Class A3). Installation of additional vent in side elevation.</t>
  </si>
  <si>
    <t>Harvey &amp; Romero Court Building University of Roehampton, Roehampton Lane</t>
  </si>
  <si>
    <t>2018/1531</t>
  </si>
  <si>
    <t>Alterations including erection of two-storey rear extension, enclosure of existing courtyard, installation of replacement of windows and erection of external plant.</t>
  </si>
  <si>
    <t>34 Putney High Street</t>
  </si>
  <si>
    <t>2018/0144</t>
  </si>
  <si>
    <t>Alterations including erecton of single to three-storey rear extensions including first floor level rear terraces in connection with use of rear ground floor and upper floors to provide 1 x 1-bed and 2 x 2-bed flats with associated refuse and cycle storage to rear; alterations to shopfront.</t>
  </si>
  <si>
    <t>217 Garratt Lane</t>
  </si>
  <si>
    <t>2018/1377</t>
  </si>
  <si>
    <t>Alterations including erection of part single/part two storey rear/side extension,  in connection with use of front part of ground floor as a shop and the remainder as, 1 x 2-bedroom and 2 x 1-bedroom flats with rear first floor terrace.</t>
  </si>
  <si>
    <t>38 Lavender Hill</t>
  </si>
  <si>
    <t>2018/0024</t>
  </si>
  <si>
    <t>Alterations to shopfront and excavation enlarge basement including formation of front lightwell with grille over and wall surround.</t>
  </si>
  <si>
    <t>243 Balham High Road</t>
  </si>
  <si>
    <t>2018/1238</t>
  </si>
  <si>
    <t>Change of use from Shop (Class A1) to  Restaurant/Cafe (Class A3).</t>
  </si>
  <si>
    <t>Land east of Her Majesty's Prison &amp; North of Alma Terrace, Heathfield Road</t>
  </si>
  <si>
    <t>2018/1612</t>
  </si>
  <si>
    <t>Retention of various structures including sheds, poly-tunnels and yurt in connection with continued use as an Urban Community Farm (Sui Generis).</t>
  </si>
  <si>
    <t>27 Mallinson Road</t>
  </si>
  <si>
    <t>2018/0485</t>
  </si>
  <si>
    <t>Erection of mansard roof extension to main rear roof and above two-storey back addition to provide additional teaching spaces.</t>
  </si>
  <si>
    <t>Grosvenor Bridge Railway Link, Grosvenor Bridge</t>
  </si>
  <si>
    <t>2016/5882</t>
  </si>
  <si>
    <t>Application under Section 96a of the Town and Country Planning Act for non-material amendments to planning permission dated 08/02/2016 (ref. 2015/6218) for the provision of hard landscaping and associated works, and planning permission for a period of 7 years only for the erection of temporary structures within six zones comprising upto 119sqm of flexible Class A1/A3/A4 floorspace; upto 117sqm of flexible Class A1/A5/D2 floorspace; upto 115sqm of flexible Class A1/A5/D2 floorspace; upto 34sqm of sui generis (public welfare facilities) floorspace; upto 29sqm of Class B8 floorspace and upto 86sqm of Class B1 floorspace; and other works incidental to the application. (the amendments related to the provision of 27 TfL cycle docking stations, amendments to the 6 designated zones and the accommodation of the Grade II listed K2 telephone kiosk).</t>
  </si>
  <si>
    <t>ZONE 1</t>
  </si>
  <si>
    <t>ZONE 2</t>
  </si>
  <si>
    <t>ZONE 4</t>
  </si>
  <si>
    <t>ZONE 5</t>
  </si>
  <si>
    <t>ZONE 6</t>
  </si>
  <si>
    <t>2017/4865</t>
  </si>
  <si>
    <t>Application under Section 96a of the Town and Country Planning Act for non-material amendments to planning permission 2015/6218, dated 08/02/2016 for the provision of hard landscaping and associated works, and planning permission for a period of 7 years only for the erection of temporary structures within six zones comprising flexible Class A1/A3/A4 floorspace; flexible Class A1/A4/A5/D2 floorspace; flexible Class A1/A5/D2 floorspace; Sui Generis (public welfare facilities) floorspace; Class B8 floorspace and Class B1 floorspace; and other works incidental to the application. (The amendments seek flexible Class A4 floorspace to be permitted in Zone 3 along with associated amendments to the wording of the description of development and to the wording of condition 2).</t>
  </si>
  <si>
    <t>ZONE 3</t>
  </si>
  <si>
    <t>Phase 2 (Power Station)</t>
  </si>
  <si>
    <t>BP Nightingale Service Station, 266 Balham High Road</t>
  </si>
  <si>
    <t>2017/6232</t>
  </si>
  <si>
    <t>Variation of condition 10 (in accordance with approved drawings) of planning permission 2017/1369 dated 7 July 2017 which granted 'Demolition of existing petrol filling station (Class Sui Generis) and redevelopment of the site including erection of a 4-7 storey building to provide 71 self-contained residential units (Class C3)(22 x 1 bedrooms, 41x 2 bedrooms, 8 x 3 bedrooms) with associated cycle parking and landscaping) to allow alterations in association with reconfigured layout of 69 units).) to allow alterations in association with reconfigured layout of 69 units ((20 x 1 bedrooms, 40x 2 bedrooms, 7 x 3 bedrooms, 1 x 4 bedroom and 1 studio)'.  Approved drawings to be amended by way of: Minor changes to floor plates on all levels (incl. basement); Internal reconfigurations; Minor changes to schedule of accommodation; Minor elevational alterations (omission of stallrisers, minor changes to fenestration, minor changes to configuration of materials - increased vertical emphasis)</t>
  </si>
  <si>
    <t>Arches 744-759, Grosvenor Railway Bridge (Railway viaduct located immediately to the south of the Grosvenor Railway Bridge)</t>
  </si>
  <si>
    <t>2016/7037</t>
  </si>
  <si>
    <t>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t>
  </si>
  <si>
    <t>ARCH 744</t>
  </si>
  <si>
    <t>ARCH 745</t>
  </si>
  <si>
    <t>ARCH 746</t>
  </si>
  <si>
    <t>ARCH 747</t>
  </si>
  <si>
    <t>ARCH 748</t>
  </si>
  <si>
    <t>ARCH 749</t>
  </si>
  <si>
    <t>Cinema or Music Hall</t>
  </si>
  <si>
    <t>ARCH 750</t>
  </si>
  <si>
    <t>ARCH 751</t>
  </si>
  <si>
    <t>ARCH 752</t>
  </si>
  <si>
    <t>ARCH 753</t>
  </si>
  <si>
    <t>ARCH 754</t>
  </si>
  <si>
    <t>Arch 755</t>
  </si>
  <si>
    <t>ARCH 756</t>
  </si>
  <si>
    <t>ARCH 757</t>
  </si>
  <si>
    <t>ARCH 758</t>
  </si>
  <si>
    <t>ARCH 759</t>
  </si>
  <si>
    <t>EXISTING</t>
  </si>
  <si>
    <t>Phase Name</t>
  </si>
  <si>
    <t>Phase Currency</t>
  </si>
  <si>
    <t>Site</t>
  </si>
  <si>
    <t>Site Specific Allocation</t>
  </si>
  <si>
    <t>Application</t>
  </si>
  <si>
    <t>Received Date</t>
  </si>
  <si>
    <t>Granted in Reporting Year</t>
  </si>
  <si>
    <t>Demolition Date</t>
  </si>
  <si>
    <t>Construction Date</t>
  </si>
  <si>
    <t>Completion Date</t>
  </si>
  <si>
    <t>Occupied Date</t>
  </si>
  <si>
    <t>Phase Construction Date</t>
  </si>
  <si>
    <t>Phase Completion Date</t>
  </si>
  <si>
    <t>Development Type Report</t>
  </si>
  <si>
    <t>A1 Gain</t>
  </si>
  <si>
    <t>A2 Gain</t>
  </si>
  <si>
    <t>A3 Gain</t>
  </si>
  <si>
    <t>A4 Gain</t>
  </si>
  <si>
    <t>A5 Gain</t>
  </si>
  <si>
    <t>A Total Gain</t>
  </si>
  <si>
    <t>B1a Gain</t>
  </si>
  <si>
    <t>B1b Gain</t>
  </si>
  <si>
    <t>B1c Gain</t>
  </si>
  <si>
    <t>B2 Gain</t>
  </si>
  <si>
    <t>B8 Gain</t>
  </si>
  <si>
    <t>B Total Gain</t>
  </si>
  <si>
    <t>C1 Gain</t>
  </si>
  <si>
    <t>D1 Gain</t>
  </si>
  <si>
    <t>D2 Gain</t>
  </si>
  <si>
    <t>D Total Gain</t>
  </si>
  <si>
    <t>A1 Loss</t>
  </si>
  <si>
    <t>A2 Loss</t>
  </si>
  <si>
    <t>A3 Loss</t>
  </si>
  <si>
    <t>A4 Loss</t>
  </si>
  <si>
    <t>A5 Loss</t>
  </si>
  <si>
    <t>A Total Loss</t>
  </si>
  <si>
    <t>B1a Loss</t>
  </si>
  <si>
    <t>B1b Loss</t>
  </si>
  <si>
    <t>B1c Loss</t>
  </si>
  <si>
    <t>B2 Loss</t>
  </si>
  <si>
    <t>B8 Loss</t>
  </si>
  <si>
    <t>B Total Loss</t>
  </si>
  <si>
    <t>C1 Loss</t>
  </si>
  <si>
    <t>D1 Loss</t>
  </si>
  <si>
    <t>D2 Loss</t>
  </si>
  <si>
    <t>D Total Loss</t>
  </si>
  <si>
    <t>A Total Net</t>
  </si>
  <si>
    <t>B Total Net</t>
  </si>
  <si>
    <t>Net Loss of B</t>
  </si>
  <si>
    <t>D Total Net</t>
  </si>
  <si>
    <t>Strategic Industrial Location</t>
  </si>
  <si>
    <t>Strategic Industrial Location Name</t>
  </si>
  <si>
    <t>Locally Significant Industrial Area</t>
  </si>
  <si>
    <t>Locally Significant Industrial Area Name</t>
  </si>
  <si>
    <t>Mixed Use Former Industrial Employment Area</t>
  </si>
  <si>
    <t>Mixed Use Former Industrial Employment Area Name</t>
  </si>
  <si>
    <t>Vauxhall, Nine Elms, Battersea Opportunity Area</t>
  </si>
  <si>
    <t>Temporary Permission</t>
  </si>
  <si>
    <t>Old Sergeant</t>
  </si>
  <si>
    <t>Summerstown</t>
  </si>
  <si>
    <t>Earlsfield</t>
  </si>
  <si>
    <t>Bendon Valley</t>
  </si>
  <si>
    <t>Tooting Bec</t>
  </si>
  <si>
    <t>Southfields</t>
  </si>
  <si>
    <t>Lavender Hill/Queenstown Road</t>
  </si>
  <si>
    <t>Business Village</t>
  </si>
  <si>
    <t>Chatfield/Mendip Roads</t>
  </si>
  <si>
    <t>Howie Street</t>
  </si>
  <si>
    <t>Ram Brewey</t>
  </si>
  <si>
    <t>Roehampton</t>
  </si>
  <si>
    <t>Clapham South</t>
  </si>
  <si>
    <t>Thornsett Road</t>
  </si>
  <si>
    <t>Central Wandsworth</t>
  </si>
  <si>
    <t>142-144 Tooting Bec Road</t>
  </si>
  <si>
    <t>Development Type 1</t>
  </si>
  <si>
    <t>Development Type 2</t>
  </si>
  <si>
    <t>Count of B Total Gain</t>
  </si>
  <si>
    <t>Sum of B Total Loss</t>
  </si>
  <si>
    <t>Count of B Total Loss</t>
  </si>
  <si>
    <t>Count of B Total Net</t>
  </si>
  <si>
    <t>Sum of B Total Gain2</t>
  </si>
  <si>
    <t>Sum of B Total Net2</t>
  </si>
  <si>
    <t>Completions 2017/18</t>
  </si>
  <si>
    <t>Change of Use</t>
  </si>
  <si>
    <t>Extension</t>
  </si>
  <si>
    <r>
      <t>Change in Floorspace (m</t>
    </r>
    <r>
      <rPr>
        <b/>
        <sz val="9"/>
        <rFont val="Arial"/>
        <family val="2"/>
      </rPr>
      <t>²</t>
    </r>
    <r>
      <rPr>
        <b/>
        <sz val="9"/>
        <rFont val="Arial"/>
        <family val="2"/>
        <scheme val="minor"/>
      </rPr>
      <t>)</t>
    </r>
  </si>
  <si>
    <t>Sites with Gain</t>
  </si>
  <si>
    <t>Sites with Loss</t>
  </si>
  <si>
    <t>Subject to Legal Agreement</t>
  </si>
  <si>
    <t>Application at Appeal</t>
  </si>
  <si>
    <t>(blank) Total</t>
  </si>
  <si>
    <t>02 Under Construction</t>
  </si>
  <si>
    <t>01 Completed</t>
  </si>
  <si>
    <t>03 Planning</t>
  </si>
  <si>
    <t>04 Pending</t>
  </si>
  <si>
    <t>Status 1 - Development</t>
  </si>
  <si>
    <t>Status 2 - Permission Type</t>
  </si>
  <si>
    <t>Status 3 - Occupancy</t>
  </si>
  <si>
    <t>Not Occupied</t>
  </si>
  <si>
    <t>Occupied</t>
  </si>
  <si>
    <t>Certificate of Lawful Development</t>
  </si>
  <si>
    <t>01 Pending Legal Agreement</t>
  </si>
  <si>
    <t>02 Full</t>
  </si>
  <si>
    <t>03 Outline</t>
  </si>
  <si>
    <t>04 Prior Approval</t>
  </si>
  <si>
    <t>05 Certificate of Lawful Development</t>
  </si>
  <si>
    <t>02 Full Total</t>
  </si>
  <si>
    <t>04 Prior Approval Total</t>
  </si>
  <si>
    <t>05 Certificate of Lawful Development Total</t>
  </si>
  <si>
    <t>01 Completed Total</t>
  </si>
  <si>
    <t>02 Under Construction Total</t>
  </si>
  <si>
    <t>03 Outline Total</t>
  </si>
  <si>
    <t>03 Planning Total</t>
  </si>
  <si>
    <t>01 Pending Legal Agreement Total</t>
  </si>
  <si>
    <t>04 Pending Total</t>
  </si>
  <si>
    <t>06 Appeal</t>
  </si>
  <si>
    <t>06 Appeal Total</t>
  </si>
  <si>
    <t>Permission</t>
  </si>
  <si>
    <t>Pipeline</t>
  </si>
  <si>
    <t>Permission Pending</t>
  </si>
  <si>
    <t>Approved</t>
  </si>
  <si>
    <t>Not Started</t>
  </si>
  <si>
    <t>Permission – Full</t>
  </si>
  <si>
    <t>Permission – Outline</t>
  </si>
  <si>
    <t>Not Occupied Total</t>
  </si>
  <si>
    <t>Occupied Total</t>
  </si>
  <si>
    <t>Sites</t>
  </si>
  <si>
    <r>
      <t>Total</t>
    </r>
    <r>
      <rPr>
        <b/>
        <vertAlign val="superscript"/>
        <sz val="9"/>
        <rFont val="Arial"/>
        <family val="2"/>
        <scheme val="minor"/>
      </rPr>
      <t>†</t>
    </r>
  </si>
  <si>
    <r>
      <t>Number of Sites</t>
    </r>
    <r>
      <rPr>
        <b/>
        <vertAlign val="superscript"/>
        <sz val="9"/>
        <rFont val="Arial"/>
        <family val="2"/>
        <scheme val="minor"/>
      </rPr>
      <t>*</t>
    </r>
    <r>
      <rPr>
        <b/>
        <sz val="9"/>
        <rFont val="Arial"/>
        <family val="2"/>
        <scheme val="minor"/>
      </rPr>
      <t xml:space="preserve"> with a Change in Commercial Floorspace</t>
    </r>
  </si>
  <si>
    <r>
      <t>Sites</t>
    </r>
    <r>
      <rPr>
        <b/>
        <vertAlign val="superscript"/>
        <sz val="9"/>
        <rFont val="Arial"/>
        <family val="2"/>
        <scheme val="major"/>
      </rPr>
      <t>‡</t>
    </r>
  </si>
  <si>
    <t>2017/18</t>
  </si>
  <si>
    <t>B1 Total Gain</t>
  </si>
  <si>
    <t>Count of B1 Total Gain</t>
  </si>
  <si>
    <t>Sum of B1 Total Gain2</t>
  </si>
  <si>
    <t>Count of B2 Gain</t>
  </si>
  <si>
    <t>Sum of B2 Gain2</t>
  </si>
  <si>
    <t>Count of B8 Gain</t>
  </si>
  <si>
    <t>Sum of B8 Gain2</t>
  </si>
  <si>
    <t>Sum of B Total Net</t>
  </si>
  <si>
    <t>Sum of B Total Loss2</t>
  </si>
  <si>
    <t>Office</t>
  </si>
  <si>
    <t>Resarch and Development</t>
  </si>
  <si>
    <t>Industrial</t>
  </si>
  <si>
    <t>Storage and Distribution</t>
  </si>
  <si>
    <t>B1</t>
  </si>
  <si>
    <t>Net Floorspace (m²)</t>
  </si>
  <si>
    <t>Business</t>
  </si>
  <si>
    <t>Town Centres</t>
  </si>
  <si>
    <r>
      <t>Total</t>
    </r>
    <r>
      <rPr>
        <b/>
        <vertAlign val="superscript"/>
        <sz val="9"/>
        <rFont val="Arial"/>
        <family val="2"/>
        <scheme val="minor"/>
      </rPr>
      <t>§</t>
    </r>
  </si>
  <si>
    <t>Development Description</t>
  </si>
  <si>
    <t>Summary Development Description</t>
  </si>
  <si>
    <t>New build two-storey building.</t>
  </si>
  <si>
    <t>New s/s security gatehouse</t>
  </si>
  <si>
    <t>s/s extn to existing C2 to provide 10 rooms for patients with dimentia</t>
  </si>
  <si>
    <t>NB four-storey building to provide 2x 2 b/f.</t>
  </si>
  <si>
    <t>Demolish existing B1a @ 2nd fl and Extn to existing creating 1 x 1 b/f and 4 x 3 b/f</t>
  </si>
  <si>
    <t>Renewal of p.p.2010/0537 for erection of 4-storey building to provide  A1 and C3 @ 8 x 2 b/f.</t>
  </si>
  <si>
    <t>Blocks H &amp; L</t>
  </si>
  <si>
    <t>Prior Approval for CoU from B1 to C3 @ 1 x 2 b/f.</t>
  </si>
  <si>
    <t>New build A1 and C3 1 x 2 b/f and 2 x 2 b/f.</t>
  </si>
  <si>
    <t>CoU from A1 (vacant) to A2 (estate agents)</t>
  </si>
  <si>
    <t>Demolish existing B1c and NB 3 x 2 b/f. Co U from A3 to C3 @ 1 x 1 b/f. Convert existing 2 x 2 b/f + extn to 1 x 1 b/f, 1 x 2 b/f and 1 x 3 b/f.</t>
  </si>
  <si>
    <t>Demolish part of retained building &amp; new build mix use development comprising 135 residential units and A3/4 + D2 Residents only gym.</t>
  </si>
  <si>
    <t>S.73 for CoU from A3/A4 to B1a (retain some A3/4)</t>
  </si>
  <si>
    <t>Renewal of p.p.2012/0531 expired 24.05.15 (not implemented). Demolish existing upper floors of B1A and CoU from part of A2 and new build providing C3 @ 4 x 2 b/f and 1 x 3 b/f</t>
  </si>
  <si>
    <t>CoU from SG (car park) to B8 (storage).</t>
  </si>
  <si>
    <t>HYBRID APPLICATION = Outline = Layout of layout and massing of Sports Hall. Detailed = building to provide mixed-use development proving office and 39 resi units @ (P) 14 x 1 b/f, 15 x 2 b/f, 2 x 3b/f and (S/R - int) @ 2 x 1 and 2 x 2(INT) 2 x 1 and 2 x 2</t>
  </si>
  <si>
    <t>CoU from ex B8 to C3 @ 1 x 2 b/f.</t>
  </si>
  <si>
    <t>Demolish existing B1 (Police Stn) new build 4-7 storey care home @ C2 comprising 102 units (BOOKED IN AS c3 AS SELF-CONTAINED UNITS) and ancillary A1 (retail), A3 (café) and D2 (day centre/swimming pool within the C2.</t>
  </si>
  <si>
    <t>Prior Approval fro CoU from B1a (g/f) to C3 @ 4 x 1 b/f.</t>
  </si>
  <si>
    <t>New embassy</t>
  </si>
  <si>
    <t>CoU A1 - A1 / SG</t>
  </si>
  <si>
    <t>CoU from vacant B1 to D2 (yoga studio) + alterations</t>
  </si>
  <si>
    <t>CoU from existing B8 (storage ) to B1c and a + additional storey providing B1 (ancillary)</t>
  </si>
  <si>
    <t>S.73 for MMA to 2015/2963 to amend the tenure to 100% AH @ 15 x 1 b/f, 39 x 2 b/f, 9 x 3 b/f and 8 x 4 b/f.</t>
  </si>
  <si>
    <t>Demolish existing SG and NB SG (car rental and car wash)</t>
  </si>
  <si>
    <t>Renewal of 2013/3855 to provide additional 976 sq.m of B1</t>
  </si>
  <si>
    <t>Demolition of part D1 and erection of 1 x 3 b/h.</t>
  </si>
  <si>
    <t>S.73 to 2012/0380 to increase basment level 2 increase residential units from 487 to 491</t>
  </si>
  <si>
    <t>NMA to 2014/0871 to reduce the private resi units by 2 x 1 b/f  and amendments to reatil + Public viewing</t>
  </si>
  <si>
    <t>CoL - ex for CoU from B1 to B2</t>
  </si>
  <si>
    <t>CoU from l/g/fl from D1 to B1</t>
  </si>
  <si>
    <t>Construct part single/two storey extension + loft extension to provide additional B1a.</t>
  </si>
  <si>
    <t>Prior Approval for CoU from B1A to C3 @ 4 x 1 b/f.</t>
  </si>
  <si>
    <t>Demolish existing D1 and NB 3-storey building providing 1 x 1 b/f, 2 x 2 b/f and 1 x 3 b/f + D1</t>
  </si>
  <si>
    <t>CoU from g/f A1 to extend existing C3.</t>
  </si>
  <si>
    <t>Prior Approval for CoU from A1 to A3</t>
  </si>
  <si>
    <t>Demolish existing vacant B2 and NB 1 x 1 b/h.</t>
  </si>
  <si>
    <t>Extn to existing A2 providing add 28sq.m</t>
  </si>
  <si>
    <t>CoU of lg/g/flr vacant A4 to A1 (Tescos)</t>
  </si>
  <si>
    <t>Demolish existing SG (car servicing centre) into mixed use development comprising A1-A5, B1a and C3 @ 307 resi units including both private and affordable (INT).</t>
  </si>
  <si>
    <t>Demolish existing garages and NB 4-storey building providing 1 x 3 b/h.</t>
  </si>
  <si>
    <t>CoU from SG to C3 (8 resi units) @ 2 x 1 b/f, 4 x 2 b/f and 2 x 3 b/f.</t>
  </si>
  <si>
    <t>CoU of rear part of g/f and b/mnt from A1 to C3 @ 1 x 2 b/f.</t>
  </si>
  <si>
    <t>Ext to create additional A1. New build 1 x 3 b/f to existing resi block and construction of new 2-storey ext to provide 4 x 2 b/f.</t>
  </si>
  <si>
    <t>Prior pproval for CoU from B1a to 9 residential units (as per officers report) C3 @ 1 x 1 s/f , 5 x 1 b/f and 3 x 2 b/f.</t>
  </si>
  <si>
    <t>Demolition of building and new build residential 22 units and B1(a)</t>
  </si>
  <si>
    <t>Demolish existing B1 and new build larger B1.</t>
  </si>
  <si>
    <t>Prior Approval for CoU of B1A @ 1st (front) 2nd/3rd to C3 @ 3 x 2 b/f.</t>
  </si>
  <si>
    <t>CoU from part of g/f B2 to  A1/A2 or A3.</t>
  </si>
  <si>
    <t>(362a) Convert existing 1 x 3 b/f into 2 x 1 s/f + extn.</t>
  </si>
  <si>
    <t>(rear of) CoU from B8 (warehouse) + extension to C3 @ 1 x 1 b/h.</t>
  </si>
  <si>
    <t>CoU of 2nd/3rd floors vacant A1 to C3 @ 1 x 1 b/f and 4 x 2 b/f + alts/extn</t>
  </si>
  <si>
    <t>CoU from vacant B1 to SG</t>
  </si>
  <si>
    <t>s/s extn providing A1</t>
  </si>
  <si>
    <t>Demolish existing vacant SG and  NB 4-storey building providing 2 x 1 b/f and 1 x 3 b/f.</t>
  </si>
  <si>
    <t>(Studio Z) Prior Approval for CoU from B1a to C3 @ 1 x 1 s/f.</t>
  </si>
  <si>
    <t>Part demolish existing A1 and and new build A1 and C3 @ 3 x 1 b/f and 2 x 2 b/f.</t>
  </si>
  <si>
    <t>CoU from A1 to A1 &amp; D2</t>
  </si>
  <si>
    <t>Extn to ex to create additional floor to hall.</t>
  </si>
  <si>
    <t>CoU from A1 to flexible A1/2/D1/D2</t>
  </si>
  <si>
    <t>Prior Approval for CoU from A1 to C3 @ 1 x 2 b/f.</t>
  </si>
  <si>
    <t>Extension providing additional D1 space.</t>
  </si>
  <si>
    <t>CoU from vacant A1 to D1 (dental Surgery)</t>
  </si>
  <si>
    <t>CoU from vacant SG to A1/3 (coffee shop)</t>
  </si>
  <si>
    <t>CoU of B8 (storage) to C3 @ 1 x 2 b/f + extn</t>
  </si>
  <si>
    <t>Extension to provide additional floorspace to existing nursery and 1st f/f reisdential.</t>
  </si>
  <si>
    <t>CoL - existing for CoU from SG to C3 @ 1 x 2 b/f</t>
  </si>
  <si>
    <t>CoU from A1 @ g/f to SG (nail salon)</t>
  </si>
  <si>
    <t>(Ground floor) CoU from vacant A1 to D1 (osteopathy, physiotherapy and sports rehabilitation)</t>
  </si>
  <si>
    <t>NB church hall</t>
  </si>
  <si>
    <t>CoU from part C3 (1 x 6 b/h) @ g/f to D1 (day nursery) for up to 9 children and C3 @ 1 x 5 b/h.</t>
  </si>
  <si>
    <t>CoU from A1 to D1.</t>
  </si>
  <si>
    <t>CoU from A1 to A3 (restaurant)</t>
  </si>
  <si>
    <t>CoL - [proposed for CoU from A1 (travel Agency) to A1 (sandwich bar/delicatessan (at g/f)</t>
  </si>
  <si>
    <t>Internal alterations to convert 5 x 1 b/f and 3 x 2 b/f into 1 x 3 b/h and 2 x 4 b/h. (works are already under construction for flats).</t>
  </si>
  <si>
    <t>CoU of existing B1a @ g/f to C3 @ 1 x 1 b/f + alts/extn</t>
  </si>
  <si>
    <t>CoL- proposed for CoU from A1 to C3 @ 1 x 2 b/f.</t>
  </si>
  <si>
    <t>CoU of b/mnt and g/f A1 to D1 (counselling &amp; physcotherapy)</t>
  </si>
  <si>
    <t>NB s/s extn on northern side.</t>
  </si>
  <si>
    <t>Alt's/extn to 1st/fl to provide B1</t>
  </si>
  <si>
    <t>NB 1 x 2 b/bungalow.</t>
  </si>
  <si>
    <t>Demolish existing B8 and new build 1 x 1 b/f, 1 x 2 b/f and 3 x 2 b/h.</t>
  </si>
  <si>
    <t>Prior Approval for CoU from B1a to C3 @ (2nd fl) @ 2 x 1 b/f and 1 x 2 b/f.</t>
  </si>
  <si>
    <t>CoU of upper/lower g/f from A3 to B1a + alt's.</t>
  </si>
  <si>
    <t>Demolish existing garages and NB 8 x 4 b/h.</t>
  </si>
  <si>
    <t>Demolish existing vacant building and new build 20 resi units @ 4 x 1 b/f and 16 x 2 b/f + A1/A3 and D1.</t>
  </si>
  <si>
    <t>Demolish existing vacant B2 and NB B1</t>
  </si>
  <si>
    <t>Demolish existing SG (car wash) into C3 @ (P) 5 x 1 b/f , 6 x 2 b/f and 1 x 3 b/h +  INT @ 2 x 1 b/f and 4 x 2 b/f  + D1 (community)</t>
  </si>
  <si>
    <t>Non-material amendment to 2016/2468 changing use of Block D: Unit 8 from D1 to flexible B1a or D1</t>
  </si>
  <si>
    <t>Demolish existing disused garages and NB s/s 1 x 4 b/h with 1 x 1 nanny flat (ancillary).</t>
  </si>
  <si>
    <t>CoU from B1 to D1.</t>
  </si>
  <si>
    <t>Demolish existing 1 x 3 b/h and B1c and NB BLOCK A C3 @ 5 x 2 b/f and BLOCK B 3 x 2 b/f and 1 x 1 b/f</t>
  </si>
  <si>
    <t>NMA to amend 2014/6409 for CoU from A2 to C3 @ 1 x 1 b/f and 1 x 2 b/f for SO (Viridian Housing willing to enter into a unilateral undertaking for S/O)</t>
  </si>
  <si>
    <t>CoU from SG to B1/A2 + alt's /extn.</t>
  </si>
  <si>
    <t>CoU from A1 (flower shop ) @ g/f to SG (mini-cab).</t>
  </si>
  <si>
    <t>Demolish existing vacant B8 and NB 1 x 2 b/h.</t>
  </si>
  <si>
    <t>CoU from D1 to C3 @ 2 x 2 b/f and 2 x 3 b/f.</t>
  </si>
  <si>
    <t>Demolish existing garages and new build 2 x 3 b/h and 1 x 4 b/h.</t>
  </si>
  <si>
    <t>New Build 1 x 2 b/h.</t>
  </si>
  <si>
    <t>Demolish existing building and new build 2 x 3 b/h and 2 x 4 b/h.</t>
  </si>
  <si>
    <t>Amalgamate existing vacant A1/SG into flexible A1/3/D2. CoU from exitsing SG (nightclub) to C3 @ 4 x 1 b/f and 2 x 2 b/f and roof ext to create C3 (new build) @ 1 x 1 b/f and 2 x 2 b/f.</t>
  </si>
  <si>
    <t>Demolish existing B1a, A1/3 and SG and NB C1, B1a, A1/2/3</t>
  </si>
  <si>
    <t>Demolish existing vacant B1a to C3 @ 1 x 1 b/f.</t>
  </si>
  <si>
    <t>Demolish existing A1 and new build comprising A1 and C3 @ 1 x 3 b/f and 14 x 2 b/f.</t>
  </si>
  <si>
    <t>S.73 to CoU from A1 to A1/A2.</t>
  </si>
  <si>
    <t>S.73 to increase commercial by 6sq.m and amend 1 x 2 b/f into 1 x 3 b/f</t>
  </si>
  <si>
    <t>11 flats over commercial</t>
  </si>
  <si>
    <t>CoU as of 2007/5659 A1/2/3/4/5 adding D2 to the class uses.</t>
  </si>
  <si>
    <t>Renewal of 2008/0407 reducing the amount of resi units from 158 to 118. Demolish existing vacant building B1, B8, A4, D1/2 &amp; A1-5 and new build mix-use development comprising A1,3,4, SG and 118 resi units private and affordable.</t>
  </si>
  <si>
    <t>CoU from D1 (day centre) to C3 @ 1 x 1 b/f and 3 x 2 b/f.</t>
  </si>
  <si>
    <t>Flat s 13 &amp; 14) Demolish existing shared penthouse/conservatory extn and new build replacement.</t>
  </si>
  <si>
    <t>NB 1 x 4 b/h</t>
  </si>
  <si>
    <t>Changing of Development Zones O1 &amp; RS4 from outline to detailed elements of the outline planning permission</t>
  </si>
  <si>
    <t>Changes to Phases 3 and 4</t>
  </si>
  <si>
    <t>Changes to the residential mix to create additional residential units and the change of use of hotel and serviced apartments in Development Zone RS5 to residential</t>
  </si>
  <si>
    <t>Resubmission of reserve matters for Phase 1</t>
  </si>
  <si>
    <t>NMA to 2013/6639 relates to additional demolition, reconfigure retail layouts</t>
  </si>
  <si>
    <t>CoU of g/f from vacant (originally education) D1 to D1 (counselling and pyscotherapy</t>
  </si>
  <si>
    <t>Redevelopment Phase III</t>
  </si>
  <si>
    <t>Mixed use redevelopment</t>
  </si>
  <si>
    <t>Demolish existing garages and NB 1 x 1 b/h</t>
  </si>
  <si>
    <t>CoU from part of g/f B8 (storage) to A1 (furniture showroom) &amp; B8.</t>
  </si>
  <si>
    <t>(1) CoU from SGto D1 and (2) CoU of rear part of A2 to C3 @ 2 x 2 b/f + extn</t>
  </si>
  <si>
    <t>Demolish existing A3 and 2 x 1 b/f and NB 6-storey building comprising flexi A1-5/D2 and C3 @ 1 x 1 s/f, 6 x 1 b/f and 1 x 2 b/f.</t>
  </si>
  <si>
    <t>Demolish 6 garages and new build - 4 x 2 b/f and 1 x 3 b/f.</t>
  </si>
  <si>
    <t>Arches 717 to 719 - Refurbish existing A3, B1 and SG to B8 and SG.</t>
  </si>
  <si>
    <t>Prior Approval for CoU from A1 (rear part of g/f) to A3 (café/restaurant)</t>
  </si>
  <si>
    <t>CoU of part of g/f A3 to part A1 and C3 @ 1 x 1 b/f</t>
  </si>
  <si>
    <t>Refurb + extn to provide additional floorspace @ changing rooms/showers.</t>
  </si>
  <si>
    <t>CoL - ex for CoU from B1c to B1a</t>
  </si>
  <si>
    <t>Extn to g &amp; 1st fl + additional 2-storey to provide additional B1a</t>
  </si>
  <si>
    <t>Demolish existing garage and NB 1 x 1 b/h.</t>
  </si>
  <si>
    <t>New build single-storey café @ D1.</t>
  </si>
  <si>
    <t>Alt/ext in connection with conversion of existing 1 x 4 b/f into 3 x 1 b/f. Part CoU from A1 to A1 and C3.</t>
  </si>
  <si>
    <t>Alt/extns + part CoU from A1 to A1 and C3 @ 1 x 1 b/f.</t>
  </si>
  <si>
    <t>Demolish part of existing refectory and NB s/s extension</t>
  </si>
  <si>
    <t>Part demolition and CoU from existing A1/B1 and D1. Extn to provide A1, D1 and C3 @ 2 x 2 b/f.</t>
  </si>
  <si>
    <t>1st fl extn to provide additional B1 &amp; B8</t>
  </si>
  <si>
    <t>Demolish existing SG and NB D1 providing 9 additional classrooms</t>
  </si>
  <si>
    <t>Prior Approval for CoU from part A2 to C3 @ 1 x 1 s/f at b/mnt level and A2 (estate agent) @ g/f.</t>
  </si>
  <si>
    <t>Demolish existing SG and new build mixed-use development comprising SG (car showroom with ancillary café) on g/f/2nd floors and C3 @ 173 resi units (incl. a/h).</t>
  </si>
  <si>
    <t>(32 only) Extension to provide staff room and toilets.</t>
  </si>
  <si>
    <t>Alt's/extn to create 2 x 1 b/f and additional commercial floorspace</t>
  </si>
  <si>
    <t>Extension to provide additional D2. (Sports Hall)</t>
  </si>
  <si>
    <t>Erect a single-storey and two-storey extension providing additional D2 and replace outdoor swimming pool</t>
  </si>
  <si>
    <t>Demolish existing D2 and NB D2</t>
  </si>
  <si>
    <t>Demolish disued laundry building</t>
  </si>
  <si>
    <t>Roof extn to accommodate lift installation</t>
  </si>
  <si>
    <t>1st/f/extn to create additional 50sq.m to Drapers Ward</t>
  </si>
  <si>
    <t>(Units 6)  CoU from from A1 to D1 (Day centre).</t>
  </si>
  <si>
    <t>CoU from A1 to A3</t>
  </si>
  <si>
    <t>CoU of rear part of g/f vacant B1 to C3 @ 1 x 1 b/f. Convert existing 1 x 3 b/f into 1 x 1 b/f and 1 x 2 b/f + alts/Extn's.</t>
  </si>
  <si>
    <t>Demolish existing vacant D1 (church) and NB 2 x 4 b/h.</t>
  </si>
  <si>
    <t>continued use as A3/5</t>
  </si>
  <si>
    <t>CoL - existing for CoU from D1 @ g/f and b/mnt to C3 @ 1 x 4 b/f</t>
  </si>
  <si>
    <t>Extension/conversion into 12 flats.</t>
  </si>
  <si>
    <t>Demolish existing D1 and NB s/s extn D1 for dining/Kitchen/teaching and nursery.</t>
  </si>
  <si>
    <t>CoU from A2 (Estate Agent) to A3 (restaurant)</t>
  </si>
  <si>
    <t>(114a) CoU of rear g/f from A1 to A3</t>
  </si>
  <si>
    <t>Erection of additional storey to provide additional B1 office space.</t>
  </si>
  <si>
    <t>Variation of Condition 3 for CoU (approved temporary use for a 5 year period) from 100% B8 (storage) to 80% B8 and 20% SG(coach parking)</t>
  </si>
  <si>
    <t>Demolish existing A1 and NB A1</t>
  </si>
  <si>
    <t>CoU from D1 (by condition education and training only) to D1 (NHS therapy talking service)</t>
  </si>
  <si>
    <t>CoU from B1a to C3 @ 1 x 4 b/h + alt's/extns</t>
  </si>
  <si>
    <t>Demolish existing B2 and new build C3 @ 4 x 1 b/f, 3 x 2 b/f and 1 x 3 b/f.</t>
  </si>
  <si>
    <t>CoU from g/f SG - mini-cab office into 1 x 2 b/f and alt/ext in connection with conversion of existing 1 x 1 b/f into 1 x 2 b/f.</t>
  </si>
  <si>
    <t>s/s extn</t>
  </si>
  <si>
    <t>Prior Approval for CoU from B1a to C3 @ 1 x 1 b/f.</t>
  </si>
  <si>
    <t>Demolish existing caretakers home and NB 1 x 2 bungalow.</t>
  </si>
  <si>
    <t>CoU from A3 to flexible A1/2/3/D2.</t>
  </si>
  <si>
    <t>CoU of existing A1 to flexible A1/2/3 and convert existing 3 x 1 b/f into 2 x 1 b/f and2 x 2 b/f + extn's.</t>
  </si>
  <si>
    <t>CoU of part of the rear g/f A1 into C 3 @ 1 x 1 b/f + al's.</t>
  </si>
  <si>
    <t>CoU @ g/f vacant A1 to C3 @ 1 x 2 b/f + extn</t>
  </si>
  <si>
    <t>(Units 27, 1, 2 &amp; 3 G/F The Filaments) CoU from B1 to D1 (creche).</t>
  </si>
  <si>
    <t>Redevelop existing vacant site and new build C3 @ 51 resi units, A1 and B1.</t>
  </si>
  <si>
    <t>UNIT E2 - S.73 for NMA to 2015/1200 for additional sq.m. to mezzanine floor to create additional A3</t>
  </si>
  <si>
    <t>BLOCK A Riverlight 5 Partial approval of details (not incl advert signage) creating additional 39.5 sq.m. of B1 mezzanine floor)</t>
  </si>
  <si>
    <t>NMA to 2015/1200 BLOCK E for CoU from B1 to A3</t>
  </si>
  <si>
    <t>Redevelopment for mixed use development. 2971 resi units both private and affordable (originally indicated 3019) remainder surplus if hotel is not implemented.</t>
  </si>
  <si>
    <t>Changes to main market floor area</t>
  </si>
  <si>
    <t>Reduction in substation area</t>
  </si>
  <si>
    <t>(Units 4, 7 &amp; 8) CoU from A1/2/3/B1/D1 to flexible A1/2/3/B1/D1/D2.</t>
  </si>
  <si>
    <t>Redevelop existing site for mix-use development comprising 839 residential units (incl. A/H)  flexible commercial use + public realm.</t>
  </si>
  <si>
    <t>S.73 for - Block D convert 1 x 2 b/f into 1 x 3 b/f, Block E gain 102 sq.m in B1 retail and concierge @ G/f lose 33sq.m, Block G,H &amp; J gain 1,079sq.m @ g/b/mnt, Blocks A &amp; F @ g/f/podium gain B1 Block A -= 452.32sq.m and Block f = 353.70 in total 806 sq.m</t>
  </si>
  <si>
    <t>S.73 to planning permission 2016/1517 to BLOCK M (café) to provide additional 135sq.m of A3 by mezzanine floor.</t>
  </si>
  <si>
    <t>Increase of 116 residential units</t>
  </si>
  <si>
    <t>Demolish existing building and new build mixed use development providing flexible A1/2/3 use and C3 @ 97 resi units of which 78 will be private and 19 affordable (int).</t>
  </si>
  <si>
    <t>S.73 to 2011/2089 (BLOCK L) for coU from vacant B1a to C3 ' 2 x 2 b/f.</t>
  </si>
  <si>
    <t>(UNIT L2 - 336a) CoU of part of g/f &amp; 1st fl from vacant A1/2/3 to D2 (gym)</t>
  </si>
  <si>
    <t>3-storey extension to provide additional D1 education space.</t>
  </si>
  <si>
    <t>Partial CoU from B1a to D2 (Pilates Studio).</t>
  </si>
  <si>
    <t>Demolition, CoU and alterations for 661 residential units, A1, A3-5, B2, D1 and B1c.</t>
  </si>
  <si>
    <t>NMA to 2012/6029 for Building 9 (Phase 2) to amend existing S/O from 36 x 1 b/f, 12 x 2 b/f and 18 x 3 b/f to 36 x 1 b/f, 24 x 2 b/f and 6 x 3 b/d + sub-station and additional balconies/terraces.(+ 2 additional w/c homes increasing from 8 to 10)</t>
  </si>
  <si>
    <t>BUILDING 11 - Ram Quarter CoU from B2, D1 and A3 only (original 2012/5286 is for flexible use A1-5) to D1/A3 and B2</t>
  </si>
  <si>
    <t>Demolish existing A1 and NB C3 @ 517 residential units (336 private and 181 AH); B1; flexible A1, A2, A3, A4 and B1</t>
  </si>
  <si>
    <t>New build 528 flats plus commercial and community units. (Figure amended to 528 from 527 re 2013/5527).</t>
  </si>
  <si>
    <t>Demolish existing A1 and NB 3 buildings (max 15 storeys) to provide A!/2/3, B1a, D1 and C3 385 @ private, affordable rent and INT -shared ownership.</t>
  </si>
  <si>
    <t>Change to unit mix in blocks A and B; additional dance studio space.</t>
  </si>
  <si>
    <t>New 5 storey block of 9 flats over shops and café.</t>
  </si>
  <si>
    <t>(83a) CoU from C3 @ 1 X 4 b/m into HMO (SG) @ 8 rooms + mansard roof extn/extns (not self-contained)</t>
  </si>
  <si>
    <t>Demolish existing s/s building and NB 2-storey extn/ for D1</t>
  </si>
  <si>
    <t>Prior Approval for CoU from B1 to C3 @ 9 X s/f</t>
  </si>
  <si>
    <t>(This application relates to the b/gfl only) for CoU from A1 to A1 &amp; D1 (Veterinary Clinic).</t>
  </si>
  <si>
    <t>NB 2-storey extn to provide B1 (Rear of)</t>
  </si>
  <si>
    <t>New build extension to provide additional B1a (ancillary floorspace) to existing B1a.</t>
  </si>
  <si>
    <t>excavate b/mnt provIding addition B1a.</t>
  </si>
  <si>
    <t>(Garage north of) Demolish existing Garage/storage @ B8 and N.B 10-storey building comprising flexible A1/A3/B1/D1 on g/f &amp; 1st fl and C3 @ 4 x 2 b/f.</t>
  </si>
  <si>
    <t>Demolish existing garages/outbuilding and NB 2 x 3 b/h.</t>
  </si>
  <si>
    <t>Demolish existing B1a office block and NB five-storey B8 storage.(only ground floor being implemented - the remaining mezzanine floors to be dealt with separately)</t>
  </si>
  <si>
    <t>CoU from B8 to C3 @ 1 x 1 b/h.</t>
  </si>
  <si>
    <t>NB 2-storey 1 x 3 b/h.</t>
  </si>
  <si>
    <t>CoU from SG (mini-cab office)  + convert existing 1 x 4 b/f into 1 x 5 b/h.</t>
  </si>
  <si>
    <t>Demolish ex D1 and NB D1 (additional 21 classrooms) for increasein pupils from 328-380 and sfatff 80-88</t>
  </si>
  <si>
    <t>New build 6 x 3 b/h.</t>
  </si>
  <si>
    <t>CoU from SG (Laundrette) to A1 (Chocolate retailer).</t>
  </si>
  <si>
    <t>Alt's + s/s extn to provide additional A5</t>
  </si>
  <si>
    <t>Continue as A3 (2015/5136 was for a CoU from A1 to A3  temporary period ceasing on 19.09.17).</t>
  </si>
  <si>
    <t>CoU of g/f from A1 to A3 (Restaurant) + s/s extn</t>
  </si>
  <si>
    <t>(88a) CoU from A1 to C3 @ 1 x 2 b/f + s/s extn.</t>
  </si>
  <si>
    <t>Prior Approval for CoU from B1a to C3 @ 2 x 1 b/f and 1 x 2 b/f.</t>
  </si>
  <si>
    <t>Redevelopment</t>
  </si>
  <si>
    <t>1st/fl extn to provide additional B8.</t>
  </si>
  <si>
    <t>Remove portacabin (D1) and NB Wooden outbuilding D1.</t>
  </si>
  <si>
    <t>(PHASE 4A) MMA (S.73) to 2015/3555 to remove sub-stn, reconfiguration, CoU  and provision of additional sq.m.</t>
  </si>
  <si>
    <t>Reconfiguration of Block C to remove mail distribution centre and increase residential units and school/retail/commercial use</t>
  </si>
  <si>
    <t>Reconfiguration of unit total and mix, with additional 1 and 2 bedroom units and fewer 3 bedroom units</t>
  </si>
  <si>
    <t>Demolish existing A1, A3 and SG and NB A1-5/3, C1 (hotel @ 96 rooms) D1/D2 and C3 @ 41 resi units providing private, social rented and intermediate.</t>
  </si>
  <si>
    <t>Demolish existing vacant B1c/SG and NB 6 storey building providing C2 @ 98 rooms for 100 residents.</t>
  </si>
  <si>
    <t>(1) Erection of 25-storey building comprising C3 @ 136 resi units, A1 @ g/f. (2) Demolish existing car showroom and NB 5-storey building providing A1 @ gf an B1@ 1st/4th and (3) provision of 6 s/s pod buildings tocomprise A1/2/3/4.</t>
  </si>
  <si>
    <t>(262b - g/f) CoU from A1 (smoothie bar) to SG (nail and beauty).</t>
  </si>
  <si>
    <t>CoU of B8 2 x 2 storage sheds and s/s extn to provide A1</t>
  </si>
  <si>
    <t>Prior Approval for CoU from part A1 to C3 @ 1 x 1 b/f and retain A1</t>
  </si>
  <si>
    <t>Prior Approval for CoU from B1A to C3 @ 1 x 2 b/f.</t>
  </si>
  <si>
    <t>Excavate basement to NB additional A2 floorspace.</t>
  </si>
  <si>
    <t>(G/F) Prior Approval for CoU from A2 (estate agents) to C3 @ 1 x 1 s/f (g/f)</t>
  </si>
  <si>
    <t>CoU of part of g/f from SG to A2 (including b/mnt excavation) and part C3 @ 1 x 2 b/f  and extn's. Convert existing1 x 1 b/f into 1 x 2 b/f with extn.</t>
  </si>
  <si>
    <t>CoU of rear part of g/f A3 to C3 + excavate b/mnt and extn @ 1 x 2 b/f.</t>
  </si>
  <si>
    <t>Part CoU from g/f A1 to C3 @ 1 x 1 b/f + ext.</t>
  </si>
  <si>
    <t>Demolish existing garage and erection of a 1 x 3 b/h.</t>
  </si>
  <si>
    <t>Erection of an extension to provide additional B1 space.</t>
  </si>
  <si>
    <t>Prior Approval for CoU from B1a (1st/fl) to C3 @ 1 x 1 b/f and 1 x 2 b/f.</t>
  </si>
  <si>
    <t>Change of use from clinic to 2 x 2-bedroom flats</t>
  </si>
  <si>
    <t>Demolish existing vacant 1 x 3 b/f and A1 and NB 4-storey builidng providing 2 x A1 units and C3 @ 2 x 1 b/f and 2 x 2 b/f.</t>
  </si>
  <si>
    <t>Prior Approval for CoU from part of C2 (ancillary to care home) to D1 (nursery) for 30 children.</t>
  </si>
  <si>
    <t>Convert existing garage + s/s extn to create 1 x 1 s/f.</t>
  </si>
  <si>
    <t>Renewal of 2013/0206 - Demolish existing vacant A1 (garage) and C3 @ 1 x 1 b/f into A2 and B1a + extn and enlarge b/mnt.</t>
  </si>
  <si>
    <t>CoU from B1 + roof extension to create C3 @ 1 x 2 b/h.</t>
  </si>
  <si>
    <t>Demolish rear addition, extension and CoU from A1 to C3 providing addditional 2 x 2 b/f and 1 x 3 b/f keeping existing 1 x 3 b/f.</t>
  </si>
  <si>
    <t>CoU of B8 (vacant storage) to D1 (school) for 8 pupils</t>
  </si>
  <si>
    <t>Construction of 8 x 4 b/h.</t>
  </si>
  <si>
    <t>Prior approval for CoU from B1a to C3 @ 1 x 1 b/h.</t>
  </si>
  <si>
    <t>Extensions to provide 14 residential units @ 3 x 1b/f, 8 x 2 b/f and 3 x 3 b/f.</t>
  </si>
  <si>
    <t>Demolish existing 2-storey teaching block and new build 2-storey extension to provide additional D1 space.</t>
  </si>
  <si>
    <t>CoU from SG to B1c/2 or B8.</t>
  </si>
  <si>
    <t>S/S extension to provide D1(nursery) for 24 children</t>
  </si>
  <si>
    <t>Demolish existing A4 (public house) and 1 x 6 b/f and NB 4-storey building providing A1/2/3/4 @ g/f and 1 x 1 s/f and 5 x 2 b/f.</t>
  </si>
  <si>
    <t>Creation of additional floor and mansard roof ext to provide 1 x 1 b/f and 1 x 3 b/f.</t>
  </si>
  <si>
    <t>Demolish existing Sports building and NB Indoor Crickets Nets</t>
  </si>
  <si>
    <t>NB 5-storey building to provide C1 @ 34 hotel rooms, D1 (dr's surgery) and A3 (café).</t>
  </si>
  <si>
    <t>New shower/toilet room.</t>
  </si>
  <si>
    <t>Commercial with 29 flats over</t>
  </si>
  <si>
    <t>Convert exitsing 1 x 2 b/f to 2 x 1-bedroom and  extn to ex for 1 x 2-bedroom flats + extn</t>
  </si>
  <si>
    <t>s/s extn to provide additional A1</t>
  </si>
  <si>
    <t>Erection of ext to existing classroom.</t>
  </si>
  <si>
    <t>Demolish part of existing building and NB s/s link extn creating additional D1.</t>
  </si>
  <si>
    <t>CoU from A1 to C3 (19 flats) @ (P) 1 x 1 s/f, 1 x 1 b/f and 11 x 2 b/f and 6 flats (SO-INT) @ 3 x 1 b/f and 3 x 2 b/f.</t>
  </si>
  <si>
    <t>NB additonal B1a</t>
  </si>
  <si>
    <t>Demolish existing mobile classroom and NB 2-storey extn providing new teaching space.</t>
  </si>
  <si>
    <t>Redevelop site for mixed use @ flexible A1/2/3/B1/D1/D2 &amp; C3 @ 109 resi units (P) @ 80units) and (INT) @ 29</t>
  </si>
  <si>
    <t>Demolish existing SG (Waste Transfer Station) and NB waste transfer stn with ancillary facilities and 422 resi units.</t>
  </si>
  <si>
    <t>S.73 to amend 2015/6357 of SG Ancillary Wharf to Flexible A1/3/D2</t>
  </si>
  <si>
    <t>Partial demolition of existing hall/wing to create additional floorspace @ B1a, D1 and SG.</t>
  </si>
  <si>
    <t>Prior Approval for CoU from B1 to C3 @ 61 units comprising 30 x 1 s/f, 19 x 1 b/f and 12 x 2 b/f.</t>
  </si>
  <si>
    <t>CoU from A1 to B1</t>
  </si>
  <si>
    <t>Part CoU from B1 (1st/2nd/3rd fl) to C3 @ 3 x 1 b/f and 2 x 2 b/f + extensions/reconfiguration retaining B1 and A3.</t>
  </si>
  <si>
    <t>Extensions in connection with CoU from SG (ancillary) of upper floors into 2 x 2 b/f.</t>
  </si>
  <si>
    <t>Prior Approval for CoU from B1 @ g/f to C3 @ 1 x 1 b/f.</t>
  </si>
  <si>
    <t>Demolish existing buildings and new build mixed development - 201 flats (C3) A1/2/3/4/5/and/or B1a/D1.</t>
  </si>
  <si>
    <t>(NMA to 2014/5149) increase C3 by 6.8sq.m reducing balcony (reduced on original application) increase D1 (gym) and commercial/concierge A1/2/3/4/5/B1</t>
  </si>
  <si>
    <t>Amendments to A09 floorspace</t>
  </si>
  <si>
    <t>A03 change of 2 bedroom unit to a studio; A05 change of 1 bedroom unit to a studio</t>
  </si>
  <si>
    <t>Change to outline to accommodate additional C3 floorspace in Plot A01</t>
  </si>
  <si>
    <t>Details for A01</t>
  </si>
  <si>
    <t>BLOCK A02 - S.73 for NMA to 2011/1815 to omit the basement and enlarge 10th floor &amp; u/g car park ro be replaced by surface parking bays reducuint the amount.</t>
  </si>
  <si>
    <t>S.73 for NMA to 2011/1815 for omission of a B1a unit of original flexi use (B1/A1/2/3/4) in Unit 3 Plot A11 and CoU from B1a to A1/3 in Unit 7 Plot A09</t>
  </si>
  <si>
    <t>Use of Unit 2 Plot A10 Phase 1 as flexible A2/3/4</t>
  </si>
  <si>
    <t>CoU of Unit 1B (Plot A10) of Phase 1 from vacant SG to A1/3 (beauty salon and café) and D2 (indoor cycling studio) (extant permission 2016/2420)</t>
  </si>
  <si>
    <t>Demolish existing two-storey building and new build 4-storey building/extension to provide A1, D2 and C3 @ 3 x 1 b/f and 5 x 2 b/f.</t>
  </si>
  <si>
    <t>CoU from C3 (Swimming pool) to part C3/D2 (swimming pool)</t>
  </si>
  <si>
    <t>Demolition of garages and new build 2 x 5 b/h. (previous approval 2011/5035 was for 2 x 7 b/h).</t>
  </si>
  <si>
    <t>Part CoU from G/F A2 to A2 and C3 @ 1 x 1 b/f.</t>
  </si>
  <si>
    <t>Convert exisiting 1 x 1 b/f into 1 x 2 (Retrospective) by CoU of part of the exisitng A2.</t>
  </si>
  <si>
    <t>Excavate b/mnt to create A1 and 2-storey extn at roof level to provide C3 @ 1 x 1 s/f, 1 x 1 b/f and 4 x 2 b/f</t>
  </si>
  <si>
    <t>Demolish existing garages and new build 1 x 2 b/h.</t>
  </si>
  <si>
    <t>New single storey extension for A1/SG.</t>
  </si>
  <si>
    <t>CoU of rear office (A1) + alt's in connection with conversion into C3 @ 1 x 1 b/f.</t>
  </si>
  <si>
    <t>Prior approval for CoU from B1a @ 3rd fl to C3 @ 1 x 2 b/f</t>
  </si>
  <si>
    <t>CoU from D1 to C3 (15 residential units - ALL AFFORDABLE) @ 1 x 1 b/f, 7 x 2 b/f, 3 x 3 b/h and 4 x 4 b/h.</t>
  </si>
  <si>
    <t>Retrospective CoU from C3 @ 1 x 4 b/f into C4 (7 rooms - HMO) and  conversion of 2 x 1 bf into 1 x 1 b/f (S/C)</t>
  </si>
  <si>
    <t>CoU from B1c (vacant) to C3 @ 4 x 1 b/h and 1 x 2 b/h. (officers report shows 5 x 1 b/h). Therefore amend to 5 x 1 b/h.</t>
  </si>
  <si>
    <t>(Unit 7) s/s extn to provide additional A1</t>
  </si>
  <si>
    <t>Prior Approval for CoU from B1a to C3 @ 4 x 1 b/f.</t>
  </si>
  <si>
    <t>Demolish 2 x existing pre-fab storage units and new build C3 @ 1 x 3 l/work house.</t>
  </si>
  <si>
    <t>CoU of upper floors (SG) - (unlawful hostel) into C3 @ 1 x 3 b/h, 3 x 2 b/f, 1 x 1  b/f and 1 x 3 b/f + ext.</t>
  </si>
  <si>
    <t>CoU from B8 (warehouse) to B2 (car repair garage)</t>
  </si>
  <si>
    <t>Construction of single-storey extension to be used as a function room.</t>
  </si>
  <si>
    <t>(Units 3 &amp; 4) Prior Approval for CoU from B1 to C3 @ 2 x 2 b/f.</t>
  </si>
  <si>
    <t>(Units 5, 6, 7 &amp; 8) Prior approval for CoU from B1a to C3 @ 4 x 2 b/f.</t>
  </si>
  <si>
    <t>(UNITS 1 &amp; 2) Prior Approval for CoU of B1a @ g/f to C3 @ 2 x 2 b/f.</t>
  </si>
  <si>
    <t>CoU from A1 (vacant) @ g/f and C3 on upper floor from 1x 1 b/f to 1 x 2 b/h.</t>
  </si>
  <si>
    <t>Prior Approval for CoU from A1 @ rear g/f to C3 @ 2 x 1 s/f.</t>
  </si>
  <si>
    <t>CoU of b/mnt/g/f A3 (reastaurant) to A1 @ front &amp; C3 @ b/mnt &amp; rear @ 1 x 3 b/f + alt's/extns.</t>
  </si>
  <si>
    <t>Demolish existing B1a and D1 and NB 4-storey building creating B1a or D1, A3 and C3 @ 6 x 2 b/f.</t>
  </si>
  <si>
    <t>(Unit 24 only) Prior Approval for CoU from B1a @ 2nd fl to C3 @ 1 x 1 b/f</t>
  </si>
  <si>
    <t>Demolish existing A1 (post office) and C3 @ 1 x 4 b/f and NB four-storesy providing A1 and C3 @ 1 x 1 s/f, 1 x 1 b/f, 5 x 2 b/f and 1 x 3 b/f</t>
  </si>
  <si>
    <t>Demolish existing s/s garage (B1c) and NB 2-storey garage with ancillary office above.</t>
  </si>
  <si>
    <t>CoU from vacant A2 to A4 (cocktail bar)</t>
  </si>
  <si>
    <t>CoU from SG(mini-cab) @ g/f to A1</t>
  </si>
  <si>
    <t>Minor material amendments to residential mix to 8 x 2 b/f and 1 x s/f.</t>
  </si>
  <si>
    <t>CoU from A1 to A4 (bar).</t>
  </si>
  <si>
    <t>CoU of SG @ g/f to flexible A1-3 and D2</t>
  </si>
  <si>
    <t>Part Retrospective -CoU from A3 to A1/2/3/4//B1</t>
  </si>
  <si>
    <t>CoU from vacant A4 to D2</t>
  </si>
  <si>
    <t>CoU from B1a &amp; c and B8 to C3 @ 2 x 2 /b/f/</t>
  </si>
  <si>
    <t>(58-60) alts and side/rear ext (1A Garratt Terrace) to NB 1 x 1 b/h.</t>
  </si>
  <si>
    <t>New build 4 storey building for mix use development comprising A1 (retail/pharmacy) D1 (medical centre and C3 @ 2 x 1 b/f, 5 x 2 b/f and 2 x 3 b/f.</t>
  </si>
  <si>
    <t>Erection of 3-storey building to create 7 resi units @ 3 x 1 b/f, 2 x 2 b/f and 2 x 3 b/f.</t>
  </si>
  <si>
    <t>NB 3-storey building to provide 3 x 1 b/f, 2 x 2 b/f and 1 x 3 b/f</t>
  </si>
  <si>
    <t>(206) Demolish existing 4 x 1 s/f and new build 2 x 1 b/f, 4 x 2 b/f and 1 x 3 b/f + B1 in the b/mnt and (208) Construct an additional storey providing 2 x 1 b/f  and alterations at 2A Stella Road providing addidional office space.</t>
  </si>
  <si>
    <t>Cou from vacant MOT Garage to C3 @ 1 x 2 b/h.</t>
  </si>
  <si>
    <t>Extension and CoU From A2 to include A2 and C3 1 x 1 b/s and 3 x 1 b/f.</t>
  </si>
  <si>
    <t>CoU from vacant A2/B1 to D1 (skincare clinic)</t>
  </si>
  <si>
    <t>CoU from A1 to D1 (veterinary clinic) + extn.</t>
  </si>
  <si>
    <t>Demolition of existing buildings and new build 110 units ( 55 x flats and 55 town houses).</t>
  </si>
  <si>
    <t>Extension to provide additional B1c space.</t>
  </si>
  <si>
    <t>Demolish existing 2-storey A1 @ rear and NB s/s extn to create 1 x 1 b/f.</t>
  </si>
  <si>
    <t>Demolish existing garages and new build C3 @ 1 x 1 b/h.</t>
  </si>
  <si>
    <t>Demolish existing A4 (P.H) and new build 3 x 1 b/f 8 x 2 b/f and 5 x 3 b/f.</t>
  </si>
  <si>
    <t>CoU from A1 to A2.</t>
  </si>
  <si>
    <t>CoU from A1 to A5.</t>
  </si>
  <si>
    <t>New build 3-storey ext for B1A.</t>
  </si>
  <si>
    <t>Single storey extension to provide additional B1a.</t>
  </si>
  <si>
    <t>Demolish existing covered playground structure and new build dining-room/multi purpose space @ D1.</t>
  </si>
  <si>
    <t>Co U from B1 to C3  @ 1 x 2 b/f and A1 shop + extension.</t>
  </si>
  <si>
    <t>Demolish existing suothern-end entrance - new build 2 x 1-storey/courtyard for multi purpose meeting room and extend cubilcles.</t>
  </si>
  <si>
    <t>Demolish existing B1 and new build 4 x 2  b/h.</t>
  </si>
  <si>
    <t>Demolish existing garage and part CoU of g/f A1 to C3 @ 1 x 1 b/f.</t>
  </si>
  <si>
    <t>CoU from SG (betting office) to C3 @ 1 x 2 b/f + alt's/extns.</t>
  </si>
  <si>
    <t>Demolish existing B1 and new build mixed use development @ 73 residential units (incl. 15 affordable) and A1/2 + B1.</t>
  </si>
  <si>
    <t>Demolish existing A4 and new build  16 private resi unts and 9 affordable (intermmediate) + 2 x commercial units A1/A2.</t>
  </si>
  <si>
    <t>Change of use of ground floor from A1/A2 to gym (D2)</t>
  </si>
  <si>
    <t>(2D) CoU from A1 to A3</t>
  </si>
  <si>
    <t>(18c) CoU from B1 to D1 (childrens activity club).</t>
  </si>
  <si>
    <t>New build 1 x 2 b/h.</t>
  </si>
  <si>
    <t>Prior Approval for CoU from B1 to C3 @ 3 x 2 b/f.</t>
  </si>
  <si>
    <t>CoU of b/mnt and part g/f C3 (1 x 2 b/f) into D2 (leisure) and C3 to 1 x 1 b/f.</t>
  </si>
  <si>
    <t>CoU from B1 to A2 and B1</t>
  </si>
  <si>
    <t>New build three-storey building comprising A1 and 1 x 2 b/m.</t>
  </si>
  <si>
    <t>Convert existing 1 x 3 b/f + alt's/extns + excavation of basement to create additional A2 + 2 x 1 b/f and 1 x 2 b/f.</t>
  </si>
  <si>
    <t>CoU of A1 to A2 (at front) and part C3 (at rear) @ 1 x 1 b/f + extn.</t>
  </si>
  <si>
    <t>Demolish existing A4 (P.H) with ancillary C3 @ 1 x 3 b/f to re-develop a mixed-use development comprising flexible A1,2,3 or 4 + C3 @ 30 Private units and 9 A/H (intermediate).</t>
  </si>
  <si>
    <t>Demolish existing vacant A1 and NB A1 and 28 resi units (all private) @  13 x 1 b/f, 11 x 2 b/f and 4 x 3 b/f.</t>
  </si>
  <si>
    <t>Construction of a 2-storey extension to existing building and CoU from B1 to provide new mixed development comprising A1, A3 and C3 @ 9 Units.  1 x 1, 6 x 2 and 2 x 3 b/f + courtyard.</t>
  </si>
  <si>
    <t>Demolish existing workshop and new build 1 x 1 b/h.</t>
  </si>
  <si>
    <t>New build 1 x 1 b/h.</t>
  </si>
  <si>
    <t>Alterations/extension to existing building in connection with providing commercial and C3 @ 53 resi units.</t>
  </si>
  <si>
    <t>Demolish existing B1a and new build B1a + flexible A1/3/B1/D1</t>
  </si>
  <si>
    <t>S.73 NMA to 2016/4016 to amend from D1 to D2</t>
  </si>
  <si>
    <t>NB 2 x 3 b/h and move/replace existing elctricity sub-station</t>
  </si>
  <si>
    <t>Construction of s/s and 2-storey extension to extend existing hall and ancillary  1 x 2 b/f. (ALL D1 use)</t>
  </si>
  <si>
    <t>S.73 to extend b/mnt creating additional 114sq.m.</t>
  </si>
  <si>
    <t>Prior approval for CoU from B1a (1st/2nd fl) to C3 @ 1 x 1 b/f and 3 x 2 b/f.</t>
  </si>
  <si>
    <t>Demolish existing garage and new build 1 x 2 b/h + extension.</t>
  </si>
  <si>
    <t>Prior Approval for CoU from B1a to C3 @ 1 x 1 s/f,  3 x 1 b/f and 3 x 2 b/f (1st/2ndfl)</t>
  </si>
  <si>
    <t>CoU from D1 (music school) to C3 @ 2 x 1 b/f</t>
  </si>
  <si>
    <t>Partial demolition of existing B1 and new build to provide B1 and C3 @ 9 x 5 b/h.</t>
  </si>
  <si>
    <t>Demolish existing building and new build 4-storey commerciaL @ B1 = 2245sq.m, A3 (café/restaurant and C3 = 77 residential flats @ 24 x 1 b/f, 43 x 2 b/f, 6 x 3 b/f and 2 x 1 b/s + 1 x 1 s/o and 3 x 2 s/o..(20-storey)</t>
  </si>
  <si>
    <t>CoU from part of g/f into SG as mini-cab service.</t>
  </si>
  <si>
    <t>Demolish existing clubhouse and new build clubhouse @ D2 and creche @ D1.</t>
  </si>
  <si>
    <t>Prior Approval for CoU from B1a to C3 @ 3 x 1 b/f, 6 x 2b/f and 2 x 3 b/f.</t>
  </si>
  <si>
    <t>Prior approval for CoU from B1a to C3 @ 1 x 2 b/f.</t>
  </si>
  <si>
    <t>Demolish existing vacant building (B1) and new build 52 flats made up of private, social rented and shared ownership.</t>
  </si>
  <si>
    <t>Prior Approval for part CoU from B1 to C3 @ 12 x 1 b/f and 2 2 b/f.</t>
  </si>
  <si>
    <t>Prior Approval for CoU from B1 to C3 : 1 x 1 b/f and 1 x 2 b/f.</t>
  </si>
  <si>
    <t>CoU from part A1 to A1 and C3 @ 1 x 1 b/f.</t>
  </si>
  <si>
    <t>CoU of part of A1 to provide additional floorspace to existing C3.</t>
  </si>
  <si>
    <t>Prior Approval for CoU from B1 @ 1st fl to C3 @ 1 x 1 b/f and 1 x 2 b/f.</t>
  </si>
  <si>
    <t>Prior Approval for CoU @ 2nd fl from B1a to C3 @ 2 x 1 b/f and 2 x 2 b/f.</t>
  </si>
  <si>
    <t>Retrospective CoU from B1 @ 2nd/3rd fl into C3 @ 2 x 1 b/f</t>
  </si>
  <si>
    <t>Extension and conversion to provide 2 x 1 b/f and 1 x 2 b/f.</t>
  </si>
  <si>
    <t>Units 17 &amp; 18 only) Prior Approval for CoU from B1 to C3 @ 2 x s/f.</t>
  </si>
  <si>
    <t>Prior Approval for CoU from B1a (1st/2nd/3rd fl) to C3 @ " x 1 s/f and 1 x 1 b/f.</t>
  </si>
  <si>
    <t>Prior Approval for CoU from B1 to C3 @ 9 x s/f.</t>
  </si>
  <si>
    <t>Renewal of 2014/3439 for 3-storey extn, alt's to shop front and enlarge ex A1. Convert existing 2 x 2 b/f into 2 x 3 b/f and extn to create 1 x 2 b/f</t>
  </si>
  <si>
    <t>Creation of new build @ 1 x 1 s/f and extensions to convert 1 x 1 b/f into 1 x 2 b/f + additional retail floorspace.</t>
  </si>
  <si>
    <t>CoU from C3 @ 1 x 2 b/f and 1 x 3 b/h on MOL into D1 (nursery and pre-school) to accommodate up to 62 children 0 - 5 yrs old.</t>
  </si>
  <si>
    <t>Part Cou from A3 (g/f) to flexible A1/A2 + extensionsconversion of existing 1 x 2 b/f to form 1 x 1 b/f and 1 x 2 b/h.</t>
  </si>
  <si>
    <t>CoU from A1 to C3 @ 1 x 1 b/f + s/s extn.</t>
  </si>
  <si>
    <t>CoU of rear part of (g/f) B1into C3 + part B1 + extn @ 1 x 1 b/f, 1 x 3 b/f and 1 x 4 b/f.</t>
  </si>
  <si>
    <t>Erection of 1 x 4 b/h.</t>
  </si>
  <si>
    <t>Part CoU from A1 to C3 + extension and new storey in connection with new build 1 x 1 s/f, 1 x 2 b/f and 1 x 4 b/f + alt to existing A1.</t>
  </si>
  <si>
    <t>Retrospective part CoU of g/f from SG (cab office) to SG (same) and A3 9Cafe/coffee shop).</t>
  </si>
  <si>
    <t>CoU from B8 to SG (recording studio).</t>
  </si>
  <si>
    <t>Conversion of 5 vacant garages into 1 x 2 b/h.</t>
  </si>
  <si>
    <t>Erection of electricty service cabinet.</t>
  </si>
  <si>
    <t>Demolish existing B1 and new build C3 @ 2 x 1 b/f and 2 x 2 b/f.</t>
  </si>
  <si>
    <t>Prior Approval for CoU from B1 to C3 @ 2 x 2 b/h.</t>
  </si>
  <si>
    <t>Revision to 2014/5704 for 1 x 2 b/f to create 1 x 2 b/f - therefore 2 x 2 b/f.</t>
  </si>
  <si>
    <t>CoU from A1 (g/f only) to SG (taxi hire business).</t>
  </si>
  <si>
    <t>Prior Approval for CoU from B1 to C3 @ 3 x 3 b/f.</t>
  </si>
  <si>
    <t>Demolish existing SG (laundrette) and new build 14-storey building to provide mix use development with A1, B1 and C3 (33 Resi unts) : PRIVATE = 5 x 1 b/f, 15 x 2 /f ansd 2 x 3 b/f and INTERMEDIATE @ 4 x 1 b/f, 6 x 2 b/f and 1 x 3 b/f.</t>
  </si>
  <si>
    <t>Demolish existing workshop &amp; erection of 2-storey ext in connection with additional C3 @ 2 x 1 b/f and convert 2 x A1 shops into 1 x  A1.</t>
  </si>
  <si>
    <t>CoU of rear part of g/f A5 to C3 + extns in connection with conversion of existing 1 x 4 b/f into 2 x 1 b/f and 1 x 2 b/f.</t>
  </si>
  <si>
    <t>Demolish existing 3 garages and new build 1 x 2 b/h.</t>
  </si>
  <si>
    <t>Demolish existing garages and new build 5-storey building comprising 20 affordable housing units (SR) @ 6 x 1 b/f, 9 x 2 b/f and 5 x 3 b/f.</t>
  </si>
  <si>
    <t>CoU from A1 to A3 (restaurant).</t>
  </si>
  <si>
    <t>Demolish existing building and new build vehicle storage and 3 x 3 keyworkers ancillary resi units.</t>
  </si>
  <si>
    <t>Demolish existing building (with exception of 1 viaduct) redevelop mix use providing 290 resi units, flexible A1/2/3/B1/D1 and new primary school.</t>
  </si>
  <si>
    <t>Demolish existing D2 and NB 5-storey building comprising D2/B1 and C3 @ (P) 12 x 1 b/f, 19 x 2 b/f and 5 x 3 b/f and (S/O) : 5 x 1 b/f and 4 x 2 b/f.</t>
  </si>
  <si>
    <t>CoU from A1 @ 1st fl to SG (mini-cab office).</t>
  </si>
  <si>
    <t>Mixed use development including commercial @ A1/2/3/B1/D1 and D2 on ground floor (4 units) and 85 residential units - 66 Private and 19 Affordable.</t>
  </si>
  <si>
    <t>CoU of g/f B1 to C3 @ 1 x 1 b/f + alt's/extn</t>
  </si>
  <si>
    <t>Prior Approval for CoU from B1 to C3 @ 10 x 1 s/f.</t>
  </si>
  <si>
    <t>Prior Approval for CoU from B1a(g/f) to C3 @ 1 x 1 b/f.</t>
  </si>
  <si>
    <t>Prior Approval for CoU from B1 to C3 @ 6 x 1 b/fon 1st/2nd and 3rd floors.</t>
  </si>
  <si>
    <t>Prior Approval for CoU from B1a to C3 @ 5 x 3 b/f.</t>
  </si>
  <si>
    <t>Prior Approval for CoU from B1 to C3 @ 3 x 1 b/f and 3 x 2 b/f.</t>
  </si>
  <si>
    <t>Demolish existing vacant B8 and new build mixed-use development providing 357 resi units and commercial space @ A1/2/3/B1/D1/D2.</t>
  </si>
  <si>
    <t>Part CoU from A2 @ g/f, CoU from HMO (3 bedrooms) @ 1st fl + extension to create 1 x 1 s/f and 1 x 1 b/f.</t>
  </si>
  <si>
    <t>Amendment to 2015/0662 (not decided) to include additional 2 storeys and reduce affordable units from 63 to 53 and increase private units from 23 to 36.</t>
  </si>
  <si>
    <t>CoU of part D1 (opticians - vacant) to part A1 and remainder of D1 to C3 to convert existing 1 x 1 s/f into 1 x 1 b/f.</t>
  </si>
  <si>
    <t>CoU from B1 and new build C3 @ (no.19) 2 x 2 b/f (no.21) 3 x 1 b/f, 6 x 2 b/f and 4 x 3 b/f (no.31-37) demolish existing 1 x 4 b/h and 2 x 2 b/h and new build 2 x 3 b/h, 1 x 2 b/h and 1 x 1 b/h..</t>
  </si>
  <si>
    <t>Demolish existing A1 and B1a/c for mixed use development @ A1 and C3 @ 2 x 1 b/f, 6 x 2 b/f and 2 x 3 b/f.</t>
  </si>
  <si>
    <t>Extension to create 1 x 2 b/f.</t>
  </si>
  <si>
    <t>Demolish existing SG (garages) into C3 @ 1 x 2 b/h.</t>
  </si>
  <si>
    <t>(B/M &amp; G/F) Alt/ext to create 2 x 1 b/f and part CoU from A1 in b/m to C3 and remainder A1.</t>
  </si>
  <si>
    <t>Prior Approval for CoU from part of g/f A1 to C3 @ 1 x 1 s/f.</t>
  </si>
  <si>
    <t>Prior Approval for CoU from A1 to C3 @ 1 x 1 b/f.</t>
  </si>
  <si>
    <t>Demolish existing B8 to C3 @ 7 x 3 b/f ans 2 x 2 b/f.</t>
  </si>
  <si>
    <t>CoU of g/f from A1 to C3 and conversion of existing 1 x 3 b/f into 1 x 1 b/f, 1 x 2 b/f and 1 x 3 b/f + ext and demolish existing B1C and new build 1 x 2 b/h.</t>
  </si>
  <si>
    <t>CoU from B1 to C3 @ 1 x 1 b/f + extn.</t>
  </si>
  <si>
    <t>Demolish existing B2 (industrial build) to C3 @ 9 x 4 b/h.</t>
  </si>
  <si>
    <t>S/S Extn to provide ancillary seating to existing A3 (café)</t>
  </si>
  <si>
    <t>Conversion of existing 1 x 3 b/f, alt/ext to create 3 x 1 b/f and 1 x 4 b/h.</t>
  </si>
  <si>
    <t>Continued Use</t>
  </si>
  <si>
    <t>New build 1 x 3 b/h.</t>
  </si>
  <si>
    <t>Demolish existing garages and new build 1 x 4 b/h.</t>
  </si>
  <si>
    <t>CoU from B1a to C3 @ 1 x 2 b/h.</t>
  </si>
  <si>
    <t>Demolish existing vacant boiler room + ext to create a 1 x 2 b/f.</t>
  </si>
  <si>
    <t>Extension and conversion of rear part of existing A1 @ g/f and conversion of existing 1 x 3 b/f into and 1 x 1 b/f and 2 x 2 b/f.</t>
  </si>
  <si>
    <t>Extension/alterations in connection with CoU from A3 to A1/A2 @ 1 x 4 b/lwu.</t>
  </si>
  <si>
    <t>Prior Approval for CoU from B1A to C3 @ ground and basement level 2 x 1 b/f and 1 x 1 s/f.</t>
  </si>
  <si>
    <t>Extn to create add B1a.</t>
  </si>
  <si>
    <t>Alt/ext's in connection with new build providing 2 x 1 b/f and 2 x 2 b/f.</t>
  </si>
  <si>
    <t>Demolish existing garage/workshop and new build 9 x 3 b/h.</t>
  </si>
  <si>
    <t>Prior approval for CoU from B1 to C3 @ 1 x 1 b/f.</t>
  </si>
  <si>
    <t>CoU of part of g/f from A1 to C3 @ 1 x 1 s/f + A1. Extension creating new floor providing 1 x 1 s/f nb.</t>
  </si>
  <si>
    <t>Prior Approval for CoU from B1A to C3 @ 1 x 2  b/f.</t>
  </si>
  <si>
    <t>Prior approval for CoU from A1 to C3 @ 1 x 3 b/f.</t>
  </si>
  <si>
    <t>Part demolish existing A1/2 and new extns providing 1 x 3 b/mews house (NB) extn creating 4 x 2b/f and 2 x 3 b/f.</t>
  </si>
  <si>
    <t>CoU from B1 to C3 @ 3 x 1 b/f (conversion) 6 x 2 b/f (5 NB and 1 conv) + two-storey ext.</t>
  </si>
  <si>
    <t>Refurbish existing g/f commercial unit, ext/alt in connection with conversion of 1 x 4 b/f on u/f as 2 x 1 b/f and CoU from A1 to C3 @ 1 x 2 b/f  .</t>
  </si>
  <si>
    <t>CoU from A1 to include both A1 and A2</t>
  </si>
  <si>
    <t>Demolish existing B8 and new build 2-storey providing B8 (storage and distribution) and ancillary office space.</t>
  </si>
  <si>
    <t>Part CoU from A1 to C3 + alt/ext in connection with conversion of existing 1 x 3 b/f into 1 x 1 b/f and 1 x 2 b/f.</t>
  </si>
  <si>
    <t>Convert existing 2 x 2 b/f into 1 x 2 b/f and 3 x 1 b/f + ext/alt and reconfiguration. Extn to existing A3 providing additional floorspace.</t>
  </si>
  <si>
    <t>Prior Approval for CoU from B1(2nd/3rd fl) to C3 @ 2 x 2 b/f.</t>
  </si>
  <si>
    <t>Prior Approval for CoU from B1A to C3 @ 1 x 1 b/f.</t>
  </si>
  <si>
    <t>Prior Approval for CoU from B1a to C3 @ 2 X s/f.</t>
  </si>
  <si>
    <t>S.73 to 2017/1369 to reconfigure the private units from 1 x s/f, 20 x 1 b/f , 37 x 2 b/f and 6 x 3 b/f TO 29 x 1 b/f, 36 x 2 b/f, 7 x 3 b/f and 1 x 4 b/f gaining additional sq.m</t>
  </si>
  <si>
    <t>New build rear ext to provide additional space for caretakers office.</t>
  </si>
  <si>
    <t>Demolish existing school and new build school.</t>
  </si>
  <si>
    <t>Demolish existing vacant A1 and garages and NB 3-storey building providing 2 x 1 b/f and 1 x 2 b/f.</t>
  </si>
  <si>
    <t>Extension to provide additional A1 and create 3 x 1 b/f and 3 x  2 b/f.</t>
  </si>
  <si>
    <t>Demolish existing 8 garages and new build 1 x 4 b/h.</t>
  </si>
  <si>
    <t>Part demolish existing D2 (private members club) into D2 and C3 @ 2 x 4 b/h.</t>
  </si>
  <si>
    <t>Demolish existing garages and storage shed and new build 2 x 3 b/h for Affordable Rent.</t>
  </si>
  <si>
    <t>(CoU) Convert existing HMO (SG - 9 bedrooms) into C3 @ 1 x 6 b/h + ext.</t>
  </si>
  <si>
    <t>Change of use from retail (Class A1) to 2 x 1-bedroom flats (Class C3).</t>
  </si>
  <si>
    <t>Demolish existing B1a + ext to C3 providing 1 x 1 s/f, 3 x 1 b/f and 3 x 2 b/f. Retain existing frontage and 1 x 3 b/f.</t>
  </si>
  <si>
    <t>Demolish existing store sheds and new build 2 x 3 b/h for affordable rent. (Council)</t>
  </si>
  <si>
    <t>Demolish existing B1c and new build B1a.</t>
  </si>
  <si>
    <t>Prior Approval for CoU from B1a to C3 @ 1 x 2 b/f.</t>
  </si>
  <si>
    <t>Prior approval for CoU from A1 (dry Cleaners) to C3 @ 1 x 2 b/f.</t>
  </si>
  <si>
    <t>CoU from B1 @ g/f to C3 @ 1 x 1 b/f.</t>
  </si>
  <si>
    <t>Prior Approval for CoU from B1a @ 1st fl  to C3 @ 1 x 1 b/f.</t>
  </si>
  <si>
    <t>Demolish existing 8 x 1 b/f and car wash and new build 1 x 1 b/f, 11 x 2 b/f, 2 x 3 b/f and 2 x 3 b/h.</t>
  </si>
  <si>
    <t>(9) Extension to provide additional sq.m and convert 1 x 1 s/f into 1 x 1 b/f. (11) Extensions and conversion of existing 1 x 2 b/f into 1 x 2 b/f and 1 x 1 b/f + additional floorsapce to SG (mini-cab office)</t>
  </si>
  <si>
    <t>Excavate basement erect s/s extension at rear and CoU at Basement/G/f from A1 to C3 @ 1 x 1 b/f  and 1 x 2 b/f.</t>
  </si>
  <si>
    <t>Demolish existing garages and new build 1 x 2 b/h and 5 x 3 b/h. (Affordable rent)</t>
  </si>
  <si>
    <t>Erection of 10 storage sheds.</t>
  </si>
  <si>
    <t>CoU from A3 (restaurant) to C3 creating  1 x 3 b/f and 1 x 1 s/f.+ ext</t>
  </si>
  <si>
    <t>New build to provide C3 @ 1 x 2 b/f and 1 x 2 b/f + extension to provide additional ancillary to PH.</t>
  </si>
  <si>
    <t>Demolish main school building, 6th form common room and 2 x de-mountable classrooms. New build 2 x three-storey buildings + new sub-stn and MUGA.</t>
  </si>
  <si>
    <t>New build sub-station.</t>
  </si>
  <si>
    <t>MMA to 2015/5395 to provide 1 additional games court and retain portacabin classrooms.</t>
  </si>
  <si>
    <t>Erection of 1 x 2 b/h.</t>
  </si>
  <si>
    <t>Part CoU from A4 (P.H.) + alt/ext's to provide 1 x 1 b/f, 2 x 2 b/f and 1 x 3 b/f + retained A4. New build to provide 1 x 2 b/h, and 4 x 2 b/f.</t>
  </si>
  <si>
    <t>CoU from part B2 (general industry) to D2 (personal training studio).</t>
  </si>
  <si>
    <t>Extension in connection with CoU from B8 (ancillary storage) to C3 @ 1 x 1 b/f.</t>
  </si>
  <si>
    <t>Alterations/extension to include part CoU from A3 (restaurant) to C3 and convert existing 1 x 1 b/f + 1 x 2 b/f in connection with forming 6 flats @6 x 1 b/f.</t>
  </si>
  <si>
    <t>Demolish existing garages and new build 2 x 1 b/f and 4 x 2 b/f as Council owned - social rented.</t>
  </si>
  <si>
    <t>CoU from B/M and G/f A1 to C3 + ext to create additional 1 x 3 b/f. (This application is con-current to 2015/5689)</t>
  </si>
  <si>
    <t>Alts/excav b/mnt &amp; c/yrd &amp; erection of 4-storey extn to provide flexible A1/2 over part of g/f and 4 x 1 s/f.</t>
  </si>
  <si>
    <t>Convert existing 1 x 2 b/f into 3 x 1 b/f, retention of a smaller shop/office on g/f + ext</t>
  </si>
  <si>
    <t>Ext/alt's in connection with use as A4 (Public house) and C1 Hotel with 16 guest rooms.</t>
  </si>
  <si>
    <t>CoU of l/gf from A1 (retail) to A2 (estate agents).</t>
  </si>
  <si>
    <t>CoU of rear part of A1 @ 357 to C3 and Mansard extn/extn to 357 and 359 to provide 1 x 1 b/f , 2 x 2 b/f and 1 x 3 b/f.</t>
  </si>
  <si>
    <t>CoU from C3 @ 2 x 1 b/s and B1a into part A1 (retail and part C3 @ 1 x 1 b/f. Convert existing 1 x 3 b/f into 1 x 1 b/f and 1 x 2 b/f.</t>
  </si>
  <si>
    <t>Mansard roof extension in connection woth CoU of part of g/f café (A3) to C3 @ 1 x 1 b/f retaining smaller café.</t>
  </si>
  <si>
    <t>Demolish side/rear ext &amp; factory building + retain/convert existing to C3 @ 3 x 4 b/h, 2 x 1 /s/f, 3 x 1 b/f, 6 x 2 b/f, 2 x 3 b/f.</t>
  </si>
  <si>
    <t>CoU from SG (garage) to B8 (storage).</t>
  </si>
  <si>
    <t>Convert existing A1 to reduced A1 &amp; existing C3 @ 1 x 1 b/f and 1 x 2 b/f into 2 x 1 b/f and 2 x 2 b/f + extn's.</t>
  </si>
  <si>
    <t>CoL- Proposed for CoU from B8 (storage) to B1a (office)</t>
  </si>
  <si>
    <t>Extension to plant enclosure</t>
  </si>
  <si>
    <t>construct glass pavillion and swimming pool @ roof level.</t>
  </si>
  <si>
    <t>New build 3 x 3 b/h.</t>
  </si>
  <si>
    <t>CoU from SG (cemetery chapel) to C3 @ 1 x 1 b/f.</t>
  </si>
  <si>
    <t>CoU from B1a (office to C3 @ 1 x 3 b/h + extn.</t>
  </si>
  <si>
    <t>Conversion of existing 1 x 3 b/f into to 2 x 2 bedroom flats at rear ground, first and second floor levels + extns</t>
  </si>
  <si>
    <t>Demolish existing vacant garage building and new build providing 6 x 1 b/f and 3 x 2 b/f.</t>
  </si>
  <si>
    <t>Demolish existing B1c and NB 4-storey building providing 3 x 1 b/f, 11 x 2 b/f and 1 x 3 b/f + riverside walk way.</t>
  </si>
  <si>
    <t>Demolish existing B1c and NB 4-storey building providing 1 x 1 b/f, 7 x 2 b/f and 1 x 3 b/f + B1a</t>
  </si>
  <si>
    <t>CoU from A3 to C3 @ 1 x 3 b/f.</t>
  </si>
  <si>
    <t>CoU of part of A1 to A1 and C3 @ 1 x 2 b/f + ext.</t>
  </si>
  <si>
    <t>Part demolish existing and Cou of D1 (dance academy) to C3 @ 34 resi units and 5 x 4 b/h.</t>
  </si>
  <si>
    <t>Demolish existing garage and new build 1 x 2 b/h.</t>
  </si>
  <si>
    <t>CoU of G/f &amp; b/mnt A1 to A3 (restaurant/café).</t>
  </si>
  <si>
    <t>CoU from A3 (restaurant) to A3 and A4 (restaurant/bar)</t>
  </si>
  <si>
    <t>Part CoU and Extn from A1 to A1 and C3 @ 1 x 2 b/f.</t>
  </si>
  <si>
    <t>Alt's/Cou from A1 @ g/f to C3 @ 1 x 2 b/f.</t>
  </si>
  <si>
    <t>Alt's/CoU from A1 @ g/f to C3 @ 1 x 1 b/f.</t>
  </si>
  <si>
    <t>Alt's/CoU from A1 @ g/f into C3 @ 1 x 1 b/f.</t>
  </si>
  <si>
    <t>Alts/conversion of existing tenants storage (B8)  into 1 x 2 b/f @ S/R.</t>
  </si>
  <si>
    <t>CoU from B1a (vacant) to C3 @ 4 x s/f, 2 x 2 b/f and 2 x 3 b/f + alt's/extn's</t>
  </si>
  <si>
    <t>Demolish existing vacant SG and NB C3 @ 1 x 3 b/t/h and CoU from B1 to C3 @ 4 x 2 b/f.</t>
  </si>
  <si>
    <t>CoU from B1 to C3 @ 1 x 1 b/h + alt's.</t>
  </si>
  <si>
    <t>Retrospective CoU from A1 to A3.</t>
  </si>
  <si>
    <t>Demolish existing vacant garage and new build 1 x 1 b/h.</t>
  </si>
  <si>
    <t>CoL - existing for CoU from C3 @ 1 x 9 b/h into C1 (B &amp; B guest house) @ 9 rooms</t>
  </si>
  <si>
    <t>Demolish existing vacant patrol stn and retail @ A1 and new build A1 &amp; C3 @ 6 x 2 b/f.</t>
  </si>
  <si>
    <t>Demolish existing A1 (petrol station) and NB 8-storey building providing A1/2and or B1 and 71 x private units and 18 S/O units (S.106 states 12 x 1 and 6 x 2 @ discount market rent).</t>
  </si>
  <si>
    <t>Demolish existing garage and NB 1 x 2 b/h (as per officers report and revised darwings)</t>
  </si>
  <si>
    <t>CoU from part of A1 to A2 and A1 to C3. Roof extn providing additional C3 providing in total 2 x 1 b/f and 2 x 2 b/f.</t>
  </si>
  <si>
    <t>Demolish existing (former Council) garages (SG) and NB 1 x 5 b/h.</t>
  </si>
  <si>
    <t>NB 1 x 2 b/h.</t>
  </si>
  <si>
    <t>Prior Approval for CoU from B1a to C3 (g/1st fl) @ 2  x 1 b/f and 2 x 2 b/f.</t>
  </si>
  <si>
    <t>CoU from A2 to C3 @ 2 x 1 b/f and 1 x 3 b/f + alt/ext</t>
  </si>
  <si>
    <t>CoU from B1a to SG (mini-cab office)</t>
  </si>
  <si>
    <t>CoU from A3 @ g/f + ancillary accommodation (C3) @ 1st/2nd fl to part A1 and part C3 @ rear of g/f @ 1 x 2 b/f + extn and convert existing 1 x 4 b/f (ancillary) to 2 x 1 b/f.</t>
  </si>
  <si>
    <t>CoL - proposed for CoU from SG (betting office) to A1.</t>
  </si>
  <si>
    <t>CoU from vacant A2/ancillary accommodation to D1 (Religious building)</t>
  </si>
  <si>
    <t>Ext/alt's to create a larger A1/2/3 commercial unit and convert existing 2 x 4 b/f + ext to create 5 x 1 b/f and 3 x 2 b/f.</t>
  </si>
  <si>
    <t>CoU from A1 to A1 and A3</t>
  </si>
  <si>
    <t>Convert existing 1 x 3 b/f into 1 x 1 b/f and 1 x 2 b/f + extn. Convert existing Garage into 1 x 1 b/m + extn.</t>
  </si>
  <si>
    <t>CoU rom B1 to A2 @ g/f (Estate Agent)</t>
  </si>
  <si>
    <t>Provide floodlit football pitches new changing rooms and improvement to landscaping including pedestrian openspace and new playground.</t>
  </si>
  <si>
    <t>CoU from A4 (@ 1st fl) to C3 @ 1 x 1 s/f and 1 x 1 b/f. Demolish part of the rear of A4 and exc/extn to provide additional A4. New build providing 3 x 2 b/f.</t>
  </si>
  <si>
    <t>Demolition of rear addition to public house and replacement with three flats</t>
  </si>
  <si>
    <t>Prior approval for CoU from B1 part of 1 x 4 b/h into C3 as a family room.</t>
  </si>
  <si>
    <t>Prior Approval for CoU from B1 to C3 @ 3 x 1 s/f and 3 x 1 b/f.</t>
  </si>
  <si>
    <t>CoU from B1 (vacant) to D1 (dental surgery).</t>
  </si>
  <si>
    <t>New build 4-storey building providing C1 @ 24 room hotel with café within lobby +  erection of 2-storey over existing A1 (post office).</t>
  </si>
  <si>
    <t>Partial demoliton of ancillary C3 (swimming pool) + alts/excavate b/mnt and NB s/s extension to create 1 x 3 b/h.</t>
  </si>
  <si>
    <t>CoU of B1 (artists studio) at g/f to C3 @ 2 x 1 b/f.</t>
  </si>
  <si>
    <t>CoU from A3 (café) @ g/f to SG (Tattoo Parlour).</t>
  </si>
  <si>
    <t>Demolish existing B1a and NB C3 @ 6 x 1 s/f, 26 x 1 b/f and 2 x  live/work units. CoU of B1a to C3 @ 12 x 2 b/f,  3 x 3 b/f and 1 x 3 b/h.</t>
  </si>
  <si>
    <t>CoU from C3 @ 1 x 5 b/h into SG (HMO)  7 rooms = 3-storey extn.</t>
  </si>
  <si>
    <t>NB 1 x 6 b/h on vacant land (previously 1 x 8 b/h demolished under 2016/0751)</t>
  </si>
  <si>
    <t>Demolish existing D1 (church hall) and new build D1 (church hall) on g/f and 2 x 2 b/f.</t>
  </si>
  <si>
    <t>CoU of front part of g/f a1 to A2 and rear part into C3 @ 1 x 1 b/f.</t>
  </si>
  <si>
    <t>CoU from A1 (vacant) to B1a</t>
  </si>
  <si>
    <t>CoU from A1 (vacant) to D1 (drugs/alcohol rehab unit) + alts.</t>
  </si>
  <si>
    <t>Prior Approval for CoU from B1 to C3 @ 1 x 1 b/h.</t>
  </si>
  <si>
    <t>CoU from SG - HMO (7 rooms for HAKW) to C3 @ 3 x 2 b/f and 1 x 3 b/f + alt's/extn</t>
  </si>
  <si>
    <t>Prior Approval fro CoU from B1a to C3 @ 2 x 1 s/f.</t>
  </si>
  <si>
    <t>Demolish existing garage and NB 1 x 2 b/f.</t>
  </si>
  <si>
    <t>Demolish existing garages and NB 1 x 6 b/h.</t>
  </si>
  <si>
    <t>Demolish existing 1 x 2 b/h and B1c and NB 4-storey building providing 1 x 1 s/f, 1 x 1 b/f, 2 x 2 b/f and NB s/s building providing 1 x 1 b/h.</t>
  </si>
  <si>
    <t>NB 2 x 2-storey buildings providing flexible B1c/2/8.</t>
  </si>
  <si>
    <t>Prior Approval for CoU of rear part A2 to C3 @ 1 x 1 b/f.</t>
  </si>
  <si>
    <t>Prior Approval for CoU from B1 to C3 @ 6 x 2 b/f.</t>
  </si>
  <si>
    <t>Prior Approval for CoU from B1a @ 2nd fl from B1a to C3 @ 2 x 3 b/f</t>
  </si>
  <si>
    <t>Prior approval for CoU from B1a to C3 @ 1 x 3 b/f.</t>
  </si>
  <si>
    <t>Prior Approval fro CoU from B1a to C3 @ 1 x 2 b/f/</t>
  </si>
  <si>
    <t>Prior Approval fro CoU from A1 (vacant dry cleaners) to A3 (restaurant).</t>
  </si>
  <si>
    <t>Alterations to existing A3 providing new layout, extns and additional storey in connection with CoU from  2x 3 bedroom flats to 2 x 1 b/f and 3 x 2 b/f.</t>
  </si>
  <si>
    <t>NB 2-storey extn providing additional A1.</t>
  </si>
  <si>
    <t>CoU from A1 to C3 and excavate b/mnts acrooss all properties to create 1 x 1 b/f and 4 x 2 b/f.</t>
  </si>
  <si>
    <t>NB s/s WC building in courtyard.</t>
  </si>
  <si>
    <t>Demolish existing small extn and CoU from A1 to C3 providing 1 x 1 s/f and 1 x 1 b/f + roof extn providing additional 39sqm to existing flats.</t>
  </si>
  <si>
    <t>Demolish existing vacant garages and NB 2 x 3 b/h.</t>
  </si>
  <si>
    <t>CoU from SG (car hire business) to B1a + new shopfront and add parking.</t>
  </si>
  <si>
    <t>CoU of 2 vacant railway arches (98 &amp; 99) from SG to B8 (storage)</t>
  </si>
  <si>
    <t>Alt's/extns to create 1 x s/f, 2 x 1 b/f and 2 x 2 b/f.</t>
  </si>
  <si>
    <t>CoU of part of g/f B1a and 1st fl B1a to C3 @ 1 x 1 b/f, 1 x 2 b/f and 1 x 3 b/f + excv b/mnt</t>
  </si>
  <si>
    <t>Prior Approval for CoU from B1a @ 1st fl to C3 @ 1 x 1 b/f.</t>
  </si>
  <si>
    <t>Prior Approval for CoU from A2 (Bank) to C3 @ 2 x 1 b/f.</t>
  </si>
  <si>
    <t>Prior approval for coU from B1a to C3 (1st-4th fl) @ 32 x 1 b/f and 3 x 2 b/f.</t>
  </si>
  <si>
    <t>CoU from A3 (restaurant) to B1 (office)</t>
  </si>
  <si>
    <t>Prior Approval for CoU from A1 @ B/mnt and part of g/f into C3 @ 1 x 2 b/f.</t>
  </si>
  <si>
    <t>CoU from vacant B8 to C3 @ 1 x 3 b/h.</t>
  </si>
  <si>
    <t>CoU of G/f A2 @ 241 into A1 and amalgamate 241 and 243 by knocking through party wall into 1 x A1 unit.</t>
  </si>
  <si>
    <t>Part CoU of g/f A1 to C3 @ 1 x 2 b/f conversion of existing 1 x 3 b/f  to create 3 x 1 and extn to ex to create 1 x 1 b/f.</t>
  </si>
  <si>
    <t>CoU of A1 (ancillary storage to A1) on 1st floor to C3 + extn to create 4 x 2 b/f.</t>
  </si>
  <si>
    <t>CoU from A3 (g/f/bmnt) to C3 @ 1 x 2 b/f + alt's.</t>
  </si>
  <si>
    <t>CoU from D1 (doctors surgery - vacant) to D1 (nursery)</t>
  </si>
  <si>
    <t>Demolish existing garage and NB s/s classroom @ D1</t>
  </si>
  <si>
    <t>CoU from A2 to D1 on g/f and b/mnt with ancillary A1</t>
  </si>
  <si>
    <t>Demolish existing A1/2/B1a and NB 5-storey building providing mixed-use development including A1, D2 and C3 = 25 resi units @ 8 x 1 b/f, 13 x 2 b/f and 4 x 3 b/f.</t>
  </si>
  <si>
    <t>S/S extn to create B1a</t>
  </si>
  <si>
    <t>CoU of l/g &amp; u/g/fl A2 (Accountants) into C3 @ 2 x 1 b/f. + extn</t>
  </si>
  <si>
    <t>NB Terrace comprising 5 x 1 b/h.</t>
  </si>
  <si>
    <t>Erection of new building with 3 x 2-bedroom and 3 x 1-bedroom flats</t>
  </si>
  <si>
    <t>CoU from A1 (off licence) to A3/4.</t>
  </si>
  <si>
    <t>CoU from B1c (vacant) to SG (motor cycle/van courier and mini-cab)</t>
  </si>
  <si>
    <t>Remove exiting marquee and replace for indoor activities.</t>
  </si>
  <si>
    <t>CoU from A1 to D1 (physio)</t>
  </si>
  <si>
    <t>Demolish existing D1 (vacant community hall) and NB providing 21 flats @ 11 (S/R for existing Council tenants) @ 4 x 1 b/f and 7 x 2 b/f and 10 x 1 b/f for people with learning difficulties (incl 1 warden flats - anc)</t>
  </si>
  <si>
    <t>CoU from Sg (1935 Telephone Kiosk) to B1a Office pod</t>
  </si>
  <si>
    <t>Demolish existing A1 and NB 4-storey building providing A1 @ g/f and C3 @ 2 x 1 b/f and 6 x 2 b/f.</t>
  </si>
  <si>
    <t>Prior Approval for CoU from A1 to A3 (restaurant)</t>
  </si>
  <si>
    <t>CoU from vacant A3 to B1a.</t>
  </si>
  <si>
    <t>s/s extn to provide additional SG (beauty Salon)</t>
  </si>
  <si>
    <t>CoU from A1 to C3 @ 1 x 3 b/h + alts</t>
  </si>
  <si>
    <t>s/s extn to units 5 &amp; 6 creating additional B1c.</t>
  </si>
  <si>
    <t>Extension of office at ground floor</t>
  </si>
  <si>
    <t>s/s extn to provide additional A3</t>
  </si>
  <si>
    <t>Roof extn to provide additional B1c.</t>
  </si>
  <si>
    <t>NB sub-stn SW of flower market.</t>
  </si>
  <si>
    <t>Demolish existing A4 and B1 and NB C3 @ P and AH (162 resi unts), B1, A4, A1/2/3 and D1</t>
  </si>
  <si>
    <t>Demolish existing garages and NB 15 flts and 3 houses.</t>
  </si>
  <si>
    <t>Demolish existing garages and NB 4 residential units.</t>
  </si>
  <si>
    <t>CoU from B1 (1st fl) to C3 @ 2 x 1 b/f + alt's/extn's and mansard roof extn to provide 1 x 2 b/f.</t>
  </si>
  <si>
    <t>Prior Approval for CoU from part A2 to C3 @ 1 x 1 b/f and 2 x 2 b/f and A2.</t>
  </si>
  <si>
    <t>Cou of rear part of A3 into C3 @ 1 x 2 b/f and convert existing 1 x 3 b/f into 1 x 1 b/f and 1 x 2 b/f + extn</t>
  </si>
  <si>
    <t>CoU from vacant A2 to C3 @ 1 x 2 b/h + s/s extn.</t>
  </si>
  <si>
    <t>(Garage rear of) Demolish existing garage used as B8 and NB 1 x 2b/h</t>
  </si>
  <si>
    <t>CoU from vacant D1 (surgery) to C3 @ 2 x 2 b/f + alt's/extn.</t>
  </si>
  <si>
    <t>Extn to existing A3 creating additional space and CoU from C3 to SG (HMO) @ 13 rooms</t>
  </si>
  <si>
    <t>Demolish existing 1 x 3 b/h and NB 10-storey building providing mix-use dev ' B! (g/1st f;) and C3 @ 6 x 2 b/f and 3 x 3 b/f.</t>
  </si>
  <si>
    <t>Demolish existing B1 and NB C3 @ (P) 2 x 1 b/f, 7 x 2b/f and 3 x 3 b/f and (INT) @ 5 x 2 b/f.</t>
  </si>
  <si>
    <t>Retrospective CoU from A1 to A4 (bar)</t>
  </si>
  <si>
    <t>Demolish existing buildings (excl Trade Tower) re-develop as mix-use site comprising A1/2/3/4/B1/D1/D2 (flexible) and C3 providing 127 resi units both Intermediate and Private and additional 6 storeys to Trade Tower providing 8 additional residentia units</t>
  </si>
  <si>
    <t>(Unit 1 only) Prior Approval for CoU from B1a to C3 @ 2 x 1 b/f and 1 x 2 b/f.</t>
  </si>
  <si>
    <t>Prior Approval for CoU from B1 to C3 @ 2 x 1 b/f and 1 x 2 b/f @ 2nd floor level.</t>
  </si>
  <si>
    <t>Prior approval for CoU from B1 to C3 @ 3 x 1 b/f and 1 x 2 b/f.</t>
  </si>
  <si>
    <t>(2,3, &amp; 4 ) Prior Approval for CoU from B1a to C3 @ 1 x 1 b/f and 2 x 2 b/f.</t>
  </si>
  <si>
    <t>(5, 6, 7 &amp; 8) Prior Approval for CoU from B1a @ 1stFl to C3 @ 1 x 1 b/f and 3 x 2 b/f.</t>
  </si>
  <si>
    <t>Prior Approval for CoU from B1a @ g/f and 2nd fl to C3. G/f @ 1 x 1 b/f and 2nd/f @ 1 x 1 s/f, 1 x 1 b/f and 1 x 3 b/f.</t>
  </si>
  <si>
    <t>(5, 6 &amp; 7) Prior Approval for CoU from B1a to C3 @ 2 x 1 b/f and 1 x 2 b/f.</t>
  </si>
  <si>
    <t>Prior Approval for C0U from B1a to C3 @ 9 x 1 b/f and 4 x 2 b/f.</t>
  </si>
  <si>
    <t>Prior Approval for CoU from B1a to C3 @ 3 x 1 b/f.</t>
  </si>
  <si>
    <t>Prior approval for CoU from B1a (g/f) to C3 @ 4 x 1 b/f.</t>
  </si>
  <si>
    <t>CoU of existing A1 to D1 (day care centre) + extn to existing day centre.</t>
  </si>
  <si>
    <t>CoU from B1a to C3 at 1st floor and roof and basement extension to provide 4 flats @ 1 x 1 b/f and 3 x 2 b/f.</t>
  </si>
  <si>
    <t>Infill existing vacant undercroft (currently used as storage for bikes) into 1 x 1 b/f and 2 x 2 b/f.</t>
  </si>
  <si>
    <t>New build 15 storey residential building on site of previously consented building 6B @ A1, A3/4, D2, B1/A1/3 and C3 @ 79 private units and 93 Affordable units.</t>
  </si>
  <si>
    <t>CoU from Live / Work SG - 1 x 3 bed</t>
  </si>
  <si>
    <t>Demlish existing B1a and NB C3 @ 2 x 3 b/h</t>
  </si>
  <si>
    <t>NB 20-storey building comprising 27 resi units @ 17 x AH and 10 x P + A3 unit (café).</t>
  </si>
  <si>
    <t>Additional bedroom in HMO making it SG (6 to 7 rooms)</t>
  </si>
  <si>
    <t>CoU from B1 to D2 (gym)</t>
  </si>
  <si>
    <t>Loss of 1 x 1 b/f and 1 x 2 b/f used by staff - extn's to create additional 10 rooms for elderley discharged from hospital.</t>
  </si>
  <si>
    <t>CoU from vacant B1 to D1 (physio)</t>
  </si>
  <si>
    <t>Cou from A1 (vacant) to A3 (café)</t>
  </si>
  <si>
    <t>Prior Approval for CoU from A1 to C3 @ 1 x 1 s/f and 1 x 1 b/f.</t>
  </si>
  <si>
    <t>CoU from B8 to D2(Fitness studio)</t>
  </si>
  <si>
    <t>CoL - proposed for CoU from A1 to C3 @ 1 x 1 b/f - continued use</t>
  </si>
  <si>
    <t>Demolish existing vacant B8 and NB 2-storey B8</t>
  </si>
  <si>
    <t>Extn to existing to provide additional B1a</t>
  </si>
  <si>
    <t>CoU from A1 (vacant) to SG (Beauty) + alt's</t>
  </si>
  <si>
    <t>CoU from vacant A1 to A3 (café)</t>
  </si>
  <si>
    <t>Cou from A1/A3 and merge 2 units to provide A1</t>
  </si>
  <si>
    <t>Cou from vacant A1 to A5 (hot food take-away)</t>
  </si>
  <si>
    <t>Prior Approval for CoU from B1 @ 2nd fl to C3 @ 4 x1 b/f, 3 x 2 b/f and 4 x 3 b/f.</t>
  </si>
  <si>
    <t>Prior Approval for CoU from B1a to C3 @ 12 x 1 b/f and 3 x 2 b/f</t>
  </si>
  <si>
    <t>Demolish existing B1a and NB 6-storey building to provide B1a @ g/f and C3 @ 5 x 2 b/f.</t>
  </si>
  <si>
    <t>Mansard roof extn + CoU from B1of existing upper floors into C3 @ 3 x 1 b/f + reduce A1 but provide ancillary office.</t>
  </si>
  <si>
    <t>S/S extn to create additional A1.</t>
  </si>
  <si>
    <t>CoU from vacant A1 to D1/D2 (Pilates studio/physio)</t>
  </si>
  <si>
    <t>CoU from B1 to SG (admin booking office for mini-cab)</t>
  </si>
  <si>
    <t>CoU from A1 to A3 @ g/f and extn @ 1st/2nd/3rd to provide 1 x 1 b/f, 1 x 1 b/f and 2 x 2 b/f.</t>
  </si>
  <si>
    <t>Demolish existing A1, B2 and C3 @ 2 x 2 b/f and NB 3-storey building providing 1 x 1 s/f, 2 x 1 b/f, 6 x 2 b/f and 1 x 3 b/f</t>
  </si>
  <si>
    <t>CoU from A1/2/3/B1 to D2 (Yoga)</t>
  </si>
  <si>
    <t>CoU from vacant SG to C3 @ 2 x 1 b/f.</t>
  </si>
  <si>
    <t>CoU from A2 to A3/4</t>
  </si>
  <si>
    <t>convert existing 1 x 3 b/f into 1 x 1 b/f and 1 x 2 b/f + s/sextn to create additional A1</t>
  </si>
  <si>
    <t>Demolish existing garage and NB 1 x 2 b/h.</t>
  </si>
  <si>
    <t>CoU of part of A1 (factory shop) to B8 (warehouse.</t>
  </si>
  <si>
    <t>Nb 1 x 2 b/h</t>
  </si>
  <si>
    <t>Prior Approval fro CoU from A1 to C3 @ 1 x 1 s/f and 1 x 1 b/f</t>
  </si>
  <si>
    <t>NB 3-storey building providing B1/2 &amp; 8</t>
  </si>
  <si>
    <t>CoU of 176sq.m of river walk to extend C3 garden</t>
  </si>
  <si>
    <t>Extn to ex to create additional storey of SG</t>
  </si>
  <si>
    <t>Demolish existing B1a/B8/SG and NB 2 x 4-storey buildings comprising flexi A1/2 or B1, C3 @ 3 x 1 b/f and 2 x 2 b/f + 2-storey building comprising 1 x 3 b/h.</t>
  </si>
  <si>
    <t>Convert existing vacant SG - HMO @ 3 x 1 b/f (s/c) and 4 rooms into 1 x 1 b/f, 1 x 2 b/f and 1 x 3 b/f + alt's/extn</t>
  </si>
  <si>
    <t>CoU from vacant D2 to B1</t>
  </si>
  <si>
    <t>Part retrospective (CoU complete - extns not) CoU fom A1 to A3 + alt's/extn</t>
  </si>
  <si>
    <t>Demolish existing A4 and NB 1 x 2 b/h. (Amended As per Officers report - original proposal not amended in M3 as above)</t>
  </si>
  <si>
    <t>CoU from A4 + ancillary to A4 and C3 @ 3 x 2 b/f and 1 x s/f.  Extn to roof to create 1 x 3 b/f.</t>
  </si>
  <si>
    <t>Convert existing 1 x 1 b/f, 1 x 2 b/f and 1 x 3 b/f into 3 x 2 b/f. CoU of C3 (1 x 2) to B8 + extns to create additional sq.m to both C3 and A1 (storage to)</t>
  </si>
  <si>
    <t>Demolish existing vacant B1a and ancillary C3 and NB 3-storeys comprising 1 x 1 b/f, 7 x 2 b/f and 1 x 3 b/f.</t>
  </si>
  <si>
    <t>CoU from vacant A1 to A3</t>
  </si>
  <si>
    <t>CoU from flexible A1/2/3 &amp; B1 to D2</t>
  </si>
  <si>
    <t>Prior Approval for CoU from A2 to D2</t>
  </si>
  <si>
    <t>Demolish existing D1/2/C3 and NB mixed use development comprising D1 (healthcentre) A1 (pharmacy) A1/2/3/B1 (Flexible) and C3 @ 190 resi units private and affordable. (to be constructed in 2 phases</t>
  </si>
  <si>
    <t>Col -proposed for CoU from vacant A3 to A1</t>
  </si>
  <si>
    <t>CoU from A1 (pharmacy) @ b/mnt to D1 (clinic)</t>
  </si>
  <si>
    <t>CoU of B2 (MOT)  B1 and C3 @ 1 x 1 b/f</t>
  </si>
  <si>
    <t>Retrospective application for retention of s/s car port</t>
  </si>
  <si>
    <t>Demolish existing B1c (car repair garage) and NB c3 @ 1 x 1 b/h.</t>
  </si>
  <si>
    <t>Demolish existing SG (MOT Garage) and NB 2 x 2 b/h, 1 x 3 b/h, 2 x 1 b/f and 3 x 2 b/f.</t>
  </si>
  <si>
    <t>CoU from vacant A1 to D1 (ed/study)</t>
  </si>
  <si>
    <t>(1) Demolish existing A1 and NB s/s extn creating 2 x 1 b/F. (2) CoU of b/mnt &amp; g/f A1 to C3 @ 1 x 2 b/f.</t>
  </si>
  <si>
    <t>CoL - ex for CoU from land (SG) to B8 (storage of builders materials)</t>
  </si>
  <si>
    <t>CoU of rear part of g/f A1 into C3 @ 1 x 2 b/f + alts/extn</t>
  </si>
  <si>
    <t>demolish temporary B8 and erection of S/s and 3/storey extn providing additional B8.</t>
  </si>
  <si>
    <t>CoU from B1a to D1 (church and daytime nursery)</t>
  </si>
  <si>
    <t>CoU from vacant A1 to SG (beauty salon)</t>
  </si>
  <si>
    <t>Demolish existing SG (lock-up garages) and B1c (joinery workshop) and NB 8 x 3 b/h</t>
  </si>
  <si>
    <t>CoU of rear part of g/f&amp;lg fl from A1 to SG (dog groomimg)</t>
  </si>
  <si>
    <t>CoU of g/f &amp; b/mnt from vacant A4 to A3 (restaurant with ancillary A5)</t>
  </si>
  <si>
    <t>Retrospective CoU from A1 (hairdressing) to SG (tattoo studio)</t>
  </si>
  <si>
    <t>Prior approval for coU from vacant B1 to C3 @ 7 x s/f.</t>
  </si>
  <si>
    <t>CoU from B8 (storage) to D2 (gym)</t>
  </si>
  <si>
    <t>CoU from vacant A1 to D1 (Day Nursery)</t>
  </si>
  <si>
    <t>(1) CoU of A1 to A3 and extn to commercial. (2) Convert existing 1 x 2 b/f into 1 x s/f and 3 x 1 b/f + roof/3-storey extn</t>
  </si>
  <si>
    <t>Prior Approval for CoU from B1a@ part of g/f nd 1st fl to C3 @ 1 x s/f, 5 x 1 b/f and 2 x 2 b/f.</t>
  </si>
  <si>
    <t>CoU of b/mnt and g/f from A3 to A5</t>
  </si>
  <si>
    <t>CoU from SG (beauty therapy) to SG and D1 (dental treatment)</t>
  </si>
  <si>
    <t>CoU from vacant A1 to SG (beauty rooms)</t>
  </si>
  <si>
    <t>CoU from A1 to A3 (restaurant) and C3 @ 1 x 3 b/f + Extn</t>
  </si>
  <si>
    <t>Demolish existing B1c (workshop) and NB 3-storey extn to provide 1 x 1 b/f and 1 x 3 b/f (2 x 2 already exist) and CoU from A3 to A1 (amalgamating 2 A1 units into 1)</t>
  </si>
  <si>
    <t>Demolish existing SG, B2 and D1 and NB D1, A3 &amp; A1</t>
  </si>
  <si>
    <t>CoU of part g/f B1 to C3 @  1 x 4 b/h + roof extn and alts/extn</t>
  </si>
  <si>
    <t>Demolish existing garages and NB 1 x 3 b/f + alts in connection with converted 2 x 1 b/f into 1 x 1 b/f.</t>
  </si>
  <si>
    <t>CoU from SG (scrap metal) to A1 (showroom + ancillary office)</t>
  </si>
  <si>
    <t>Prior Approval for CoU from B1 to C3 @ 33 x s/f, 19 x 1 b/f, 18 x 2 b/f and 1 x 3 b/f.</t>
  </si>
  <si>
    <t>Prior Approval for CoU from A1 to C3 @ 1 x 2 b/f</t>
  </si>
  <si>
    <t>CoU from D1 to C3 @ 1 x 1 b/f + alts</t>
  </si>
  <si>
    <t>CoU from vacant A1 to D2 (Pilates)</t>
  </si>
  <si>
    <t>Convert 4 x 1 b/f and 1 x 2 b/f into 4 x 2 b/fand 1 x 3 b/f, and extn to ex to create 3 x 2 b/f and 1 x 3 b/f.</t>
  </si>
  <si>
    <t>Convert/CoU existing vacant 7 bed care home/drug/alcohol to C3 @ 4 x s/f,  1 x 1 b/f  and 2 x 2 b/f+ extns</t>
  </si>
  <si>
    <t>Amalgamate units 10 &amp; 12 and CoU from vacant A1 and A2 to B1/A2</t>
  </si>
  <si>
    <t>Demolish existing vacant garages and NB 1 x 1 b/h</t>
  </si>
  <si>
    <t>Demolish existing A1 (Odd-Bins) and NB 4-storey providing Flexible A1-2 and B1a</t>
  </si>
  <si>
    <t>Demolish existing A1 (Tool Hire) and NB 5-storey building providing flexible A1/2/3/D1 @ g/f, B1a 1st/2nd and C3 @ 4 x 1 b/f and 5 x 2 b/f.</t>
  </si>
  <si>
    <t>Demolish existing D2 and NB 4 storey building providing mix-use development @ D1, A1 and C3 @ 5 x 2 b/f and 5 x 3 b/f.</t>
  </si>
  <si>
    <t>Demolish existing B1a/c/ and NB 10-storeys comprising B1a/c and SG</t>
  </si>
  <si>
    <t>CoU from D2 to flexible B1/D2</t>
  </si>
  <si>
    <t>CoU of rear part of g/f and b/mnt from A1 to D1</t>
  </si>
  <si>
    <t>Demolish existing car park and NB 4-storey building providing 1 x 1 b/f and 3 x 2 b/f (A/R)</t>
  </si>
  <si>
    <t>Demolish existing garages and NB 3-storey building providing 7 x 1 b/f as SR for supported housing and 1 x 1 carers flat</t>
  </si>
  <si>
    <t>Demolish existing car park and NB 3 buildings providing BLOCK A C3 @ (SR) BLOCK C C3 @ (P) and BLOCK B @ School and chapel</t>
  </si>
  <si>
    <t>Redevelop vacant B1c providing 10-storey building comprising B1c, B1a and shared B1a/c</t>
  </si>
  <si>
    <t>CoU from vacant A4 to A3 including demolishing existing g/f extn and NB s/s extn for A3. Convert upper floors @ 2 x 1 and 1 x 3 b/f + extn to provide 1 x 1 b/f and 2 x 2 b/f</t>
  </si>
  <si>
    <t>CoU from A1 (b/mnt) to SG (tattoo parlour)</t>
  </si>
  <si>
    <t>CoU from part A1 to C3 @ 2 x 1 b/f and 1 x 2 b/f and A1</t>
  </si>
  <si>
    <t>CoL - existing for Cou from rear part of g/f A1 to C3 @ 1 x 1 b/f</t>
  </si>
  <si>
    <t>CoU of part A4 (ancillary guest rooms x 10) to A4/C1 @ 15 rooms (5 additional rooms)</t>
  </si>
  <si>
    <t>Mansard roof extn to provide additional B1a</t>
  </si>
  <si>
    <t>CoU of g/f D1 (vacant Doctors Surgery) to C3 @ 1 x 1 b/f.</t>
  </si>
  <si>
    <t>Prior Approval for CoU from B8 to C3 @ 1 x s/f.</t>
  </si>
  <si>
    <t>CoU from A1/2/3 &amp; B1 to A1/2/3/B1 and D2</t>
  </si>
  <si>
    <t>Convert existing 2 x 1 b/f into 2 x 2 b/f, CoU from A1/B2 into A1/2 and extn to ex to create 1 x 1 b/f</t>
  </si>
  <si>
    <t>CoU from part A4 to C3 @ 1 x 1 b/f + 4 x 2 b/f and extn to ex for 1 x 2 b/f.</t>
  </si>
  <si>
    <t>1) Convert existing 1 x 3 b/f into 3 x1 b/f and 1 x 2 b/f (2) CoU of G/f A2 into flexible A1/2 or B1 (3) Demolish garage to form a patio</t>
  </si>
  <si>
    <t>CoU from A2 to C3 @ 1 x 1 b/f.</t>
  </si>
  <si>
    <t>CoU from A2 (Betting Office) to D1 (Dental Surgery)</t>
  </si>
  <si>
    <t>Demolish existing vacant D1 and NB 4-storey building @ 1 x 4 b/h</t>
  </si>
  <si>
    <t>Convert existing 1 x 2 b/f into 1 x 1 b/f, CoU from B1a to C3 @ 4 x 1 and extn to ex to create 1 x 1 b/f</t>
  </si>
  <si>
    <t>Prior Approval for CoU from B1a @ g/f to C3 @ 1 x 1 b/f and 1 x 2 b/f</t>
  </si>
  <si>
    <t>Prior approval for CoU from B1a @ 1st/fl to C3 @ 1 x s/f.</t>
  </si>
  <si>
    <t>Prior Approval for CoU from B1a to C3 @ 2 x 1 b/f</t>
  </si>
  <si>
    <t>Prior Approval for CoU from B1a @ 1st fl to C3 @ 1 x 2 b/f.</t>
  </si>
  <si>
    <t>Prior Approval for CoU from B1a @ 2nd fl to C3 @ 1 x 2 b/f</t>
  </si>
  <si>
    <t>Prior Approval for CoU from B1a @ 1st fl to C3 @ 1 x 1 b/f and 1 x 2 b/f.</t>
  </si>
  <si>
    <t>Erection of 2 storey extn over ex student accommodation providing 34 x 1 b/person units</t>
  </si>
  <si>
    <t>CoU from A1 to A1/D1</t>
  </si>
  <si>
    <t>CoU from B1a (vacant) to D2</t>
  </si>
  <si>
    <t>Prior Approval for CoU from A1 to A3 (café)</t>
  </si>
  <si>
    <t>CoU of part of roof level car park to A3 and A4 (food pop up venue &amp; s/s pergola)</t>
  </si>
  <si>
    <t>Demolish existing advert hoarding and Nb 5-storey building to provide 5 x s/f</t>
  </si>
  <si>
    <t>Demolish existing garages and NB 3-storey building providing 1 x 1 b/f, 6 x 2 b/f and 1 x 3 b/f for S/R</t>
  </si>
  <si>
    <t>Retrospective CoU from SG (taxi offcie) to SG (nail bar)</t>
  </si>
  <si>
    <t>CoU from g/f A1 to C3 @ 1 x 1 b/f  + alts.</t>
  </si>
  <si>
    <t>CoU from A1 (hairdresseres) to SG (beauty Salon)</t>
  </si>
  <si>
    <t>Prior approval for CoU from B1 @ 1st/2nd/3rd/4th/5th floors to C3 @ 13 x 1 b/f, 14 x 2 b/f and 1 x 3 b/f</t>
  </si>
  <si>
    <t>CoU from A1 to A5</t>
  </si>
  <si>
    <t>Extn to existing D1 to create additional floor to Hindu Temple</t>
  </si>
  <si>
    <t>2-storey extn + external plant room</t>
  </si>
  <si>
    <t>Alts to existing shop and NB 1 x 1 b/f + extn @ 1st /2nd fl to create 2 x 2 b/f.</t>
  </si>
  <si>
    <t>CoU of part of A1 in connection with conversion + extn to  existing 1 x s/f into 1 x 1 b/f and convert/extend 1 x 2  into 2 x 1 b/f</t>
  </si>
  <si>
    <t>Excavate b/nt to create additional floorspace for existing A2</t>
  </si>
  <si>
    <t>Retention of various structures @ SG</t>
  </si>
  <si>
    <t>Extn to ex to provide additional D1</t>
  </si>
  <si>
    <t>S73 NMA to 2016/0916 for amendments to arches 749/50/51 &amp; 757 from (757) A3/4 to A3/4B2 (751) D2 to A3/4 (750) B1 to D2 (cinema) and (749) B1 to D2 (cinema).</t>
  </si>
  <si>
    <t>B1a Net Loss</t>
  </si>
  <si>
    <t/>
  </si>
  <si>
    <t>Summary Description of Development</t>
  </si>
  <si>
    <t>Permission Type</t>
  </si>
  <si>
    <t>Net B1a Floorspace (m²)</t>
  </si>
  <si>
    <t>Full</t>
  </si>
  <si>
    <t>Retail A Use Classes</t>
  </si>
  <si>
    <t>Application Pending</t>
  </si>
  <si>
    <t>Number of Sites with a Change in Retail Floorspace</t>
  </si>
  <si>
    <t>Change in Floorspace (m²)</t>
  </si>
  <si>
    <t>Count of A Total Net</t>
  </si>
  <si>
    <t>Count of A Total Loss</t>
  </si>
  <si>
    <t>Count of A Total Gain</t>
  </si>
  <si>
    <t>Sum of A Total Gain2</t>
  </si>
  <si>
    <t>Sum of A Total Loss2</t>
  </si>
  <si>
    <t>Sum of A Total Net2</t>
  </si>
  <si>
    <t>Shops</t>
  </si>
  <si>
    <t>Financial and Professional</t>
  </si>
  <si>
    <t>Restaurants and Cafes</t>
  </si>
  <si>
    <t>Drinking Establishments</t>
  </si>
  <si>
    <t>Hot Food Takeaways</t>
  </si>
  <si>
    <t>Local Centres</t>
  </si>
  <si>
    <t>Balham Total</t>
  </si>
  <si>
    <t>Battersea Power Station Total</t>
  </si>
  <si>
    <t>Clapham Junction Total</t>
  </si>
  <si>
    <t>Putney Total</t>
  </si>
  <si>
    <t>Tooting Total</t>
  </si>
  <si>
    <t>Wandsworth Total</t>
  </si>
  <si>
    <t>In Town Centres</t>
  </si>
  <si>
    <t>Sum of A1 Gain</t>
  </si>
  <si>
    <t>Sum of A2 Gain</t>
  </si>
  <si>
    <t>Sum of A3 Gain</t>
  </si>
  <si>
    <t>Sum of A4 Gain</t>
  </si>
  <si>
    <t>Sum of A5 Gain</t>
  </si>
  <si>
    <t>Sum of A Total Gain</t>
  </si>
  <si>
    <r>
      <t>Floorspace (m</t>
    </r>
    <r>
      <rPr>
        <b/>
        <sz val="9"/>
        <rFont val="Arial"/>
        <family val="2"/>
      </rPr>
      <t>²)</t>
    </r>
  </si>
  <si>
    <t>Number of Sites with a Change in Floorspace</t>
  </si>
  <si>
    <t>Count of D Total Gain</t>
  </si>
  <si>
    <t>Sum of D Total Gain2</t>
  </si>
  <si>
    <t>Count of D Total Loss</t>
  </si>
  <si>
    <t>Sum of D Total Loss2</t>
  </si>
  <si>
    <t>Count of D Total Net</t>
  </si>
  <si>
    <t>Sum of D Total Net2</t>
  </si>
  <si>
    <t>Non-Residential Institutions</t>
  </si>
  <si>
    <t>Assembly and Leisure</t>
  </si>
  <si>
    <t>Count of D1 Gain</t>
  </si>
  <si>
    <t>Sum of D1 Gain2</t>
  </si>
  <si>
    <t>Count of D2 Gain</t>
  </si>
  <si>
    <t>Sum of D2 Gain</t>
  </si>
  <si>
    <t>Y Total</t>
  </si>
  <si>
    <t>% In Town Centres</t>
  </si>
  <si>
    <t>Total Count of D1 Gain</t>
  </si>
  <si>
    <t>Total Sum of D1 Gain2</t>
  </si>
  <si>
    <t>Count of D1 Loss</t>
  </si>
  <si>
    <t>Total Count of D1 Loss</t>
  </si>
  <si>
    <t>Total Sum of D1 Loss2</t>
  </si>
  <si>
    <t>Sum of D1 Loss2</t>
  </si>
  <si>
    <t>Sum of D2 Gain2</t>
  </si>
  <si>
    <t>Total Count of D2 Gain</t>
  </si>
  <si>
    <t>Total Sum of D2 Gain2</t>
  </si>
  <si>
    <t>Museum</t>
  </si>
  <si>
    <t>Casino or Bingo Hall</t>
  </si>
  <si>
    <t>Children's Play Facilities</t>
  </si>
  <si>
    <t>Sports Facilties</t>
  </si>
  <si>
    <t>Count of D2 Loss</t>
  </si>
  <si>
    <t>Total Count of D2 Loss</t>
  </si>
  <si>
    <t>Total Sum of D2 Loss2</t>
  </si>
  <si>
    <t>Sum of D2 Loss2</t>
  </si>
  <si>
    <t>Prior Approval / Certificate of Lawful Development</t>
  </si>
  <si>
    <t>A Total</t>
  </si>
  <si>
    <t>B Total</t>
  </si>
  <si>
    <t>D Total</t>
  </si>
  <si>
    <t>A, B and D Total</t>
  </si>
  <si>
    <t>Temporary Application</t>
  </si>
  <si>
    <t>Wandsworth Local Plan – Authority Monitoring Report 2017/18</t>
  </si>
  <si>
    <t>Total A, B and D Use Classes</t>
  </si>
  <si>
    <r>
      <t>Number of Sites</t>
    </r>
    <r>
      <rPr>
        <b/>
        <sz val="9"/>
        <rFont val="Arial"/>
        <family val="2"/>
        <scheme val="minor"/>
      </rPr>
      <t xml:space="preserve"> with a Change in Commercial Floorspace</t>
    </r>
  </si>
  <si>
    <t>Table 1.4  Completion Gains by Use Class over Time</t>
  </si>
  <si>
    <t>Non-Residential Institution, Assembly and Leisure D Use Classes</t>
  </si>
  <si>
    <t>1  Commercial B1, B2 and B8 Use Classes</t>
  </si>
  <si>
    <t>2  Retail A1 to A5 Use Classes</t>
  </si>
  <si>
    <t>3  Non-Residential Institutions, Assembly and Leisure D1 and D2 Use Classes</t>
  </si>
  <si>
    <t>4  Total A, B and D Use Classes</t>
  </si>
  <si>
    <t>Summary Tables</t>
  </si>
  <si>
    <t>Schedules of Sites</t>
  </si>
  <si>
    <t>Information on developments over 1,000m² for all London planning authorities can be accessed through the London Development Database, available from the Greater London Authority at:</t>
  </si>
  <si>
    <t>https://data.london.gov.uk/dataset/planning-permissions-on-the-london-development-database--ldd-</t>
  </si>
  <si>
    <t>For more information on this report email or phone Planning Information:</t>
  </si>
  <si>
    <t>planninginformation@wandsworth.gov.uk</t>
  </si>
  <si>
    <t>020 8871 7620</t>
  </si>
  <si>
    <t>Table 1.1  Completions and Pipeline by Application Type</t>
  </si>
  <si>
    <t xml:space="preserve">Table 1.2  Completions and Pipeline by Development Type </t>
  </si>
  <si>
    <t>Table 1.3  Net Completions and Pipeline by Use Class and Application Type</t>
  </si>
  <si>
    <t>Schedule 1.1  Completed and Occupied</t>
  </si>
  <si>
    <t>Schedule 1.2  Completed but Not Occupied</t>
  </si>
  <si>
    <t>Schedule 1.3  Under Construction</t>
  </si>
  <si>
    <t>Schedule 1.4  Planning Permission</t>
  </si>
  <si>
    <t>Schedule 1.6  Permission Pending Legal Agreement</t>
  </si>
  <si>
    <t>Schedule 2.1  Completed and Occupied</t>
  </si>
  <si>
    <t>Schedule 2.2  Completed but Not Occupied</t>
  </si>
  <si>
    <t>Schedule 2.3  Under Construction</t>
  </si>
  <si>
    <t>Schedule 2.4  Planning Permission</t>
  </si>
  <si>
    <t>Schedule 2.6  Permission Pending Legal Agreement</t>
  </si>
  <si>
    <t>Schedule 3.1  Completed and Occupied</t>
  </si>
  <si>
    <t>Schedule 3.2  Completed but Not Occupied</t>
  </si>
  <si>
    <t>Schedule 3.3  Under Construction</t>
  </si>
  <si>
    <t>Schedule 3.4  Planning Permission</t>
  </si>
  <si>
    <t>Schedule 3.6  Permission Pending Legal Agreement</t>
  </si>
  <si>
    <t>Table 1.5  Net Completions by Use Class and Location</t>
  </si>
  <si>
    <r>
      <t>Table 1.6a  Completed Net Loss of Commercial Floorspace to Residential Use</t>
    </r>
    <r>
      <rPr>
        <b/>
        <vertAlign val="superscript"/>
        <sz val="10"/>
        <rFont val="Arial"/>
        <family val="2"/>
        <scheme val="minor"/>
      </rPr>
      <t>**</t>
    </r>
    <r>
      <rPr>
        <b/>
        <sz val="10"/>
        <rFont val="Arial"/>
        <family val="2"/>
        <scheme val="minor"/>
      </rPr>
      <t xml:space="preserve"> by Location</t>
    </r>
  </si>
  <si>
    <t>Table 1.6b  Under Construction Net Loss of Commercial Floorspace to Residential Use by Location</t>
  </si>
  <si>
    <t>Table 1.6c  Not Started Net Losses of Commercial Floorspace to Residential Use with Full Planning Permission by Location</t>
  </si>
  <si>
    <t>Table 1.7  Details of Applications Completed with Net Losses of Office Floorspace (B1a) in Town Centres</t>
  </si>
  <si>
    <t>Table 1.8  Net Pipeline by Location and Application Type</t>
  </si>
  <si>
    <t>Table 2.1  Completions and Pipeline by Application Type</t>
  </si>
  <si>
    <r>
      <t>Table 2.2  Net Completions and Pipeline by Use Class, Development Status and Location</t>
    </r>
    <r>
      <rPr>
        <b/>
        <vertAlign val="superscript"/>
        <sz val="10"/>
        <rFont val="Calibri"/>
        <family val="2"/>
      </rPr>
      <t>††</t>
    </r>
  </si>
  <si>
    <t>Table 2.3  Net Completions by Use Class and Location</t>
  </si>
  <si>
    <t>Table 2.4  Completion Gains in Town Centres by Use Class over Time</t>
  </si>
  <si>
    <t>Table 2.6  Net Completions and Pipeline by Town Centre</t>
  </si>
  <si>
    <t>Table 3.1  Completions and Pipeline by Application Type</t>
  </si>
  <si>
    <t>Table 3.2  Net Completions and Pipeline by Use Class, Development Status and Location</t>
  </si>
  <si>
    <t>Table 3.3  Completion Gains by Use Class and Location</t>
  </si>
  <si>
    <t>Table 3.4  Completion Gains in Town Centres by Use Class over Time</t>
  </si>
  <si>
    <t>Table 3.6  Net Completions and Pipeline by Town Centre</t>
  </si>
  <si>
    <t>Table 3.7  Non-Residential Institution (D1) Completion Gains and Pipeline by Use</t>
  </si>
  <si>
    <t>Table 3.8  Non-Residential Institution (D1) Completion Losses and Pipeline by Use</t>
  </si>
  <si>
    <t>Table 3.9  Assembly and Leisure (D2) Completion Gains and Pipeline by Use</t>
  </si>
  <si>
    <t>Table 3.10  Assembly and Leisure (D2) Completion Losses and Pipeline by Use</t>
  </si>
  <si>
    <t>Table 4.1  Net Completions and Pipeline by Use Class and Application Type</t>
  </si>
  <si>
    <t>Table 1.6a  Completed Net Loss of Commercial Floorspace to Residential Use by Location</t>
  </si>
  <si>
    <t>Table 2.2  Net Completions and Pipeline by Use Class, Development Status and Location</t>
  </si>
  <si>
    <t>Table 2.5  Completion Gains over Time by Town Centre</t>
  </si>
  <si>
    <t>Table 3.5  Completion Gains over Time by Town Centre</t>
  </si>
  <si>
    <t>Figure 1  Completions and Approved and Potential Pipeline</t>
  </si>
  <si>
    <t>Figure 2  Completion Gains and Net Change over Time</t>
  </si>
  <si>
    <t>Figure 3 Pipeline by Application Type and Status</t>
  </si>
  <si>
    <t>Figure 4  Pipeline by Use Class</t>
  </si>
  <si>
    <t>Figure 6  Completion Gains over Time by Town Centre</t>
  </si>
  <si>
    <t>Figure 7  Pipeline by Application Type and Status</t>
  </si>
  <si>
    <t>Figure 8  Completion Trends in Town Centre by Use Class (D1 and D2 Classes)</t>
  </si>
  <si>
    <t>Figure 9  Completion Gains over Time by Town Centre</t>
  </si>
  <si>
    <t>Figure 10  Pipeline by Use Class and Application Type</t>
  </si>
  <si>
    <t>Notes</t>
  </si>
  <si>
    <t>Unless otherwise stated, figures in this report show completions in 2017/18, and the pipeline as at 31 March 2018</t>
  </si>
  <si>
    <t>Commerical B1, B2 and B8 Use Classes</t>
  </si>
  <si>
    <t>Ward</t>
  </si>
  <si>
    <t>West Hill</t>
  </si>
  <si>
    <t>Roehampton and Putney Heath</t>
  </si>
  <si>
    <t>Nightingale</t>
  </si>
  <si>
    <t>Northcote</t>
  </si>
  <si>
    <t>St Mary's Park</t>
  </si>
  <si>
    <t>Fairfield</t>
  </si>
  <si>
    <t>Shaftesbury</t>
  </si>
  <si>
    <t>Thamesfield</t>
  </si>
  <si>
    <t>Queenstown</t>
  </si>
  <si>
    <t>Latchmere</t>
  </si>
  <si>
    <t>East Putney</t>
  </si>
  <si>
    <t>Furzedown</t>
  </si>
  <si>
    <t>Graveney</t>
  </si>
  <si>
    <t>Bedford</t>
  </si>
  <si>
    <t>Wandsworth Common</t>
  </si>
  <si>
    <t>West Putney</t>
  </si>
  <si>
    <t>Sum of B1a Gain</t>
  </si>
  <si>
    <t>Sum of B1b Gain</t>
  </si>
  <si>
    <t>Sum of B1c Gain</t>
  </si>
  <si>
    <t>Sum of B2 Gain</t>
  </si>
  <si>
    <t>Sum of B8 Gain</t>
  </si>
  <si>
    <t>Sum of B Total Gain</t>
  </si>
  <si>
    <t>Sum of B1a Loss</t>
  </si>
  <si>
    <t>Sum of B1b Loss</t>
  </si>
  <si>
    <t>Sum of B1c Loss</t>
  </si>
  <si>
    <t>Sum of B2 Loss</t>
  </si>
  <si>
    <t>Sum of B8 Loss</t>
  </si>
  <si>
    <t>Status 2 - Permission Type (Unnumbered)</t>
  </si>
  <si>
    <t>A Total Loss or Gain</t>
  </si>
  <si>
    <t>B Total Loss or Gain</t>
  </si>
  <si>
    <t>D Total Loss or Gain</t>
  </si>
  <si>
    <t>Application Type</t>
  </si>
  <si>
    <t>Outline</t>
  </si>
  <si>
    <t>(Multiple Items)</t>
  </si>
  <si>
    <t>Phase</t>
  </si>
  <si>
    <t>Pending Legal Agreement</t>
  </si>
  <si>
    <t>Sum of A1 Loss</t>
  </si>
  <si>
    <t>Sum of A2 Loss</t>
  </si>
  <si>
    <t>Sum of A3 Loss</t>
  </si>
  <si>
    <t>Sum of A4 Loss</t>
  </si>
  <si>
    <t>Sum of A5 Loss</t>
  </si>
  <si>
    <t>Sum of A Total Loss</t>
  </si>
  <si>
    <t>Sum of A Total Net</t>
  </si>
  <si>
    <t>Retail A1 to A5 Use Classes</t>
  </si>
  <si>
    <t>Schedule 1.8  Application Pending</t>
  </si>
  <si>
    <t>Schedule 1.7  Application at Appeal</t>
  </si>
  <si>
    <t>Appeal</t>
  </si>
  <si>
    <t>Schedule 2.7  Application at Appeal</t>
  </si>
  <si>
    <t>Schedule 2.8  Application Pending</t>
  </si>
  <si>
    <t>Non-Residential Institutions, Assembly and Leisure D1 and D2 Use Classes</t>
  </si>
  <si>
    <t>Sum of D1 Gain</t>
  </si>
  <si>
    <t>Sum of D Total Gain</t>
  </si>
  <si>
    <t>Sum of D1 Loss</t>
  </si>
  <si>
    <t>Sum of D2 Loss</t>
  </si>
  <si>
    <t>Sum of D Total Loss</t>
  </si>
  <si>
    <t>Sum of D Total Net</t>
  </si>
  <si>
    <t>Schedule 3.7  Application at Appeal</t>
  </si>
  <si>
    <t>Schedule 3.8  Application Pending</t>
  </si>
  <si>
    <t>Schedule 1.9  Temporary Permissions</t>
  </si>
  <si>
    <t>Schedule 2.9  Temporary Permissions</t>
  </si>
  <si>
    <t>Schedule 3.9  Temporary Permissions</t>
  </si>
  <si>
    <t>Contents</t>
  </si>
  <si>
    <r>
      <rPr>
        <vertAlign val="superscript"/>
        <sz val="9"/>
        <rFont val="Arial"/>
        <family val="2"/>
        <scheme val="minor"/>
      </rPr>
      <t>*</t>
    </r>
    <r>
      <rPr>
        <sz val="9"/>
        <rFont val="Arial"/>
        <family val="2"/>
        <scheme val="minor"/>
      </rPr>
      <t xml:space="preserve"> Individual phases of large sites are counted as separate sites</t>
    </r>
  </si>
  <si>
    <r>
      <rPr>
        <vertAlign val="superscript"/>
        <sz val="9"/>
        <color theme="1"/>
        <rFont val="Arial"/>
        <family val="2"/>
        <scheme val="minor"/>
      </rPr>
      <t>†</t>
    </r>
    <r>
      <rPr>
        <sz val="9"/>
        <color theme="1"/>
        <rFont val="Arial"/>
        <family val="2"/>
        <scheme val="minor"/>
      </rPr>
      <t xml:space="preserve"> Total number of sites does not equal the sum of gains and losses as some schemes include both a gain and loss of commercial floorspace</t>
    </r>
  </si>
  <si>
    <t>Prior Approval /
Certificate of Lawful Development</t>
  </si>
  <si>
    <r>
      <rPr>
        <vertAlign val="superscript"/>
        <sz val="9"/>
        <rFont val="Arial"/>
        <family val="2"/>
        <scheme val="minor"/>
      </rPr>
      <t>††</t>
    </r>
    <r>
      <rPr>
        <sz val="9"/>
        <rFont val="Arial"/>
        <family val="2"/>
        <scheme val="minor"/>
      </rPr>
      <t xml:space="preserve"> Battersea Power Station has been included as a Town Centre for the purposes of the authority monitoring report; its exact boundaries will be determined once the development has been completed</t>
    </r>
  </si>
  <si>
    <r>
      <rPr>
        <vertAlign val="superscript"/>
        <sz val="9"/>
        <rFont val="Calibri"/>
        <family val="2"/>
      </rPr>
      <t>‡</t>
    </r>
    <r>
      <rPr>
        <sz val="9"/>
        <rFont val="Arial"/>
        <family val="2"/>
        <scheme val="minor"/>
      </rPr>
      <t xml:space="preserve"> Total sites does not equal sum of sites by use class as some sites have more than one use class</t>
    </r>
  </si>
  <si>
    <r>
      <rPr>
        <vertAlign val="superscript"/>
        <sz val="9"/>
        <rFont val="Arial"/>
        <family val="2"/>
        <scheme val="minor"/>
      </rPr>
      <t>§</t>
    </r>
    <r>
      <rPr>
        <sz val="9"/>
        <rFont val="Arial"/>
        <family val="2"/>
        <scheme val="minor"/>
      </rPr>
      <t xml:space="preserve"> Total may be less than the sum of applications and floorspace for each policy area, as some policy areas overlap</t>
    </r>
  </si>
  <si>
    <r>
      <rPr>
        <vertAlign val="superscript"/>
        <sz val="9"/>
        <color indexed="8"/>
        <rFont val="Arial"/>
        <family val="2"/>
        <scheme val="minor"/>
      </rPr>
      <t>**</t>
    </r>
    <r>
      <rPr>
        <sz val="9"/>
        <color indexed="8"/>
        <rFont val="Arial"/>
        <family val="2"/>
        <scheme val="minor"/>
      </rPr>
      <t xml:space="preserve"> This comprises all sites where there is a net loss in any commercial B class use floorspace and a gain of residential C3 floorspace</t>
    </r>
  </si>
  <si>
    <t>Schedule 3.5  Prior Approval / Certificate of Lawful Development</t>
  </si>
  <si>
    <t>Schedule 2.5  Prior Approval / Certificate of Lawful Development</t>
  </si>
  <si>
    <t>Schedule 1.5  Prior Approval / Certificate of Lawful Development</t>
  </si>
  <si>
    <t>This report covers the 2017/18 financial year, from 1 April 2017 to 31 March 2018</t>
  </si>
  <si>
    <t>Where flexible use permissions are sought these are recorded as being split evenly amongst the relevant use classes: for example, 1,000m² of D1/D2 use is recorded as 500m² of D1 and 500m² of D2</t>
  </si>
  <si>
    <t xml:space="preserve">Figure 5  Total Completion Gains over Time and Percentage in Town Centres over Time </t>
  </si>
  <si>
    <t>1.</t>
  </si>
  <si>
    <t>2.</t>
  </si>
  <si>
    <t>3.</t>
  </si>
  <si>
    <t>4.</t>
  </si>
  <si>
    <t>5.</t>
  </si>
  <si>
    <t>6.</t>
  </si>
  <si>
    <t>7.</t>
  </si>
  <si>
    <t>8.</t>
  </si>
  <si>
    <t>Last updated 14 March 2019</t>
  </si>
  <si>
    <t>Analysis by location is based on adopted policies as at 31 March 2018: the 2018/19 Authority Monitoring Report will reflect the changes introduced by the Local Plan Employment and Industry Document that was adopted in December 2018</t>
  </si>
  <si>
    <t>'Floorspace' in this report has been calculated as far as possible using gross internal area figures provided in application documents; where application documents do not contain gross internal area figures, gross external area figures have been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</si>
</sst>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_ ;\-#,##0\ "/>
    <numFmt numFmtId="165" formatCode="#,##0.000"/>
    <numFmt numFmtId="166" formatCode="0.000"/>
  </numFmts>
  <fonts count="50" x14ac:knownFonts="1">
    <font>
      <sz val="9"/>
      <color theme="1"/>
      <name val="Arial"/>
      <family val="2"/>
      <scheme val="minor"/>
    </font>
    <font>
      <sz val="11"/>
      <color theme="1"/>
      <name val="Arial"/>
      <family val="2"/>
      <scheme val="minor"/>
    </font>
    <font>
      <sz val="10"/>
      <color indexed="8"/>
      <name val="Arial"/>
      <family val="2"/>
    </font>
    <font>
      <sz val="10"/>
      <color indexed="8"/>
      <name val="Arial"/>
      <family val="2"/>
    </font>
    <font>
      <b/>
      <sz val="11"/>
      <color theme="0"/>
      <name val="Arial"/>
      <family val="2"/>
      <scheme val="minor"/>
    </font>
    <font>
      <u/>
      <sz val="10"/>
      <color theme="10"/>
      <name val="Arial"/>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9"/>
      <name val="Arial"/>
      <family val="2"/>
      <scheme val="minor"/>
    </font>
    <font>
      <sz val="9"/>
      <color indexed="8"/>
      <name val="Arial"/>
      <family val="2"/>
      <scheme val="minor"/>
    </font>
    <font>
      <sz val="9"/>
      <name val="Arial"/>
      <family val="2"/>
      <scheme val="minor"/>
    </font>
    <font>
      <b/>
      <sz val="9"/>
      <color indexed="8"/>
      <name val="Arial"/>
      <family val="2"/>
      <scheme val="minor"/>
    </font>
    <font>
      <sz val="9"/>
      <color rgb="FFFF0000"/>
      <name val="Arial"/>
      <family val="2"/>
      <scheme val="minor"/>
    </font>
    <font>
      <u/>
      <sz val="9"/>
      <color indexed="8"/>
      <name val="Arial"/>
      <family val="2"/>
      <scheme val="minor"/>
    </font>
    <font>
      <b/>
      <sz val="9"/>
      <color theme="1"/>
      <name val="Arial"/>
      <family val="2"/>
      <scheme val="minor"/>
    </font>
    <font>
      <vertAlign val="superscript"/>
      <sz val="9"/>
      <name val="Arial"/>
      <family val="2"/>
      <scheme val="minor"/>
    </font>
    <font>
      <b/>
      <sz val="9"/>
      <color indexed="23"/>
      <name val="Arial"/>
      <family val="2"/>
      <scheme val="minor"/>
    </font>
    <font>
      <b/>
      <vertAlign val="superscript"/>
      <sz val="9"/>
      <name val="Arial"/>
      <family val="2"/>
      <scheme val="minor"/>
    </font>
    <font>
      <sz val="9"/>
      <color indexed="23"/>
      <name val="Arial"/>
      <family val="2"/>
      <scheme val="minor"/>
    </font>
    <font>
      <sz val="9"/>
      <color indexed="10"/>
      <name val="Arial"/>
      <family val="2"/>
      <scheme val="minor"/>
    </font>
    <font>
      <b/>
      <sz val="9"/>
      <color theme="1"/>
      <name val="Arial"/>
      <family val="2"/>
      <scheme val="major"/>
    </font>
    <font>
      <b/>
      <sz val="9"/>
      <name val="Arial"/>
      <family val="2"/>
    </font>
    <font>
      <b/>
      <sz val="12"/>
      <name val="Arial"/>
      <family val="2"/>
      <scheme val="minor"/>
    </font>
    <font>
      <b/>
      <sz val="10"/>
      <name val="Arial"/>
      <family val="2"/>
      <scheme val="minor"/>
    </font>
    <font>
      <vertAlign val="superscript"/>
      <sz val="9"/>
      <color theme="1"/>
      <name val="Arial"/>
      <family val="2"/>
      <scheme val="minor"/>
    </font>
    <font>
      <b/>
      <vertAlign val="superscript"/>
      <sz val="9"/>
      <name val="Arial"/>
      <family val="2"/>
      <scheme val="major"/>
    </font>
    <font>
      <vertAlign val="superscript"/>
      <sz val="9"/>
      <name val="Calibri"/>
      <family val="2"/>
    </font>
    <font>
      <b/>
      <vertAlign val="superscript"/>
      <sz val="10"/>
      <name val="Arial"/>
      <family val="2"/>
      <scheme val="minor"/>
    </font>
    <font>
      <vertAlign val="superscript"/>
      <sz val="9"/>
      <color indexed="8"/>
      <name val="Arial"/>
      <family val="2"/>
      <scheme val="minor"/>
    </font>
    <font>
      <b/>
      <vertAlign val="superscript"/>
      <sz val="10"/>
      <name val="Calibri"/>
      <family val="2"/>
    </font>
    <font>
      <sz val="8"/>
      <color theme="1"/>
      <name val="Arial"/>
      <family val="2"/>
      <scheme val="minor"/>
    </font>
    <font>
      <b/>
      <sz val="8"/>
      <color theme="1"/>
      <name val="Arial"/>
      <family val="2"/>
      <scheme val="minor"/>
    </font>
    <font>
      <b/>
      <sz val="8"/>
      <name val="Arial"/>
      <family val="2"/>
      <scheme val="major"/>
    </font>
    <font>
      <b/>
      <sz val="10"/>
      <color indexed="8"/>
      <name val="Arial"/>
      <family val="2"/>
      <scheme val="major"/>
    </font>
    <font>
      <b/>
      <sz val="11"/>
      <name val="Arial"/>
      <family val="2"/>
      <scheme val="minor"/>
    </font>
    <font>
      <sz val="10"/>
      <color theme="1"/>
      <name val="Arial"/>
      <family val="2"/>
      <scheme val="minor"/>
    </font>
    <font>
      <b/>
      <sz val="15"/>
      <color indexed="8"/>
      <name val="Arial"/>
      <family val="2"/>
      <scheme val="minor"/>
    </font>
  </fonts>
  <fills count="38">
    <fill>
      <patternFill patternType="none"/>
    </fill>
    <fill>
      <patternFill patternType="gray125"/>
    </fill>
    <fill>
      <patternFill patternType="solid">
        <fgColor rgb="FFA5A5A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6" tint="0.59999389629810485"/>
        <bgColor indexed="64"/>
      </patternFill>
    </fill>
    <fill>
      <patternFill patternType="solid">
        <fgColor theme="6" tint="0.59999389629810485"/>
        <bgColor indexed="31"/>
      </patternFill>
    </fill>
  </fills>
  <borders count="35">
    <border>
      <left/>
      <right/>
      <top/>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55"/>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s>
  <cellStyleXfs count="55">
    <xf numFmtId="0" fontId="0" fillId="0" borderId="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11" fillId="4" borderId="0" applyNumberFormat="0" applyBorder="0" applyAlignment="0" applyProtection="0"/>
    <xf numFmtId="0" fontId="15" fillId="7" borderId="23" applyNumberFormat="0" applyAlignment="0" applyProtection="0"/>
    <xf numFmtId="0" fontId="4" fillId="2" borderId="19" applyNumberFormat="0" applyAlignment="0" applyProtection="0"/>
    <xf numFmtId="43" fontId="3" fillId="0" borderId="0" applyFont="0" applyFill="0" applyBorder="0" applyAlignment="0" applyProtection="0"/>
    <xf numFmtId="0" fontId="18" fillId="0" borderId="0" applyNumberFormat="0" applyFill="0" applyBorder="0" applyAlignment="0" applyProtection="0"/>
    <xf numFmtId="0" fontId="10" fillId="3" borderId="0" applyNumberFormat="0" applyBorder="0" applyAlignment="0" applyProtection="0"/>
    <xf numFmtId="0" fontId="7" fillId="0" borderId="20" applyNumberFormat="0" applyFill="0" applyAlignment="0" applyProtection="0"/>
    <xf numFmtId="0" fontId="8" fillId="0" borderId="21" applyNumberFormat="0" applyFill="0" applyAlignment="0" applyProtection="0"/>
    <xf numFmtId="0" fontId="9" fillId="0" borderId="22" applyNumberFormat="0" applyFill="0" applyAlignment="0" applyProtection="0"/>
    <xf numFmtId="0" fontId="9" fillId="0" borderId="0" applyNumberFormat="0" applyFill="0" applyBorder="0" applyAlignment="0" applyProtection="0"/>
    <xf numFmtId="0" fontId="5" fillId="0" borderId="0" applyNumberFormat="0" applyFill="0" applyBorder="0" applyAlignment="0" applyProtection="0"/>
    <xf numFmtId="0" fontId="13" fillId="6" borderId="23" applyNumberFormat="0" applyAlignment="0" applyProtection="0"/>
    <xf numFmtId="0" fontId="16" fillId="0" borderId="25" applyNumberFormat="0" applyFill="0" applyAlignment="0" applyProtection="0"/>
    <xf numFmtId="0" fontId="12" fillId="5" borderId="0" applyNumberFormat="0" applyBorder="0" applyAlignment="0" applyProtection="0"/>
    <xf numFmtId="0" fontId="14" fillId="7" borderId="24" applyNumberFormat="0" applyAlignment="0" applyProtection="0"/>
    <xf numFmtId="9" fontId="2" fillId="0" borderId="0" applyFont="0" applyFill="0" applyBorder="0" applyAlignment="0" applyProtection="0"/>
    <xf numFmtId="0" fontId="6" fillId="0" borderId="0" applyNumberFormat="0" applyFill="0" applyBorder="0" applyAlignment="0" applyProtection="0"/>
    <xf numFmtId="0" fontId="19" fillId="0" borderId="26" applyNumberFormat="0" applyFill="0" applyAlignment="0" applyProtection="0"/>
    <xf numFmtId="0" fontId="17" fillId="0" borderId="0" applyNumberFormat="0" applyFill="0" applyBorder="0" applyAlignment="0" applyProtection="0"/>
    <xf numFmtId="0" fontId="33" fillId="0" borderId="0" applyNumberFormat="0" applyFill="0" applyBorder="0" applyProtection="0">
      <alignment vertical="center" wrapText="1"/>
    </xf>
    <xf numFmtId="0" fontId="35" fillId="0" borderId="0" applyNumberFormat="0" applyFill="0" applyBorder="0" applyAlignment="0" applyProtection="0"/>
    <xf numFmtId="0" fontId="36" fillId="0" borderId="0" applyNumberFormat="0" applyFill="0" applyBorder="0" applyAlignment="0" applyProtection="0"/>
    <xf numFmtId="0" fontId="23" fillId="0" borderId="0" applyNumberFormat="0" applyFill="0" applyBorder="0" applyAlignment="0" applyProtection="0"/>
    <xf numFmtId="0" fontId="49" fillId="0" borderId="0" applyNumberFormat="0" applyFill="0" applyBorder="0" applyProtection="0">
      <alignment horizontal="center" vertical="center"/>
    </xf>
    <xf numFmtId="0" fontId="46" fillId="0" borderId="0" applyNumberFormat="0" applyFill="0" applyBorder="0" applyAlignment="0" applyProtection="0">
      <alignment vertical="center"/>
    </xf>
    <xf numFmtId="0" fontId="23" fillId="0" borderId="0" applyNumberFormat="0" applyFill="0" applyBorder="0" applyAlignment="0" applyProtection="0"/>
    <xf numFmtId="0" fontId="43" fillId="0" borderId="0" applyNumberFormat="0" applyFill="0" applyBorder="0" applyAlignment="0" applyProtection="0">
      <alignment horizontal="center" vertical="center" wrapText="1"/>
    </xf>
    <xf numFmtId="0" fontId="45" fillId="0" borderId="0" applyNumberFormat="0" applyFill="0" applyBorder="0" applyProtection="0">
      <alignment vertical="center" wrapText="1"/>
    </xf>
    <xf numFmtId="0" fontId="47" fillId="0" borderId="0" applyNumberFormat="0" applyFill="0" applyBorder="0" applyAlignment="0" applyProtection="0">
      <alignment vertical="center" wrapText="1"/>
    </xf>
    <xf numFmtId="0" fontId="48" fillId="0" borderId="0" applyNumberFormat="0" applyFill="0" applyBorder="0" applyAlignment="0" applyProtection="0">
      <alignment wrapText="1"/>
    </xf>
  </cellStyleXfs>
  <cellXfs count="854">
    <xf numFmtId="0" fontId="0" fillId="0" borderId="0" xfId="0"/>
    <xf numFmtId="0" fontId="0" fillId="0" borderId="0" xfId="0" applyFont="1"/>
    <xf numFmtId="0" fontId="0" fillId="0" borderId="0" xfId="0" applyFont="1" applyAlignment="1">
      <alignment horizontal="center" vertical="center"/>
    </xf>
    <xf numFmtId="0" fontId="0" fillId="0" borderId="0" xfId="0" applyFont="1" applyAlignment="1">
      <alignment vertical="center"/>
    </xf>
    <xf numFmtId="0" fontId="22" fillId="0" borderId="0" xfId="0" applyFont="1"/>
    <xf numFmtId="0" fontId="22" fillId="0" borderId="0" xfId="0" applyFont="1" applyAlignment="1">
      <alignment horizontal="center"/>
    </xf>
    <xf numFmtId="0" fontId="22" fillId="0" borderId="0" xfId="0" applyFont="1" applyAlignment="1">
      <alignment horizontal="center" vertical="center"/>
    </xf>
    <xf numFmtId="0" fontId="24" fillId="0" borderId="0" xfId="0" applyFont="1"/>
    <xf numFmtId="0" fontId="22" fillId="0" borderId="0" xfId="0" applyFont="1" applyAlignment="1">
      <alignment vertical="center"/>
    </xf>
    <xf numFmtId="0" fontId="22" fillId="0" borderId="0" xfId="0" applyFont="1" applyAlignment="1">
      <alignment vertical="center" wrapText="1"/>
    </xf>
    <xf numFmtId="0" fontId="25" fillId="0" borderId="0" xfId="0" applyFont="1"/>
    <xf numFmtId="0" fontId="21" fillId="0" borderId="0" xfId="0" applyFont="1"/>
    <xf numFmtId="0" fontId="22" fillId="0" borderId="0" xfId="0" applyFont="1" applyBorder="1"/>
    <xf numFmtId="0" fontId="22" fillId="0" borderId="0" xfId="0" applyFont="1" applyAlignment="1">
      <alignment horizontal="left" vertical="center" wrapText="1"/>
    </xf>
    <xf numFmtId="0" fontId="22" fillId="0" borderId="0" xfId="0" applyFont="1" applyFill="1"/>
    <xf numFmtId="0" fontId="22" fillId="0" borderId="0" xfId="0" applyFont="1" applyAlignment="1"/>
    <xf numFmtId="0" fontId="23" fillId="0" borderId="0" xfId="0" applyFont="1"/>
    <xf numFmtId="3" fontId="22" fillId="0" borderId="0" xfId="0" applyNumberFormat="1" applyFont="1"/>
    <xf numFmtId="0" fontId="23" fillId="0" borderId="0" xfId="0" applyFont="1" applyAlignment="1"/>
    <xf numFmtId="0" fontId="29" fillId="0" borderId="0" xfId="0" applyFont="1"/>
    <xf numFmtId="3" fontId="21" fillId="0" borderId="3" xfId="0" applyNumberFormat="1" applyFont="1" applyFill="1" applyBorder="1" applyAlignment="1">
      <alignment horizontal="center" vertical="center" wrapText="1"/>
    </xf>
    <xf numFmtId="3" fontId="23" fillId="0" borderId="0" xfId="0" applyNumberFormat="1" applyFont="1"/>
    <xf numFmtId="0" fontId="23" fillId="0" borderId="0" xfId="0" applyFont="1" applyBorder="1"/>
    <xf numFmtId="0" fontId="22" fillId="0" borderId="0" xfId="0" applyFont="1" applyAlignment="1">
      <alignment vertical="top"/>
    </xf>
    <xf numFmtId="0" fontId="23" fillId="0" borderId="0" xfId="0" applyFont="1" applyAlignment="1">
      <alignment wrapText="1"/>
    </xf>
    <xf numFmtId="0" fontId="23" fillId="0" borderId="8" xfId="0" applyFont="1" applyBorder="1"/>
    <xf numFmtId="0" fontId="21" fillId="0" borderId="0" xfId="0" applyFont="1" applyBorder="1"/>
    <xf numFmtId="0" fontId="23" fillId="0" borderId="7" xfId="0" applyFont="1" applyBorder="1"/>
    <xf numFmtId="0" fontId="23" fillId="0" borderId="0" xfId="0" applyFont="1" applyFill="1"/>
    <xf numFmtId="0" fontId="21" fillId="34" borderId="3" xfId="0" applyFont="1" applyFill="1" applyBorder="1" applyAlignment="1">
      <alignment horizontal="center" vertical="center" wrapText="1"/>
    </xf>
    <xf numFmtId="0" fontId="23" fillId="0" borderId="0" xfId="0" applyFont="1" applyAlignment="1">
      <alignment horizontal="center"/>
    </xf>
    <xf numFmtId="0" fontId="21" fillId="34" borderId="3" xfId="0" applyFont="1" applyFill="1" applyBorder="1" applyAlignment="1">
      <alignment horizontal="left" vertical="center" wrapText="1"/>
    </xf>
    <xf numFmtId="0" fontId="21" fillId="0" borderId="0" xfId="0" applyFont="1" applyFill="1"/>
    <xf numFmtId="0" fontId="21" fillId="0" borderId="0" xfId="0" applyFont="1" applyFill="1" applyBorder="1" applyAlignment="1">
      <alignment horizontal="center"/>
    </xf>
    <xf numFmtId="0" fontId="21" fillId="0" borderId="0" xfId="0" applyFont="1" applyFill="1" applyBorder="1" applyAlignment="1">
      <alignment horizontal="center" wrapText="1"/>
    </xf>
    <xf numFmtId="3" fontId="21" fillId="0" borderId="0" xfId="0" applyNumberFormat="1" applyFont="1" applyFill="1" applyBorder="1" applyAlignment="1">
      <alignment horizontal="center"/>
    </xf>
    <xf numFmtId="0" fontId="23" fillId="0" borderId="0" xfId="0" applyFont="1" applyFill="1" applyBorder="1" applyAlignment="1">
      <alignment vertical="center" wrapText="1"/>
    </xf>
    <xf numFmtId="0" fontId="23" fillId="0" borderId="0" xfId="0" applyFont="1" applyAlignment="1">
      <alignment vertical="center"/>
    </xf>
    <xf numFmtId="0" fontId="22" fillId="0" borderId="0" xfId="0" applyFont="1" applyFill="1" applyAlignment="1"/>
    <xf numFmtId="3" fontId="22" fillId="0" borderId="0" xfId="0" applyNumberFormat="1" applyFont="1" applyAlignment="1">
      <alignment horizontal="center" vertical="center"/>
    </xf>
    <xf numFmtId="1" fontId="21" fillId="0" borderId="0" xfId="40" applyNumberFormat="1" applyFont="1" applyFill="1" applyBorder="1" applyAlignment="1">
      <alignment horizontal="center"/>
    </xf>
    <xf numFmtId="0" fontId="23" fillId="0" borderId="0" xfId="0" applyFont="1" applyFill="1" applyAlignment="1"/>
    <xf numFmtId="3" fontId="21" fillId="34" borderId="3" xfId="0" applyNumberFormat="1" applyFont="1" applyFill="1" applyBorder="1" applyAlignment="1">
      <alignment horizontal="center" vertical="center" wrapText="1"/>
    </xf>
    <xf numFmtId="0" fontId="23" fillId="34" borderId="3" xfId="0" applyFont="1" applyFill="1" applyBorder="1" applyAlignment="1">
      <alignment horizontal="center" vertical="center"/>
    </xf>
    <xf numFmtId="0" fontId="21" fillId="34" borderId="11" xfId="0" applyFont="1" applyFill="1" applyBorder="1" applyAlignment="1">
      <alignment horizontal="center" vertical="center"/>
    </xf>
    <xf numFmtId="0" fontId="21" fillId="34" borderId="11" xfId="0" applyFont="1" applyFill="1" applyBorder="1" applyAlignment="1">
      <alignment horizontal="center" vertical="center" wrapText="1"/>
    </xf>
    <xf numFmtId="3" fontId="23" fillId="0" borderId="10" xfId="0" applyNumberFormat="1" applyFont="1" applyBorder="1" applyAlignment="1">
      <alignment horizontal="center" vertical="center" wrapText="1"/>
    </xf>
    <xf numFmtId="3" fontId="23" fillId="0" borderId="1" xfId="0" applyNumberFormat="1" applyFont="1" applyBorder="1" applyAlignment="1">
      <alignment horizontal="center" vertical="center" wrapText="1"/>
    </xf>
    <xf numFmtId="3" fontId="23" fillId="0" borderId="1" xfId="0" applyNumberFormat="1" applyFont="1" applyBorder="1" applyAlignment="1">
      <alignment horizontal="center" vertical="center"/>
    </xf>
    <xf numFmtId="3" fontId="21" fillId="34" borderId="1" xfId="0" applyNumberFormat="1" applyFont="1" applyFill="1" applyBorder="1" applyAlignment="1">
      <alignment horizontal="center" vertical="center"/>
    </xf>
    <xf numFmtId="3" fontId="21" fillId="0" borderId="2" xfId="0" applyNumberFormat="1" applyFont="1" applyFill="1" applyBorder="1" applyAlignment="1">
      <alignment horizontal="center" vertical="center" wrapText="1"/>
    </xf>
    <xf numFmtId="3" fontId="21" fillId="34" borderId="2" xfId="0" applyNumberFormat="1" applyFont="1" applyFill="1" applyBorder="1" applyAlignment="1">
      <alignment horizontal="center" vertical="center" wrapText="1"/>
    </xf>
    <xf numFmtId="0" fontId="23" fillId="0" borderId="0" xfId="0" applyFont="1" applyAlignment="1">
      <alignment horizontal="center" vertical="center"/>
    </xf>
    <xf numFmtId="0" fontId="21" fillId="0" borderId="0" xfId="0" applyFont="1" applyAlignment="1">
      <alignment horizontal="center" vertical="center"/>
    </xf>
    <xf numFmtId="3" fontId="32" fillId="0" borderId="0" xfId="0" applyNumberFormat="1" applyFont="1"/>
    <xf numFmtId="0" fontId="32" fillId="0" borderId="0" xfId="0" applyFont="1"/>
    <xf numFmtId="0" fontId="23" fillId="0" borderId="0" xfId="0" applyFont="1" applyAlignment="1">
      <alignment horizontal="left" vertical="center"/>
    </xf>
    <xf numFmtId="0" fontId="23" fillId="0" borderId="0" xfId="0" applyFont="1" applyAlignment="1">
      <alignment horizontal="left"/>
    </xf>
    <xf numFmtId="164" fontId="23" fillId="0" borderId="0" xfId="0" applyNumberFormat="1" applyFont="1" applyAlignment="1">
      <alignment horizontal="left"/>
    </xf>
    <xf numFmtId="164" fontId="25" fillId="0" borderId="0" xfId="0" applyNumberFormat="1" applyFont="1" applyAlignment="1">
      <alignment horizontal="right"/>
    </xf>
    <xf numFmtId="0" fontId="23" fillId="34" borderId="4" xfId="0" applyFont="1" applyFill="1" applyBorder="1" applyAlignment="1">
      <alignment horizontal="left" vertical="center" wrapText="1"/>
    </xf>
    <xf numFmtId="0" fontId="23" fillId="34" borderId="5" xfId="0" applyFont="1" applyFill="1" applyBorder="1" applyAlignment="1">
      <alignment horizontal="left" vertical="center" wrapText="1"/>
    </xf>
    <xf numFmtId="3" fontId="23" fillId="0" borderId="0" xfId="0" applyNumberFormat="1" applyFont="1" applyAlignment="1">
      <alignment horizontal="center" vertical="center"/>
    </xf>
    <xf numFmtId="0" fontId="33" fillId="0" borderId="0" xfId="44">
      <alignment vertical="center" wrapText="1"/>
    </xf>
    <xf numFmtId="0" fontId="33" fillId="0" borderId="0" xfId="44" applyAlignment="1">
      <alignment horizontal="center" vertical="center" wrapText="1"/>
    </xf>
    <xf numFmtId="0" fontId="0" fillId="0" borderId="0" xfId="0" applyAlignment="1">
      <alignment horizontal="center"/>
    </xf>
    <xf numFmtId="166" fontId="33" fillId="0" borderId="0" xfId="44" applyNumberFormat="1" applyAlignment="1">
      <alignment horizontal="right" vertical="center" wrapText="1"/>
    </xf>
    <xf numFmtId="166" fontId="0" fillId="0" borderId="0" xfId="0" applyNumberFormat="1" applyAlignment="1">
      <alignment horizontal="right"/>
    </xf>
    <xf numFmtId="14" fontId="33" fillId="0" borderId="0" xfId="44" applyNumberFormat="1" applyAlignment="1">
      <alignment horizontal="center" vertical="center" wrapText="1"/>
    </xf>
    <xf numFmtId="14" fontId="0" fillId="0" borderId="0" xfId="0" applyNumberFormat="1" applyAlignment="1">
      <alignment horizontal="center"/>
    </xf>
    <xf numFmtId="0" fontId="33" fillId="0" borderId="0" xfId="44" applyAlignment="1">
      <alignment horizontal="left" vertical="center" wrapText="1"/>
    </xf>
    <xf numFmtId="0" fontId="0" fillId="0" borderId="0" xfId="0" applyAlignment="1">
      <alignment horizontal="left"/>
    </xf>
    <xf numFmtId="3" fontId="33" fillId="0" borderId="0" xfId="44" applyNumberFormat="1" applyAlignment="1">
      <alignment horizontal="right" vertical="center" wrapText="1"/>
    </xf>
    <xf numFmtId="3" fontId="0" fillId="0" borderId="0" xfId="0" applyNumberFormat="1" applyAlignment="1">
      <alignment horizontal="right"/>
    </xf>
    <xf numFmtId="3" fontId="0" fillId="0" borderId="0" xfId="0" applyNumberFormat="1"/>
    <xf numFmtId="165" fontId="33" fillId="0" borderId="0" xfId="44" applyNumberFormat="1" applyAlignment="1">
      <alignment horizontal="right" vertical="center" wrapText="1"/>
    </xf>
    <xf numFmtId="165" fontId="0" fillId="0" borderId="0" xfId="0" applyNumberFormat="1" applyAlignment="1">
      <alignment horizontal="right"/>
    </xf>
    <xf numFmtId="0" fontId="0" fillId="0" borderId="0" xfId="0" pivotButton="1"/>
    <xf numFmtId="0" fontId="21" fillId="0" borderId="0" xfId="0" applyFont="1"/>
    <xf numFmtId="0" fontId="21" fillId="34" borderId="13" xfId="0" applyFont="1" applyFill="1" applyBorder="1" applyAlignment="1">
      <alignment horizontal="left" vertical="center" wrapText="1"/>
    </xf>
    <xf numFmtId="3" fontId="23" fillId="0" borderId="14" xfId="0" applyNumberFormat="1" applyFont="1" applyBorder="1" applyAlignment="1">
      <alignment horizontal="right" vertical="center" wrapText="1"/>
    </xf>
    <xf numFmtId="3" fontId="23" fillId="0" borderId="15" xfId="0" applyNumberFormat="1" applyFont="1" applyBorder="1" applyAlignment="1">
      <alignment horizontal="right" vertical="center" wrapText="1"/>
    </xf>
    <xf numFmtId="0" fontId="21" fillId="34" borderId="13" xfId="0" applyFont="1" applyFill="1" applyBorder="1" applyAlignment="1">
      <alignment horizontal="left" vertical="center" wrapText="1"/>
    </xf>
    <xf numFmtId="0" fontId="23" fillId="34" borderId="0" xfId="0" applyFont="1" applyFill="1" applyBorder="1" applyAlignment="1">
      <alignment horizontal="left" vertical="center" wrapText="1"/>
    </xf>
    <xf numFmtId="3" fontId="23" fillId="0" borderId="0" xfId="0" applyNumberFormat="1" applyFont="1" applyBorder="1" applyAlignment="1">
      <alignment horizontal="right" vertical="center" wrapText="1"/>
    </xf>
    <xf numFmtId="0" fontId="21" fillId="34" borderId="13" xfId="0" applyFont="1" applyFill="1" applyBorder="1" applyAlignment="1">
      <alignment horizontal="right" vertical="center" wrapText="1"/>
    </xf>
    <xf numFmtId="0" fontId="21" fillId="34" borderId="11" xfId="0" applyFont="1" applyFill="1" applyBorder="1" applyAlignment="1">
      <alignment horizontal="right" vertical="center" wrapText="1"/>
    </xf>
    <xf numFmtId="3" fontId="23" fillId="0" borderId="16" xfId="0" applyNumberFormat="1" applyFont="1" applyBorder="1" applyAlignment="1">
      <alignment horizontal="right" vertical="center" wrapText="1"/>
    </xf>
    <xf numFmtId="9" fontId="23" fillId="0" borderId="16" xfId="40" applyFont="1" applyBorder="1" applyAlignment="1">
      <alignment horizontal="right" vertical="center" wrapText="1"/>
    </xf>
    <xf numFmtId="0" fontId="21" fillId="34" borderId="12" xfId="0" applyFont="1" applyFill="1" applyBorder="1" applyAlignment="1">
      <alignment horizontal="right" vertical="center" wrapText="1"/>
    </xf>
    <xf numFmtId="3" fontId="23" fillId="0" borderId="9" xfId="0" applyNumberFormat="1" applyFont="1" applyBorder="1" applyAlignment="1">
      <alignment horizontal="right" vertical="center" wrapText="1"/>
    </xf>
    <xf numFmtId="0" fontId="23" fillId="34" borderId="8" xfId="0" applyFont="1" applyFill="1" applyBorder="1" applyAlignment="1">
      <alignment horizontal="left" vertical="center" wrapText="1"/>
    </xf>
    <xf numFmtId="3" fontId="23" fillId="0" borderId="8" xfId="0" applyNumberFormat="1" applyFont="1" applyBorder="1" applyAlignment="1">
      <alignment horizontal="right" vertical="center" wrapText="1"/>
    </xf>
    <xf numFmtId="9" fontId="23" fillId="0" borderId="15" xfId="40" applyFont="1" applyBorder="1" applyAlignment="1">
      <alignment horizontal="right" vertical="center" wrapText="1"/>
    </xf>
    <xf numFmtId="3" fontId="21" fillId="0" borderId="17" xfId="0" applyNumberFormat="1" applyFont="1" applyFill="1" applyBorder="1" applyAlignment="1">
      <alignment horizontal="right" vertical="center" wrapText="1"/>
    </xf>
    <xf numFmtId="3" fontId="21" fillId="0" borderId="7" xfId="0" applyNumberFormat="1" applyFont="1" applyFill="1" applyBorder="1" applyAlignment="1">
      <alignment horizontal="right" vertical="center" wrapText="1"/>
    </xf>
    <xf numFmtId="3" fontId="21" fillId="0" borderId="18" xfId="0" applyNumberFormat="1" applyFont="1" applyFill="1" applyBorder="1" applyAlignment="1">
      <alignment horizontal="right" vertical="center" wrapText="1"/>
    </xf>
    <xf numFmtId="9" fontId="21" fillId="0" borderId="18" xfId="40" applyFont="1" applyFill="1" applyBorder="1" applyAlignment="1">
      <alignment horizontal="right" vertical="center" wrapText="1"/>
    </xf>
    <xf numFmtId="3" fontId="21" fillId="0" borderId="13" xfId="0" applyNumberFormat="1" applyFont="1" applyFill="1" applyBorder="1" applyAlignment="1">
      <alignment horizontal="right" vertical="center" wrapText="1"/>
    </xf>
    <xf numFmtId="9" fontId="21" fillId="0" borderId="11" xfId="40" applyFont="1" applyFill="1" applyBorder="1" applyAlignment="1">
      <alignment horizontal="right" vertical="center" wrapText="1"/>
    </xf>
    <xf numFmtId="3" fontId="23" fillId="0" borderId="8" xfId="0" applyNumberFormat="1" applyFont="1" applyFill="1" applyBorder="1" applyAlignment="1">
      <alignment horizontal="right" vertical="center" wrapText="1"/>
    </xf>
    <xf numFmtId="3" fontId="23" fillId="0" borderId="0" xfId="0" applyNumberFormat="1" applyFont="1" applyFill="1" applyBorder="1" applyAlignment="1">
      <alignment horizontal="right" vertical="center" wrapText="1"/>
    </xf>
    <xf numFmtId="3" fontId="21" fillId="0" borderId="12" xfId="0" applyNumberFormat="1" applyFont="1" applyFill="1" applyBorder="1" applyAlignment="1">
      <alignment horizontal="right" vertical="center" wrapText="1"/>
    </xf>
    <xf numFmtId="3" fontId="21" fillId="0" borderId="11" xfId="0" applyNumberFormat="1" applyFont="1" applyFill="1" applyBorder="1" applyAlignment="1">
      <alignment horizontal="right" vertical="center" wrapText="1"/>
    </xf>
    <xf numFmtId="3" fontId="23" fillId="0" borderId="14" xfId="0" applyNumberFormat="1" applyFont="1" applyFill="1" applyBorder="1" applyAlignment="1">
      <alignment horizontal="right" vertical="center" wrapText="1"/>
    </xf>
    <xf numFmtId="3" fontId="23" fillId="0" borderId="15" xfId="0" applyNumberFormat="1" applyFont="1" applyFill="1" applyBorder="1" applyAlignment="1">
      <alignment horizontal="right" vertical="center" wrapText="1"/>
    </xf>
    <xf numFmtId="9" fontId="23" fillId="0" borderId="15" xfId="40" applyFont="1" applyFill="1" applyBorder="1" applyAlignment="1">
      <alignment horizontal="right" vertical="center" wrapText="1"/>
    </xf>
    <xf numFmtId="3" fontId="23" fillId="0" borderId="9" xfId="0" applyNumberFormat="1" applyFont="1" applyFill="1" applyBorder="1" applyAlignment="1">
      <alignment horizontal="right" vertical="center" wrapText="1"/>
    </xf>
    <xf numFmtId="3" fontId="23" fillId="0" borderId="16" xfId="0" applyNumberFormat="1" applyFont="1" applyFill="1" applyBorder="1" applyAlignment="1">
      <alignment horizontal="right" vertical="center" wrapText="1"/>
    </xf>
    <xf numFmtId="9" fontId="23" fillId="0" borderId="16" xfId="40" applyFont="1" applyFill="1" applyBorder="1" applyAlignment="1">
      <alignment horizontal="right" vertical="center" wrapText="1"/>
    </xf>
    <xf numFmtId="3" fontId="23" fillId="0" borderId="17" xfId="0" applyNumberFormat="1" applyFont="1" applyFill="1" applyBorder="1" applyAlignment="1">
      <alignment horizontal="right" vertical="center" wrapText="1"/>
    </xf>
    <xf numFmtId="3" fontId="23" fillId="0" borderId="7" xfId="0" applyNumberFormat="1" applyFont="1" applyFill="1" applyBorder="1" applyAlignment="1">
      <alignment horizontal="right" vertical="center" wrapText="1"/>
    </xf>
    <xf numFmtId="3" fontId="23" fillId="0" borderId="18" xfId="0" applyNumberFormat="1" applyFont="1" applyFill="1" applyBorder="1" applyAlignment="1">
      <alignment horizontal="right" vertical="center" wrapText="1"/>
    </xf>
    <xf numFmtId="0" fontId="24" fillId="34" borderId="11" xfId="0" applyFont="1" applyFill="1" applyBorder="1" applyAlignment="1">
      <alignment horizontal="left" vertical="center"/>
    </xf>
    <xf numFmtId="0" fontId="24" fillId="34" borderId="11" xfId="0" applyFont="1" applyFill="1" applyBorder="1" applyAlignment="1">
      <alignment horizontal="left" vertical="center" wrapText="1"/>
    </xf>
    <xf numFmtId="3" fontId="23" fillId="0" borderId="14" xfId="0" applyNumberFormat="1" applyFont="1" applyBorder="1" applyAlignment="1">
      <alignment horizontal="right" vertical="center"/>
    </xf>
    <xf numFmtId="3" fontId="23" fillId="0" borderId="8" xfId="0" applyNumberFormat="1" applyFont="1" applyBorder="1" applyAlignment="1">
      <alignment horizontal="right" vertical="center"/>
    </xf>
    <xf numFmtId="3" fontId="23" fillId="0" borderId="15" xfId="0" applyNumberFormat="1" applyFont="1" applyBorder="1" applyAlignment="1">
      <alignment horizontal="right" vertical="center"/>
    </xf>
    <xf numFmtId="3" fontId="23" fillId="0" borderId="17" xfId="0" applyNumberFormat="1" applyFont="1" applyBorder="1" applyAlignment="1">
      <alignment horizontal="right" vertical="center"/>
    </xf>
    <xf numFmtId="3" fontId="23" fillId="0" borderId="7" xfId="0" applyNumberFormat="1" applyFont="1" applyBorder="1" applyAlignment="1">
      <alignment horizontal="right" vertical="center"/>
    </xf>
    <xf numFmtId="3" fontId="23" fillId="0" borderId="18" xfId="0" applyNumberFormat="1" applyFont="1" applyBorder="1" applyAlignment="1">
      <alignment horizontal="right" vertical="center"/>
    </xf>
    <xf numFmtId="164" fontId="23" fillId="0" borderId="17" xfId="28" applyNumberFormat="1" applyFont="1" applyBorder="1" applyAlignment="1">
      <alignment horizontal="right" vertical="center" wrapText="1"/>
    </xf>
    <xf numFmtId="164" fontId="23" fillId="0" borderId="7" xfId="28" applyNumberFormat="1" applyFont="1" applyBorder="1" applyAlignment="1">
      <alignment horizontal="right" vertical="center"/>
    </xf>
    <xf numFmtId="3" fontId="23" fillId="0" borderId="12" xfId="0" applyNumberFormat="1" applyFont="1" applyBorder="1" applyAlignment="1">
      <alignment horizontal="right" vertical="center"/>
    </xf>
    <xf numFmtId="3" fontId="23" fillId="0" borderId="11" xfId="0" applyNumberFormat="1" applyFont="1" applyBorder="1" applyAlignment="1">
      <alignment horizontal="right" vertical="center"/>
    </xf>
    <xf numFmtId="0" fontId="22" fillId="34" borderId="18" xfId="0" applyFont="1" applyFill="1" applyBorder="1" applyAlignment="1">
      <alignment horizontal="left" vertical="center"/>
    </xf>
    <xf numFmtId="0" fontId="22" fillId="34" borderId="16" xfId="0" applyFont="1" applyFill="1" applyBorder="1" applyAlignment="1">
      <alignment horizontal="left" vertical="center"/>
    </xf>
    <xf numFmtId="3" fontId="23" fillId="0" borderId="9" xfId="0" applyNumberFormat="1" applyFont="1" applyBorder="1" applyAlignment="1">
      <alignment horizontal="right" vertical="center"/>
    </xf>
    <xf numFmtId="3" fontId="23" fillId="0" borderId="0" xfId="0" applyNumberFormat="1" applyFont="1" applyBorder="1" applyAlignment="1">
      <alignment horizontal="right" vertical="center"/>
    </xf>
    <xf numFmtId="3" fontId="23" fillId="0" borderId="16" xfId="0" applyNumberFormat="1" applyFont="1" applyBorder="1" applyAlignment="1">
      <alignment horizontal="right" vertical="center"/>
    </xf>
    <xf numFmtId="164" fontId="23" fillId="0" borderId="9" xfId="28" applyNumberFormat="1" applyFont="1" applyBorder="1" applyAlignment="1">
      <alignment horizontal="right" vertical="center" wrapText="1"/>
    </xf>
    <xf numFmtId="164" fontId="23" fillId="0" borderId="0" xfId="28" applyNumberFormat="1" applyFont="1" applyBorder="1" applyAlignment="1">
      <alignment horizontal="right" vertical="center"/>
    </xf>
    <xf numFmtId="0" fontId="22" fillId="34" borderId="16" xfId="0" applyFont="1" applyFill="1" applyBorder="1" applyAlignment="1">
      <alignment horizontal="left" vertical="center" wrapText="1"/>
    </xf>
    <xf numFmtId="0" fontId="22" fillId="34" borderId="18" xfId="0" applyFont="1" applyFill="1" applyBorder="1" applyAlignment="1">
      <alignment horizontal="left" vertical="center" wrapText="1"/>
    </xf>
    <xf numFmtId="3" fontId="21" fillId="0" borderId="12" xfId="0" applyNumberFormat="1" applyFont="1" applyBorder="1" applyAlignment="1">
      <alignment horizontal="right" vertical="center"/>
    </xf>
    <xf numFmtId="3" fontId="21" fillId="0" borderId="13" xfId="0" applyNumberFormat="1" applyFont="1" applyBorder="1" applyAlignment="1">
      <alignment horizontal="right" vertical="center"/>
    </xf>
    <xf numFmtId="3" fontId="21" fillId="0" borderId="11" xfId="0" applyNumberFormat="1" applyFont="1" applyBorder="1" applyAlignment="1">
      <alignment horizontal="right" vertical="center"/>
    </xf>
    <xf numFmtId="164" fontId="21" fillId="0" borderId="12" xfId="28" applyNumberFormat="1" applyFont="1" applyBorder="1" applyAlignment="1">
      <alignment horizontal="right" vertical="center" wrapText="1"/>
    </xf>
    <xf numFmtId="164" fontId="21" fillId="0" borderId="13" xfId="28" applyNumberFormat="1" applyFont="1" applyBorder="1" applyAlignment="1">
      <alignment horizontal="right" vertical="center"/>
    </xf>
    <xf numFmtId="0" fontId="24" fillId="34" borderId="13" xfId="0" applyFont="1" applyFill="1" applyBorder="1" applyAlignment="1">
      <alignment horizontal="left" vertical="center" wrapText="1"/>
    </xf>
    <xf numFmtId="0" fontId="36" fillId="0" borderId="0" xfId="46" applyAlignment="1">
      <alignment horizontal="left" vertical="center"/>
    </xf>
    <xf numFmtId="3" fontId="21" fillId="0" borderId="12" xfId="0" applyNumberFormat="1" applyFont="1" applyFill="1" applyBorder="1" applyAlignment="1">
      <alignment horizontal="right" vertical="center"/>
    </xf>
    <xf numFmtId="3" fontId="21" fillId="0" borderId="13" xfId="0" applyNumberFormat="1" applyFont="1" applyFill="1" applyBorder="1" applyAlignment="1">
      <alignment horizontal="right" vertical="center"/>
    </xf>
    <xf numFmtId="3" fontId="21" fillId="0" borderId="11" xfId="0" applyNumberFormat="1" applyFont="1" applyFill="1" applyBorder="1" applyAlignment="1">
      <alignment horizontal="right" vertical="center"/>
    </xf>
    <xf numFmtId="164" fontId="21" fillId="0" borderId="12" xfId="28" applyNumberFormat="1" applyFont="1" applyFill="1" applyBorder="1" applyAlignment="1">
      <alignment horizontal="right" vertical="center" wrapText="1"/>
    </xf>
    <xf numFmtId="164" fontId="21" fillId="0" borderId="13" xfId="28" applyNumberFormat="1" applyFont="1" applyFill="1" applyBorder="1" applyAlignment="1">
      <alignment horizontal="right" vertical="center"/>
    </xf>
    <xf numFmtId="164" fontId="21" fillId="0" borderId="13" xfId="28" applyNumberFormat="1" applyFont="1" applyFill="1" applyBorder="1" applyAlignment="1">
      <alignment horizontal="right" vertical="center" wrapText="1"/>
    </xf>
    <xf numFmtId="0" fontId="21" fillId="34" borderId="4" xfId="0" applyFont="1" applyFill="1" applyBorder="1" applyAlignment="1">
      <alignment horizontal="left" vertical="center" wrapText="1"/>
    </xf>
    <xf numFmtId="3" fontId="23" fillId="0" borderId="12" xfId="0" applyNumberFormat="1" applyFont="1" applyBorder="1" applyAlignment="1">
      <alignment horizontal="right" vertical="center" wrapText="1"/>
    </xf>
    <xf numFmtId="3" fontId="23" fillId="0" borderId="11" xfId="0" applyNumberFormat="1" applyFont="1" applyBorder="1" applyAlignment="1">
      <alignment horizontal="right" vertical="center" wrapText="1"/>
    </xf>
    <xf numFmtId="3" fontId="21" fillId="34" borderId="9" xfId="0" applyNumberFormat="1" applyFont="1" applyFill="1" applyBorder="1" applyAlignment="1">
      <alignment horizontal="right" vertical="center"/>
    </xf>
    <xf numFmtId="3" fontId="23" fillId="0" borderId="17" xfId="0" applyNumberFormat="1" applyFont="1" applyBorder="1" applyAlignment="1">
      <alignment horizontal="right" vertical="center" wrapText="1"/>
    </xf>
    <xf numFmtId="3" fontId="23" fillId="0" borderId="18" xfId="0" applyNumberFormat="1" applyFont="1" applyBorder="1" applyAlignment="1">
      <alignment horizontal="right" vertical="center" wrapText="1"/>
    </xf>
    <xf numFmtId="3" fontId="21" fillId="34" borderId="17" xfId="0" applyNumberFormat="1" applyFont="1" applyFill="1" applyBorder="1" applyAlignment="1">
      <alignment horizontal="right" vertical="center"/>
    </xf>
    <xf numFmtId="0" fontId="23" fillId="34" borderId="6" xfId="0" applyFont="1" applyFill="1" applyBorder="1" applyAlignment="1">
      <alignment horizontal="left" vertical="center" wrapText="1"/>
    </xf>
    <xf numFmtId="0" fontId="21" fillId="34" borderId="13" xfId="0" applyFont="1" applyFill="1" applyBorder="1" applyAlignment="1">
      <alignment horizontal="right" vertical="center"/>
    </xf>
    <xf numFmtId="0" fontId="21" fillId="34" borderId="17" xfId="0" applyFont="1" applyFill="1" applyBorder="1" applyAlignment="1">
      <alignment horizontal="right" vertical="center" wrapText="1"/>
    </xf>
    <xf numFmtId="0" fontId="21" fillId="34" borderId="18" xfId="0" applyFont="1" applyFill="1" applyBorder="1" applyAlignment="1">
      <alignment horizontal="right" vertical="center" wrapText="1"/>
    </xf>
    <xf numFmtId="0" fontId="21" fillId="34" borderId="8" xfId="0" applyFont="1" applyFill="1" applyBorder="1" applyAlignment="1">
      <alignment horizontal="left" vertical="center"/>
    </xf>
    <xf numFmtId="0" fontId="21" fillId="34" borderId="7" xfId="0" applyFont="1" applyFill="1" applyBorder="1" applyAlignment="1">
      <alignment horizontal="left" vertical="center"/>
    </xf>
    <xf numFmtId="0" fontId="23" fillId="34" borderId="8" xfId="0" applyFont="1" applyFill="1" applyBorder="1" applyAlignment="1">
      <alignment vertical="top"/>
    </xf>
    <xf numFmtId="0" fontId="23" fillId="34" borderId="7" xfId="0" applyFont="1" applyFill="1" applyBorder="1" applyAlignment="1">
      <alignment horizontal="left" vertical="center" wrapText="1"/>
    </xf>
    <xf numFmtId="0" fontId="23" fillId="0" borderId="0" xfId="0" applyFont="1" applyAlignment="1">
      <alignment horizontal="right"/>
    </xf>
    <xf numFmtId="0" fontId="21" fillId="0" borderId="0" xfId="0" applyFont="1" applyAlignment="1">
      <alignment horizontal="right"/>
    </xf>
    <xf numFmtId="0" fontId="21" fillId="34" borderId="8" xfId="0" applyFont="1" applyFill="1" applyBorder="1" applyAlignment="1">
      <alignment horizontal="right"/>
    </xf>
    <xf numFmtId="0" fontId="21" fillId="34" borderId="8" xfId="0" applyFont="1" applyFill="1" applyBorder="1" applyAlignment="1">
      <alignment horizontal="right" wrapText="1"/>
    </xf>
    <xf numFmtId="0" fontId="21" fillId="34" borderId="7" xfId="0" applyFont="1" applyFill="1" applyBorder="1" applyAlignment="1">
      <alignment horizontal="right" vertical="center" wrapText="1"/>
    </xf>
    <xf numFmtId="0" fontId="23" fillId="0" borderId="8" xfId="0" applyFont="1" applyBorder="1" applyAlignment="1">
      <alignment horizontal="right"/>
    </xf>
    <xf numFmtId="3" fontId="23" fillId="0" borderId="7" xfId="0" applyNumberFormat="1" applyFont="1" applyBorder="1" applyAlignment="1">
      <alignment horizontal="right"/>
    </xf>
    <xf numFmtId="3" fontId="21" fillId="0" borderId="18" xfId="0" applyNumberFormat="1" applyFont="1" applyBorder="1" applyAlignment="1">
      <alignment horizontal="right"/>
    </xf>
    <xf numFmtId="3" fontId="21" fillId="34" borderId="7" xfId="0" applyNumberFormat="1" applyFont="1" applyFill="1" applyBorder="1" applyAlignment="1">
      <alignment horizontal="right"/>
    </xf>
    <xf numFmtId="3" fontId="23" fillId="0" borderId="0" xfId="0" applyNumberFormat="1" applyFont="1" applyAlignment="1">
      <alignment horizontal="right"/>
    </xf>
    <xf numFmtId="3" fontId="23" fillId="0" borderId="0" xfId="0" applyNumberFormat="1" applyFont="1" applyBorder="1" applyAlignment="1">
      <alignment horizontal="right"/>
    </xf>
    <xf numFmtId="0" fontId="23" fillId="0" borderId="0" xfId="0" applyFont="1" applyBorder="1" applyAlignment="1">
      <alignment horizontal="right"/>
    </xf>
    <xf numFmtId="0" fontId="23" fillId="0" borderId="15" xfId="0" applyFont="1" applyBorder="1" applyAlignment="1">
      <alignment horizontal="right"/>
    </xf>
    <xf numFmtId="3" fontId="23" fillId="0" borderId="16" xfId="0" applyNumberFormat="1" applyFont="1" applyBorder="1" applyAlignment="1">
      <alignment horizontal="right"/>
    </xf>
    <xf numFmtId="0" fontId="21" fillId="0" borderId="0" xfId="0" applyFont="1" applyFill="1" applyAlignment="1">
      <alignment horizontal="right"/>
    </xf>
    <xf numFmtId="0" fontId="23" fillId="0" borderId="7" xfId="0" applyFont="1" applyBorder="1" applyAlignment="1">
      <alignment horizontal="right"/>
    </xf>
    <xf numFmtId="3" fontId="21" fillId="0" borderId="0" xfId="0" applyNumberFormat="1" applyFont="1" applyFill="1" applyBorder="1" applyAlignment="1">
      <alignment horizontal="right"/>
    </xf>
    <xf numFmtId="0" fontId="22" fillId="0" borderId="0" xfId="0" applyFont="1" applyAlignment="1">
      <alignment horizontal="right"/>
    </xf>
    <xf numFmtId="0" fontId="24" fillId="0" borderId="0" xfId="0" applyFont="1" applyAlignment="1">
      <alignment horizontal="right"/>
    </xf>
    <xf numFmtId="0" fontId="24" fillId="0" borderId="0" xfId="0" applyFont="1" applyFill="1" applyAlignment="1">
      <alignment horizontal="right"/>
    </xf>
    <xf numFmtId="3" fontId="23" fillId="0" borderId="18" xfId="0" applyNumberFormat="1" applyFont="1" applyBorder="1" applyAlignment="1">
      <alignment horizontal="right"/>
    </xf>
    <xf numFmtId="3" fontId="23" fillId="0" borderId="0" xfId="0" applyNumberFormat="1" applyFont="1" applyFill="1" applyBorder="1" applyAlignment="1">
      <alignment horizontal="right"/>
    </xf>
    <xf numFmtId="3" fontId="33" fillId="0" borderId="0" xfId="44" applyNumberFormat="1" applyAlignment="1">
      <alignment horizontal="center" vertical="center" wrapText="1"/>
    </xf>
    <xf numFmtId="3" fontId="0" fillId="0" borderId="0" xfId="0" applyNumberFormat="1" applyAlignment="1">
      <alignment horizontal="center"/>
    </xf>
    <xf numFmtId="0" fontId="25" fillId="0" borderId="0" xfId="0" applyFont="1" applyAlignment="1">
      <alignment vertical="center"/>
    </xf>
    <xf numFmtId="0" fontId="23" fillId="0" borderId="0" xfId="0" applyFont="1" applyAlignment="1">
      <alignment horizontal="left" vertical="center" wrapText="1"/>
    </xf>
    <xf numFmtId="3" fontId="22" fillId="0" borderId="0" xfId="0" applyNumberFormat="1" applyFont="1" applyAlignment="1">
      <alignment horizontal="right" vertical="center"/>
    </xf>
    <xf numFmtId="0" fontId="21" fillId="34" borderId="13" xfId="0" applyNumberFormat="1" applyFont="1" applyFill="1" applyBorder="1" applyAlignment="1">
      <alignment horizontal="left" vertical="center" wrapText="1"/>
    </xf>
    <xf numFmtId="0" fontId="22" fillId="0" borderId="13" xfId="0" applyFont="1" applyBorder="1" applyAlignment="1">
      <alignment horizontal="left" vertical="center" wrapText="1"/>
    </xf>
    <xf numFmtId="0" fontId="23" fillId="32" borderId="4" xfId="0" applyFont="1" applyFill="1" applyBorder="1" applyAlignment="1">
      <alignment horizontal="left" vertical="center" wrapText="1"/>
    </xf>
    <xf numFmtId="0" fontId="21" fillId="32" borderId="3" xfId="0" applyFont="1" applyFill="1" applyBorder="1" applyAlignment="1">
      <alignment horizontal="left" vertical="center" wrapText="1"/>
    </xf>
    <xf numFmtId="0" fontId="21" fillId="32" borderId="15" xfId="0" applyFont="1" applyFill="1" applyBorder="1" applyAlignment="1">
      <alignment horizontal="left" vertical="center" wrapText="1"/>
    </xf>
    <xf numFmtId="0" fontId="23" fillId="0" borderId="9" xfId="0" applyFont="1" applyBorder="1" applyAlignment="1">
      <alignment horizontal="right" vertical="center"/>
    </xf>
    <xf numFmtId="0" fontId="23" fillId="0" borderId="0" xfId="0" applyFont="1" applyBorder="1" applyAlignment="1">
      <alignment horizontal="right" vertical="center"/>
    </xf>
    <xf numFmtId="0" fontId="23" fillId="0" borderId="16" xfId="0" applyFont="1" applyBorder="1" applyAlignment="1">
      <alignment horizontal="right" vertical="center"/>
    </xf>
    <xf numFmtId="0" fontId="21" fillId="32" borderId="12" xfId="0" applyFont="1" applyFill="1" applyBorder="1" applyAlignment="1">
      <alignment horizontal="right" vertical="center" wrapText="1"/>
    </xf>
    <xf numFmtId="0" fontId="21" fillId="32" borderId="13" xfId="0" applyFont="1" applyFill="1" applyBorder="1" applyAlignment="1">
      <alignment horizontal="right" vertical="center" wrapText="1"/>
    </xf>
    <xf numFmtId="0" fontId="21" fillId="32" borderId="11" xfId="0" applyFont="1" applyFill="1" applyBorder="1" applyAlignment="1">
      <alignment horizontal="right" vertical="center" wrapText="1"/>
    </xf>
    <xf numFmtId="0" fontId="23" fillId="32" borderId="6" xfId="0" applyFont="1" applyFill="1" applyBorder="1" applyAlignment="1">
      <alignment horizontal="left" vertical="center" wrapText="1"/>
    </xf>
    <xf numFmtId="0" fontId="23" fillId="32" borderId="5" xfId="0" applyFont="1" applyFill="1" applyBorder="1" applyAlignment="1">
      <alignment horizontal="left" vertical="center" wrapText="1"/>
    </xf>
    <xf numFmtId="0" fontId="21" fillId="0" borderId="12" xfId="0" applyFont="1" applyBorder="1" applyAlignment="1">
      <alignment horizontal="right" vertical="center"/>
    </xf>
    <xf numFmtId="0" fontId="21" fillId="0" borderId="13" xfId="0" applyFont="1" applyBorder="1" applyAlignment="1">
      <alignment horizontal="right" vertical="center"/>
    </xf>
    <xf numFmtId="0" fontId="21" fillId="0" borderId="11" xfId="0" applyFont="1" applyBorder="1" applyAlignment="1">
      <alignment horizontal="right" vertical="center"/>
    </xf>
    <xf numFmtId="0" fontId="21" fillId="32" borderId="12" xfId="0" applyFont="1" applyFill="1" applyBorder="1" applyAlignment="1">
      <alignment horizontal="right" vertical="center"/>
    </xf>
    <xf numFmtId="0" fontId="23" fillId="32" borderId="16" xfId="0" applyFont="1" applyFill="1" applyBorder="1" applyAlignment="1">
      <alignment horizontal="left" vertical="center" wrapText="1"/>
    </xf>
    <xf numFmtId="0" fontId="23" fillId="0" borderId="9" xfId="0" applyFont="1" applyFill="1" applyBorder="1" applyAlignment="1">
      <alignment horizontal="right" vertical="center"/>
    </xf>
    <xf numFmtId="3" fontId="21" fillId="0" borderId="12" xfId="0" applyNumberFormat="1" applyFont="1" applyFill="1" applyBorder="1" applyAlignment="1">
      <alignment horizontal="right" vertical="top" wrapText="1"/>
    </xf>
    <xf numFmtId="3" fontId="21" fillId="0" borderId="11" xfId="0" applyNumberFormat="1" applyFont="1" applyFill="1" applyBorder="1" applyAlignment="1">
      <alignment horizontal="right" vertical="top" wrapText="1"/>
    </xf>
    <xf numFmtId="0" fontId="23" fillId="32" borderId="8" xfId="0" applyFont="1" applyFill="1" applyBorder="1" applyAlignment="1">
      <alignment vertical="top"/>
    </xf>
    <xf numFmtId="0" fontId="21" fillId="32" borderId="8" xfId="0" applyFont="1" applyFill="1" applyBorder="1" applyAlignment="1">
      <alignment horizontal="right"/>
    </xf>
    <xf numFmtId="0" fontId="23" fillId="32" borderId="7" xfId="0" applyFont="1" applyFill="1" applyBorder="1" applyAlignment="1">
      <alignment horizontal="left" vertical="center" wrapText="1"/>
    </xf>
    <xf numFmtId="3" fontId="21" fillId="32" borderId="7" xfId="0" applyNumberFormat="1" applyFont="1" applyFill="1" applyBorder="1" applyAlignment="1">
      <alignment horizontal="right"/>
    </xf>
    <xf numFmtId="0" fontId="21" fillId="32" borderId="8" xfId="0" applyFont="1" applyFill="1" applyBorder="1" applyAlignment="1">
      <alignment horizontal="left" vertical="center"/>
    </xf>
    <xf numFmtId="0" fontId="21" fillId="32" borderId="7" xfId="0" applyFont="1" applyFill="1" applyBorder="1" applyAlignment="1">
      <alignment horizontal="left" vertical="center"/>
    </xf>
    <xf numFmtId="0" fontId="23" fillId="32" borderId="0" xfId="0" applyFont="1" applyFill="1" applyBorder="1" applyAlignment="1">
      <alignment vertical="top"/>
    </xf>
    <xf numFmtId="0" fontId="23" fillId="32" borderId="0" xfId="0" applyFont="1" applyFill="1" applyBorder="1" applyAlignment="1">
      <alignment horizontal="left" vertical="center" wrapText="1"/>
    </xf>
    <xf numFmtId="0" fontId="21" fillId="32" borderId="8" xfId="0" applyFont="1" applyFill="1" applyBorder="1" applyAlignment="1">
      <alignment horizontal="right" wrapText="1"/>
    </xf>
    <xf numFmtId="0" fontId="21" fillId="32" borderId="7" xfId="0" applyFont="1" applyFill="1" applyBorder="1" applyAlignment="1">
      <alignment horizontal="right" vertical="center" wrapText="1"/>
    </xf>
    <xf numFmtId="3" fontId="23" fillId="0" borderId="14" xfId="0" applyNumberFormat="1" applyFont="1" applyBorder="1" applyAlignment="1">
      <alignment horizontal="right"/>
    </xf>
    <xf numFmtId="3" fontId="23" fillId="0" borderId="8" xfId="0" applyNumberFormat="1" applyFont="1" applyBorder="1" applyAlignment="1">
      <alignment horizontal="right"/>
    </xf>
    <xf numFmtId="9" fontId="23" fillId="0" borderId="15" xfId="0" applyNumberFormat="1" applyFont="1" applyFill="1" applyBorder="1" applyAlignment="1">
      <alignment horizontal="right"/>
    </xf>
    <xf numFmtId="0" fontId="23" fillId="0" borderId="14" xfId="0" applyFont="1" applyBorder="1" applyAlignment="1">
      <alignment horizontal="right"/>
    </xf>
    <xf numFmtId="9" fontId="23" fillId="0" borderId="15" xfId="0" applyNumberFormat="1" applyFont="1" applyBorder="1" applyAlignment="1">
      <alignment horizontal="right"/>
    </xf>
    <xf numFmtId="3" fontId="23" fillId="0" borderId="9" xfId="0" applyNumberFormat="1" applyFont="1" applyBorder="1" applyAlignment="1">
      <alignment horizontal="right"/>
    </xf>
    <xf numFmtId="9" fontId="23" fillId="0" borderId="16" xfId="0" applyNumberFormat="1" applyFont="1" applyFill="1" applyBorder="1" applyAlignment="1">
      <alignment horizontal="right"/>
    </xf>
    <xf numFmtId="0" fontId="23" fillId="0" borderId="9" xfId="0" applyFont="1" applyBorder="1" applyAlignment="1">
      <alignment horizontal="right"/>
    </xf>
    <xf numFmtId="3" fontId="23" fillId="0" borderId="9" xfId="0" applyNumberFormat="1" applyFont="1" applyFill="1" applyBorder="1" applyAlignment="1">
      <alignment horizontal="right"/>
    </xf>
    <xf numFmtId="3" fontId="23" fillId="0" borderId="7" xfId="0" applyNumberFormat="1" applyFont="1" applyFill="1" applyBorder="1" applyAlignment="1">
      <alignment horizontal="right"/>
    </xf>
    <xf numFmtId="9" fontId="23" fillId="0" borderId="18" xfId="0" applyNumberFormat="1" applyFont="1" applyFill="1" applyBorder="1" applyAlignment="1">
      <alignment horizontal="right"/>
    </xf>
    <xf numFmtId="3" fontId="23" fillId="0" borderId="17" xfId="0" applyNumberFormat="1" applyFont="1" applyFill="1" applyBorder="1" applyAlignment="1">
      <alignment horizontal="right"/>
    </xf>
    <xf numFmtId="0" fontId="23" fillId="0" borderId="16" xfId="0" applyFont="1" applyBorder="1" applyAlignment="1">
      <alignment horizontal="right"/>
    </xf>
    <xf numFmtId="3" fontId="23" fillId="0" borderId="15" xfId="0" applyNumberFormat="1" applyFont="1" applyBorder="1" applyAlignment="1">
      <alignment horizontal="right"/>
    </xf>
    <xf numFmtId="0" fontId="21" fillId="32" borderId="11" xfId="0" applyFont="1" applyFill="1" applyBorder="1" applyAlignment="1">
      <alignment horizontal="right" wrapText="1"/>
    </xf>
    <xf numFmtId="0" fontId="23" fillId="0" borderId="17" xfId="0" applyFont="1" applyBorder="1" applyAlignment="1">
      <alignment horizontal="right"/>
    </xf>
    <xf numFmtId="3" fontId="23" fillId="0" borderId="12" xfId="0" applyNumberFormat="1" applyFont="1" applyFill="1" applyBorder="1" applyAlignment="1">
      <alignment horizontal="right" vertical="center"/>
    </xf>
    <xf numFmtId="3" fontId="23" fillId="0" borderId="11" xfId="0" applyNumberFormat="1" applyFont="1" applyFill="1" applyBorder="1" applyAlignment="1">
      <alignment horizontal="right" vertical="center" wrapText="1"/>
    </xf>
    <xf numFmtId="0" fontId="35" fillId="0" borderId="0" xfId="45"/>
    <xf numFmtId="0" fontId="36" fillId="0" borderId="0" xfId="46"/>
    <xf numFmtId="0" fontId="22" fillId="0" borderId="0" xfId="0" applyFont="1" applyBorder="1" applyAlignment="1">
      <alignment wrapText="1"/>
    </xf>
    <xf numFmtId="0" fontId="36" fillId="0" borderId="0" xfId="46" applyAlignment="1">
      <alignment horizontal="left" vertical="center" wrapText="1"/>
    </xf>
    <xf numFmtId="0" fontId="23" fillId="0" borderId="0" xfId="0" applyFont="1" applyBorder="1"/>
    <xf numFmtId="0" fontId="23" fillId="0" borderId="12" xfId="0" applyFont="1" applyFill="1" applyBorder="1" applyAlignment="1">
      <alignment horizontal="right" vertical="center" wrapText="1"/>
    </xf>
    <xf numFmtId="0" fontId="23" fillId="0" borderId="13" xfId="0" applyFont="1" applyFill="1" applyBorder="1" applyAlignment="1">
      <alignment horizontal="right" vertical="center" wrapText="1"/>
    </xf>
    <xf numFmtId="0" fontId="23" fillId="0" borderId="11" xfId="0" applyFont="1" applyFill="1" applyBorder="1" applyAlignment="1">
      <alignment horizontal="right" vertical="center" wrapText="1"/>
    </xf>
    <xf numFmtId="0" fontId="23" fillId="0" borderId="14" xfId="0" applyFont="1" applyFill="1" applyBorder="1" applyAlignment="1">
      <alignment horizontal="right" vertical="center" wrapText="1"/>
    </xf>
    <xf numFmtId="0" fontId="23" fillId="0" borderId="8" xfId="0" applyFont="1" applyFill="1" applyBorder="1" applyAlignment="1">
      <alignment horizontal="right" vertical="center" wrapText="1"/>
    </xf>
    <xf numFmtId="0" fontId="23" fillId="0" borderId="15" xfId="0" applyFont="1" applyFill="1" applyBorder="1" applyAlignment="1">
      <alignment horizontal="right" vertical="center" wrapText="1"/>
    </xf>
    <xf numFmtId="0" fontId="23" fillId="0" borderId="9" xfId="0" applyFont="1" applyFill="1" applyBorder="1" applyAlignment="1">
      <alignment horizontal="right" vertical="center" wrapText="1"/>
    </xf>
    <xf numFmtId="0" fontId="23" fillId="0" borderId="0" xfId="0" applyFont="1" applyFill="1" applyBorder="1" applyAlignment="1">
      <alignment horizontal="right" vertical="center" wrapText="1"/>
    </xf>
    <xf numFmtId="0" fontId="23" fillId="0" borderId="16" xfId="0" applyFont="1" applyFill="1" applyBorder="1" applyAlignment="1">
      <alignment horizontal="right" vertical="center" wrapText="1"/>
    </xf>
    <xf numFmtId="0" fontId="23" fillId="0" borderId="17" xfId="0" applyFont="1" applyFill="1" applyBorder="1" applyAlignment="1">
      <alignment horizontal="right" vertical="center" wrapText="1"/>
    </xf>
    <xf numFmtId="0" fontId="23" fillId="0" borderId="7" xfId="0" applyFont="1" applyFill="1" applyBorder="1" applyAlignment="1">
      <alignment horizontal="right" vertical="center" wrapText="1"/>
    </xf>
    <xf numFmtId="0" fontId="23" fillId="0" borderId="18" xfId="0" applyFont="1" applyFill="1" applyBorder="1" applyAlignment="1">
      <alignment horizontal="right" vertical="center" wrapText="1"/>
    </xf>
    <xf numFmtId="0" fontId="21" fillId="0" borderId="12" xfId="0" applyFont="1" applyFill="1" applyBorder="1" applyAlignment="1">
      <alignment horizontal="right" vertical="center" wrapText="1"/>
    </xf>
    <xf numFmtId="0" fontId="21" fillId="0" borderId="13" xfId="0" applyFont="1" applyFill="1" applyBorder="1" applyAlignment="1">
      <alignment horizontal="right" vertical="center" wrapText="1"/>
    </xf>
    <xf numFmtId="0" fontId="21" fillId="0" borderId="11" xfId="0" applyFont="1" applyFill="1" applyBorder="1" applyAlignment="1">
      <alignment horizontal="right" vertical="center" wrapText="1"/>
    </xf>
    <xf numFmtId="3" fontId="21" fillId="0" borderId="12" xfId="0" applyNumberFormat="1" applyFont="1" applyBorder="1" applyAlignment="1">
      <alignment horizontal="right" vertical="center" wrapText="1"/>
    </xf>
    <xf numFmtId="3" fontId="21" fillId="0" borderId="13" xfId="0" applyNumberFormat="1" applyFont="1" applyBorder="1" applyAlignment="1">
      <alignment horizontal="right" vertical="center" wrapText="1"/>
    </xf>
    <xf numFmtId="9" fontId="23" fillId="0" borderId="15" xfId="0" applyNumberFormat="1" applyFont="1" applyBorder="1" applyAlignment="1">
      <alignment horizontal="right" vertical="center"/>
    </xf>
    <xf numFmtId="0" fontId="23" fillId="0" borderId="8" xfId="0" applyFont="1" applyBorder="1" applyAlignment="1">
      <alignment horizontal="right" vertical="center"/>
    </xf>
    <xf numFmtId="9" fontId="23" fillId="0" borderId="16" xfId="0" applyNumberFormat="1" applyFont="1" applyBorder="1" applyAlignment="1">
      <alignment horizontal="right" vertical="center"/>
    </xf>
    <xf numFmtId="9" fontId="23" fillId="0" borderId="7" xfId="0" applyNumberFormat="1" applyFont="1" applyBorder="1" applyAlignment="1">
      <alignment horizontal="right" vertical="center"/>
    </xf>
    <xf numFmtId="3" fontId="21" fillId="0" borderId="17" xfId="0" applyNumberFormat="1" applyFont="1" applyBorder="1" applyAlignment="1">
      <alignment horizontal="right"/>
    </xf>
    <xf numFmtId="3" fontId="23" fillId="0" borderId="16" xfId="0" applyNumberFormat="1" applyFont="1" applyFill="1" applyBorder="1" applyAlignment="1">
      <alignment horizontal="right"/>
    </xf>
    <xf numFmtId="0" fontId="0" fillId="0" borderId="9" xfId="0" applyFont="1" applyBorder="1" applyAlignment="1">
      <alignment horizontal="right"/>
    </xf>
    <xf numFmtId="0" fontId="0" fillId="0" borderId="0" xfId="0" applyFont="1" applyBorder="1" applyAlignment="1">
      <alignment horizontal="right"/>
    </xf>
    <xf numFmtId="0" fontId="0" fillId="0" borderId="11" xfId="0" applyFont="1" applyBorder="1" applyAlignment="1">
      <alignment horizontal="right"/>
    </xf>
    <xf numFmtId="0" fontId="24" fillId="32" borderId="12" xfId="0" applyFont="1" applyFill="1" applyBorder="1" applyAlignment="1">
      <alignment horizontal="right" vertical="center" wrapText="1"/>
    </xf>
    <xf numFmtId="0" fontId="24" fillId="32" borderId="13" xfId="0" applyFont="1" applyFill="1" applyBorder="1" applyAlignment="1">
      <alignment horizontal="right" vertical="center" wrapText="1"/>
    </xf>
    <xf numFmtId="0" fontId="24" fillId="32" borderId="11" xfId="0" applyFont="1" applyFill="1" applyBorder="1" applyAlignment="1">
      <alignment horizontal="right" vertical="center" wrapText="1"/>
    </xf>
    <xf numFmtId="3" fontId="22" fillId="0" borderId="12" xfId="0" applyNumberFormat="1" applyFont="1" applyBorder="1" applyAlignment="1">
      <alignment horizontal="right" vertical="center" wrapText="1"/>
    </xf>
    <xf numFmtId="3" fontId="22" fillId="0" borderId="13" xfId="0" applyNumberFormat="1" applyFont="1" applyBorder="1" applyAlignment="1">
      <alignment horizontal="right" vertical="center" wrapText="1"/>
    </xf>
    <xf numFmtId="3" fontId="24" fillId="32" borderId="11" xfId="0" applyNumberFormat="1" applyFont="1" applyFill="1" applyBorder="1" applyAlignment="1">
      <alignment horizontal="right" vertical="center" wrapText="1"/>
    </xf>
    <xf numFmtId="3" fontId="24" fillId="0" borderId="12" xfId="0" applyNumberFormat="1" applyFont="1" applyFill="1" applyBorder="1" applyAlignment="1">
      <alignment horizontal="right" vertical="center" wrapText="1"/>
    </xf>
    <xf numFmtId="3" fontId="24" fillId="0" borderId="13" xfId="0" applyNumberFormat="1" applyFont="1" applyFill="1" applyBorder="1" applyAlignment="1">
      <alignment horizontal="right" vertical="center" wrapText="1"/>
    </xf>
    <xf numFmtId="0" fontId="24" fillId="34" borderId="12" xfId="0" applyFont="1" applyFill="1" applyBorder="1" applyAlignment="1">
      <alignment horizontal="right" vertical="center" wrapText="1"/>
    </xf>
    <xf numFmtId="0" fontId="24" fillId="34" borderId="13" xfId="0" applyFont="1" applyFill="1" applyBorder="1" applyAlignment="1">
      <alignment horizontal="right" vertical="center" wrapText="1"/>
    </xf>
    <xf numFmtId="0" fontId="24" fillId="34" borderId="11" xfId="0" applyFont="1" applyFill="1" applyBorder="1" applyAlignment="1">
      <alignment horizontal="right" vertical="center" wrapText="1"/>
    </xf>
    <xf numFmtId="3" fontId="24" fillId="34" borderId="11" xfId="0" applyNumberFormat="1" applyFont="1" applyFill="1" applyBorder="1" applyAlignment="1">
      <alignment horizontal="right" vertical="center" wrapText="1"/>
    </xf>
    <xf numFmtId="0" fontId="25" fillId="0" borderId="0" xfId="0" applyFont="1" applyFill="1" applyBorder="1" applyAlignment="1">
      <alignment vertical="center"/>
    </xf>
    <xf numFmtId="0" fontId="24" fillId="0" borderId="0" xfId="0" applyFont="1" applyFill="1" applyBorder="1" applyAlignment="1">
      <alignment vertical="center"/>
    </xf>
    <xf numFmtId="0" fontId="22" fillId="0" borderId="0" xfId="0" applyFont="1" applyFill="1" applyBorder="1" applyAlignment="1">
      <alignment horizontal="justify" vertical="center"/>
    </xf>
    <xf numFmtId="0" fontId="0" fillId="0" borderId="0" xfId="0" applyBorder="1" applyAlignment="1">
      <alignment vertical="top" wrapText="1"/>
    </xf>
    <xf numFmtId="0" fontId="36" fillId="0" borderId="0" xfId="46" applyAlignment="1"/>
    <xf numFmtId="0" fontId="36" fillId="0" borderId="0" xfId="46" applyAlignment="1">
      <alignment horizontal="left"/>
    </xf>
    <xf numFmtId="0" fontId="22" fillId="0" borderId="0" xfId="0" applyFont="1" applyBorder="1" applyAlignment="1">
      <alignment horizontal="left"/>
    </xf>
    <xf numFmtId="0" fontId="35" fillId="0" borderId="0" xfId="45" applyAlignment="1"/>
    <xf numFmtId="0" fontId="36" fillId="0" borderId="0" xfId="46" applyBorder="1"/>
    <xf numFmtId="0" fontId="0" fillId="0" borderId="0" xfId="0" applyBorder="1" applyAlignment="1">
      <alignment vertical="top" wrapText="1"/>
    </xf>
    <xf numFmtId="0" fontId="21" fillId="34" borderId="18" xfId="0" applyFont="1" applyFill="1" applyBorder="1" applyAlignment="1">
      <alignment horizontal="center" vertical="center" wrapText="1"/>
    </xf>
    <xf numFmtId="0" fontId="21" fillId="32" borderId="7" xfId="0" applyFont="1" applyFill="1" applyBorder="1" applyAlignment="1">
      <alignment horizontal="left" vertical="center"/>
    </xf>
    <xf numFmtId="0" fontId="36" fillId="0" borderId="0" xfId="46" applyBorder="1"/>
    <xf numFmtId="0" fontId="23" fillId="0" borderId="0" xfId="0" applyFont="1" applyBorder="1"/>
    <xf numFmtId="0" fontId="27" fillId="32" borderId="0" xfId="0" applyFont="1" applyFill="1" applyBorder="1" applyAlignment="1">
      <alignment horizontal="center" vertical="center"/>
    </xf>
    <xf numFmtId="0" fontId="36" fillId="0" borderId="0" xfId="46" applyAlignment="1">
      <alignment vertical="center"/>
    </xf>
    <xf numFmtId="0" fontId="0" fillId="0" borderId="0" xfId="0" applyNumberFormat="1"/>
    <xf numFmtId="14" fontId="0" fillId="0" borderId="0" xfId="0" applyNumberFormat="1"/>
    <xf numFmtId="0" fontId="43" fillId="0" borderId="0" xfId="51" applyAlignment="1">
      <alignment horizontal="left" vertical="center" wrapText="1"/>
    </xf>
    <xf numFmtId="0" fontId="43" fillId="0" borderId="0" xfId="51" applyAlignment="1">
      <alignment horizontal="center" vertical="center" wrapText="1"/>
    </xf>
    <xf numFmtId="0" fontId="43" fillId="0" borderId="0" xfId="51" applyAlignment="1">
      <alignment vertical="center" wrapText="1"/>
    </xf>
    <xf numFmtId="14" fontId="43" fillId="0" borderId="0" xfId="51" applyNumberFormat="1" applyAlignment="1">
      <alignment horizontal="center" vertical="center" wrapText="1"/>
    </xf>
    <xf numFmtId="3" fontId="43" fillId="0" borderId="0" xfId="51" applyNumberFormat="1" applyAlignment="1">
      <alignment horizontal="right" vertical="center" wrapText="1"/>
    </xf>
    <xf numFmtId="3" fontId="45" fillId="34" borderId="27" xfId="52" applyNumberFormat="1" applyFill="1" applyBorder="1" applyAlignment="1">
      <alignment horizontal="right" vertical="center" wrapText="1"/>
    </xf>
    <xf numFmtId="0" fontId="43" fillId="0" borderId="27" xfId="51" applyBorder="1" applyAlignment="1">
      <alignment vertical="center" wrapText="1"/>
    </xf>
    <xf numFmtId="0" fontId="43" fillId="0" borderId="27" xfId="51" applyBorder="1" applyAlignment="1">
      <alignment horizontal="left" vertical="center" wrapText="1"/>
    </xf>
    <xf numFmtId="0" fontId="43" fillId="0" borderId="27" xfId="51" applyBorder="1" applyAlignment="1">
      <alignment horizontal="center" vertical="center" wrapText="1"/>
    </xf>
    <xf numFmtId="14" fontId="43" fillId="0" borderId="27" xfId="51" applyNumberFormat="1" applyBorder="1" applyAlignment="1">
      <alignment horizontal="center" vertical="center" wrapText="1"/>
    </xf>
    <xf numFmtId="3" fontId="43" fillId="0" borderId="27" xfId="51" applyNumberFormat="1" applyBorder="1" applyAlignment="1">
      <alignment horizontal="right" vertical="center" wrapText="1"/>
    </xf>
    <xf numFmtId="0" fontId="43" fillId="0" borderId="28" xfId="51" applyBorder="1" applyAlignment="1">
      <alignment vertical="center" wrapText="1"/>
    </xf>
    <xf numFmtId="0" fontId="43" fillId="0" borderId="28" xfId="51" applyBorder="1" applyAlignment="1">
      <alignment horizontal="left" vertical="center" wrapText="1"/>
    </xf>
    <xf numFmtId="0" fontId="43" fillId="0" borderId="28" xfId="51" applyBorder="1" applyAlignment="1">
      <alignment horizontal="center" vertical="center" wrapText="1"/>
    </xf>
    <xf numFmtId="14" fontId="43" fillId="0" borderId="28" xfId="51" applyNumberFormat="1" applyBorder="1" applyAlignment="1">
      <alignment horizontal="center" vertical="center" wrapText="1"/>
    </xf>
    <xf numFmtId="3" fontId="43" fillId="0" borderId="28" xfId="51" applyNumberFormat="1" applyBorder="1" applyAlignment="1">
      <alignment horizontal="right" vertical="center" wrapText="1"/>
    </xf>
    <xf numFmtId="3" fontId="43" fillId="0" borderId="29" xfId="51" applyNumberFormat="1" applyBorder="1" applyAlignment="1">
      <alignment horizontal="right" vertical="center" wrapText="1"/>
    </xf>
    <xf numFmtId="3" fontId="43" fillId="0" borderId="30" xfId="51" applyNumberFormat="1" applyBorder="1" applyAlignment="1">
      <alignment horizontal="right" vertical="center" wrapText="1"/>
    </xf>
    <xf numFmtId="3" fontId="43" fillId="0" borderId="31" xfId="51" applyNumberFormat="1" applyBorder="1" applyAlignment="1">
      <alignment horizontal="right" vertical="center" wrapText="1"/>
    </xf>
    <xf numFmtId="3" fontId="43" fillId="0" borderId="32" xfId="51" applyNumberFormat="1" applyBorder="1" applyAlignment="1">
      <alignment horizontal="right" vertical="center" wrapText="1"/>
    </xf>
    <xf numFmtId="0" fontId="43" fillId="0" borderId="0" xfId="51" applyFont="1" applyAlignment="1">
      <alignment vertical="center" wrapText="1"/>
    </xf>
    <xf numFmtId="0" fontId="44" fillId="0" borderId="0" xfId="51" applyFont="1" applyAlignment="1">
      <alignment vertical="center" wrapText="1"/>
    </xf>
    <xf numFmtId="0" fontId="43" fillId="0" borderId="27" xfId="51" applyFont="1" applyBorder="1" applyAlignment="1">
      <alignment vertical="center" wrapText="1"/>
    </xf>
    <xf numFmtId="0" fontId="43" fillId="0" borderId="27" xfId="51" applyFont="1" applyBorder="1" applyAlignment="1">
      <alignment horizontal="left" vertical="center" wrapText="1"/>
    </xf>
    <xf numFmtId="0" fontId="43" fillId="0" borderId="27" xfId="51" applyFont="1" applyBorder="1" applyAlignment="1">
      <alignment horizontal="center" vertical="center" wrapText="1"/>
    </xf>
    <xf numFmtId="14" fontId="43" fillId="0" borderId="27" xfId="51" applyNumberFormat="1" applyFont="1" applyBorder="1" applyAlignment="1">
      <alignment horizontal="center" vertical="center" wrapText="1"/>
    </xf>
    <xf numFmtId="3" fontId="43" fillId="0" borderId="29" xfId="51" applyNumberFormat="1" applyFont="1" applyBorder="1" applyAlignment="1">
      <alignment horizontal="right" vertical="center" wrapText="1"/>
    </xf>
    <xf numFmtId="3" fontId="43" fillId="0" borderId="27" xfId="51" applyNumberFormat="1" applyFont="1" applyBorder="1" applyAlignment="1">
      <alignment horizontal="right" vertical="center" wrapText="1"/>
    </xf>
    <xf numFmtId="3" fontId="43" fillId="0" borderId="31" xfId="51" applyNumberFormat="1" applyFont="1" applyBorder="1" applyAlignment="1">
      <alignment horizontal="right" vertical="center" wrapText="1"/>
    </xf>
    <xf numFmtId="0" fontId="44" fillId="0" borderId="27" xfId="51" applyFont="1" applyBorder="1" applyAlignment="1">
      <alignment vertical="center" wrapText="1"/>
    </xf>
    <xf numFmtId="0" fontId="44" fillId="0" borderId="27" xfId="51" applyFont="1" applyBorder="1" applyAlignment="1">
      <alignment horizontal="left" vertical="center" wrapText="1"/>
    </xf>
    <xf numFmtId="0" fontId="44" fillId="0" borderId="27" xfId="51" applyFont="1" applyBorder="1" applyAlignment="1">
      <alignment horizontal="center" vertical="center" wrapText="1"/>
    </xf>
    <xf numFmtId="14" fontId="44" fillId="0" borderId="27" xfId="51" applyNumberFormat="1" applyFont="1" applyBorder="1" applyAlignment="1">
      <alignment horizontal="center" vertical="center" wrapText="1"/>
    </xf>
    <xf numFmtId="3" fontId="44" fillId="0" borderId="29" xfId="51" applyNumberFormat="1" applyFont="1" applyBorder="1" applyAlignment="1">
      <alignment horizontal="right" vertical="center" wrapText="1"/>
    </xf>
    <xf numFmtId="3" fontId="44" fillId="0" borderId="27" xfId="51" applyNumberFormat="1" applyFont="1" applyBorder="1" applyAlignment="1">
      <alignment horizontal="right" vertical="center" wrapText="1"/>
    </xf>
    <xf numFmtId="3" fontId="44" fillId="0" borderId="31" xfId="51" applyNumberFormat="1" applyFont="1" applyBorder="1" applyAlignment="1">
      <alignment horizontal="right" vertical="center" wrapText="1"/>
    </xf>
    <xf numFmtId="14" fontId="43" fillId="0" borderId="31" xfId="51" applyNumberFormat="1" applyBorder="1" applyAlignment="1">
      <alignment horizontal="center" vertical="center" wrapText="1"/>
    </xf>
    <xf numFmtId="0" fontId="35" fillId="0" borderId="0" xfId="45" applyBorder="1" applyAlignment="1">
      <alignment horizontal="left" vertical="center"/>
    </xf>
    <xf numFmtId="0" fontId="43" fillId="0" borderId="0" xfId="51" applyBorder="1" applyAlignment="1">
      <alignment horizontal="left" vertical="center" wrapText="1"/>
    </xf>
    <xf numFmtId="0" fontId="43" fillId="0" borderId="0" xfId="51" applyBorder="1" applyAlignment="1">
      <alignment horizontal="center" vertical="center" wrapText="1"/>
    </xf>
    <xf numFmtId="0" fontId="43" fillId="0" borderId="0" xfId="51" applyBorder="1" applyAlignment="1">
      <alignment vertical="center" wrapText="1"/>
    </xf>
    <xf numFmtId="3" fontId="43" fillId="0" borderId="0" xfId="51" applyNumberFormat="1" applyBorder="1" applyAlignment="1">
      <alignment horizontal="right" vertical="center" wrapText="1"/>
    </xf>
    <xf numFmtId="0" fontId="36" fillId="0" borderId="0" xfId="46" applyBorder="1" applyAlignment="1">
      <alignment vertical="center"/>
    </xf>
    <xf numFmtId="0" fontId="43" fillId="0" borderId="7" xfId="51" applyBorder="1" applyAlignment="1">
      <alignment horizontal="left" vertical="center" wrapText="1"/>
    </xf>
    <xf numFmtId="0" fontId="43" fillId="0" borderId="7" xfId="51" applyBorder="1" applyAlignment="1">
      <alignment horizontal="center" vertical="center" wrapText="1"/>
    </xf>
    <xf numFmtId="0" fontId="43" fillId="0" borderId="7" xfId="51" applyBorder="1" applyAlignment="1">
      <alignment vertical="center" wrapText="1"/>
    </xf>
    <xf numFmtId="14" fontId="43" fillId="0" borderId="18" xfId="51" applyNumberFormat="1" applyBorder="1" applyAlignment="1">
      <alignment horizontal="center" vertical="center" wrapText="1"/>
    </xf>
    <xf numFmtId="3" fontId="43" fillId="0" borderId="7" xfId="51" applyNumberFormat="1" applyBorder="1" applyAlignment="1">
      <alignment horizontal="right" vertical="center" wrapText="1"/>
    </xf>
    <xf numFmtId="3" fontId="43" fillId="0" borderId="18" xfId="51" applyNumberFormat="1" applyBorder="1" applyAlignment="1">
      <alignment horizontal="right" vertical="center" wrapText="1"/>
    </xf>
    <xf numFmtId="14" fontId="43" fillId="0" borderId="0" xfId="51" applyNumberFormat="1" applyBorder="1" applyAlignment="1">
      <alignment horizontal="center" vertical="center" wrapText="1"/>
    </xf>
    <xf numFmtId="14" fontId="44" fillId="0" borderId="31" xfId="51" applyNumberFormat="1" applyFont="1" applyBorder="1" applyAlignment="1">
      <alignment horizontal="center" vertical="center" wrapText="1"/>
    </xf>
    <xf numFmtId="3" fontId="45" fillId="32" borderId="27" xfId="52" applyNumberFormat="1" applyFill="1" applyBorder="1" applyAlignment="1">
      <alignment horizontal="right" vertical="center" wrapText="1"/>
    </xf>
    <xf numFmtId="3" fontId="45" fillId="36" borderId="27" xfId="52" applyNumberFormat="1" applyFill="1" applyBorder="1" applyAlignment="1">
      <alignment horizontal="right" vertical="center" wrapText="1"/>
    </xf>
    <xf numFmtId="14" fontId="43" fillId="0" borderId="31" xfId="51" applyNumberFormat="1" applyFont="1" applyBorder="1" applyAlignment="1">
      <alignment horizontal="center" vertical="center" wrapText="1"/>
    </xf>
    <xf numFmtId="0" fontId="35" fillId="0" borderId="0" xfId="45" applyBorder="1" applyAlignment="1">
      <alignment horizontal="left" vertical="center" wrapText="1"/>
    </xf>
    <xf numFmtId="0" fontId="35" fillId="0" borderId="0" xfId="45" applyBorder="1" applyAlignment="1">
      <alignment horizontal="center" vertical="center" wrapText="1"/>
    </xf>
    <xf numFmtId="0" fontId="35" fillId="0" borderId="0" xfId="45" applyBorder="1" applyAlignment="1">
      <alignment vertical="center" wrapText="1"/>
    </xf>
    <xf numFmtId="14" fontId="35" fillId="0" borderId="0" xfId="45" applyNumberFormat="1" applyBorder="1" applyAlignment="1">
      <alignment horizontal="center" vertical="center" wrapText="1"/>
    </xf>
    <xf numFmtId="3" fontId="35" fillId="0" borderId="0" xfId="45" applyNumberFormat="1" applyBorder="1" applyAlignment="1">
      <alignment horizontal="right" vertical="center" wrapText="1"/>
    </xf>
    <xf numFmtId="3" fontId="23" fillId="0" borderId="28" xfId="0" applyNumberFormat="1" applyFont="1" applyFill="1" applyBorder="1" applyAlignment="1">
      <alignment horizontal="right" vertical="center" wrapText="1"/>
    </xf>
    <xf numFmtId="0" fontId="22" fillId="34" borderId="32" xfId="0" applyFont="1" applyFill="1" applyBorder="1" applyAlignment="1">
      <alignment horizontal="left" vertical="center"/>
    </xf>
    <xf numFmtId="0" fontId="22" fillId="34" borderId="32" xfId="0" applyFont="1" applyFill="1" applyBorder="1" applyAlignment="1">
      <alignment horizontal="left" vertical="center" wrapText="1"/>
    </xf>
    <xf numFmtId="0" fontId="23" fillId="34" borderId="16" xfId="0" applyFont="1" applyFill="1" applyBorder="1" applyAlignment="1">
      <alignment horizontal="left" vertical="center" wrapText="1"/>
    </xf>
    <xf numFmtId="0" fontId="23" fillId="34" borderId="16" xfId="0" applyFont="1" applyFill="1" applyBorder="1" applyAlignment="1">
      <alignment horizontal="left"/>
    </xf>
    <xf numFmtId="0" fontId="23" fillId="34" borderId="18" xfId="0" applyFont="1" applyFill="1" applyBorder="1" applyAlignment="1">
      <alignment horizontal="left"/>
    </xf>
    <xf numFmtId="164" fontId="23" fillId="0" borderId="30" xfId="28" applyNumberFormat="1" applyFont="1" applyBorder="1" applyAlignment="1">
      <alignment horizontal="right" vertical="center" wrapText="1"/>
    </xf>
    <xf numFmtId="164" fontId="23" fillId="0" borderId="28" xfId="28" applyNumberFormat="1" applyFont="1" applyBorder="1" applyAlignment="1">
      <alignment horizontal="right" vertical="center"/>
    </xf>
    <xf numFmtId="164" fontId="23" fillId="0" borderId="28" xfId="28" applyNumberFormat="1" applyFont="1" applyFill="1" applyBorder="1" applyAlignment="1">
      <alignment horizontal="right" vertical="center" wrapText="1"/>
    </xf>
    <xf numFmtId="164" fontId="23" fillId="0" borderId="7" xfId="28" applyNumberFormat="1" applyFont="1" applyFill="1" applyBorder="1" applyAlignment="1">
      <alignment horizontal="right" vertical="center" wrapText="1"/>
    </xf>
    <xf numFmtId="164" fontId="23" fillId="0" borderId="0" xfId="28" applyNumberFormat="1" applyFont="1" applyFill="1" applyBorder="1" applyAlignment="1">
      <alignment horizontal="right" vertical="center" wrapText="1"/>
    </xf>
    <xf numFmtId="3" fontId="23" fillId="0" borderId="30" xfId="0" applyNumberFormat="1" applyFont="1" applyFill="1" applyBorder="1" applyAlignment="1">
      <alignment horizontal="right" vertical="center" wrapText="1"/>
    </xf>
    <xf numFmtId="3" fontId="23" fillId="0" borderId="32" xfId="0" applyNumberFormat="1" applyFont="1" applyFill="1" applyBorder="1" applyAlignment="1">
      <alignment horizontal="right" vertical="center" wrapText="1"/>
    </xf>
    <xf numFmtId="0" fontId="23" fillId="32" borderId="32" xfId="0" applyFont="1" applyFill="1" applyBorder="1" applyAlignment="1">
      <alignment horizontal="left" vertical="center" wrapText="1"/>
    </xf>
    <xf numFmtId="0" fontId="21" fillId="32" borderId="28" xfId="0" applyFont="1" applyFill="1" applyBorder="1" applyAlignment="1">
      <alignment horizontal="left" vertical="center"/>
    </xf>
    <xf numFmtId="0" fontId="23" fillId="36" borderId="4" xfId="0" applyFont="1" applyFill="1" applyBorder="1" applyAlignment="1">
      <alignment vertical="center" wrapText="1"/>
    </xf>
    <xf numFmtId="0" fontId="23" fillId="36" borderId="5" xfId="0" applyFont="1" applyFill="1" applyBorder="1" applyAlignment="1">
      <alignment vertical="center" wrapText="1"/>
    </xf>
    <xf numFmtId="0" fontId="23" fillId="36" borderId="6" xfId="0" applyFont="1" applyFill="1" applyBorder="1" applyAlignment="1">
      <alignment vertical="center" wrapText="1"/>
    </xf>
    <xf numFmtId="0" fontId="21" fillId="36" borderId="11" xfId="0" applyFont="1" applyFill="1" applyBorder="1" applyAlignment="1">
      <alignment vertical="center" wrapText="1"/>
    </xf>
    <xf numFmtId="0" fontId="21" fillId="36" borderId="12" xfId="0" applyFont="1" applyFill="1" applyBorder="1" applyAlignment="1">
      <alignment horizontal="right" vertical="center" wrapText="1"/>
    </xf>
    <xf numFmtId="0" fontId="21" fillId="36" borderId="13" xfId="0" applyFont="1" applyFill="1" applyBorder="1" applyAlignment="1">
      <alignment horizontal="right" vertical="center" wrapText="1"/>
    </xf>
    <xf numFmtId="0" fontId="21" fillId="36" borderId="11" xfId="0" applyFont="1" applyFill="1" applyBorder="1" applyAlignment="1">
      <alignment horizontal="right" vertical="center" wrapText="1"/>
    </xf>
    <xf numFmtId="0" fontId="21" fillId="36" borderId="12" xfId="0" applyFont="1" applyFill="1" applyBorder="1" applyAlignment="1">
      <alignment horizontal="right" vertical="center"/>
    </xf>
    <xf numFmtId="0" fontId="23" fillId="36" borderId="15" xfId="0" applyFont="1" applyFill="1" applyBorder="1" applyAlignment="1">
      <alignment vertical="center" wrapText="1"/>
    </xf>
    <xf numFmtId="0" fontId="23" fillId="36" borderId="16" xfId="0" applyFont="1" applyFill="1" applyBorder="1" applyAlignment="1">
      <alignment vertical="center" wrapText="1"/>
    </xf>
    <xf numFmtId="0" fontId="23" fillId="36" borderId="18" xfId="0" applyFont="1" applyFill="1" applyBorder="1" applyAlignment="1">
      <alignment vertical="center" wrapText="1"/>
    </xf>
    <xf numFmtId="0" fontId="21" fillId="36" borderId="11" xfId="0" applyFont="1" applyFill="1" applyBorder="1" applyAlignment="1">
      <alignment vertical="center"/>
    </xf>
    <xf numFmtId="0" fontId="23" fillId="36" borderId="8" xfId="0" applyFont="1" applyFill="1" applyBorder="1" applyAlignment="1">
      <alignment vertical="top"/>
    </xf>
    <xf numFmtId="0" fontId="21" fillId="36" borderId="8" xfId="0" applyFont="1" applyFill="1" applyBorder="1" applyAlignment="1">
      <alignment horizontal="right"/>
    </xf>
    <xf numFmtId="0" fontId="23" fillId="36" borderId="7" xfId="0" applyFont="1" applyFill="1" applyBorder="1" applyAlignment="1">
      <alignment horizontal="left" vertical="center" wrapText="1"/>
    </xf>
    <xf numFmtId="3" fontId="21" fillId="36" borderId="7" xfId="0" applyNumberFormat="1" applyFont="1" applyFill="1" applyBorder="1" applyAlignment="1">
      <alignment horizontal="right"/>
    </xf>
    <xf numFmtId="0" fontId="21" fillId="36" borderId="28" xfId="0" applyFont="1" applyFill="1" applyBorder="1" applyAlignment="1">
      <alignment horizontal="left" vertical="center"/>
    </xf>
    <xf numFmtId="0" fontId="21" fillId="36" borderId="8" xfId="0" applyFont="1" applyFill="1" applyBorder="1" applyAlignment="1">
      <alignment horizontal="left" vertical="center"/>
    </xf>
    <xf numFmtId="0" fontId="21" fillId="36" borderId="7" xfId="0" applyFont="1" applyFill="1" applyBorder="1" applyAlignment="1">
      <alignment horizontal="left" vertical="center"/>
    </xf>
    <xf numFmtId="0" fontId="23" fillId="36" borderId="0" xfId="0" applyFont="1" applyFill="1" applyBorder="1" applyAlignment="1">
      <alignment vertical="top"/>
    </xf>
    <xf numFmtId="0" fontId="23" fillId="36" borderId="0" xfId="0" applyFont="1" applyFill="1" applyBorder="1" applyAlignment="1">
      <alignment horizontal="left" vertical="center" wrapText="1"/>
    </xf>
    <xf numFmtId="0" fontId="21" fillId="36" borderId="8" xfId="0" applyFont="1" applyFill="1" applyBorder="1" applyAlignment="1">
      <alignment horizontal="right" wrapText="1"/>
    </xf>
    <xf numFmtId="0" fontId="21" fillId="36" borderId="7" xfId="0" applyFont="1" applyFill="1" applyBorder="1" applyAlignment="1">
      <alignment horizontal="right" vertical="center" wrapText="1"/>
    </xf>
    <xf numFmtId="0" fontId="27" fillId="36" borderId="0" xfId="0" applyFont="1" applyFill="1" applyBorder="1" applyAlignment="1">
      <alignment horizontal="right"/>
    </xf>
    <xf numFmtId="0" fontId="24" fillId="36" borderId="12" xfId="0" applyFont="1" applyFill="1" applyBorder="1" applyAlignment="1">
      <alignment horizontal="right" vertical="center" wrapText="1"/>
    </xf>
    <xf numFmtId="0" fontId="24" fillId="36" borderId="13" xfId="0" applyFont="1" applyFill="1" applyBorder="1" applyAlignment="1">
      <alignment horizontal="right" vertical="center" wrapText="1"/>
    </xf>
    <xf numFmtId="0" fontId="24" fillId="36" borderId="11" xfId="0" applyFont="1" applyFill="1" applyBorder="1" applyAlignment="1">
      <alignment horizontal="right" vertical="center" wrapText="1"/>
    </xf>
    <xf numFmtId="3" fontId="24" fillId="36" borderId="11" xfId="0" applyNumberFormat="1" applyFont="1" applyFill="1" applyBorder="1" applyAlignment="1">
      <alignment horizontal="right" vertical="center" wrapText="1"/>
    </xf>
    <xf numFmtId="0" fontId="35" fillId="0" borderId="0" xfId="45" applyBorder="1"/>
    <xf numFmtId="0" fontId="24" fillId="0" borderId="0" xfId="0" applyFont="1" applyBorder="1"/>
    <xf numFmtId="0" fontId="22" fillId="0" borderId="0" xfId="0" applyFont="1" applyBorder="1" applyAlignment="1"/>
    <xf numFmtId="0" fontId="0" fillId="0" borderId="0" xfId="0" applyFont="1" applyBorder="1"/>
    <xf numFmtId="0" fontId="23" fillId="0" borderId="0" xfId="0" applyFont="1" applyBorder="1" applyAlignment="1"/>
    <xf numFmtId="0" fontId="21" fillId="36" borderId="32" xfId="0" applyFont="1" applyFill="1" applyBorder="1" applyAlignment="1">
      <alignment horizontal="center"/>
    </xf>
    <xf numFmtId="0" fontId="21" fillId="36" borderId="16" xfId="0" applyFont="1" applyFill="1" applyBorder="1" applyAlignment="1">
      <alignment horizontal="center"/>
    </xf>
    <xf numFmtId="0" fontId="21" fillId="36" borderId="18" xfId="0" applyFont="1" applyFill="1" applyBorder="1" applyAlignment="1">
      <alignment horizontal="center"/>
    </xf>
    <xf numFmtId="0" fontId="21" fillId="36" borderId="18" xfId="0" applyFont="1" applyFill="1" applyBorder="1" applyAlignment="1">
      <alignment horizontal="center" vertical="center" wrapText="1"/>
    </xf>
    <xf numFmtId="0" fontId="21" fillId="36" borderId="32" xfId="0" applyFont="1" applyFill="1" applyBorder="1" applyAlignment="1">
      <alignment horizontal="center" vertical="center"/>
    </xf>
    <xf numFmtId="0" fontId="21" fillId="36" borderId="16" xfId="0" applyFont="1" applyFill="1" applyBorder="1" applyAlignment="1">
      <alignment horizontal="center" vertical="center"/>
    </xf>
    <xf numFmtId="0" fontId="21" fillId="36" borderId="7" xfId="0" applyFont="1" applyFill="1" applyBorder="1" applyAlignment="1">
      <alignment horizontal="center" vertical="center"/>
    </xf>
    <xf numFmtId="0" fontId="0" fillId="0" borderId="0" xfId="0" applyBorder="1"/>
    <xf numFmtId="0" fontId="21" fillId="32" borderId="7" xfId="0" applyFont="1" applyFill="1" applyBorder="1" applyAlignment="1">
      <alignment horizontal="left" vertical="top" wrapText="1"/>
    </xf>
    <xf numFmtId="0" fontId="21" fillId="32" borderId="32" xfId="0" applyFont="1" applyFill="1" applyBorder="1" applyAlignment="1">
      <alignment horizontal="center"/>
    </xf>
    <xf numFmtId="0" fontId="21" fillId="32" borderId="16" xfId="0" applyFont="1" applyFill="1" applyBorder="1" applyAlignment="1">
      <alignment horizontal="center"/>
    </xf>
    <xf numFmtId="0" fontId="21" fillId="32" borderId="7" xfId="0" applyFont="1" applyFill="1" applyBorder="1" applyAlignment="1">
      <alignment horizontal="center"/>
    </xf>
    <xf numFmtId="0" fontId="21" fillId="32" borderId="18" xfId="0" applyFont="1" applyFill="1" applyBorder="1" applyAlignment="1">
      <alignment horizontal="center"/>
    </xf>
    <xf numFmtId="0" fontId="29" fillId="0" borderId="0" xfId="0" applyFont="1" applyBorder="1"/>
    <xf numFmtId="0" fontId="22" fillId="0" borderId="0" xfId="0" applyFont="1" applyBorder="1" applyAlignment="1">
      <alignment horizontal="left" indent="1"/>
    </xf>
    <xf numFmtId="0" fontId="23" fillId="0" borderId="28" xfId="0" applyFont="1" applyBorder="1"/>
    <xf numFmtId="0" fontId="36" fillId="0" borderId="0" xfId="46" applyBorder="1" applyAlignment="1">
      <alignment horizontal="left" vertical="center"/>
    </xf>
    <xf numFmtId="0" fontId="23"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Border="1" applyAlignment="1">
      <alignment vertical="center"/>
    </xf>
    <xf numFmtId="0" fontId="36" fillId="0" borderId="0" xfId="46" applyBorder="1" applyAlignment="1"/>
    <xf numFmtId="0" fontId="21" fillId="34" borderId="32" xfId="0" applyFont="1" applyFill="1" applyBorder="1" applyAlignment="1">
      <alignment horizontal="center" vertical="center" wrapText="1"/>
    </xf>
    <xf numFmtId="0" fontId="21" fillId="34" borderId="16" xfId="0" applyFont="1" applyFill="1" applyBorder="1" applyAlignment="1">
      <alignment horizontal="center" vertical="center" wrapText="1"/>
    </xf>
    <xf numFmtId="0" fontId="21" fillId="0" borderId="0" xfId="0" applyFont="1" applyBorder="1" applyAlignment="1">
      <alignment horizontal="left" vertical="center"/>
    </xf>
    <xf numFmtId="0" fontId="23" fillId="0" borderId="0" xfId="0" applyFont="1" applyBorder="1" applyAlignment="1">
      <alignment horizontal="left" vertical="center"/>
    </xf>
    <xf numFmtId="0" fontId="23" fillId="0" borderId="0" xfId="0" applyFont="1" applyBorder="1" applyAlignment="1">
      <alignment horizontal="center" vertical="center"/>
    </xf>
    <xf numFmtId="0" fontId="23" fillId="0" borderId="0" xfId="0" applyFont="1" applyBorder="1" applyAlignment="1">
      <alignment horizontal="left"/>
    </xf>
    <xf numFmtId="3" fontId="23" fillId="34" borderId="28" xfId="0" applyNumberFormat="1" applyFont="1" applyFill="1" applyBorder="1" applyAlignment="1">
      <alignment horizontal="right" vertical="center" wrapText="1"/>
    </xf>
    <xf numFmtId="3" fontId="23" fillId="34" borderId="0" xfId="0" applyNumberFormat="1" applyFont="1" applyFill="1" applyBorder="1" applyAlignment="1">
      <alignment horizontal="right" vertical="center" wrapText="1"/>
    </xf>
    <xf numFmtId="3" fontId="21" fillId="34" borderId="13" xfId="0" applyNumberFormat="1" applyFont="1" applyFill="1" applyBorder="1" applyAlignment="1">
      <alignment horizontal="right" vertical="center" wrapText="1"/>
    </xf>
    <xf numFmtId="3" fontId="21" fillId="34" borderId="7" xfId="0" applyNumberFormat="1" applyFont="1" applyFill="1" applyBorder="1" applyAlignment="1">
      <alignment horizontal="right"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vertical="center" wrapText="1"/>
    </xf>
    <xf numFmtId="0" fontId="46" fillId="0" borderId="0" xfId="49" applyFill="1" applyBorder="1" applyAlignment="1">
      <alignment vertical="center" wrapText="1"/>
    </xf>
    <xf numFmtId="0" fontId="36" fillId="0" borderId="0" xfId="46" applyFill="1" applyBorder="1" applyAlignment="1">
      <alignment vertical="center" wrapText="1"/>
    </xf>
    <xf numFmtId="0" fontId="26" fillId="0" borderId="0" xfId="0" applyFont="1" applyFill="1" applyBorder="1" applyAlignment="1">
      <alignment vertical="center" wrapText="1"/>
    </xf>
    <xf numFmtId="0" fontId="49" fillId="0" borderId="0" xfId="48" applyFill="1" applyBorder="1" applyAlignment="1">
      <alignment horizontal="center" vertical="center"/>
    </xf>
    <xf numFmtId="0" fontId="35" fillId="0" borderId="0" xfId="45" applyFill="1" applyBorder="1" applyAlignment="1">
      <alignment vertical="center" wrapText="1"/>
    </xf>
    <xf numFmtId="0" fontId="0" fillId="0" borderId="0" xfId="0" applyAlignment="1">
      <alignment wrapText="1"/>
    </xf>
    <xf numFmtId="0" fontId="0" fillId="0" borderId="0" xfId="0" applyAlignment="1">
      <alignment horizontal="left" wrapText="1"/>
    </xf>
    <xf numFmtId="0" fontId="0" fillId="0" borderId="0" xfId="0"/>
    <xf numFmtId="0" fontId="22" fillId="0" borderId="0" xfId="0" applyFont="1" applyFill="1" applyBorder="1" applyAlignment="1">
      <alignment horizontal="left" vertical="center"/>
    </xf>
    <xf numFmtId="0" fontId="22" fillId="0" borderId="0" xfId="0" applyFont="1" applyFill="1" applyBorder="1" applyAlignment="1">
      <alignment vertical="center"/>
    </xf>
    <xf numFmtId="0" fontId="21" fillId="34" borderId="29" xfId="0" applyFont="1" applyFill="1" applyBorder="1" applyAlignment="1">
      <alignment horizontal="right" vertical="center" wrapText="1"/>
    </xf>
    <xf numFmtId="0" fontId="21" fillId="34" borderId="27" xfId="0" applyFont="1" applyFill="1" applyBorder="1" applyAlignment="1">
      <alignment horizontal="right" vertical="center" wrapText="1"/>
    </xf>
    <xf numFmtId="3" fontId="21" fillId="34" borderId="29" xfId="0" applyNumberFormat="1" applyFont="1" applyFill="1" applyBorder="1" applyAlignment="1">
      <alignment horizontal="right" vertical="center"/>
    </xf>
    <xf numFmtId="3" fontId="21" fillId="34" borderId="27" xfId="0" applyNumberFormat="1" applyFont="1" applyFill="1" applyBorder="1" applyAlignment="1">
      <alignment horizontal="right" vertical="center"/>
    </xf>
    <xf numFmtId="3" fontId="21" fillId="34" borderId="0" xfId="0" applyNumberFormat="1" applyFont="1" applyFill="1" applyBorder="1" applyAlignment="1">
      <alignment horizontal="right" vertical="center"/>
    </xf>
    <xf numFmtId="3" fontId="21" fillId="34" borderId="7" xfId="0" applyNumberFormat="1" applyFont="1" applyFill="1" applyBorder="1" applyAlignment="1">
      <alignment horizontal="right" vertical="center"/>
    </xf>
    <xf numFmtId="3" fontId="21" fillId="34" borderId="29" xfId="0" applyNumberFormat="1" applyFont="1" applyFill="1" applyBorder="1" applyAlignment="1">
      <alignment horizontal="right" vertical="center" wrapText="1"/>
    </xf>
    <xf numFmtId="3" fontId="21" fillId="34" borderId="27" xfId="0" applyNumberFormat="1" applyFont="1" applyFill="1" applyBorder="1" applyAlignment="1">
      <alignment horizontal="right" vertical="center" wrapText="1"/>
    </xf>
    <xf numFmtId="3" fontId="21" fillId="34" borderId="30" xfId="0" applyNumberFormat="1" applyFont="1" applyFill="1" applyBorder="1" applyAlignment="1">
      <alignment horizontal="right" vertical="center"/>
    </xf>
    <xf numFmtId="3" fontId="21" fillId="34" borderId="28" xfId="0" applyNumberFormat="1" applyFont="1" applyFill="1" applyBorder="1" applyAlignment="1">
      <alignment horizontal="right" vertical="center"/>
    </xf>
    <xf numFmtId="0" fontId="21" fillId="34" borderId="31" xfId="0" applyFont="1" applyFill="1" applyBorder="1" applyAlignment="1">
      <alignment horizontal="right" vertical="center" wrapText="1"/>
    </xf>
    <xf numFmtId="3" fontId="22" fillId="0" borderId="30" xfId="0" applyNumberFormat="1" applyFont="1" applyFill="1" applyBorder="1" applyAlignment="1">
      <alignment horizontal="right" vertical="center"/>
    </xf>
    <xf numFmtId="3" fontId="22" fillId="0" borderId="9" xfId="0" applyNumberFormat="1" applyFont="1" applyFill="1" applyBorder="1" applyAlignment="1">
      <alignment horizontal="right" vertical="center"/>
    </xf>
    <xf numFmtId="0" fontId="21" fillId="0" borderId="28" xfId="0" applyFont="1" applyBorder="1" applyAlignment="1">
      <alignment horizontal="right"/>
    </xf>
    <xf numFmtId="3" fontId="21" fillId="0" borderId="0" xfId="0" applyNumberFormat="1" applyFont="1" applyBorder="1" applyAlignment="1">
      <alignment horizontal="right"/>
    </xf>
    <xf numFmtId="3" fontId="21" fillId="0" borderId="7" xfId="0" applyNumberFormat="1" applyFont="1" applyBorder="1" applyAlignment="1">
      <alignment horizontal="right"/>
    </xf>
    <xf numFmtId="0" fontId="21" fillId="34" borderId="28" xfId="0" applyFont="1" applyFill="1" applyBorder="1" applyAlignment="1">
      <alignment horizontal="right"/>
    </xf>
    <xf numFmtId="3" fontId="22" fillId="0" borderId="27" xfId="0" applyNumberFormat="1" applyFont="1" applyBorder="1" applyAlignment="1">
      <alignment horizontal="right" vertical="center"/>
    </xf>
    <xf numFmtId="3" fontId="24" fillId="34" borderId="27" xfId="0" applyNumberFormat="1" applyFont="1" applyFill="1" applyBorder="1" applyAlignment="1">
      <alignment horizontal="right" vertical="center"/>
    </xf>
    <xf numFmtId="0" fontId="21" fillId="32" borderId="29" xfId="0" applyFont="1" applyFill="1" applyBorder="1" applyAlignment="1">
      <alignment horizontal="right" vertical="center"/>
    </xf>
    <xf numFmtId="0" fontId="21" fillId="32" borderId="27" xfId="0" applyFont="1" applyFill="1" applyBorder="1" applyAlignment="1">
      <alignment horizontal="right" vertical="center"/>
    </xf>
    <xf numFmtId="3" fontId="21" fillId="0" borderId="29" xfId="0" applyNumberFormat="1" applyFont="1" applyBorder="1" applyAlignment="1">
      <alignment horizontal="right" vertical="center"/>
    </xf>
    <xf numFmtId="3" fontId="21" fillId="0" borderId="27" xfId="0" applyNumberFormat="1" applyFont="1" applyBorder="1" applyAlignment="1">
      <alignment horizontal="right" vertical="center"/>
    </xf>
    <xf numFmtId="3" fontId="21" fillId="0" borderId="27" xfId="0" applyNumberFormat="1" applyFont="1" applyFill="1" applyBorder="1" applyAlignment="1">
      <alignment horizontal="right" vertical="center"/>
    </xf>
    <xf numFmtId="3" fontId="23" fillId="0" borderId="0" xfId="0" applyNumberFormat="1" applyFont="1" applyFill="1" applyBorder="1" applyAlignment="1">
      <alignment horizontal="right" vertical="center"/>
    </xf>
    <xf numFmtId="3" fontId="21" fillId="0" borderId="29" xfId="0" applyNumberFormat="1" applyFont="1" applyFill="1" applyBorder="1" applyAlignment="1">
      <alignment horizontal="right" vertical="center" wrapText="1"/>
    </xf>
    <xf numFmtId="3" fontId="21" fillId="0" borderId="27" xfId="0" applyNumberFormat="1" applyFont="1" applyFill="1" applyBorder="1" applyAlignment="1">
      <alignment horizontal="right" vertical="center" wrapText="1"/>
    </xf>
    <xf numFmtId="0" fontId="21" fillId="32" borderId="27" xfId="0" applyFont="1" applyFill="1" applyBorder="1" applyAlignment="1">
      <alignment horizontal="right" vertical="center" wrapText="1"/>
    </xf>
    <xf numFmtId="0" fontId="23" fillId="32" borderId="9" xfId="0" applyFont="1" applyFill="1" applyBorder="1" applyAlignment="1">
      <alignment horizontal="right" vertical="center"/>
    </xf>
    <xf numFmtId="3" fontId="23" fillId="32" borderId="0" xfId="0" applyNumberFormat="1" applyFont="1" applyFill="1" applyBorder="1" applyAlignment="1">
      <alignment horizontal="right" vertical="center" wrapText="1"/>
    </xf>
    <xf numFmtId="3" fontId="21" fillId="32" borderId="29" xfId="0" applyNumberFormat="1" applyFont="1" applyFill="1" applyBorder="1" applyAlignment="1">
      <alignment horizontal="right" vertical="top" wrapText="1"/>
    </xf>
    <xf numFmtId="3" fontId="21" fillId="32" borderId="27" xfId="0" applyNumberFormat="1" applyFont="1" applyFill="1" applyBorder="1" applyAlignment="1">
      <alignment horizontal="right" vertical="top" wrapText="1"/>
    </xf>
    <xf numFmtId="0" fontId="21" fillId="32" borderId="29" xfId="0" applyFont="1" applyFill="1" applyBorder="1" applyAlignment="1">
      <alignment horizontal="right" vertical="center" wrapText="1"/>
    </xf>
    <xf numFmtId="3" fontId="23" fillId="0" borderId="30" xfId="0" applyNumberFormat="1" applyFont="1" applyBorder="1" applyAlignment="1">
      <alignment horizontal="right"/>
    </xf>
    <xf numFmtId="3" fontId="23" fillId="0" borderId="28" xfId="0" applyNumberFormat="1" applyFont="1" applyBorder="1" applyAlignment="1">
      <alignment horizontal="right"/>
    </xf>
    <xf numFmtId="9" fontId="23" fillId="0" borderId="28" xfId="0" applyNumberFormat="1" applyFont="1" applyFill="1" applyBorder="1" applyAlignment="1">
      <alignment horizontal="right"/>
    </xf>
    <xf numFmtId="9" fontId="23" fillId="0" borderId="0" xfId="0" applyNumberFormat="1" applyFont="1" applyFill="1" applyBorder="1" applyAlignment="1">
      <alignment horizontal="right"/>
    </xf>
    <xf numFmtId="9" fontId="23" fillId="0" borderId="7" xfId="0" applyNumberFormat="1" applyFont="1" applyFill="1" applyBorder="1" applyAlignment="1">
      <alignment horizontal="right"/>
    </xf>
    <xf numFmtId="0" fontId="23" fillId="0" borderId="30" xfId="0" applyFont="1" applyBorder="1" applyAlignment="1">
      <alignment horizontal="right"/>
    </xf>
    <xf numFmtId="0" fontId="21" fillId="32" borderId="27" xfId="0" applyFont="1" applyFill="1" applyBorder="1" applyAlignment="1">
      <alignment horizontal="right" wrapText="1"/>
    </xf>
    <xf numFmtId="3" fontId="21" fillId="0" borderId="29" xfId="0" applyNumberFormat="1" applyFont="1" applyFill="1" applyBorder="1" applyAlignment="1">
      <alignment horizontal="right" vertical="center"/>
    </xf>
    <xf numFmtId="0" fontId="21" fillId="36" borderId="29" xfId="0" applyFont="1" applyFill="1" applyBorder="1" applyAlignment="1">
      <alignment horizontal="right" vertical="center"/>
    </xf>
    <xf numFmtId="0" fontId="21" fillId="36" borderId="27" xfId="0" applyFont="1" applyFill="1" applyBorder="1" applyAlignment="1">
      <alignment horizontal="right" vertical="center"/>
    </xf>
    <xf numFmtId="3" fontId="23" fillId="0" borderId="29" xfId="0" applyNumberFormat="1" applyFont="1" applyFill="1" applyBorder="1" applyAlignment="1">
      <alignment horizontal="right" vertical="center" wrapText="1"/>
    </xf>
    <xf numFmtId="3" fontId="23" fillId="0" borderId="27" xfId="0" applyNumberFormat="1" applyFont="1" applyFill="1" applyBorder="1" applyAlignment="1">
      <alignment horizontal="right" vertical="center" wrapText="1"/>
    </xf>
    <xf numFmtId="0" fontId="23" fillId="36" borderId="32" xfId="0" applyFont="1" applyFill="1" applyBorder="1" applyAlignment="1">
      <alignment vertical="center" wrapText="1"/>
    </xf>
    <xf numFmtId="0" fontId="21" fillId="36" borderId="31" xfId="0" applyFont="1" applyFill="1" applyBorder="1" applyAlignment="1">
      <alignment vertical="center"/>
    </xf>
    <xf numFmtId="0" fontId="21" fillId="36" borderId="27" xfId="0" applyFont="1" applyFill="1" applyBorder="1" applyAlignment="1">
      <alignment horizontal="right" vertical="center" wrapText="1"/>
    </xf>
    <xf numFmtId="0" fontId="23" fillId="0" borderId="30" xfId="0" applyFont="1" applyFill="1" applyBorder="1" applyAlignment="1">
      <alignment horizontal="right" vertical="center"/>
    </xf>
    <xf numFmtId="3" fontId="21" fillId="0" borderId="29" xfId="0" applyNumberFormat="1" applyFont="1" applyBorder="1" applyAlignment="1">
      <alignment horizontal="right" vertical="center" wrapText="1"/>
    </xf>
    <xf numFmtId="3" fontId="23" fillId="0" borderId="30" xfId="0" applyNumberFormat="1" applyFont="1" applyBorder="1" applyAlignment="1">
      <alignment horizontal="right" vertical="center" wrapText="1"/>
    </xf>
    <xf numFmtId="0" fontId="23" fillId="0" borderId="17" xfId="0" applyFont="1" applyFill="1" applyBorder="1" applyAlignment="1">
      <alignment horizontal="right" vertical="center"/>
    </xf>
    <xf numFmtId="3" fontId="23" fillId="0" borderId="28" xfId="0" applyNumberFormat="1" applyFont="1" applyBorder="1" applyAlignment="1">
      <alignment horizontal="right" vertical="center" wrapText="1"/>
    </xf>
    <xf numFmtId="3" fontId="21" fillId="0" borderId="30" xfId="0" applyNumberFormat="1" applyFont="1" applyBorder="1" applyAlignment="1">
      <alignment horizontal="right" vertical="center" wrapText="1"/>
    </xf>
    <xf numFmtId="3" fontId="21" fillId="0" borderId="9" xfId="0" applyNumberFormat="1" applyFont="1" applyBorder="1" applyAlignment="1">
      <alignment horizontal="right" vertical="center" wrapText="1"/>
    </xf>
    <xf numFmtId="3" fontId="23" fillId="0" borderId="7" xfId="0" applyNumberFormat="1" applyFont="1" applyBorder="1" applyAlignment="1">
      <alignment horizontal="right" vertical="center" wrapText="1"/>
    </xf>
    <xf numFmtId="3" fontId="21" fillId="0" borderId="17" xfId="0" applyNumberFormat="1" applyFont="1" applyBorder="1" applyAlignment="1">
      <alignment horizontal="right" vertical="center" wrapText="1"/>
    </xf>
    <xf numFmtId="0" fontId="21" fillId="36" borderId="29" xfId="0" applyFont="1" applyFill="1" applyBorder="1" applyAlignment="1">
      <alignment horizontal="right" vertical="center" wrapText="1"/>
    </xf>
    <xf numFmtId="3" fontId="23" fillId="0" borderId="30" xfId="0" applyNumberFormat="1" applyFont="1" applyBorder="1" applyAlignment="1">
      <alignment horizontal="right" vertical="center"/>
    </xf>
    <xf numFmtId="0" fontId="23" fillId="0" borderId="28" xfId="0" applyFont="1" applyBorder="1" applyAlignment="1">
      <alignment horizontal="right" vertical="center"/>
    </xf>
    <xf numFmtId="9" fontId="23" fillId="0" borderId="28" xfId="0" applyNumberFormat="1" applyFont="1" applyBorder="1" applyAlignment="1">
      <alignment horizontal="right" vertical="center"/>
    </xf>
    <xf numFmtId="9" fontId="23" fillId="0" borderId="0" xfId="0" applyNumberFormat="1" applyFont="1" applyBorder="1" applyAlignment="1">
      <alignment horizontal="right" vertical="center"/>
    </xf>
    <xf numFmtId="0" fontId="23" fillId="36" borderId="31" xfId="0" applyFont="1" applyFill="1" applyBorder="1" applyAlignment="1">
      <alignment horizontal="left" vertical="center" wrapText="1"/>
    </xf>
    <xf numFmtId="0" fontId="21" fillId="36" borderId="31" xfId="0" applyFont="1" applyFill="1" applyBorder="1" applyAlignment="1">
      <alignment horizontal="left" vertical="top" wrapText="1"/>
    </xf>
    <xf numFmtId="3" fontId="23" fillId="0" borderId="29" xfId="0" applyNumberFormat="1" applyFont="1" applyFill="1" applyBorder="1" applyAlignment="1">
      <alignment horizontal="right" vertical="center"/>
    </xf>
    <xf numFmtId="0" fontId="0" fillId="0" borderId="27" xfId="0" applyFont="1" applyBorder="1" applyAlignment="1">
      <alignment horizontal="right"/>
    </xf>
    <xf numFmtId="3" fontId="21" fillId="36" borderId="29" xfId="0" applyNumberFormat="1" applyFont="1" applyFill="1" applyBorder="1" applyAlignment="1">
      <alignment horizontal="right" vertical="center"/>
    </xf>
    <xf numFmtId="3" fontId="21" fillId="36" borderId="27" xfId="0" applyNumberFormat="1" applyFont="1" applyFill="1" applyBorder="1" applyAlignment="1">
      <alignment horizontal="right" vertical="center" wrapText="1"/>
    </xf>
    <xf numFmtId="0" fontId="27" fillId="36" borderId="9" xfId="0" applyFont="1" applyFill="1" applyBorder="1" applyAlignment="1">
      <alignment horizontal="right"/>
    </xf>
    <xf numFmtId="3" fontId="21" fillId="36" borderId="29" xfId="0" applyNumberFormat="1" applyFont="1" applyFill="1" applyBorder="1" applyAlignment="1">
      <alignment horizontal="right" vertical="center" wrapText="1"/>
    </xf>
    <xf numFmtId="0" fontId="35" fillId="0" borderId="0" xfId="45" applyBorder="1" applyAlignment="1"/>
    <xf numFmtId="0" fontId="21" fillId="33" borderId="29" xfId="0" applyFont="1" applyFill="1" applyBorder="1" applyAlignment="1">
      <alignment horizontal="right" vertical="center" wrapText="1"/>
    </xf>
    <xf numFmtId="3" fontId="21" fillId="33" borderId="29" xfId="0" applyNumberFormat="1" applyFont="1" applyFill="1" applyBorder="1" applyAlignment="1">
      <alignment horizontal="right" vertical="center" wrapText="1"/>
    </xf>
    <xf numFmtId="14" fontId="43" fillId="0" borderId="7" xfId="51" applyNumberFormat="1" applyBorder="1" applyAlignment="1">
      <alignment horizontal="center" vertical="center" wrapText="1"/>
    </xf>
    <xf numFmtId="3" fontId="43" fillId="0" borderId="17" xfId="51" applyNumberFormat="1" applyBorder="1" applyAlignment="1">
      <alignment horizontal="right" vertical="center" wrapText="1"/>
    </xf>
    <xf numFmtId="0" fontId="43" fillId="0" borderId="7" xfId="51" applyFont="1" applyBorder="1" applyAlignment="1">
      <alignment vertical="center" wrapText="1"/>
    </xf>
    <xf numFmtId="0" fontId="43" fillId="0" borderId="7" xfId="51" applyFont="1" applyBorder="1" applyAlignment="1">
      <alignment horizontal="left" vertical="center" wrapText="1"/>
    </xf>
    <xf numFmtId="0" fontId="43" fillId="0" borderId="7" xfId="51" applyFont="1" applyBorder="1" applyAlignment="1">
      <alignment horizontal="center" vertical="center" wrapText="1"/>
    </xf>
    <xf numFmtId="14" fontId="43" fillId="0" borderId="18" xfId="51" applyNumberFormat="1" applyFont="1" applyBorder="1" applyAlignment="1">
      <alignment horizontal="center" vertical="center" wrapText="1"/>
    </xf>
    <xf numFmtId="3" fontId="43" fillId="0" borderId="7" xfId="51" applyNumberFormat="1" applyFont="1" applyBorder="1" applyAlignment="1">
      <alignment horizontal="right" vertical="center" wrapText="1"/>
    </xf>
    <xf numFmtId="3" fontId="43" fillId="0" borderId="18" xfId="51" applyNumberFormat="1" applyFont="1" applyBorder="1" applyAlignment="1">
      <alignment horizontal="right" vertical="center" wrapText="1"/>
    </xf>
    <xf numFmtId="0" fontId="44" fillId="0" borderId="7" xfId="51" applyFont="1" applyBorder="1" applyAlignment="1">
      <alignment vertical="center" wrapText="1"/>
    </xf>
    <xf numFmtId="0" fontId="44" fillId="0" borderId="7" xfId="51" applyFont="1" applyBorder="1" applyAlignment="1">
      <alignment horizontal="left" vertical="center" wrapText="1"/>
    </xf>
    <xf numFmtId="0" fontId="44" fillId="0" borderId="7" xfId="51" applyFont="1" applyBorder="1" applyAlignment="1">
      <alignment horizontal="center" vertical="center" wrapText="1"/>
    </xf>
    <xf numFmtId="14" fontId="44" fillId="0" borderId="18" xfId="51" applyNumberFormat="1" applyFont="1" applyBorder="1" applyAlignment="1">
      <alignment horizontal="center" vertical="center" wrapText="1"/>
    </xf>
    <xf numFmtId="3" fontId="44" fillId="0" borderId="7" xfId="51" applyNumberFormat="1" applyFont="1" applyBorder="1" applyAlignment="1">
      <alignment horizontal="right" vertical="center" wrapText="1"/>
    </xf>
    <xf numFmtId="3" fontId="44" fillId="0" borderId="18" xfId="51" applyNumberFormat="1" applyFont="1" applyBorder="1" applyAlignment="1">
      <alignment horizontal="right" vertical="center" wrapText="1"/>
    </xf>
    <xf numFmtId="3" fontId="45" fillId="34" borderId="29" xfId="52" applyNumberFormat="1" applyFill="1" applyBorder="1" applyAlignment="1">
      <alignment horizontal="right" vertical="center" wrapText="1"/>
    </xf>
    <xf numFmtId="3" fontId="45" fillId="34" borderId="31" xfId="52" applyNumberFormat="1" applyFill="1" applyBorder="1" applyAlignment="1">
      <alignment horizontal="right" vertical="center" wrapText="1"/>
    </xf>
    <xf numFmtId="3" fontId="45" fillId="36" borderId="31" xfId="52" applyNumberFormat="1" applyFill="1" applyBorder="1" applyAlignment="1">
      <alignment horizontal="right" vertical="center" wrapText="1"/>
    </xf>
    <xf numFmtId="3" fontId="45" fillId="32" borderId="31" xfId="52" applyNumberFormat="1" applyFill="1" applyBorder="1" applyAlignment="1">
      <alignment horizontal="right" vertical="center" wrapText="1"/>
    </xf>
    <xf numFmtId="0" fontId="21" fillId="32" borderId="31" xfId="0" applyFont="1" applyFill="1" applyBorder="1" applyAlignment="1">
      <alignment horizontal="center" vertical="center" wrapText="1"/>
    </xf>
    <xf numFmtId="0" fontId="21" fillId="34" borderId="27" xfId="0" applyNumberFormat="1" applyFont="1" applyFill="1" applyBorder="1" applyAlignment="1">
      <alignment horizontal="center" vertical="center" wrapText="1"/>
    </xf>
    <xf numFmtId="0" fontId="22" fillId="0" borderId="27" xfId="0" applyFont="1" applyBorder="1" applyAlignment="1">
      <alignment horizontal="center" vertical="center" wrapText="1"/>
    </xf>
    <xf numFmtId="0" fontId="24" fillId="34" borderId="27" xfId="0" applyFont="1" applyFill="1" applyBorder="1" applyAlignment="1">
      <alignment horizontal="center" vertical="center" wrapText="1"/>
    </xf>
    <xf numFmtId="0" fontId="36" fillId="0" borderId="0" xfId="46" applyAlignment="1">
      <alignment vertical="center" wrapText="1"/>
    </xf>
    <xf numFmtId="0" fontId="21" fillId="32" borderId="31" xfId="0" applyFont="1" applyFill="1" applyBorder="1" applyAlignment="1">
      <alignment horizontal="left" vertical="center"/>
    </xf>
    <xf numFmtId="0" fontId="23" fillId="0" borderId="28" xfId="0" applyFont="1" applyBorder="1" applyAlignment="1">
      <alignment horizontal="right"/>
    </xf>
    <xf numFmtId="0" fontId="21" fillId="32" borderId="28" xfId="0" applyFont="1" applyFill="1" applyBorder="1" applyAlignment="1">
      <alignment horizontal="right"/>
    </xf>
    <xf numFmtId="0" fontId="23" fillId="32" borderId="31" xfId="0" applyFont="1" applyFill="1" applyBorder="1" applyAlignment="1">
      <alignment horizontal="left" vertical="center" wrapText="1"/>
    </xf>
    <xf numFmtId="0" fontId="21" fillId="32" borderId="31" xfId="0" applyFont="1" applyFill="1" applyBorder="1" applyAlignment="1">
      <alignment horizontal="left" vertical="top" wrapText="1"/>
    </xf>
    <xf numFmtId="0" fontId="21" fillId="36" borderId="28" xfId="0" applyFont="1" applyFill="1" applyBorder="1" applyAlignment="1">
      <alignment horizontal="right"/>
    </xf>
    <xf numFmtId="0" fontId="23" fillId="36" borderId="31" xfId="0" applyFont="1" applyFill="1" applyBorder="1" applyAlignment="1">
      <alignment horizontal="left" vertical="center"/>
    </xf>
    <xf numFmtId="0" fontId="22" fillId="33" borderId="31" xfId="0" applyFont="1" applyFill="1" applyBorder="1" applyAlignment="1">
      <alignment horizontal="left" vertical="center" wrapText="1"/>
    </xf>
    <xf numFmtId="0" fontId="24" fillId="33" borderId="31" xfId="0" applyFont="1" applyFill="1" applyBorder="1" applyAlignment="1">
      <alignment horizontal="left" vertical="center" wrapText="1"/>
    </xf>
    <xf numFmtId="0" fontId="0" fillId="0" borderId="0" xfId="0" applyAlignment="1">
      <alignment vertical="center"/>
    </xf>
    <xf numFmtId="0" fontId="47" fillId="0" borderId="0" xfId="53" applyFill="1" applyBorder="1" applyAlignment="1">
      <alignment vertical="center" wrapText="1"/>
    </xf>
    <xf numFmtId="0" fontId="47" fillId="0" borderId="0" xfId="53" applyFill="1" applyBorder="1" applyAlignment="1">
      <alignment vertical="center"/>
    </xf>
    <xf numFmtId="0" fontId="46" fillId="0" borderId="0" xfId="49" applyFill="1" applyBorder="1" applyAlignment="1">
      <alignment vertical="center"/>
    </xf>
    <xf numFmtId="0" fontId="48" fillId="0" borderId="0" xfId="54" applyAlignment="1">
      <alignment wrapText="1"/>
    </xf>
    <xf numFmtId="0" fontId="48" fillId="0" borderId="0" xfId="54" applyAlignment="1">
      <alignment horizontal="left" wrapText="1"/>
    </xf>
    <xf numFmtId="0" fontId="48" fillId="0" borderId="0" xfId="54" applyFill="1" applyBorder="1" applyAlignment="1">
      <alignment vertical="center" wrapText="1"/>
    </xf>
    <xf numFmtId="0" fontId="48" fillId="0" borderId="0" xfId="54" applyFill="1" applyBorder="1" applyAlignment="1">
      <alignment horizontal="left" vertical="center" wrapText="1"/>
    </xf>
    <xf numFmtId="0" fontId="48" fillId="0" borderId="0" xfId="54" applyFill="1" applyBorder="1" applyAlignment="1">
      <alignment horizontal="left" vertical="center" indent="1"/>
    </xf>
    <xf numFmtId="0" fontId="48" fillId="0" borderId="0" xfId="54" applyFill="1" applyBorder="1" applyAlignment="1">
      <alignment vertical="center"/>
    </xf>
    <xf numFmtId="0" fontId="48" fillId="0" borderId="0" xfId="54" applyFill="1" applyBorder="1" applyAlignment="1">
      <alignment horizontal="left" vertical="center"/>
    </xf>
    <xf numFmtId="0" fontId="48" fillId="0" borderId="0" xfId="54" applyAlignment="1"/>
    <xf numFmtId="0" fontId="47" fillId="0" borderId="0" xfId="53" applyAlignment="1"/>
    <xf numFmtId="0" fontId="0" fillId="0" borderId="0" xfId="0" applyAlignment="1"/>
    <xf numFmtId="0" fontId="46" fillId="0" borderId="0" xfId="49" applyAlignment="1"/>
    <xf numFmtId="3" fontId="33" fillId="0" borderId="0" xfId="44" applyNumberFormat="1" applyFill="1" applyAlignment="1">
      <alignment horizontal="right" vertical="center" wrapText="1"/>
    </xf>
    <xf numFmtId="3" fontId="0" fillId="0" borderId="0" xfId="0" applyNumberFormat="1" applyFill="1" applyAlignment="1">
      <alignment horizontal="right"/>
    </xf>
    <xf numFmtId="0" fontId="48" fillId="0" borderId="0" xfId="54" quotePrefix="1" applyFill="1" applyBorder="1" applyAlignment="1">
      <alignment horizontal="left" vertical="center" wrapText="1"/>
    </xf>
    <xf numFmtId="0" fontId="22" fillId="0" borderId="0" xfId="0" applyFont="1" applyFill="1" applyBorder="1" applyAlignment="1">
      <alignment vertical="top"/>
    </xf>
    <xf numFmtId="0" fontId="22" fillId="0" borderId="0" xfId="0" quotePrefix="1" applyFont="1" applyFill="1" applyBorder="1" applyAlignment="1">
      <alignment vertical="top"/>
    </xf>
    <xf numFmtId="0" fontId="48" fillId="0" borderId="0" xfId="54" applyFill="1" applyBorder="1" applyAlignment="1">
      <alignment horizontal="left" vertical="top" wrapText="1" indent="1"/>
    </xf>
    <xf numFmtId="0" fontId="49" fillId="0" borderId="0" xfId="48" applyFill="1" applyBorder="1">
      <alignment horizontal="center" vertical="center"/>
    </xf>
    <xf numFmtId="0" fontId="49" fillId="0" borderId="0" xfId="48" applyFill="1" applyBorder="1" applyAlignment="1">
      <alignment horizontal="center" vertical="center"/>
    </xf>
    <xf numFmtId="0" fontId="35" fillId="0" borderId="0" xfId="45" applyFill="1" applyBorder="1" applyAlignment="1">
      <alignment horizontal="left" vertical="center"/>
    </xf>
    <xf numFmtId="0" fontId="0" fillId="0" borderId="0" xfId="0" applyBorder="1" applyAlignment="1">
      <alignment vertical="top" wrapText="1"/>
    </xf>
    <xf numFmtId="0" fontId="27" fillId="35" borderId="12" xfId="0" applyFont="1" applyFill="1" applyBorder="1" applyAlignment="1">
      <alignment horizontal="left" vertical="center" wrapText="1"/>
    </xf>
    <xf numFmtId="0" fontId="27" fillId="35" borderId="13" xfId="0" applyFont="1" applyFill="1" applyBorder="1" applyAlignment="1">
      <alignment horizontal="left" vertical="center" wrapText="1"/>
    </xf>
    <xf numFmtId="0" fontId="27" fillId="35" borderId="11" xfId="0" applyFont="1" applyFill="1" applyBorder="1" applyAlignment="1">
      <alignment horizontal="left" vertical="center" wrapText="1"/>
    </xf>
    <xf numFmtId="0" fontId="35" fillId="0" borderId="0" xfId="45" applyAlignment="1">
      <alignment horizontal="left"/>
    </xf>
    <xf numFmtId="0" fontId="21" fillId="34" borderId="32" xfId="0" applyFont="1" applyFill="1" applyBorder="1" applyAlignment="1">
      <alignment horizontal="center" vertical="center" wrapText="1"/>
    </xf>
    <xf numFmtId="0" fontId="21" fillId="34" borderId="16" xfId="0" applyFont="1" applyFill="1" applyBorder="1" applyAlignment="1">
      <alignment horizontal="center" vertical="center" wrapText="1"/>
    </xf>
    <xf numFmtId="0" fontId="21" fillId="34" borderId="18" xfId="0" applyFont="1" applyFill="1" applyBorder="1" applyAlignment="1">
      <alignment horizontal="center" vertical="center" wrapText="1"/>
    </xf>
    <xf numFmtId="0" fontId="24" fillId="34" borderId="11" xfId="0" applyFont="1" applyFill="1" applyBorder="1" applyAlignment="1">
      <alignment horizontal="left" vertical="center" wrapText="1"/>
    </xf>
    <xf numFmtId="0" fontId="24" fillId="34" borderId="3" xfId="0" applyFont="1" applyFill="1" applyBorder="1" applyAlignment="1">
      <alignment horizontal="left" vertical="center" wrapText="1"/>
    </xf>
    <xf numFmtId="0" fontId="24" fillId="34" borderId="12" xfId="0" applyFont="1" applyFill="1" applyBorder="1" applyAlignment="1">
      <alignment horizontal="left" vertical="center" wrapText="1"/>
    </xf>
    <xf numFmtId="0" fontId="21" fillId="34" borderId="11" xfId="0" applyFont="1" applyFill="1" applyBorder="1" applyAlignment="1">
      <alignment horizontal="left" vertical="center" wrapText="1"/>
    </xf>
    <xf numFmtId="0" fontId="21" fillId="34" borderId="3" xfId="0" applyFont="1" applyFill="1" applyBorder="1" applyAlignment="1">
      <alignment horizontal="left" vertical="center" wrapText="1"/>
    </xf>
    <xf numFmtId="0" fontId="21" fillId="34" borderId="12" xfId="0" applyFont="1" applyFill="1" applyBorder="1" applyAlignment="1">
      <alignment horizontal="left" vertical="center" wrapText="1"/>
    </xf>
    <xf numFmtId="0" fontId="21" fillId="34" borderId="33" xfId="0" applyFont="1" applyFill="1" applyBorder="1" applyAlignment="1">
      <alignment horizontal="center" vertical="center" wrapText="1"/>
    </xf>
    <xf numFmtId="0" fontId="21" fillId="34" borderId="5" xfId="0" applyFont="1" applyFill="1" applyBorder="1" applyAlignment="1">
      <alignment horizontal="center" vertical="center" wrapText="1"/>
    </xf>
    <xf numFmtId="0" fontId="21" fillId="34" borderId="6" xfId="0" applyFont="1" applyFill="1" applyBorder="1" applyAlignment="1">
      <alignment horizontal="center" vertical="center" wrapText="1"/>
    </xf>
    <xf numFmtId="0" fontId="24" fillId="34" borderId="30" xfId="0" applyFont="1" applyFill="1" applyBorder="1" applyAlignment="1">
      <alignment horizontal="left" vertical="center" wrapText="1"/>
    </xf>
    <xf numFmtId="0" fontId="24" fillId="34" borderId="9" xfId="0" applyFont="1" applyFill="1" applyBorder="1" applyAlignment="1">
      <alignment horizontal="left" vertical="center" wrapText="1"/>
    </xf>
    <xf numFmtId="0" fontId="24" fillId="34" borderId="17" xfId="0" applyFont="1" applyFill="1" applyBorder="1" applyAlignment="1">
      <alignment horizontal="left" vertical="center" wrapText="1"/>
    </xf>
    <xf numFmtId="0" fontId="21" fillId="34" borderId="12"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21" fillId="34" borderId="11" xfId="0" applyFont="1" applyFill="1" applyBorder="1" applyAlignment="1">
      <alignment horizontal="center" vertical="center" wrapText="1"/>
    </xf>
    <xf numFmtId="0" fontId="21" fillId="34" borderId="32" xfId="0" applyFont="1" applyFill="1" applyBorder="1" applyAlignment="1">
      <alignment horizontal="left" vertical="center" wrapText="1"/>
    </xf>
    <xf numFmtId="0" fontId="21" fillId="34" borderId="18" xfId="0" applyFont="1" applyFill="1" applyBorder="1" applyAlignment="1">
      <alignment horizontal="left" vertical="center" wrapText="1"/>
    </xf>
    <xf numFmtId="0" fontId="21" fillId="34" borderId="30" xfId="0" applyFont="1" applyFill="1" applyBorder="1" applyAlignment="1">
      <alignment vertical="center" wrapText="1"/>
    </xf>
    <xf numFmtId="0" fontId="21" fillId="34" borderId="9" xfId="0" applyFont="1" applyFill="1" applyBorder="1" applyAlignment="1">
      <alignment vertical="center" wrapText="1"/>
    </xf>
    <xf numFmtId="0" fontId="21" fillId="34" borderId="17" xfId="0" applyFont="1" applyFill="1" applyBorder="1" applyAlignment="1">
      <alignment vertical="center" wrapText="1"/>
    </xf>
    <xf numFmtId="0" fontId="35" fillId="0" borderId="0" xfId="45"/>
    <xf numFmtId="0" fontId="21" fillId="34" borderId="32" xfId="0" applyFont="1" applyFill="1" applyBorder="1" applyAlignment="1">
      <alignment horizontal="center" vertical="center" textRotation="90" wrapText="1"/>
    </xf>
    <xf numFmtId="0" fontId="21" fillId="34" borderId="16" xfId="0" applyFont="1" applyFill="1" applyBorder="1" applyAlignment="1">
      <alignment horizontal="center" vertical="center" textRotation="90" wrapText="1"/>
    </xf>
    <xf numFmtId="0" fontId="21" fillId="34" borderId="18" xfId="0" applyFont="1" applyFill="1" applyBorder="1" applyAlignment="1">
      <alignment horizontal="center" vertical="center" textRotation="90" wrapText="1"/>
    </xf>
    <xf numFmtId="0" fontId="23" fillId="34" borderId="13" xfId="0" applyFont="1" applyFill="1" applyBorder="1" applyAlignment="1">
      <alignment horizontal="center" vertical="center" wrapText="1"/>
    </xf>
    <xf numFmtId="0" fontId="21" fillId="34" borderId="28" xfId="0" applyFont="1" applyFill="1" applyBorder="1" applyAlignment="1">
      <alignment horizontal="left" vertical="center" wrapText="1"/>
    </xf>
    <xf numFmtId="0" fontId="23" fillId="34" borderId="28" xfId="0" applyFont="1" applyFill="1" applyBorder="1" applyAlignment="1">
      <alignment horizontal="left" vertical="center"/>
    </xf>
    <xf numFmtId="0" fontId="23" fillId="34" borderId="7" xfId="0" applyFont="1" applyFill="1" applyBorder="1" applyAlignment="1">
      <alignment horizontal="left" vertical="center"/>
    </xf>
    <xf numFmtId="0" fontId="21" fillId="34" borderId="7" xfId="0" applyFont="1" applyFill="1" applyBorder="1" applyAlignment="1">
      <alignment horizontal="left" vertical="center" wrapText="1"/>
    </xf>
    <xf numFmtId="0" fontId="21" fillId="34" borderId="15" xfId="0" applyFont="1" applyFill="1" applyBorder="1" applyAlignment="1">
      <alignment horizontal="left" vertical="center" wrapText="1"/>
    </xf>
    <xf numFmtId="0" fontId="23" fillId="34" borderId="18" xfId="0" applyFont="1" applyFill="1" applyBorder="1" applyAlignment="1">
      <alignment horizontal="left" vertical="center"/>
    </xf>
    <xf numFmtId="0" fontId="21" fillId="34" borderId="0" xfId="0" applyFont="1" applyFill="1" applyBorder="1" applyAlignment="1">
      <alignment horizontal="left" vertical="center" wrapText="1"/>
    </xf>
    <xf numFmtId="0" fontId="21" fillId="34" borderId="8" xfId="0" applyFont="1" applyFill="1" applyBorder="1" applyAlignment="1">
      <alignment horizontal="left" vertical="center" wrapText="1"/>
    </xf>
    <xf numFmtId="0" fontId="21" fillId="34" borderId="3" xfId="0" applyFont="1" applyFill="1" applyBorder="1" applyAlignment="1">
      <alignment horizontal="center" vertical="center" textRotation="90"/>
    </xf>
    <xf numFmtId="0" fontId="21" fillId="34" borderId="13" xfId="0" applyFont="1" applyFill="1" applyBorder="1" applyAlignment="1">
      <alignment horizontal="left" vertical="center" wrapText="1"/>
    </xf>
    <xf numFmtId="0" fontId="21" fillId="34" borderId="27" xfId="0" applyFont="1" applyFill="1" applyBorder="1" applyAlignment="1">
      <alignment horizontal="left" vertical="center" wrapText="1"/>
    </xf>
    <xf numFmtId="0" fontId="21" fillId="34" borderId="31" xfId="0" applyFont="1" applyFill="1" applyBorder="1" applyAlignment="1">
      <alignment horizontal="left" vertical="center" wrapText="1"/>
    </xf>
    <xf numFmtId="0" fontId="21" fillId="34" borderId="17" xfId="0" applyFont="1" applyFill="1" applyBorder="1" applyAlignment="1">
      <alignment horizontal="center" vertical="center"/>
    </xf>
    <xf numFmtId="0" fontId="21" fillId="34" borderId="18" xfId="0" applyFont="1" applyFill="1" applyBorder="1" applyAlignment="1">
      <alignment horizontal="center" vertical="center"/>
    </xf>
    <xf numFmtId="0" fontId="21" fillId="34" borderId="17" xfId="0" applyFont="1" applyFill="1" applyBorder="1" applyAlignment="1">
      <alignment horizontal="center" vertical="center" wrapText="1"/>
    </xf>
    <xf numFmtId="0" fontId="21" fillId="34" borderId="4" xfId="0" applyFont="1" applyFill="1" applyBorder="1" applyAlignment="1">
      <alignment horizontal="center" vertical="center" textRotation="90"/>
    </xf>
    <xf numFmtId="0" fontId="21" fillId="34" borderId="5" xfId="0" applyFont="1" applyFill="1" applyBorder="1" applyAlignment="1">
      <alignment horizontal="center" vertical="center" textRotation="90"/>
    </xf>
    <xf numFmtId="0" fontId="21" fillId="34" borderId="6" xfId="0" applyFont="1" applyFill="1" applyBorder="1" applyAlignment="1">
      <alignment horizontal="center" vertical="center" textRotation="90"/>
    </xf>
    <xf numFmtId="0" fontId="21" fillId="34" borderId="4" xfId="0" applyFont="1" applyFill="1" applyBorder="1" applyAlignment="1">
      <alignment horizontal="center" vertical="center" textRotation="90" wrapText="1"/>
    </xf>
    <xf numFmtId="0" fontId="21" fillId="34" borderId="5" xfId="0" applyFont="1" applyFill="1" applyBorder="1" applyAlignment="1">
      <alignment horizontal="center" vertical="center" textRotation="90" wrapText="1"/>
    </xf>
    <xf numFmtId="0" fontId="21" fillId="34" borderId="6" xfId="0" applyFont="1" applyFill="1" applyBorder="1" applyAlignment="1">
      <alignment horizontal="center" vertical="center" textRotation="90" wrapText="1"/>
    </xf>
    <xf numFmtId="0" fontId="21" fillId="34" borderId="16" xfId="0" applyFont="1" applyFill="1" applyBorder="1" applyAlignment="1">
      <alignment horizontal="left" vertical="center" wrapText="1"/>
    </xf>
    <xf numFmtId="0" fontId="21" fillId="34" borderId="14" xfId="0" applyFont="1" applyFill="1" applyBorder="1" applyAlignment="1">
      <alignment horizontal="center"/>
    </xf>
    <xf numFmtId="0" fontId="21" fillId="34" borderId="15" xfId="0" applyFont="1" applyFill="1" applyBorder="1" applyAlignment="1">
      <alignment horizontal="center"/>
    </xf>
    <xf numFmtId="0" fontId="21" fillId="34" borderId="30" xfId="0" applyFont="1" applyFill="1" applyBorder="1" applyAlignment="1">
      <alignment horizontal="center" vertical="center"/>
    </xf>
    <xf numFmtId="0" fontId="21" fillId="34" borderId="28" xfId="0" applyFont="1" applyFill="1" applyBorder="1" applyAlignment="1">
      <alignment horizontal="center" vertical="center"/>
    </xf>
    <xf numFmtId="0" fontId="21" fillId="34" borderId="7" xfId="0" applyFont="1" applyFill="1" applyBorder="1" applyAlignment="1">
      <alignment horizontal="center" vertical="center"/>
    </xf>
    <xf numFmtId="0" fontId="23" fillId="0" borderId="8" xfId="0" applyFont="1" applyFill="1" applyBorder="1" applyAlignment="1">
      <alignment horizontal="left" wrapText="1"/>
    </xf>
    <xf numFmtId="0" fontId="31" fillId="0" borderId="7" xfId="0" applyFont="1" applyBorder="1"/>
    <xf numFmtId="0" fontId="36" fillId="0" borderId="0" xfId="46"/>
    <xf numFmtId="0" fontId="21" fillId="34" borderId="8" xfId="0" applyFont="1" applyFill="1" applyBorder="1" applyAlignment="1">
      <alignment horizontal="center"/>
    </xf>
    <xf numFmtId="0" fontId="21" fillId="34" borderId="29" xfId="0" applyFont="1" applyFill="1" applyBorder="1" applyAlignment="1">
      <alignment horizontal="center"/>
    </xf>
    <xf numFmtId="0" fontId="21" fillId="34" borderId="27" xfId="0" applyFont="1" applyFill="1" applyBorder="1" applyAlignment="1">
      <alignment horizontal="center"/>
    </xf>
    <xf numFmtId="0" fontId="21" fillId="34" borderId="30" xfId="0" applyFont="1" applyFill="1" applyBorder="1" applyAlignment="1">
      <alignment horizontal="right" vertical="center" wrapText="1"/>
    </xf>
    <xf numFmtId="0" fontId="21" fillId="34" borderId="17" xfId="0" applyFont="1" applyFill="1" applyBorder="1" applyAlignment="1">
      <alignment horizontal="right" vertical="center" wrapText="1"/>
    </xf>
    <xf numFmtId="0" fontId="21" fillId="34" borderId="34" xfId="0" applyFont="1" applyFill="1" applyBorder="1" applyAlignment="1">
      <alignment horizontal="center" vertical="center" wrapText="1"/>
    </xf>
    <xf numFmtId="0" fontId="21" fillId="34" borderId="29" xfId="0" applyFont="1" applyFill="1" applyBorder="1" applyAlignment="1">
      <alignment horizontal="center" vertical="center" wrapText="1"/>
    </xf>
    <xf numFmtId="0" fontId="21" fillId="34" borderId="31" xfId="0" applyFont="1" applyFill="1" applyBorder="1" applyAlignment="1">
      <alignment horizontal="center" vertical="center" wrapText="1"/>
    </xf>
    <xf numFmtId="0" fontId="36" fillId="0" borderId="0" xfId="46" applyBorder="1" applyAlignment="1"/>
    <xf numFmtId="0" fontId="21" fillId="34" borderId="28" xfId="0" applyFont="1" applyFill="1" applyBorder="1" applyAlignment="1">
      <alignment horizontal="right" vertical="center" wrapText="1"/>
    </xf>
    <xf numFmtId="0" fontId="21" fillId="34" borderId="7" xfId="0" applyFont="1" applyFill="1" applyBorder="1" applyAlignment="1">
      <alignment horizontal="right" vertical="center" wrapText="1"/>
    </xf>
    <xf numFmtId="0" fontId="21" fillId="34" borderId="28" xfId="0" applyFont="1" applyFill="1" applyBorder="1" applyAlignment="1">
      <alignment horizontal="left" vertical="center"/>
    </xf>
    <xf numFmtId="0" fontId="21" fillId="34" borderId="7" xfId="0" applyFont="1" applyFill="1" applyBorder="1" applyAlignment="1">
      <alignment horizontal="left" vertical="center"/>
    </xf>
    <xf numFmtId="0" fontId="23" fillId="0" borderId="0" xfId="0" applyFont="1" applyBorder="1" applyAlignment="1">
      <alignment vertical="center" wrapText="1"/>
    </xf>
    <xf numFmtId="0" fontId="21" fillId="34" borderId="28" xfId="0" applyFont="1" applyFill="1" applyBorder="1" applyAlignment="1">
      <alignment vertical="center" wrapText="1"/>
    </xf>
    <xf numFmtId="0" fontId="21" fillId="34" borderId="0" xfId="0" applyFont="1" applyFill="1" applyBorder="1" applyAlignment="1">
      <alignment vertical="center" wrapText="1"/>
    </xf>
    <xf numFmtId="0" fontId="21" fillId="34" borderId="7" xfId="0" applyFont="1" applyFill="1" applyBorder="1" applyAlignment="1">
      <alignment vertical="center" wrapText="1"/>
    </xf>
    <xf numFmtId="0" fontId="35" fillId="0" borderId="0" xfId="45" applyAlignment="1">
      <alignment vertical="center"/>
    </xf>
    <xf numFmtId="0" fontId="21" fillId="34" borderId="27" xfId="0" applyFont="1" applyFill="1" applyBorder="1" applyAlignment="1">
      <alignment horizontal="left" vertical="center"/>
    </xf>
    <xf numFmtId="0" fontId="21" fillId="32" borderId="27" xfId="0" applyFont="1" applyFill="1" applyBorder="1" applyAlignment="1">
      <alignment horizontal="left" vertical="center" wrapText="1"/>
    </xf>
    <xf numFmtId="0" fontId="21" fillId="32" borderId="31" xfId="0" applyFont="1" applyFill="1" applyBorder="1" applyAlignment="1">
      <alignment horizontal="left" vertical="center" wrapText="1"/>
    </xf>
    <xf numFmtId="0" fontId="21" fillId="32" borderId="12" xfId="0" applyFont="1" applyFill="1" applyBorder="1" applyAlignment="1">
      <alignment horizontal="center" vertical="center" wrapText="1"/>
    </xf>
    <xf numFmtId="0" fontId="21" fillId="32" borderId="13" xfId="0" applyFont="1" applyFill="1" applyBorder="1" applyAlignment="1">
      <alignment horizontal="center" vertical="center" wrapText="1"/>
    </xf>
    <xf numFmtId="0" fontId="21" fillId="32" borderId="11" xfId="0" applyFont="1" applyFill="1" applyBorder="1" applyAlignment="1">
      <alignment horizontal="center" vertical="center" wrapText="1"/>
    </xf>
    <xf numFmtId="0" fontId="24" fillId="32" borderId="15" xfId="0" applyFont="1" applyFill="1" applyBorder="1" applyAlignment="1">
      <alignment horizontal="center" vertical="center" textRotation="90"/>
    </xf>
    <xf numFmtId="0" fontId="24" fillId="32" borderId="16" xfId="0" applyFont="1" applyFill="1" applyBorder="1" applyAlignment="1">
      <alignment horizontal="center" vertical="center" textRotation="90"/>
    </xf>
    <xf numFmtId="0" fontId="24" fillId="32" borderId="18" xfId="0" applyFont="1" applyFill="1" applyBorder="1" applyAlignment="1">
      <alignment horizontal="center" vertical="center" textRotation="90"/>
    </xf>
    <xf numFmtId="0" fontId="24" fillId="32" borderId="32" xfId="0" applyFont="1" applyFill="1" applyBorder="1" applyAlignment="1">
      <alignment horizontal="center" vertical="center" textRotation="90"/>
    </xf>
    <xf numFmtId="0" fontId="21" fillId="32" borderId="29" xfId="0" applyFont="1" applyFill="1" applyBorder="1" applyAlignment="1">
      <alignment horizontal="center" vertical="center"/>
    </xf>
    <xf numFmtId="0" fontId="21" fillId="32" borderId="27" xfId="0" applyFont="1" applyFill="1" applyBorder="1" applyAlignment="1">
      <alignment horizontal="center" vertical="center"/>
    </xf>
    <xf numFmtId="0" fontId="21" fillId="32" borderId="28" xfId="0" applyFont="1" applyFill="1" applyBorder="1" applyAlignment="1">
      <alignment horizontal="left" vertical="center"/>
    </xf>
    <xf numFmtId="0" fontId="21" fillId="32" borderId="32" xfId="0" applyFont="1" applyFill="1" applyBorder="1" applyAlignment="1">
      <alignment horizontal="left" vertical="center"/>
    </xf>
    <xf numFmtId="0" fontId="21" fillId="32" borderId="7" xfId="0" applyFont="1" applyFill="1" applyBorder="1" applyAlignment="1">
      <alignment horizontal="left" vertical="center"/>
    </xf>
    <xf numFmtId="0" fontId="21" fillId="32" borderId="18" xfId="0" applyFont="1" applyFill="1" applyBorder="1" applyAlignment="1">
      <alignment horizontal="left" vertical="center"/>
    </xf>
    <xf numFmtId="0" fontId="21" fillId="32" borderId="12" xfId="0" applyFont="1" applyFill="1" applyBorder="1" applyAlignment="1">
      <alignment horizontal="left" vertical="center" wrapText="1"/>
    </xf>
    <xf numFmtId="0" fontId="21" fillId="32" borderId="11" xfId="0" applyFont="1" applyFill="1" applyBorder="1" applyAlignment="1">
      <alignment horizontal="left" vertical="center" wrapText="1"/>
    </xf>
    <xf numFmtId="0" fontId="23" fillId="32" borderId="34" xfId="0" applyFont="1" applyFill="1" applyBorder="1" applyAlignment="1">
      <alignment horizontal="left" vertical="center"/>
    </xf>
    <xf numFmtId="0" fontId="23" fillId="32" borderId="29" xfId="0" applyFont="1" applyFill="1" applyBorder="1" applyAlignment="1">
      <alignment horizontal="left" vertical="center"/>
    </xf>
    <xf numFmtId="0" fontId="23" fillId="32" borderId="31" xfId="0" applyFont="1" applyFill="1" applyBorder="1" applyAlignment="1">
      <alignment horizontal="left" vertical="center"/>
    </xf>
    <xf numFmtId="0" fontId="23" fillId="0" borderId="0" xfId="0" applyFont="1" applyFill="1" applyAlignment="1">
      <alignment horizontal="left" vertical="center" wrapText="1"/>
    </xf>
    <xf numFmtId="0" fontId="36" fillId="0" borderId="0" xfId="46" applyBorder="1"/>
    <xf numFmtId="0" fontId="21" fillId="32" borderId="14" xfId="0" applyFont="1" applyFill="1" applyBorder="1" applyAlignment="1">
      <alignment horizontal="center"/>
    </xf>
    <xf numFmtId="0" fontId="21" fillId="32" borderId="15" xfId="0" applyFont="1" applyFill="1" applyBorder="1" applyAlignment="1">
      <alignment horizontal="center"/>
    </xf>
    <xf numFmtId="0" fontId="21" fillId="32" borderId="30" xfId="0" applyFont="1" applyFill="1" applyBorder="1" applyAlignment="1">
      <alignment horizontal="center" vertical="center"/>
    </xf>
    <xf numFmtId="0" fontId="21" fillId="32" borderId="28" xfId="0" applyFont="1" applyFill="1" applyBorder="1" applyAlignment="1">
      <alignment horizontal="center" vertical="center"/>
    </xf>
    <xf numFmtId="0" fontId="21" fillId="32" borderId="17" xfId="0" applyFont="1" applyFill="1" applyBorder="1" applyAlignment="1">
      <alignment horizontal="center" vertical="center"/>
    </xf>
    <xf numFmtId="0" fontId="21" fillId="32" borderId="7" xfId="0" applyFont="1" applyFill="1" applyBorder="1" applyAlignment="1">
      <alignment horizontal="center" vertical="center"/>
    </xf>
    <xf numFmtId="0" fontId="21" fillId="32" borderId="28" xfId="0" applyFont="1" applyFill="1" applyBorder="1" applyAlignment="1">
      <alignment horizontal="left" vertical="center" wrapText="1"/>
    </xf>
    <xf numFmtId="0" fontId="21" fillId="32" borderId="32" xfId="0" applyFont="1" applyFill="1" applyBorder="1" applyAlignment="1">
      <alignment horizontal="left" vertical="center" wrapText="1"/>
    </xf>
    <xf numFmtId="0" fontId="21" fillId="32" borderId="0" xfId="0" applyFont="1" applyFill="1" applyBorder="1" applyAlignment="1">
      <alignment horizontal="left" vertical="center" wrapText="1"/>
    </xf>
    <xf numFmtId="0" fontId="21" fillId="32" borderId="16" xfId="0" applyFont="1" applyFill="1" applyBorder="1" applyAlignment="1">
      <alignment horizontal="left" vertical="center" wrapText="1"/>
    </xf>
    <xf numFmtId="0" fontId="21" fillId="32" borderId="7" xfId="0" applyFont="1" applyFill="1" applyBorder="1" applyAlignment="1">
      <alignment horizontal="left" vertical="center" wrapText="1"/>
    </xf>
    <xf numFmtId="0" fontId="21" fillId="32" borderId="18" xfId="0" applyFont="1" applyFill="1" applyBorder="1" applyAlignment="1">
      <alignment horizontal="left" vertical="center" wrapText="1"/>
    </xf>
    <xf numFmtId="0" fontId="21" fillId="32" borderId="17" xfId="0" applyFont="1" applyFill="1" applyBorder="1" applyAlignment="1">
      <alignment horizontal="center" vertical="center" wrapText="1"/>
    </xf>
    <xf numFmtId="0" fontId="21" fillId="32" borderId="18" xfId="0" applyFont="1" applyFill="1" applyBorder="1" applyAlignment="1">
      <alignment horizontal="center" vertical="center" wrapText="1"/>
    </xf>
    <xf numFmtId="0" fontId="21" fillId="32" borderId="32" xfId="0" applyFont="1" applyFill="1" applyBorder="1" applyAlignment="1">
      <alignment horizontal="center" vertical="center" textRotation="90" wrapText="1"/>
    </xf>
    <xf numFmtId="0" fontId="23" fillId="32" borderId="16" xfId="0" applyFont="1" applyFill="1" applyBorder="1" applyAlignment="1">
      <alignment horizontal="center" vertical="center" wrapText="1"/>
    </xf>
    <xf numFmtId="0" fontId="23" fillId="32" borderId="18" xfId="0" applyFont="1" applyFill="1" applyBorder="1" applyAlignment="1">
      <alignment horizontal="center" vertical="center" wrapText="1"/>
    </xf>
    <xf numFmtId="0" fontId="23" fillId="32" borderId="27" xfId="0" applyFont="1" applyFill="1" applyBorder="1" applyAlignment="1">
      <alignment horizontal="left" vertical="center"/>
    </xf>
    <xf numFmtId="0" fontId="23" fillId="32" borderId="27" xfId="0" applyFont="1" applyFill="1" applyBorder="1" applyAlignment="1">
      <alignment horizontal="left" vertical="center" wrapText="1"/>
    </xf>
    <xf numFmtId="0" fontId="23" fillId="32" borderId="18" xfId="0" applyFont="1" applyFill="1" applyBorder="1" applyAlignment="1">
      <alignment horizontal="left" vertical="center" wrapText="1"/>
    </xf>
    <xf numFmtId="0" fontId="21" fillId="32" borderId="34" xfId="0" applyFont="1" applyFill="1" applyBorder="1" applyAlignment="1">
      <alignment horizontal="center" vertical="center" textRotation="90" wrapText="1"/>
    </xf>
    <xf numFmtId="0" fontId="23" fillId="32" borderId="34" xfId="0" applyFont="1" applyFill="1" applyBorder="1" applyAlignment="1">
      <alignment horizontal="center" vertical="center" wrapText="1"/>
    </xf>
    <xf numFmtId="0" fontId="21" fillId="32" borderId="29" xfId="0" applyFont="1" applyFill="1" applyBorder="1" applyAlignment="1">
      <alignment horizontal="left" vertical="center" wrapText="1"/>
    </xf>
    <xf numFmtId="0" fontId="23" fillId="32" borderId="29" xfId="0" applyFont="1" applyFill="1" applyBorder="1" applyAlignment="1">
      <alignment horizontal="left" vertical="center" wrapText="1"/>
    </xf>
    <xf numFmtId="0" fontId="21" fillId="32" borderId="29" xfId="0" applyFont="1" applyFill="1" applyBorder="1" applyAlignment="1">
      <alignment vertical="center" wrapText="1"/>
    </xf>
    <xf numFmtId="0" fontId="23" fillId="32" borderId="18" xfId="0" applyFont="1" applyFill="1" applyBorder="1" applyAlignment="1">
      <alignment vertical="center" wrapText="1"/>
    </xf>
    <xf numFmtId="0" fontId="21" fillId="32" borderId="34" xfId="0" applyFont="1" applyFill="1" applyBorder="1" applyAlignment="1">
      <alignment horizontal="left" vertical="center" wrapText="1"/>
    </xf>
    <xf numFmtId="0" fontId="23" fillId="32" borderId="34" xfId="0" applyFont="1" applyFill="1" applyBorder="1" applyAlignment="1">
      <alignment horizontal="left" vertical="center" wrapText="1"/>
    </xf>
    <xf numFmtId="0" fontId="21" fillId="32" borderId="33" xfId="0" applyFont="1" applyFill="1" applyBorder="1" applyAlignment="1">
      <alignment horizontal="center" vertical="center" textRotation="90" wrapText="1"/>
    </xf>
    <xf numFmtId="0" fontId="21" fillId="32" borderId="5" xfId="0" applyFont="1" applyFill="1" applyBorder="1" applyAlignment="1">
      <alignment horizontal="center" vertical="center" textRotation="90" wrapText="1"/>
    </xf>
    <xf numFmtId="0" fontId="21" fillId="32" borderId="6" xfId="0" applyFont="1" applyFill="1" applyBorder="1" applyAlignment="1">
      <alignment horizontal="center" vertical="center" textRotation="90" wrapText="1"/>
    </xf>
    <xf numFmtId="0" fontId="21" fillId="32" borderId="28" xfId="0" applyFont="1" applyFill="1" applyBorder="1" applyAlignment="1">
      <alignment horizontal="right" vertical="center" wrapText="1"/>
    </xf>
    <xf numFmtId="0" fontId="21" fillId="32" borderId="7" xfId="0" applyFont="1" applyFill="1" applyBorder="1" applyAlignment="1">
      <alignment horizontal="right" vertical="center" wrapText="1"/>
    </xf>
    <xf numFmtId="0" fontId="21" fillId="32" borderId="7" xfId="0" applyFont="1" applyFill="1" applyBorder="1" applyAlignment="1">
      <alignment horizontal="center" vertical="center" wrapText="1"/>
    </xf>
    <xf numFmtId="0" fontId="21" fillId="32" borderId="30" xfId="0" applyFont="1" applyFill="1" applyBorder="1" applyAlignment="1">
      <alignment horizontal="center" vertical="center" wrapText="1"/>
    </xf>
    <xf numFmtId="0" fontId="21" fillId="32" borderId="28" xfId="0" applyFont="1" applyFill="1" applyBorder="1" applyAlignment="1">
      <alignment horizontal="center" vertical="center" wrapText="1"/>
    </xf>
    <xf numFmtId="0" fontId="21" fillId="32" borderId="31" xfId="0" applyFont="1" applyFill="1" applyBorder="1" applyAlignment="1">
      <alignment horizontal="center" vertical="center"/>
    </xf>
    <xf numFmtId="0" fontId="21" fillId="32" borderId="14" xfId="0" applyFont="1" applyFill="1" applyBorder="1" applyAlignment="1">
      <alignment horizontal="center" vertical="center" wrapText="1"/>
    </xf>
    <xf numFmtId="0" fontId="23" fillId="32" borderId="8" xfId="0" applyFont="1" applyFill="1" applyBorder="1" applyAlignment="1">
      <alignment horizontal="center" vertical="center" wrapText="1"/>
    </xf>
    <xf numFmtId="0" fontId="21" fillId="32" borderId="15" xfId="0" applyFont="1" applyFill="1" applyBorder="1" applyAlignment="1">
      <alignment horizontal="center" vertical="center" wrapText="1"/>
    </xf>
    <xf numFmtId="0" fontId="23" fillId="32" borderId="15" xfId="0" applyFont="1" applyFill="1" applyBorder="1" applyAlignment="1">
      <alignment horizontal="center" vertical="center" wrapText="1"/>
    </xf>
    <xf numFmtId="0" fontId="21" fillId="32" borderId="34" xfId="0" applyFont="1" applyFill="1" applyBorder="1" applyAlignment="1">
      <alignment horizontal="center" vertical="center" wrapText="1"/>
    </xf>
    <xf numFmtId="0" fontId="21" fillId="32" borderId="29" xfId="0" applyFont="1" applyFill="1" applyBorder="1" applyAlignment="1">
      <alignment horizontal="center" vertical="center" wrapText="1"/>
    </xf>
    <xf numFmtId="0" fontId="21" fillId="32" borderId="32" xfId="0" applyFont="1" applyFill="1" applyBorder="1" applyAlignment="1">
      <alignment horizontal="center" vertical="center"/>
    </xf>
    <xf numFmtId="0" fontId="21" fillId="32" borderId="18" xfId="0" applyFont="1" applyFill="1" applyBorder="1" applyAlignment="1">
      <alignment horizontal="center" vertical="center"/>
    </xf>
    <xf numFmtId="0" fontId="21" fillId="32" borderId="3" xfId="0" applyFont="1" applyFill="1" applyBorder="1" applyAlignment="1">
      <alignment horizontal="center" vertical="center"/>
    </xf>
    <xf numFmtId="0" fontId="21" fillId="32" borderId="3" xfId="0" applyFont="1" applyFill="1" applyBorder="1" applyAlignment="1">
      <alignment horizontal="center" vertical="center" wrapText="1"/>
    </xf>
    <xf numFmtId="0" fontId="21" fillId="32" borderId="31" xfId="0" applyFont="1" applyFill="1" applyBorder="1" applyAlignment="1">
      <alignment horizontal="center" vertical="center" wrapText="1"/>
    </xf>
    <xf numFmtId="0" fontId="27" fillId="32" borderId="28" xfId="0" applyFont="1" applyFill="1" applyBorder="1" applyAlignment="1">
      <alignment horizontal="center" vertical="center"/>
    </xf>
    <xf numFmtId="0" fontId="27" fillId="32" borderId="0" xfId="0" applyFont="1" applyFill="1" applyBorder="1" applyAlignment="1">
      <alignment horizontal="center" vertical="center"/>
    </xf>
    <xf numFmtId="0" fontId="24" fillId="36" borderId="11" xfId="0" applyFont="1" applyFill="1" applyBorder="1" applyAlignment="1">
      <alignment horizontal="center" vertical="center" textRotation="90"/>
    </xf>
    <xf numFmtId="0" fontId="24" fillId="36" borderId="32" xfId="0" applyFont="1" applyFill="1" applyBorder="1" applyAlignment="1">
      <alignment horizontal="center" vertical="center" textRotation="90"/>
    </xf>
    <xf numFmtId="0" fontId="24" fillId="36" borderId="16" xfId="0" applyFont="1" applyFill="1" applyBorder="1" applyAlignment="1">
      <alignment horizontal="center" vertical="center" textRotation="90"/>
    </xf>
    <xf numFmtId="0" fontId="24" fillId="36" borderId="18" xfId="0" applyFont="1" applyFill="1" applyBorder="1" applyAlignment="1">
      <alignment horizontal="center" vertical="center" textRotation="90"/>
    </xf>
    <xf numFmtId="0" fontId="21" fillId="36" borderId="34" xfId="0" applyFont="1" applyFill="1" applyBorder="1" applyAlignment="1">
      <alignment horizontal="center" vertical="center"/>
    </xf>
    <xf numFmtId="0" fontId="21" fillId="36" borderId="29" xfId="0" applyFont="1" applyFill="1" applyBorder="1" applyAlignment="1">
      <alignment horizontal="center" vertical="center"/>
    </xf>
    <xf numFmtId="0" fontId="21" fillId="36" borderId="28" xfId="0" applyFont="1" applyFill="1" applyBorder="1" applyAlignment="1">
      <alignment horizontal="left" vertical="center"/>
    </xf>
    <xf numFmtId="0" fontId="21" fillId="36" borderId="32" xfId="0" applyFont="1" applyFill="1" applyBorder="1" applyAlignment="1">
      <alignment horizontal="left" vertical="center"/>
    </xf>
    <xf numFmtId="0" fontId="21" fillId="36" borderId="7" xfId="0" applyFont="1" applyFill="1" applyBorder="1" applyAlignment="1">
      <alignment horizontal="left" vertical="center"/>
    </xf>
    <xf numFmtId="0" fontId="21" fillId="36" borderId="18" xfId="0" applyFont="1" applyFill="1" applyBorder="1" applyAlignment="1">
      <alignment horizontal="left" vertical="center"/>
    </xf>
    <xf numFmtId="0" fontId="21" fillId="36" borderId="13" xfId="0" applyFont="1" applyFill="1" applyBorder="1" applyAlignment="1">
      <alignment horizontal="left" vertical="center" wrapText="1"/>
    </xf>
    <xf numFmtId="0" fontId="21" fillId="36" borderId="11" xfId="0" applyFont="1" applyFill="1" applyBorder="1" applyAlignment="1">
      <alignment horizontal="left" vertical="center" wrapText="1"/>
    </xf>
    <xf numFmtId="0" fontId="21" fillId="36" borderId="12" xfId="0" applyFont="1" applyFill="1" applyBorder="1" applyAlignment="1">
      <alignment horizontal="center" vertical="center" wrapText="1"/>
    </xf>
    <xf numFmtId="0" fontId="21" fillId="36" borderId="13" xfId="0" applyFont="1" applyFill="1" applyBorder="1" applyAlignment="1">
      <alignment horizontal="center" vertical="center" wrapText="1"/>
    </xf>
    <xf numFmtId="0" fontId="21" fillId="36" borderId="11" xfId="0" applyFont="1" applyFill="1" applyBorder="1" applyAlignment="1">
      <alignment horizontal="center" vertical="center" wrapText="1"/>
    </xf>
    <xf numFmtId="0" fontId="21" fillId="36" borderId="27" xfId="0" applyFont="1" applyFill="1" applyBorder="1" applyAlignment="1">
      <alignment vertical="center" wrapText="1"/>
    </xf>
    <xf numFmtId="0" fontId="21" fillId="36" borderId="31" xfId="0" applyFont="1" applyFill="1" applyBorder="1" applyAlignment="1">
      <alignment vertical="center" wrapText="1"/>
    </xf>
    <xf numFmtId="0" fontId="21" fillId="36" borderId="8" xfId="0" applyFont="1" applyFill="1" applyBorder="1" applyAlignment="1">
      <alignment horizontal="left" vertical="center" wrapText="1"/>
    </xf>
    <xf numFmtId="0" fontId="23" fillId="36" borderId="0" xfId="0" applyFont="1" applyFill="1" applyBorder="1" applyAlignment="1">
      <alignment horizontal="left"/>
    </xf>
    <xf numFmtId="0" fontId="21" fillId="36" borderId="7" xfId="0" applyFont="1" applyFill="1" applyBorder="1" applyAlignment="1">
      <alignment horizontal="left"/>
    </xf>
    <xf numFmtId="0" fontId="21" fillId="36" borderId="14" xfId="0" applyFont="1" applyFill="1" applyBorder="1" applyAlignment="1">
      <alignment horizontal="left" vertical="center" wrapText="1"/>
    </xf>
    <xf numFmtId="0" fontId="23" fillId="36" borderId="9" xfId="0" applyFont="1" applyFill="1" applyBorder="1" applyAlignment="1">
      <alignment horizontal="left" wrapText="1"/>
    </xf>
    <xf numFmtId="0" fontId="21" fillId="36" borderId="17" xfId="0" applyFont="1" applyFill="1" applyBorder="1" applyAlignment="1">
      <alignment horizontal="left" wrapText="1"/>
    </xf>
    <xf numFmtId="0" fontId="21" fillId="36" borderId="0" xfId="0" applyFont="1" applyFill="1" applyBorder="1" applyAlignment="1">
      <alignment horizontal="left" vertical="center" wrapText="1"/>
    </xf>
    <xf numFmtId="0" fontId="21" fillId="36" borderId="7" xfId="0" applyFont="1" applyFill="1" applyBorder="1" applyAlignment="1">
      <alignment horizontal="left" vertical="center" wrapText="1"/>
    </xf>
    <xf numFmtId="0" fontId="21" fillId="36" borderId="13" xfId="0" applyFont="1" applyFill="1" applyBorder="1" applyAlignment="1">
      <alignment horizontal="left" vertical="top" wrapText="1"/>
    </xf>
    <xf numFmtId="0" fontId="21" fillId="36" borderId="11" xfId="0" applyFont="1" applyFill="1" applyBorder="1" applyAlignment="1">
      <alignment horizontal="left" vertical="top" wrapText="1"/>
    </xf>
    <xf numFmtId="0" fontId="21" fillId="36" borderId="4" xfId="0" applyFont="1" applyFill="1" applyBorder="1" applyAlignment="1">
      <alignment horizontal="center" vertical="center" textRotation="90" wrapText="1"/>
    </xf>
    <xf numFmtId="0" fontId="23" fillId="36" borderId="5" xfId="0" applyFont="1" applyFill="1" applyBorder="1" applyAlignment="1">
      <alignment horizontal="center" wrapText="1"/>
    </xf>
    <xf numFmtId="0" fontId="21" fillId="36" borderId="5" xfId="0" applyFont="1" applyFill="1" applyBorder="1" applyAlignment="1">
      <alignment horizontal="center" wrapText="1"/>
    </xf>
    <xf numFmtId="0" fontId="23" fillId="36" borderId="6" xfId="0" applyFont="1" applyFill="1" applyBorder="1" applyAlignment="1">
      <alignment horizontal="center" wrapText="1"/>
    </xf>
    <xf numFmtId="0" fontId="21" fillId="36" borderId="9" xfId="0" applyFont="1" applyFill="1" applyBorder="1" applyAlignment="1">
      <alignment horizontal="left" vertical="center" wrapText="1"/>
    </xf>
    <xf numFmtId="0" fontId="21" fillId="36" borderId="17" xfId="0" applyFont="1" applyFill="1" applyBorder="1" applyAlignment="1">
      <alignment horizontal="left" vertical="center" wrapText="1"/>
    </xf>
    <xf numFmtId="0" fontId="21" fillId="36" borderId="4" xfId="0" applyFont="1" applyFill="1" applyBorder="1" applyAlignment="1">
      <alignment horizontal="center" vertical="center"/>
    </xf>
    <xf numFmtId="0" fontId="21" fillId="36" borderId="12" xfId="0" applyFont="1" applyFill="1" applyBorder="1" applyAlignment="1">
      <alignment horizontal="left" vertical="center" wrapText="1"/>
    </xf>
    <xf numFmtId="0" fontId="36" fillId="0" borderId="0" xfId="46" applyAlignment="1">
      <alignment wrapText="1"/>
    </xf>
    <xf numFmtId="0" fontId="21" fillId="36" borderId="17" xfId="0" applyFont="1" applyFill="1" applyBorder="1" applyAlignment="1">
      <alignment horizontal="center" vertical="center"/>
    </xf>
    <xf numFmtId="0" fontId="21" fillId="36" borderId="7" xfId="0" applyFont="1" applyFill="1" applyBorder="1" applyAlignment="1">
      <alignment horizontal="center" vertical="center"/>
    </xf>
    <xf numFmtId="0" fontId="21" fillId="36" borderId="30" xfId="0" applyFont="1" applyFill="1" applyBorder="1" applyAlignment="1">
      <alignment horizontal="center" vertical="center"/>
    </xf>
    <xf numFmtId="0" fontId="21" fillId="36" borderId="28" xfId="0" applyFont="1" applyFill="1" applyBorder="1" applyAlignment="1">
      <alignment horizontal="center" vertical="center"/>
    </xf>
    <xf numFmtId="0" fontId="21" fillId="36" borderId="5" xfId="0" applyFont="1" applyFill="1" applyBorder="1" applyAlignment="1">
      <alignment horizontal="center" vertical="center" textRotation="90" wrapText="1"/>
    </xf>
    <xf numFmtId="0" fontId="21" fillId="36" borderId="6" xfId="0" applyFont="1" applyFill="1" applyBorder="1" applyAlignment="1">
      <alignment horizontal="center" vertical="center" textRotation="90" wrapText="1"/>
    </xf>
    <xf numFmtId="0" fontId="21" fillId="36" borderId="12" xfId="0" applyFont="1" applyFill="1" applyBorder="1" applyAlignment="1">
      <alignment vertical="center" wrapText="1"/>
    </xf>
    <xf numFmtId="0" fontId="23" fillId="36" borderId="11" xfId="0" applyFont="1" applyFill="1" applyBorder="1" applyAlignment="1">
      <alignment vertical="center" wrapText="1"/>
    </xf>
    <xf numFmtId="0" fontId="21" fillId="36" borderId="28" xfId="0" applyFont="1" applyFill="1" applyBorder="1" applyAlignment="1">
      <alignment horizontal="left" vertical="center" wrapText="1"/>
    </xf>
    <xf numFmtId="0" fontId="23" fillId="36" borderId="28" xfId="0" applyFont="1" applyFill="1" applyBorder="1" applyAlignment="1">
      <alignment horizontal="left"/>
    </xf>
    <xf numFmtId="0" fontId="23" fillId="36" borderId="28" xfId="0" applyFont="1" applyFill="1" applyBorder="1" applyAlignment="1">
      <alignment horizontal="left" vertical="center"/>
    </xf>
    <xf numFmtId="0" fontId="23" fillId="36" borderId="32" xfId="0" applyFont="1" applyFill="1" applyBorder="1" applyAlignment="1">
      <alignment horizontal="left" vertical="center"/>
    </xf>
    <xf numFmtId="0" fontId="23" fillId="36" borderId="0" xfId="0" applyFont="1" applyFill="1" applyBorder="1" applyAlignment="1">
      <alignment horizontal="left" vertical="center"/>
    </xf>
    <xf numFmtId="0" fontId="23" fillId="36" borderId="16" xfId="0" applyFont="1" applyFill="1" applyBorder="1" applyAlignment="1">
      <alignment horizontal="left" vertical="center"/>
    </xf>
    <xf numFmtId="0" fontId="23" fillId="36" borderId="7" xfId="0" applyFont="1" applyFill="1" applyBorder="1" applyAlignment="1">
      <alignment horizontal="left" vertical="center"/>
    </xf>
    <xf numFmtId="0" fontId="23" fillId="36" borderId="18" xfId="0" applyFont="1" applyFill="1" applyBorder="1" applyAlignment="1">
      <alignment horizontal="left" vertical="center"/>
    </xf>
    <xf numFmtId="0" fontId="21" fillId="36" borderId="31" xfId="0" applyFont="1" applyFill="1" applyBorder="1" applyAlignment="1">
      <alignment horizontal="center" vertical="center" textRotation="90" wrapText="1"/>
    </xf>
    <xf numFmtId="0" fontId="23" fillId="36" borderId="31" xfId="0" applyFont="1" applyFill="1" applyBorder="1" applyAlignment="1">
      <alignment horizontal="center" wrapText="1"/>
    </xf>
    <xf numFmtId="0" fontId="21" fillId="36" borderId="31" xfId="0" applyFont="1" applyFill="1" applyBorder="1" applyAlignment="1">
      <alignment horizontal="center" wrapText="1"/>
    </xf>
    <xf numFmtId="0" fontId="21" fillId="36" borderId="16" xfId="0" applyFont="1" applyFill="1" applyBorder="1" applyAlignment="1">
      <alignment horizontal="center" vertical="center" textRotation="90" wrapText="1"/>
    </xf>
    <xf numFmtId="0" fontId="21" fillId="36" borderId="18" xfId="0" applyFont="1" applyFill="1" applyBorder="1" applyAlignment="1">
      <alignment horizontal="center" vertical="center" textRotation="90" wrapText="1"/>
    </xf>
    <xf numFmtId="0" fontId="21" fillId="36" borderId="28" xfId="0" applyFont="1" applyFill="1" applyBorder="1" applyAlignment="1">
      <alignment horizontal="right" vertical="center" wrapText="1"/>
    </xf>
    <xf numFmtId="0" fontId="21" fillId="36" borderId="7" xfId="0" applyFont="1" applyFill="1" applyBorder="1" applyAlignment="1">
      <alignment horizontal="right" vertical="center" wrapText="1"/>
    </xf>
    <xf numFmtId="0" fontId="23" fillId="0" borderId="0" xfId="0" applyFont="1" applyBorder="1"/>
    <xf numFmtId="0" fontId="21" fillId="36" borderId="32" xfId="0" applyFont="1" applyFill="1" applyBorder="1" applyAlignment="1">
      <alignment horizontal="center" vertical="center"/>
    </xf>
    <xf numFmtId="0" fontId="21" fillId="36" borderId="18" xfId="0" applyFont="1" applyFill="1" applyBorder="1" applyAlignment="1">
      <alignment horizontal="center" vertical="center"/>
    </xf>
    <xf numFmtId="0" fontId="21" fillId="36" borderId="6" xfId="0" applyFont="1" applyFill="1" applyBorder="1" applyAlignment="1">
      <alignment horizontal="center" vertical="center" wrapText="1"/>
    </xf>
    <xf numFmtId="0" fontId="21" fillId="36" borderId="14" xfId="0" applyFont="1" applyFill="1" applyBorder="1" applyAlignment="1">
      <alignment horizontal="center"/>
    </xf>
    <xf numFmtId="0" fontId="21" fillId="36" borderId="8" xfId="0" applyFont="1" applyFill="1" applyBorder="1" applyAlignment="1">
      <alignment horizontal="center"/>
    </xf>
    <xf numFmtId="0" fontId="21" fillId="36" borderId="15" xfId="0" applyFont="1" applyFill="1" applyBorder="1" applyAlignment="1">
      <alignment horizontal="center"/>
    </xf>
    <xf numFmtId="0" fontId="21" fillId="36" borderId="30" xfId="0" applyFont="1" applyFill="1" applyBorder="1" applyAlignment="1">
      <alignment horizontal="center" vertical="center" wrapText="1"/>
    </xf>
    <xf numFmtId="0" fontId="21" fillId="36" borderId="28" xfId="0" applyFont="1" applyFill="1" applyBorder="1" applyAlignment="1">
      <alignment horizontal="center" vertical="center" wrapText="1"/>
    </xf>
    <xf numFmtId="0" fontId="21" fillId="36" borderId="17" xfId="0" applyFont="1" applyFill="1" applyBorder="1" applyAlignment="1">
      <alignment horizontal="center" vertical="center" wrapText="1"/>
    </xf>
    <xf numFmtId="0" fontId="21" fillId="36" borderId="7" xfId="0" applyFont="1" applyFill="1" applyBorder="1" applyAlignment="1">
      <alignment horizontal="center" vertical="center" wrapText="1"/>
    </xf>
    <xf numFmtId="0" fontId="21" fillId="36" borderId="34" xfId="0" applyFont="1" applyFill="1" applyBorder="1" applyAlignment="1">
      <alignment horizontal="center" vertical="center" wrapText="1"/>
    </xf>
    <xf numFmtId="0" fontId="21" fillId="36" borderId="29" xfId="0" applyFont="1" applyFill="1" applyBorder="1" applyAlignment="1">
      <alignment horizontal="center" vertical="center" wrapText="1"/>
    </xf>
    <xf numFmtId="0" fontId="21" fillId="36" borderId="3" xfId="0" applyFont="1" applyFill="1" applyBorder="1" applyAlignment="1">
      <alignment horizontal="center" vertical="center" wrapText="1"/>
    </xf>
    <xf numFmtId="0" fontId="21" fillId="36" borderId="27" xfId="0" applyFont="1" applyFill="1" applyBorder="1" applyAlignment="1">
      <alignment horizontal="left" vertical="center" wrapText="1"/>
    </xf>
    <xf numFmtId="0" fontId="21" fillId="36" borderId="31" xfId="0" applyFont="1" applyFill="1" applyBorder="1" applyAlignment="1">
      <alignment horizontal="left" vertical="center" wrapText="1"/>
    </xf>
    <xf numFmtId="0" fontId="21" fillId="36" borderId="28" xfId="0" applyFont="1" applyFill="1" applyBorder="1" applyAlignment="1">
      <alignment vertical="center"/>
    </xf>
    <xf numFmtId="0" fontId="21" fillId="36" borderId="0" xfId="0" applyFont="1" applyFill="1" applyBorder="1" applyAlignment="1">
      <alignment vertical="center"/>
    </xf>
    <xf numFmtId="0" fontId="21" fillId="36" borderId="7" xfId="0" applyFont="1" applyFill="1" applyBorder="1" applyAlignment="1">
      <alignment vertical="center"/>
    </xf>
    <xf numFmtId="0" fontId="21" fillId="36" borderId="32" xfId="0" applyFont="1" applyFill="1" applyBorder="1" applyAlignment="1">
      <alignment vertical="center"/>
    </xf>
    <xf numFmtId="0" fontId="21" fillId="36" borderId="18" xfId="0" applyFont="1" applyFill="1" applyBorder="1" applyAlignment="1">
      <alignment vertical="center"/>
    </xf>
    <xf numFmtId="0" fontId="24" fillId="37" borderId="12" xfId="0" applyFont="1" applyFill="1" applyBorder="1" applyAlignment="1">
      <alignment horizontal="center" vertical="center" wrapText="1"/>
    </xf>
    <xf numFmtId="0" fontId="24" fillId="37" borderId="11" xfId="0" applyFont="1" applyFill="1" applyBorder="1" applyAlignment="1">
      <alignment horizontal="center" vertical="center" wrapText="1"/>
    </xf>
    <xf numFmtId="0" fontId="24" fillId="37" borderId="34" xfId="0" applyFont="1" applyFill="1" applyBorder="1" applyAlignment="1">
      <alignment horizontal="center" vertical="center" wrapText="1"/>
    </xf>
    <xf numFmtId="0" fontId="24" fillId="37" borderId="29" xfId="0" applyFont="1" applyFill="1" applyBorder="1" applyAlignment="1">
      <alignment horizontal="center" vertical="center" wrapText="1"/>
    </xf>
    <xf numFmtId="0" fontId="24" fillId="37" borderId="3" xfId="0" applyFont="1" applyFill="1" applyBorder="1" applyAlignment="1">
      <alignment horizontal="center" vertical="center" wrapText="1"/>
    </xf>
    <xf numFmtId="0" fontId="24" fillId="37" borderId="27" xfId="0" applyFont="1" applyFill="1" applyBorder="1" applyAlignment="1">
      <alignment horizontal="center" vertical="center" wrapText="1"/>
    </xf>
    <xf numFmtId="0" fontId="24" fillId="33" borderId="27" xfId="0" applyFont="1" applyFill="1" applyBorder="1" applyAlignment="1">
      <alignment horizontal="left" vertical="center" wrapText="1"/>
    </xf>
    <xf numFmtId="0" fontId="24" fillId="33" borderId="31" xfId="0" applyFont="1" applyFill="1" applyBorder="1" applyAlignment="1">
      <alignment horizontal="left" vertical="center" wrapText="1"/>
    </xf>
    <xf numFmtId="0" fontId="24" fillId="33" borderId="27" xfId="0" applyFont="1" applyFill="1" applyBorder="1" applyAlignment="1">
      <alignment horizontal="left" vertical="center"/>
    </xf>
    <xf numFmtId="0" fontId="24" fillId="33" borderId="31" xfId="0" applyFont="1" applyFill="1" applyBorder="1" applyAlignment="1">
      <alignment horizontal="left" vertical="center"/>
    </xf>
    <xf numFmtId="0" fontId="27" fillId="33" borderId="28" xfId="0" applyFont="1" applyFill="1" applyBorder="1" applyAlignment="1">
      <alignment horizontal="left" vertical="center"/>
    </xf>
    <xf numFmtId="0" fontId="27" fillId="33" borderId="0" xfId="0" applyFont="1" applyFill="1" applyBorder="1" applyAlignment="1">
      <alignment horizontal="left" vertical="center"/>
    </xf>
    <xf numFmtId="0" fontId="27" fillId="33" borderId="7" xfId="0" applyFont="1" applyFill="1" applyBorder="1" applyAlignment="1">
      <alignment horizontal="left" vertical="center"/>
    </xf>
    <xf numFmtId="0" fontId="36" fillId="0" borderId="0" xfId="46" applyAlignment="1">
      <alignment vertical="center"/>
    </xf>
    <xf numFmtId="0" fontId="45" fillId="34" borderId="27" xfId="52" applyFill="1" applyBorder="1" applyAlignment="1">
      <alignment vertical="center" wrapText="1"/>
    </xf>
    <xf numFmtId="0" fontId="45" fillId="34" borderId="27" xfId="52" applyFill="1" applyBorder="1" applyAlignment="1">
      <alignment horizontal="center" vertical="center" wrapText="1"/>
    </xf>
    <xf numFmtId="0" fontId="45" fillId="34" borderId="27" xfId="52" applyFill="1" applyBorder="1" applyAlignment="1">
      <alignment horizontal="left" vertical="center" wrapText="1"/>
    </xf>
    <xf numFmtId="0" fontId="45" fillId="34" borderId="28" xfId="52" applyFill="1" applyBorder="1" applyAlignment="1">
      <alignment horizontal="left" vertical="center" wrapText="1"/>
    </xf>
    <xf numFmtId="0" fontId="45" fillId="34" borderId="0" xfId="52" applyFill="1" applyBorder="1" applyAlignment="1">
      <alignment horizontal="left" vertical="center" wrapText="1"/>
    </xf>
    <xf numFmtId="0" fontId="45" fillId="34" borderId="7" xfId="52" applyFill="1" applyBorder="1" applyAlignment="1">
      <alignment horizontal="left" vertical="center" wrapText="1"/>
    </xf>
    <xf numFmtId="3" fontId="45" fillId="34" borderId="29" xfId="52" applyNumberFormat="1" applyFill="1" applyBorder="1" applyAlignment="1">
      <alignment horizontal="center" vertical="center" wrapText="1"/>
    </xf>
    <xf numFmtId="3" fontId="45" fillId="34" borderId="27" xfId="52" applyNumberFormat="1" applyFill="1" applyBorder="1" applyAlignment="1">
      <alignment horizontal="center" vertical="center" wrapText="1"/>
    </xf>
    <xf numFmtId="3" fontId="45" fillId="34" borderId="31" xfId="52" applyNumberFormat="1" applyFill="1" applyBorder="1" applyAlignment="1">
      <alignment horizontal="center" vertical="center" wrapText="1"/>
    </xf>
    <xf numFmtId="3" fontId="45" fillId="34" borderId="27" xfId="52" applyNumberFormat="1" applyFill="1" applyBorder="1" applyAlignment="1">
      <alignment horizontal="right" vertical="center" wrapText="1"/>
    </xf>
    <xf numFmtId="14" fontId="45" fillId="34" borderId="27" xfId="52" applyNumberFormat="1" applyFill="1" applyBorder="1" applyAlignment="1">
      <alignment horizontal="center" vertical="center" wrapText="1"/>
    </xf>
    <xf numFmtId="14" fontId="45" fillId="34" borderId="31" xfId="52" applyNumberFormat="1" applyFill="1" applyBorder="1" applyAlignment="1">
      <alignment horizontal="center" vertical="center" wrapText="1"/>
    </xf>
    <xf numFmtId="3" fontId="45" fillId="32" borderId="29" xfId="52" applyNumberFormat="1" applyFill="1" applyBorder="1" applyAlignment="1">
      <alignment horizontal="center" vertical="center" wrapText="1"/>
    </xf>
    <xf numFmtId="3" fontId="45" fillId="32" borderId="27" xfId="52" applyNumberFormat="1" applyFill="1" applyBorder="1" applyAlignment="1">
      <alignment horizontal="center" vertical="center" wrapText="1"/>
    </xf>
    <xf numFmtId="3" fontId="45" fillId="32" borderId="31" xfId="52" applyNumberFormat="1" applyFill="1" applyBorder="1" applyAlignment="1">
      <alignment horizontal="center" vertical="center" wrapText="1"/>
    </xf>
    <xf numFmtId="3" fontId="45" fillId="32" borderId="27" xfId="52" applyNumberFormat="1" applyFill="1" applyBorder="1" applyAlignment="1">
      <alignment horizontal="right" vertical="center" wrapText="1"/>
    </xf>
    <xf numFmtId="0" fontId="45" fillId="32" borderId="27" xfId="52" applyFill="1" applyBorder="1" applyAlignment="1">
      <alignment vertical="center" wrapText="1"/>
    </xf>
    <xf numFmtId="0" fontId="45" fillId="32" borderId="27" xfId="52" applyFill="1" applyBorder="1" applyAlignment="1">
      <alignment horizontal="left" vertical="center" wrapText="1"/>
    </xf>
    <xf numFmtId="0" fontId="45" fillId="32" borderId="27" xfId="52" applyFill="1" applyBorder="1" applyAlignment="1">
      <alignment horizontal="center" vertical="center" wrapText="1"/>
    </xf>
    <xf numFmtId="14" fontId="45" fillId="32" borderId="31" xfId="52" applyNumberFormat="1" applyFill="1" applyBorder="1" applyAlignment="1">
      <alignment horizontal="center" vertical="center" wrapText="1"/>
    </xf>
    <xf numFmtId="3" fontId="45" fillId="36" borderId="29" xfId="52" applyNumberFormat="1" applyFill="1" applyBorder="1" applyAlignment="1">
      <alignment horizontal="center" vertical="center" wrapText="1"/>
    </xf>
    <xf numFmtId="3" fontId="45" fillId="36" borderId="27" xfId="52" applyNumberFormat="1" applyFill="1" applyBorder="1" applyAlignment="1">
      <alignment horizontal="center" vertical="center" wrapText="1"/>
    </xf>
    <xf numFmtId="3" fontId="45" fillId="36" borderId="31" xfId="52" applyNumberFormat="1" applyFill="1" applyBorder="1" applyAlignment="1">
      <alignment horizontal="center" vertical="center" wrapText="1"/>
    </xf>
    <xf numFmtId="3" fontId="45" fillId="36" borderId="27" xfId="52" applyNumberFormat="1" applyFill="1" applyBorder="1" applyAlignment="1">
      <alignment horizontal="right" vertical="center" wrapText="1"/>
    </xf>
    <xf numFmtId="0" fontId="45" fillId="36" borderId="27" xfId="52" applyFill="1" applyBorder="1" applyAlignment="1">
      <alignment vertical="center" wrapText="1"/>
    </xf>
    <xf numFmtId="0" fontId="45" fillId="36" borderId="27" xfId="52" applyFill="1" applyBorder="1" applyAlignment="1">
      <alignment horizontal="left" vertical="center" wrapText="1"/>
    </xf>
    <xf numFmtId="0" fontId="45" fillId="36" borderId="27" xfId="52" applyFill="1" applyBorder="1" applyAlignment="1">
      <alignment horizontal="center" vertical="center" wrapText="1"/>
    </xf>
    <xf numFmtId="14" fontId="45" fillId="36" borderId="31" xfId="52" applyNumberFormat="1" applyFill="1" applyBorder="1" applyAlignment="1">
      <alignment horizontal="center" vertical="center" wrapText="1"/>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ntent Heading" xfId="53" xr:uid="{00000000-0005-0000-0000-00001C000000}"/>
    <cellStyle name="Contents Sub Heading" xfId="49" xr:uid="{00000000-0005-0000-0000-00001D000000}"/>
    <cellStyle name="Document Title" xfId="48" xr:uid="{00000000-0005-0000-0000-00001E000000}"/>
    <cellStyle name="Explanatory Text" xfId="29" builtinId="53" customBuiltin="1"/>
    <cellStyle name="First Row Heading" xfId="44" xr:uid="{00000000-0005-0000-0000-000020000000}"/>
    <cellStyle name="Followed Hyperlink" xfId="50"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hidden="1"/>
    <cellStyle name="Hyperlink" xfId="47" builtinId="8" customBuiltin="1"/>
    <cellStyle name="Input" xfId="36" builtinId="20" customBuiltin="1"/>
    <cellStyle name="Linked Cell" xfId="37" builtinId="24" customBuiltin="1"/>
    <cellStyle name="Neutral" xfId="38" builtinId="28" customBuiltin="1"/>
    <cellStyle name="Normal" xfId="0" builtinId="0" customBuiltin="1"/>
    <cellStyle name="Normal - Not Tables" xfId="54" xr:uid="{00000000-0005-0000-0000-00002D000000}"/>
    <cellStyle name="Normal Schedule" xfId="51" xr:uid="{00000000-0005-0000-0000-00002E000000}"/>
    <cellStyle name="Output" xfId="39" builtinId="21" customBuiltin="1"/>
    <cellStyle name="Percent" xfId="40" builtinId="5"/>
    <cellStyle name="Schedule Heading" xfId="52" xr:uid="{00000000-0005-0000-0000-000031000000}"/>
    <cellStyle name="Table Heading" xfId="45" xr:uid="{00000000-0005-0000-0000-000032000000}"/>
    <cellStyle name="Table/Figure Heading" xfId="46" xr:uid="{00000000-0005-0000-0000-000033000000}"/>
    <cellStyle name="Title" xfId="41" builtinId="15" customBuiltin="1"/>
    <cellStyle name="Total" xfId="42" builtinId="25" customBuiltin="1"/>
    <cellStyle name="Warning Text" xfId="43" builtinId="11" customBuiltin="1"/>
  </cellStyles>
  <dxfs count="145">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167" formatCode=";;;"/>
    </dxf>
    <dxf>
      <numFmt numFmtId="3" formatCode="#,##0"/>
    </dxf>
    <dxf>
      <numFmt numFmtId="167" formatCode=";;;"/>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167" formatCode=";;;"/>
    </dxf>
    <dxf>
      <numFmt numFmtId="167" formatCode=";;;"/>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pivotCacheDefinition" Target="pivotCache/pivotCacheDefinition2.xml"/><Relationship Id="rId159" Type="http://schemas.microsoft.com/office/2007/relationships/customDataProps" Target="customData/itemProps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alcChain" Target="calcChain.xml"/><Relationship Id="rId165" Type="http://schemas.openxmlformats.org/officeDocument/2006/relationships/customXml" Target="../customXml/item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1.xml"/><Relationship Id="rId16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connections" Target="connections.xml"/><Relationship Id="rId16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'1.3'!$A$7:$C$7</c:f>
              <c:strCache>
                <c:ptCount val="3"/>
                <c:pt idx="0">
                  <c:v>Completions 2017/18</c:v>
                </c:pt>
              </c:strCache>
            </c:strRef>
          </c:tx>
          <c:invertIfNegative val="0"/>
          <c:cat>
            <c:strRef>
              <c:f>('1.3'!$D$4,'1.3'!$F$4,'1.3'!$H$4,'1.3'!$J$4,'1.3'!$L$4)</c:f>
              <c:strCache>
                <c:ptCount val="5"/>
                <c:pt idx="0">
                  <c:v>B1a</c:v>
                </c:pt>
                <c:pt idx="1">
                  <c:v>B1b</c:v>
                </c:pt>
                <c:pt idx="2">
                  <c:v>B1c</c:v>
                </c:pt>
                <c:pt idx="3">
                  <c:v>B2</c:v>
                </c:pt>
                <c:pt idx="4">
                  <c:v>B8</c:v>
                </c:pt>
              </c:strCache>
            </c:strRef>
          </c:cat>
          <c:val>
            <c:numRef>
              <c:f>('1.3'!$E$7,'1.3'!$G$7,'1.3'!$I$7,'1.3'!$K$7,'1.3'!$M$7)</c:f>
              <c:numCache>
                <c:formatCode>#,##0</c:formatCode>
                <c:ptCount val="5"/>
                <c:pt idx="0">
                  <c:v>-16515</c:v>
                </c:pt>
                <c:pt idx="1">
                  <c:v>-4975</c:v>
                </c:pt>
                <c:pt idx="2">
                  <c:v>-16689</c:v>
                </c:pt>
                <c:pt idx="3">
                  <c:v>-4685</c:v>
                </c:pt>
                <c:pt idx="4">
                  <c:v>-3156</c:v>
                </c:pt>
              </c:numCache>
            </c:numRef>
          </c:val>
          <c:extLst>
            <c:ext xmlns:c16="http://schemas.microsoft.com/office/drawing/2014/chart" uri="{C3380CC4-5D6E-409C-BE32-E72D297353CC}">
              <c16:uniqueId val="{00000001-AED4-4B03-8C91-7ED8B76F1D8A}"/>
            </c:ext>
          </c:extLst>
        </c:ser>
        <c:ser>
          <c:idx val="1"/>
          <c:order val="1"/>
          <c:tx>
            <c:v>Pipeline – Approved</c:v>
          </c:tx>
          <c:invertIfNegative val="0"/>
          <c:cat>
            <c:strRef>
              <c:f>('1.3'!$D$4,'1.3'!$F$4,'1.3'!$H$4,'1.3'!$J$4,'1.3'!$L$4)</c:f>
              <c:strCache>
                <c:ptCount val="5"/>
                <c:pt idx="0">
                  <c:v>B1a</c:v>
                </c:pt>
                <c:pt idx="1">
                  <c:v>B1b</c:v>
                </c:pt>
                <c:pt idx="2">
                  <c:v>B1c</c:v>
                </c:pt>
                <c:pt idx="3">
                  <c:v>B2</c:v>
                </c:pt>
                <c:pt idx="4">
                  <c:v>B8</c:v>
                </c:pt>
              </c:strCache>
            </c:strRef>
          </c:cat>
          <c:val>
            <c:numRef>
              <c:f>('1.3'!$E$12,'1.3'!$G$12,'1.3'!$I$12,'1.3'!$K$12,'1.3'!$M$12)</c:f>
              <c:numCache>
                <c:formatCode>#,##0</c:formatCode>
                <c:ptCount val="5"/>
                <c:pt idx="0">
                  <c:v>113101</c:v>
                </c:pt>
                <c:pt idx="1">
                  <c:v>405</c:v>
                </c:pt>
                <c:pt idx="2">
                  <c:v>-32859</c:v>
                </c:pt>
                <c:pt idx="3">
                  <c:v>-3388</c:v>
                </c:pt>
                <c:pt idx="4">
                  <c:v>-87740</c:v>
                </c:pt>
              </c:numCache>
            </c:numRef>
          </c:val>
          <c:extLst>
            <c:ext xmlns:c16="http://schemas.microsoft.com/office/drawing/2014/chart" uri="{C3380CC4-5D6E-409C-BE32-E72D297353CC}">
              <c16:uniqueId val="{00000002-AED4-4B03-8C91-7ED8B76F1D8A}"/>
            </c:ext>
          </c:extLst>
        </c:ser>
        <c:ser>
          <c:idx val="2"/>
          <c:order val="2"/>
          <c:tx>
            <c:v>Pipeline – Potential</c:v>
          </c:tx>
          <c:spPr>
            <a:solidFill>
              <a:schemeClr val="accent2">
                <a:lumMod val="60000"/>
                <a:lumOff val="40000"/>
              </a:schemeClr>
            </a:solidFill>
          </c:spPr>
          <c:invertIfNegative val="0"/>
          <c:cat>
            <c:strRef>
              <c:f>('1.3'!$D$4,'1.3'!$F$4,'1.3'!$H$4,'1.3'!$J$4,'1.3'!$L$4)</c:f>
              <c:strCache>
                <c:ptCount val="5"/>
                <c:pt idx="0">
                  <c:v>B1a</c:v>
                </c:pt>
                <c:pt idx="1">
                  <c:v>B1b</c:v>
                </c:pt>
                <c:pt idx="2">
                  <c:v>B1c</c:v>
                </c:pt>
                <c:pt idx="3">
                  <c:v>B2</c:v>
                </c:pt>
                <c:pt idx="4">
                  <c:v>B8</c:v>
                </c:pt>
              </c:strCache>
            </c:strRef>
          </c:cat>
          <c:val>
            <c:numRef>
              <c:f>('1.3'!$E$17,'1.3'!$G$17,'1.3'!$I$17,'1.3'!$K$17,'1.3'!$M$17)</c:f>
              <c:numCache>
                <c:formatCode>#,##0</c:formatCode>
                <c:ptCount val="5"/>
                <c:pt idx="0">
                  <c:v>22782</c:v>
                </c:pt>
                <c:pt idx="1">
                  <c:v>0</c:v>
                </c:pt>
                <c:pt idx="2">
                  <c:v>1007</c:v>
                </c:pt>
                <c:pt idx="3">
                  <c:v>-88</c:v>
                </c:pt>
                <c:pt idx="4">
                  <c:v>-1141</c:v>
                </c:pt>
              </c:numCache>
            </c:numRef>
          </c:val>
          <c:extLst>
            <c:ext xmlns:c16="http://schemas.microsoft.com/office/drawing/2014/chart" uri="{C3380CC4-5D6E-409C-BE32-E72D297353CC}">
              <c16:uniqueId val="{00000003-AED4-4B03-8C91-7ED8B76F1D8A}"/>
            </c:ext>
          </c:extLst>
        </c:ser>
        <c:dLbls>
          <c:showLegendKey val="0"/>
          <c:showVal val="0"/>
          <c:showCatName val="0"/>
          <c:showSerName val="0"/>
          <c:showPercent val="0"/>
          <c:showBubbleSize val="0"/>
        </c:dLbls>
        <c:gapWidth val="271"/>
        <c:axId val="123732736"/>
        <c:axId val="123734656"/>
      </c:barChart>
      <c:catAx>
        <c:axId val="123732736"/>
        <c:scaling>
          <c:orientation val="minMax"/>
        </c:scaling>
        <c:delete val="0"/>
        <c:axPos val="b"/>
        <c:numFmt formatCode="General" sourceLinked="0"/>
        <c:majorTickMark val="out"/>
        <c:minorTickMark val="none"/>
        <c:tickLblPos val="high"/>
        <c:crossAx val="123734656"/>
        <c:crosses val="autoZero"/>
        <c:auto val="1"/>
        <c:lblAlgn val="ctr"/>
        <c:lblOffset val="100"/>
        <c:noMultiLvlLbl val="0"/>
      </c:catAx>
      <c:valAx>
        <c:axId val="123734656"/>
        <c:scaling>
          <c:orientation val="minMax"/>
        </c:scaling>
        <c:delete val="0"/>
        <c:axPos val="l"/>
        <c:majorGridlines/>
        <c:title>
          <c:tx>
            <c:rich>
              <a:bodyPr rot="-5400000" vert="horz"/>
              <a:lstStyle/>
              <a:p>
                <a:pPr>
                  <a:defRPr/>
                </a:pPr>
                <a:r>
                  <a:rPr lang="en-US"/>
                  <a:t>Net Floorspace (m²)</a:t>
                </a:r>
              </a:p>
            </c:rich>
          </c:tx>
          <c:overlay val="0"/>
        </c:title>
        <c:numFmt formatCode="#,##0" sourceLinked="1"/>
        <c:majorTickMark val="out"/>
        <c:minorTickMark val="none"/>
        <c:tickLblPos val="nextTo"/>
        <c:crossAx val="123732736"/>
        <c:crosses val="autoZero"/>
        <c:crossBetween val="between"/>
      </c:valAx>
    </c:plotArea>
    <c:legend>
      <c:legendPos val="b"/>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'4.1'!$Q$4</c:f>
              <c:strCache>
                <c:ptCount val="1"/>
                <c:pt idx="0">
                  <c:v>D Total</c:v>
                </c:pt>
              </c:strCache>
            </c:strRef>
          </c:tx>
          <c:spPr>
            <a:solidFill>
              <a:schemeClr val="accent3"/>
            </a:solidFill>
          </c:spPr>
          <c:invertIfNegative val="0"/>
          <c:cat>
            <c:strRef>
              <c:f>'4.1'!$B$6:$B$12</c:f>
              <c:strCache>
                <c:ptCount val="7"/>
                <c:pt idx="0">
                  <c:v>Under Construction</c:v>
                </c:pt>
                <c:pt idx="1">
                  <c:v>Permission – Full</c:v>
                </c:pt>
                <c:pt idx="2">
                  <c:v>Permission – Outline</c:v>
                </c:pt>
                <c:pt idx="3">
                  <c:v>Prior Approval / Certificate of Lawful Development</c:v>
                </c:pt>
                <c:pt idx="4">
                  <c:v>Subject to Legal Agreement</c:v>
                </c:pt>
                <c:pt idx="5">
                  <c:v>Application at Appeal</c:v>
                </c:pt>
                <c:pt idx="6">
                  <c:v>Application Pending</c:v>
                </c:pt>
              </c:strCache>
            </c:strRef>
          </c:cat>
          <c:val>
            <c:numRef>
              <c:f>'4.1'!$Q$6:$Q$12</c:f>
              <c:numCache>
                <c:formatCode>#,##0</c:formatCode>
                <c:ptCount val="7"/>
                <c:pt idx="0">
                  <c:v>39078</c:v>
                </c:pt>
                <c:pt idx="1">
                  <c:v>5119</c:v>
                </c:pt>
                <c:pt idx="2">
                  <c:v>14002</c:v>
                </c:pt>
                <c:pt idx="3">
                  <c:v>0</c:v>
                </c:pt>
                <c:pt idx="4">
                  <c:v>0</c:v>
                </c:pt>
                <c:pt idx="5">
                  <c:v>-132</c:v>
                </c:pt>
                <c:pt idx="6">
                  <c:v>-884</c:v>
                </c:pt>
              </c:numCache>
            </c:numRef>
          </c:val>
          <c:extLst>
            <c:ext xmlns:c16="http://schemas.microsoft.com/office/drawing/2014/chart" uri="{C3380CC4-5D6E-409C-BE32-E72D297353CC}">
              <c16:uniqueId val="{00000000-24CF-43F6-BF6F-D70AD9DF8186}"/>
            </c:ext>
          </c:extLst>
        </c:ser>
        <c:ser>
          <c:idx val="1"/>
          <c:order val="1"/>
          <c:tx>
            <c:strRef>
              <c:f>'4.1'!$N$4</c:f>
              <c:strCache>
                <c:ptCount val="1"/>
                <c:pt idx="0">
                  <c:v>B Total</c:v>
                </c:pt>
              </c:strCache>
            </c:strRef>
          </c:tx>
          <c:spPr>
            <a:solidFill>
              <a:schemeClr val="accent1"/>
            </a:solidFill>
          </c:spPr>
          <c:invertIfNegative val="0"/>
          <c:cat>
            <c:strRef>
              <c:f>'4.1'!$B$6:$B$12</c:f>
              <c:strCache>
                <c:ptCount val="7"/>
                <c:pt idx="0">
                  <c:v>Under Construction</c:v>
                </c:pt>
                <c:pt idx="1">
                  <c:v>Permission – Full</c:v>
                </c:pt>
                <c:pt idx="2">
                  <c:v>Permission – Outline</c:v>
                </c:pt>
                <c:pt idx="3">
                  <c:v>Prior Approval / Certificate of Lawful Development</c:v>
                </c:pt>
                <c:pt idx="4">
                  <c:v>Subject to Legal Agreement</c:v>
                </c:pt>
                <c:pt idx="5">
                  <c:v>Application at Appeal</c:v>
                </c:pt>
                <c:pt idx="6">
                  <c:v>Application Pending</c:v>
                </c:pt>
              </c:strCache>
            </c:strRef>
          </c:cat>
          <c:val>
            <c:numRef>
              <c:f>'4.1'!$N$6:$N$12</c:f>
              <c:numCache>
                <c:formatCode>#,##0</c:formatCode>
                <c:ptCount val="7"/>
                <c:pt idx="0">
                  <c:v>-98570</c:v>
                </c:pt>
                <c:pt idx="1">
                  <c:v>11579</c:v>
                </c:pt>
                <c:pt idx="2">
                  <c:v>100039</c:v>
                </c:pt>
                <c:pt idx="3">
                  <c:v>-23529</c:v>
                </c:pt>
                <c:pt idx="4">
                  <c:v>28230</c:v>
                </c:pt>
                <c:pt idx="5">
                  <c:v>-147</c:v>
                </c:pt>
                <c:pt idx="6">
                  <c:v>-5523</c:v>
                </c:pt>
              </c:numCache>
            </c:numRef>
          </c:val>
          <c:extLst>
            <c:ext xmlns:c16="http://schemas.microsoft.com/office/drawing/2014/chart" uri="{C3380CC4-5D6E-409C-BE32-E72D297353CC}">
              <c16:uniqueId val="{00000001-24CF-43F6-BF6F-D70AD9DF8186}"/>
            </c:ext>
          </c:extLst>
        </c:ser>
        <c:ser>
          <c:idx val="0"/>
          <c:order val="2"/>
          <c:tx>
            <c:strRef>
              <c:f>'4.1'!$H$4</c:f>
              <c:strCache>
                <c:ptCount val="1"/>
                <c:pt idx="0">
                  <c:v>A Total</c:v>
                </c:pt>
              </c:strCache>
            </c:strRef>
          </c:tx>
          <c:spPr>
            <a:solidFill>
              <a:schemeClr val="accent4"/>
            </a:solidFill>
          </c:spPr>
          <c:invertIfNegative val="0"/>
          <c:cat>
            <c:strRef>
              <c:f>'4.1'!$B$6:$B$12</c:f>
              <c:strCache>
                <c:ptCount val="7"/>
                <c:pt idx="0">
                  <c:v>Under Construction</c:v>
                </c:pt>
                <c:pt idx="1">
                  <c:v>Permission – Full</c:v>
                </c:pt>
                <c:pt idx="2">
                  <c:v>Permission – Outline</c:v>
                </c:pt>
                <c:pt idx="3">
                  <c:v>Prior Approval / Certificate of Lawful Development</c:v>
                </c:pt>
                <c:pt idx="4">
                  <c:v>Subject to Legal Agreement</c:v>
                </c:pt>
                <c:pt idx="5">
                  <c:v>Application at Appeal</c:v>
                </c:pt>
                <c:pt idx="6">
                  <c:v>Application Pending</c:v>
                </c:pt>
              </c:strCache>
            </c:strRef>
          </c:cat>
          <c:val>
            <c:numRef>
              <c:f>'4.1'!$H$6:$H$12</c:f>
              <c:numCache>
                <c:formatCode>#,##0</c:formatCode>
                <c:ptCount val="7"/>
                <c:pt idx="0">
                  <c:v>89018</c:v>
                </c:pt>
                <c:pt idx="1">
                  <c:v>-2958</c:v>
                </c:pt>
                <c:pt idx="2">
                  <c:v>24233</c:v>
                </c:pt>
                <c:pt idx="3">
                  <c:v>-534</c:v>
                </c:pt>
                <c:pt idx="4">
                  <c:v>0</c:v>
                </c:pt>
                <c:pt idx="5">
                  <c:v>-11</c:v>
                </c:pt>
                <c:pt idx="6">
                  <c:v>-1991</c:v>
                </c:pt>
              </c:numCache>
            </c:numRef>
          </c:val>
          <c:extLst>
            <c:ext xmlns:c16="http://schemas.microsoft.com/office/drawing/2014/chart" uri="{C3380CC4-5D6E-409C-BE32-E72D297353CC}">
              <c16:uniqueId val="{00000002-24CF-43F6-BF6F-D70AD9DF8186}"/>
            </c:ext>
          </c:extLst>
        </c:ser>
        <c:dLbls>
          <c:showLegendKey val="0"/>
          <c:showVal val="0"/>
          <c:showCatName val="0"/>
          <c:showSerName val="0"/>
          <c:showPercent val="0"/>
          <c:showBubbleSize val="0"/>
        </c:dLbls>
        <c:gapWidth val="100"/>
        <c:overlap val="100"/>
        <c:axId val="645198592"/>
        <c:axId val="645543040"/>
      </c:barChart>
      <c:catAx>
        <c:axId val="645198592"/>
        <c:scaling>
          <c:orientation val="minMax"/>
        </c:scaling>
        <c:delete val="0"/>
        <c:axPos val="b"/>
        <c:numFmt formatCode="General" sourceLinked="0"/>
        <c:majorTickMark val="out"/>
        <c:minorTickMark val="none"/>
        <c:tickLblPos val="low"/>
        <c:crossAx val="645543040"/>
        <c:crosses val="autoZero"/>
        <c:auto val="1"/>
        <c:lblAlgn val="ctr"/>
        <c:lblOffset val="100"/>
        <c:noMultiLvlLbl val="0"/>
      </c:catAx>
      <c:valAx>
        <c:axId val="645543040"/>
        <c:scaling>
          <c:orientation val="minMax"/>
        </c:scaling>
        <c:delete val="0"/>
        <c:axPos val="l"/>
        <c:majorGridlines/>
        <c:title>
          <c:tx>
            <c:rich>
              <a:bodyPr rot="-5400000" vert="horz"/>
              <a:lstStyle/>
              <a:p>
                <a:pPr>
                  <a:defRPr/>
                </a:pPr>
                <a:r>
                  <a:rPr lang="en-US"/>
                  <a:t>Net Floorspace (m²)</a:t>
                </a:r>
              </a:p>
            </c:rich>
          </c:tx>
          <c:overlay val="0"/>
        </c:title>
        <c:numFmt formatCode="#,##0" sourceLinked="1"/>
        <c:majorTickMark val="out"/>
        <c:minorTickMark val="none"/>
        <c:tickLblPos val="nextTo"/>
        <c:crossAx val="645198592"/>
        <c:crosses val="autoZero"/>
        <c:crossBetween val="between"/>
      </c:valAx>
    </c:plotArea>
    <c:legend>
      <c:legendPos val="r"/>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1"/>
          <c:tx>
            <c:v>B8 – Storage and Distribution Gain</c:v>
          </c:tx>
          <c:invertIfNegative val="0"/>
          <c:cat>
            <c:strRef>
              <c:f>'1.4'!$A$7:$A$19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'1.4'!$G$7:$G$19</c:f>
              <c:numCache>
                <c:formatCode>#,##0</c:formatCode>
                <c:ptCount val="13"/>
                <c:pt idx="0">
                  <c:v>41</c:v>
                </c:pt>
                <c:pt idx="1">
                  <c:v>253</c:v>
                </c:pt>
                <c:pt idx="2">
                  <c:v>9385</c:v>
                </c:pt>
                <c:pt idx="3">
                  <c:v>1259</c:v>
                </c:pt>
                <c:pt idx="4">
                  <c:v>12098</c:v>
                </c:pt>
                <c:pt idx="5">
                  <c:v>548</c:v>
                </c:pt>
                <c:pt idx="6">
                  <c:v>2741</c:v>
                </c:pt>
                <c:pt idx="7">
                  <c:v>1749</c:v>
                </c:pt>
                <c:pt idx="8">
                  <c:v>1568</c:v>
                </c:pt>
                <c:pt idx="9">
                  <c:v>196</c:v>
                </c:pt>
                <c:pt idx="10">
                  <c:v>3309</c:v>
                </c:pt>
                <c:pt idx="11">
                  <c:v>1325</c:v>
                </c:pt>
                <c:pt idx="12">
                  <c:v>3121</c:v>
                </c:pt>
              </c:numCache>
            </c:numRef>
          </c:val>
          <c:extLst>
            <c:ext xmlns:c16="http://schemas.microsoft.com/office/drawing/2014/chart" uri="{C3380CC4-5D6E-409C-BE32-E72D297353CC}">
              <c16:uniqueId val="{00000000-73B7-4B6B-9335-9EFAF34A12EF}"/>
            </c:ext>
          </c:extLst>
        </c:ser>
        <c:ser>
          <c:idx val="1"/>
          <c:order val="2"/>
          <c:tx>
            <c:v>B2 – Industrial Gain</c:v>
          </c:tx>
          <c:invertIfNegative val="0"/>
          <c:cat>
            <c:strRef>
              <c:f>'1.4'!$A$7:$A$19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'1.4'!$E$7:$E$19</c:f>
              <c:numCache>
                <c:formatCode>#,##0</c:formatCode>
                <c:ptCount val="13"/>
                <c:pt idx="0">
                  <c:v>0</c:v>
                </c:pt>
                <c:pt idx="1">
                  <c:v>317</c:v>
                </c:pt>
                <c:pt idx="2">
                  <c:v>468</c:v>
                </c:pt>
                <c:pt idx="3">
                  <c:v>823</c:v>
                </c:pt>
                <c:pt idx="4">
                  <c:v>924</c:v>
                </c:pt>
                <c:pt idx="5">
                  <c:v>4274</c:v>
                </c:pt>
                <c:pt idx="6">
                  <c:v>140</c:v>
                </c:pt>
                <c:pt idx="7">
                  <c:v>218</c:v>
                </c:pt>
                <c:pt idx="8">
                  <c:v>116</c:v>
                </c:pt>
                <c:pt idx="9">
                  <c:v>0</c:v>
                </c:pt>
                <c:pt idx="10">
                  <c:v>8558</c:v>
                </c:pt>
                <c:pt idx="11">
                  <c:v>136</c:v>
                </c:pt>
                <c:pt idx="12">
                  <c:v>43</c:v>
                </c:pt>
              </c:numCache>
            </c:numRef>
          </c:val>
          <c:extLst>
            <c:ext xmlns:c16="http://schemas.microsoft.com/office/drawing/2014/chart" uri="{C3380CC4-5D6E-409C-BE32-E72D297353CC}">
              <c16:uniqueId val="{00000001-73B7-4B6B-9335-9EFAF34A12EF}"/>
            </c:ext>
          </c:extLst>
        </c:ser>
        <c:ser>
          <c:idx val="0"/>
          <c:order val="3"/>
          <c:tx>
            <c:v>B1 – Business Gain</c:v>
          </c:tx>
          <c:invertIfNegative val="0"/>
          <c:cat>
            <c:strRef>
              <c:f>'1.4'!$A$7:$A$19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'1.4'!$C$7:$C$19</c:f>
              <c:numCache>
                <c:formatCode>#,##0</c:formatCode>
                <c:ptCount val="13"/>
                <c:pt idx="0">
                  <c:v>11542</c:v>
                </c:pt>
                <c:pt idx="1">
                  <c:v>12912</c:v>
                </c:pt>
                <c:pt idx="2">
                  <c:v>10333</c:v>
                </c:pt>
                <c:pt idx="3">
                  <c:v>12862</c:v>
                </c:pt>
                <c:pt idx="4">
                  <c:v>3626</c:v>
                </c:pt>
                <c:pt idx="5">
                  <c:v>7095</c:v>
                </c:pt>
                <c:pt idx="6">
                  <c:v>7319</c:v>
                </c:pt>
                <c:pt idx="7">
                  <c:v>4403</c:v>
                </c:pt>
                <c:pt idx="8">
                  <c:v>6425</c:v>
                </c:pt>
                <c:pt idx="9">
                  <c:v>5004</c:v>
                </c:pt>
                <c:pt idx="10">
                  <c:v>4744</c:v>
                </c:pt>
                <c:pt idx="11">
                  <c:v>10921</c:v>
                </c:pt>
                <c:pt idx="12">
                  <c:v>19060</c:v>
                </c:pt>
              </c:numCache>
            </c:numRef>
          </c:val>
          <c:extLst>
            <c:ext xmlns:c16="http://schemas.microsoft.com/office/drawing/2014/chart" uri="{C3380CC4-5D6E-409C-BE32-E72D297353CC}">
              <c16:uniqueId val="{00000002-73B7-4B6B-9335-9EFAF34A12EF}"/>
            </c:ext>
          </c:extLst>
        </c:ser>
        <c:dLbls>
          <c:showLegendKey val="0"/>
          <c:showVal val="0"/>
          <c:showCatName val="0"/>
          <c:showSerName val="0"/>
          <c:showPercent val="0"/>
          <c:showBubbleSize val="0"/>
        </c:dLbls>
        <c:gapWidth val="150"/>
        <c:overlap val="100"/>
        <c:axId val="129168512"/>
        <c:axId val="129170048"/>
      </c:barChart>
      <c:lineChart>
        <c:grouping val="standard"/>
        <c:varyColors val="0"/>
        <c:ser>
          <c:idx val="3"/>
          <c:order val="0"/>
          <c:tx>
            <c:v>B Net Change</c:v>
          </c:tx>
          <c:marker>
            <c:symbol val="none"/>
          </c:marker>
          <c:cat>
            <c:strRef>
              <c:f>'1.4'!$A$7:$A$19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'1.4'!$L$7:$L$19</c:f>
              <c:numCache>
                <c:formatCode>#,##0</c:formatCode>
                <c:ptCount val="13"/>
                <c:pt idx="0">
                  <c:v>1767</c:v>
                </c:pt>
                <c:pt idx="1">
                  <c:v>-11851</c:v>
                </c:pt>
                <c:pt idx="2">
                  <c:v>-7583</c:v>
                </c:pt>
                <c:pt idx="3">
                  <c:v>-6180</c:v>
                </c:pt>
                <c:pt idx="4">
                  <c:v>-1650</c:v>
                </c:pt>
                <c:pt idx="5">
                  <c:v>-3335</c:v>
                </c:pt>
                <c:pt idx="6">
                  <c:v>-6597</c:v>
                </c:pt>
                <c:pt idx="7">
                  <c:v>-9781</c:v>
                </c:pt>
                <c:pt idx="8">
                  <c:v>-8366</c:v>
                </c:pt>
                <c:pt idx="9">
                  <c:v>-4855</c:v>
                </c:pt>
                <c:pt idx="10">
                  <c:v>-14431</c:v>
                </c:pt>
                <c:pt idx="11">
                  <c:v>-29249</c:v>
                </c:pt>
                <c:pt idx="12">
                  <c:v>-45820</c:v>
                </c:pt>
              </c:numCache>
            </c:numRef>
          </c:val>
          <c:smooth val="0"/>
          <c:extLst>
            <c:ext xmlns:c16="http://schemas.microsoft.com/office/drawing/2014/chart" uri="{C3380CC4-5D6E-409C-BE32-E72D297353CC}">
              <c16:uniqueId val="{00000003-73B7-4B6B-9335-9EFAF34A12EF}"/>
            </c:ext>
          </c:extLst>
        </c:ser>
        <c:dLbls>
          <c:showLegendKey val="0"/>
          <c:showVal val="0"/>
          <c:showCatName val="0"/>
          <c:showSerName val="0"/>
          <c:showPercent val="0"/>
          <c:showBubbleSize val="0"/>
        </c:dLbls>
        <c:marker val="1"/>
        <c:smooth val="0"/>
        <c:axId val="129251968"/>
        <c:axId val="129250432"/>
      </c:lineChart>
      <c:catAx>
        <c:axId val="129168512"/>
        <c:scaling>
          <c:orientation val="minMax"/>
        </c:scaling>
        <c:delete val="0"/>
        <c:axPos val="b"/>
        <c:numFmt formatCode="General" sourceLinked="0"/>
        <c:majorTickMark val="out"/>
        <c:minorTickMark val="none"/>
        <c:tickLblPos val="high"/>
        <c:crossAx val="129170048"/>
        <c:crosses val="autoZero"/>
        <c:auto val="1"/>
        <c:lblAlgn val="ctr"/>
        <c:lblOffset val="100"/>
        <c:noMultiLvlLbl val="0"/>
      </c:catAx>
      <c:valAx>
        <c:axId val="129170048"/>
        <c:scaling>
          <c:orientation val="minMax"/>
          <c:max val="20000"/>
          <c:min val="-50000"/>
        </c:scaling>
        <c:delete val="0"/>
        <c:axPos val="l"/>
        <c:majorGridlines/>
        <c:title>
          <c:tx>
            <c:rich>
              <a:bodyPr rot="-5400000" vert="horz"/>
              <a:lstStyle/>
              <a:p>
                <a:pPr>
                  <a:defRPr/>
                </a:pPr>
                <a:r>
                  <a:rPr lang="en-US"/>
                  <a:t>Floorspace (m²)</a:t>
                </a:r>
              </a:p>
            </c:rich>
          </c:tx>
          <c:overlay val="0"/>
        </c:title>
        <c:numFmt formatCode="#,##0" sourceLinked="1"/>
        <c:majorTickMark val="out"/>
        <c:minorTickMark val="none"/>
        <c:tickLblPos val="nextTo"/>
        <c:crossAx val="129168512"/>
        <c:crosses val="autoZero"/>
        <c:crossBetween val="between"/>
      </c:valAx>
      <c:valAx>
        <c:axId val="129250432"/>
        <c:scaling>
          <c:orientation val="minMax"/>
          <c:max val="20000"/>
          <c:min val="-50000"/>
        </c:scaling>
        <c:delete val="1"/>
        <c:axPos val="r"/>
        <c:numFmt formatCode="#,##0" sourceLinked="1"/>
        <c:majorTickMark val="out"/>
        <c:minorTickMark val="none"/>
        <c:tickLblPos val="nextTo"/>
        <c:crossAx val="129251968"/>
        <c:crosses val="max"/>
        <c:crossBetween val="between"/>
      </c:valAx>
      <c:catAx>
        <c:axId val="129251968"/>
        <c:scaling>
          <c:orientation val="minMax"/>
        </c:scaling>
        <c:delete val="1"/>
        <c:axPos val="b"/>
        <c:numFmt formatCode="General" sourceLinked="1"/>
        <c:majorTickMark val="out"/>
        <c:minorTickMark val="none"/>
        <c:tickLblPos val="nextTo"/>
        <c:crossAx val="129250432"/>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tx>
            <c:strRef>
              <c:f>'2.1'!$C$14</c:f>
              <c:strCache>
                <c:ptCount val="1"/>
                <c:pt idx="0">
                  <c:v>Application Pending</c:v>
                </c:pt>
              </c:strCache>
            </c:strRef>
          </c:tx>
          <c:invertIfNegative val="0"/>
          <c:cat>
            <c:strRef>
              <c:f>'2.1'!$I$5</c:f>
              <c:strCache>
                <c:ptCount val="1"/>
                <c:pt idx="0">
                  <c:v>Net</c:v>
                </c:pt>
              </c:strCache>
            </c:strRef>
          </c:cat>
          <c:val>
            <c:numRef>
              <c:f>'2.1'!$I$14</c:f>
              <c:numCache>
                <c:formatCode>#,##0</c:formatCode>
                <c:ptCount val="1"/>
                <c:pt idx="0">
                  <c:v>-1991</c:v>
                </c:pt>
              </c:numCache>
            </c:numRef>
          </c:val>
          <c:extLst>
            <c:ext xmlns:c16="http://schemas.microsoft.com/office/drawing/2014/chart" uri="{C3380CC4-5D6E-409C-BE32-E72D297353CC}">
              <c16:uniqueId val="{00000000-B9E5-49BA-8099-FEDB9A0F7BA8}"/>
            </c:ext>
          </c:extLst>
        </c:ser>
        <c:ser>
          <c:idx val="6"/>
          <c:order val="1"/>
          <c:tx>
            <c:strRef>
              <c:f>'2.1'!$C$13</c:f>
              <c:strCache>
                <c:ptCount val="1"/>
                <c:pt idx="0">
                  <c:v>Application at Appeal</c:v>
                </c:pt>
              </c:strCache>
            </c:strRef>
          </c:tx>
          <c:invertIfNegative val="0"/>
          <c:cat>
            <c:strRef>
              <c:f>'2.1'!$I$5</c:f>
              <c:strCache>
                <c:ptCount val="1"/>
                <c:pt idx="0">
                  <c:v>Net</c:v>
                </c:pt>
              </c:strCache>
            </c:strRef>
          </c:cat>
          <c:val>
            <c:numRef>
              <c:f>'2.1'!$I$13</c:f>
              <c:numCache>
                <c:formatCode>#,##0</c:formatCode>
                <c:ptCount val="1"/>
                <c:pt idx="0">
                  <c:v>-11</c:v>
                </c:pt>
              </c:numCache>
            </c:numRef>
          </c:val>
          <c:extLst>
            <c:ext xmlns:c16="http://schemas.microsoft.com/office/drawing/2014/chart" uri="{C3380CC4-5D6E-409C-BE32-E72D297353CC}">
              <c16:uniqueId val="{00000001-B9E5-49BA-8099-FEDB9A0F7BA8}"/>
            </c:ext>
          </c:extLst>
        </c:ser>
        <c:ser>
          <c:idx val="5"/>
          <c:order val="2"/>
          <c:tx>
            <c:strRef>
              <c:f>'2.1'!$C$12</c:f>
              <c:strCache>
                <c:ptCount val="1"/>
                <c:pt idx="0">
                  <c:v>Subject to Legal Agreement </c:v>
                </c:pt>
              </c:strCache>
            </c:strRef>
          </c:tx>
          <c:invertIfNegative val="0"/>
          <c:cat>
            <c:strRef>
              <c:f>'2.1'!$I$5</c:f>
              <c:strCache>
                <c:ptCount val="1"/>
                <c:pt idx="0">
                  <c:v>Net</c:v>
                </c:pt>
              </c:strCache>
            </c:strRef>
          </c:cat>
          <c:val>
            <c:numRef>
              <c:f>'2.1'!$I$12</c:f>
              <c:numCache>
                <c:formatCode>#,##0</c:formatCode>
                <c:ptCount val="1"/>
                <c:pt idx="0">
                  <c:v>3004</c:v>
                </c:pt>
              </c:numCache>
            </c:numRef>
          </c:val>
          <c:extLst>
            <c:ext xmlns:c16="http://schemas.microsoft.com/office/drawing/2014/chart" uri="{C3380CC4-5D6E-409C-BE32-E72D297353CC}">
              <c16:uniqueId val="{00000002-B9E5-49BA-8099-FEDB9A0F7BA8}"/>
            </c:ext>
          </c:extLst>
        </c:ser>
        <c:ser>
          <c:idx val="3"/>
          <c:order val="3"/>
          <c:tx>
            <c:strRef>
              <c:f>'2.1'!$C$10</c:f>
              <c:strCache>
                <c:ptCount val="1"/>
                <c:pt idx="0">
                  <c:v>Prior Approval / Certificate of Lawful Development</c:v>
                </c:pt>
              </c:strCache>
            </c:strRef>
          </c:tx>
          <c:invertIfNegative val="0"/>
          <c:cat>
            <c:strRef>
              <c:f>'2.1'!$I$5</c:f>
              <c:strCache>
                <c:ptCount val="1"/>
                <c:pt idx="0">
                  <c:v>Net</c:v>
                </c:pt>
              </c:strCache>
            </c:strRef>
          </c:cat>
          <c:val>
            <c:numRef>
              <c:f>'2.1'!$I$10</c:f>
              <c:numCache>
                <c:formatCode>#,##0</c:formatCode>
                <c:ptCount val="1"/>
                <c:pt idx="0">
                  <c:v>-534</c:v>
                </c:pt>
              </c:numCache>
            </c:numRef>
          </c:val>
          <c:extLst>
            <c:ext xmlns:c16="http://schemas.microsoft.com/office/drawing/2014/chart" uri="{C3380CC4-5D6E-409C-BE32-E72D297353CC}">
              <c16:uniqueId val="{00000003-B9E5-49BA-8099-FEDB9A0F7BA8}"/>
            </c:ext>
          </c:extLst>
        </c:ser>
        <c:ser>
          <c:idx val="2"/>
          <c:order val="4"/>
          <c:tx>
            <c:strRef>
              <c:f>'2.1'!$C$9</c:f>
              <c:strCache>
                <c:ptCount val="1"/>
                <c:pt idx="0">
                  <c:v>Permission – Outline</c:v>
                </c:pt>
              </c:strCache>
            </c:strRef>
          </c:tx>
          <c:invertIfNegative val="0"/>
          <c:cat>
            <c:strRef>
              <c:f>'2.1'!$I$5</c:f>
              <c:strCache>
                <c:ptCount val="1"/>
                <c:pt idx="0">
                  <c:v>Net</c:v>
                </c:pt>
              </c:strCache>
            </c:strRef>
          </c:cat>
          <c:val>
            <c:numRef>
              <c:f>'2.1'!$I$9</c:f>
              <c:numCache>
                <c:formatCode>#,##0</c:formatCode>
                <c:ptCount val="1"/>
                <c:pt idx="0">
                  <c:v>24233</c:v>
                </c:pt>
              </c:numCache>
            </c:numRef>
          </c:val>
          <c:extLst>
            <c:ext xmlns:c16="http://schemas.microsoft.com/office/drawing/2014/chart" uri="{C3380CC4-5D6E-409C-BE32-E72D297353CC}">
              <c16:uniqueId val="{00000004-B9E5-49BA-8099-FEDB9A0F7BA8}"/>
            </c:ext>
          </c:extLst>
        </c:ser>
        <c:ser>
          <c:idx val="1"/>
          <c:order val="5"/>
          <c:tx>
            <c:strRef>
              <c:f>'2.1'!$C$8</c:f>
              <c:strCache>
                <c:ptCount val="1"/>
                <c:pt idx="0">
                  <c:v>Permission – Full</c:v>
                </c:pt>
              </c:strCache>
            </c:strRef>
          </c:tx>
          <c:invertIfNegative val="0"/>
          <c:cat>
            <c:strRef>
              <c:f>'2.1'!$I$5</c:f>
              <c:strCache>
                <c:ptCount val="1"/>
                <c:pt idx="0">
                  <c:v>Net</c:v>
                </c:pt>
              </c:strCache>
            </c:strRef>
          </c:cat>
          <c:val>
            <c:numRef>
              <c:f>'2.1'!$I$8</c:f>
              <c:numCache>
                <c:formatCode>#,##0</c:formatCode>
                <c:ptCount val="1"/>
                <c:pt idx="0">
                  <c:v>-2958</c:v>
                </c:pt>
              </c:numCache>
            </c:numRef>
          </c:val>
          <c:extLst>
            <c:ext xmlns:c16="http://schemas.microsoft.com/office/drawing/2014/chart" uri="{C3380CC4-5D6E-409C-BE32-E72D297353CC}">
              <c16:uniqueId val="{00000005-B9E5-49BA-8099-FEDB9A0F7BA8}"/>
            </c:ext>
          </c:extLst>
        </c:ser>
        <c:ser>
          <c:idx val="0"/>
          <c:order val="6"/>
          <c:tx>
            <c:strRef>
              <c:f>'2.1'!$C$7</c:f>
              <c:strCache>
                <c:ptCount val="1"/>
                <c:pt idx="0">
                  <c:v>Under Construction </c:v>
                </c:pt>
              </c:strCache>
            </c:strRef>
          </c:tx>
          <c:invertIfNegative val="0"/>
          <c:cat>
            <c:strRef>
              <c:f>'2.1'!$I$5</c:f>
              <c:strCache>
                <c:ptCount val="1"/>
                <c:pt idx="0">
                  <c:v>Net</c:v>
                </c:pt>
              </c:strCache>
            </c:strRef>
          </c:cat>
          <c:val>
            <c:numRef>
              <c:f>'2.1'!$I$7</c:f>
              <c:numCache>
                <c:formatCode>#,##0</c:formatCode>
                <c:ptCount val="1"/>
                <c:pt idx="0">
                  <c:v>89018</c:v>
                </c:pt>
              </c:numCache>
            </c:numRef>
          </c:val>
          <c:extLst>
            <c:ext xmlns:c16="http://schemas.microsoft.com/office/drawing/2014/chart" uri="{C3380CC4-5D6E-409C-BE32-E72D297353CC}">
              <c16:uniqueId val="{00000006-B9E5-49BA-8099-FEDB9A0F7BA8}"/>
            </c:ext>
          </c:extLst>
        </c:ser>
        <c:dLbls>
          <c:showLegendKey val="0"/>
          <c:showVal val="0"/>
          <c:showCatName val="0"/>
          <c:showSerName val="0"/>
          <c:showPercent val="0"/>
          <c:showBubbleSize val="0"/>
        </c:dLbls>
        <c:gapWidth val="150"/>
        <c:overlap val="100"/>
        <c:axId val="510125184"/>
        <c:axId val="510127104"/>
      </c:barChart>
      <c:catAx>
        <c:axId val="510125184"/>
        <c:scaling>
          <c:orientation val="minMax"/>
        </c:scaling>
        <c:delete val="0"/>
        <c:axPos val="b"/>
        <c:numFmt formatCode="General" sourceLinked="0"/>
        <c:majorTickMark val="out"/>
        <c:minorTickMark val="none"/>
        <c:tickLblPos val="none"/>
        <c:crossAx val="510127104"/>
        <c:crosses val="autoZero"/>
        <c:auto val="1"/>
        <c:lblAlgn val="ctr"/>
        <c:lblOffset val="100"/>
        <c:noMultiLvlLbl val="0"/>
      </c:catAx>
      <c:valAx>
        <c:axId val="510127104"/>
        <c:scaling>
          <c:orientation val="minMax"/>
        </c:scaling>
        <c:delete val="0"/>
        <c:axPos val="l"/>
        <c:majorGridlines/>
        <c:title>
          <c:tx>
            <c:rich>
              <a:bodyPr rot="-5400000" vert="horz"/>
              <a:lstStyle/>
              <a:p>
                <a:pPr>
                  <a:defRPr/>
                </a:pPr>
                <a:r>
                  <a:rPr lang="en-US"/>
                  <a:t>Net Floorspace (m²)</a:t>
                </a:r>
              </a:p>
            </c:rich>
          </c:tx>
          <c:overlay val="0"/>
        </c:title>
        <c:numFmt formatCode="#,##0" sourceLinked="1"/>
        <c:majorTickMark val="out"/>
        <c:minorTickMark val="none"/>
        <c:tickLblPos val="nextTo"/>
        <c:crossAx val="510125184"/>
        <c:crosses val="autoZero"/>
        <c:crossBetween val="between"/>
      </c:valAx>
    </c:plotArea>
    <c:legend>
      <c:legendPos val="r"/>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v>Pipeline – Approved</c:v>
          </c:tx>
          <c:invertIfNegative val="0"/>
          <c:cat>
            <c:strRef>
              <c:f>('2.2'!$E$4,'2.2'!$G$4,'2.2'!$I$4,'2.2'!$K$4,'2.2'!$M$4)</c:f>
              <c:strCache>
                <c:ptCount val="5"/>
                <c:pt idx="0">
                  <c:v>A1</c:v>
                </c:pt>
                <c:pt idx="1">
                  <c:v>A2</c:v>
                </c:pt>
                <c:pt idx="2">
                  <c:v>A3</c:v>
                </c:pt>
                <c:pt idx="3">
                  <c:v>A4</c:v>
                </c:pt>
                <c:pt idx="4">
                  <c:v>A5</c:v>
                </c:pt>
              </c:strCache>
            </c:strRef>
          </c:cat>
          <c:val>
            <c:numRef>
              <c:f>('2.2'!$F$27,'2.2'!$H$27,'2.2'!$J$27,'2.2'!$L$27,'2.2'!$N$27)</c:f>
              <c:numCache>
                <c:formatCode>#,##0</c:formatCode>
                <c:ptCount val="5"/>
                <c:pt idx="0">
                  <c:v>31245</c:v>
                </c:pt>
                <c:pt idx="1">
                  <c:v>40768</c:v>
                </c:pt>
                <c:pt idx="2">
                  <c:v>17893</c:v>
                </c:pt>
                <c:pt idx="3">
                  <c:v>8205</c:v>
                </c:pt>
                <c:pt idx="4">
                  <c:v>11648</c:v>
                </c:pt>
              </c:numCache>
            </c:numRef>
          </c:val>
          <c:extLst>
            <c:ext xmlns:c16="http://schemas.microsoft.com/office/drawing/2014/chart" uri="{C3380CC4-5D6E-409C-BE32-E72D297353CC}">
              <c16:uniqueId val="{00000000-163E-49C8-AB54-DA7AF9487D92}"/>
            </c:ext>
          </c:extLst>
        </c:ser>
        <c:ser>
          <c:idx val="1"/>
          <c:order val="1"/>
          <c:tx>
            <c:v>Pipeline – Potential</c:v>
          </c:tx>
          <c:invertIfNegative val="0"/>
          <c:cat>
            <c:strRef>
              <c:f>('2.2'!$E$4,'2.2'!$G$4,'2.2'!$I$4,'2.2'!$K$4,'2.2'!$M$4)</c:f>
              <c:strCache>
                <c:ptCount val="5"/>
                <c:pt idx="0">
                  <c:v>A1</c:v>
                </c:pt>
                <c:pt idx="1">
                  <c:v>A2</c:v>
                </c:pt>
                <c:pt idx="2">
                  <c:v>A3</c:v>
                </c:pt>
                <c:pt idx="3">
                  <c:v>A4</c:v>
                </c:pt>
                <c:pt idx="4">
                  <c:v>A5</c:v>
                </c:pt>
              </c:strCache>
            </c:strRef>
          </c:cat>
          <c:val>
            <c:numRef>
              <c:f>('2.2'!$F$40,'2.2'!$H$40,'2.2'!$J$40,'2.2'!$L$40,'2.2'!$N$40)</c:f>
              <c:numCache>
                <c:formatCode>#,##0</c:formatCode>
                <c:ptCount val="5"/>
                <c:pt idx="0">
                  <c:v>-7528</c:v>
                </c:pt>
                <c:pt idx="1">
                  <c:v>2335</c:v>
                </c:pt>
                <c:pt idx="2">
                  <c:v>3855</c:v>
                </c:pt>
                <c:pt idx="3">
                  <c:v>2187</c:v>
                </c:pt>
                <c:pt idx="4">
                  <c:v>153</c:v>
                </c:pt>
              </c:numCache>
            </c:numRef>
          </c:val>
          <c:extLst>
            <c:ext xmlns:c16="http://schemas.microsoft.com/office/drawing/2014/chart" uri="{C3380CC4-5D6E-409C-BE32-E72D297353CC}">
              <c16:uniqueId val="{00000001-163E-49C8-AB54-DA7AF9487D92}"/>
            </c:ext>
          </c:extLst>
        </c:ser>
        <c:dLbls>
          <c:showLegendKey val="0"/>
          <c:showVal val="0"/>
          <c:showCatName val="0"/>
          <c:showSerName val="0"/>
          <c:showPercent val="0"/>
          <c:showBubbleSize val="0"/>
        </c:dLbls>
        <c:gapWidth val="150"/>
        <c:overlap val="100"/>
        <c:axId val="584013696"/>
        <c:axId val="584015232"/>
      </c:barChart>
      <c:catAx>
        <c:axId val="584013696"/>
        <c:scaling>
          <c:orientation val="minMax"/>
        </c:scaling>
        <c:delete val="0"/>
        <c:axPos val="b"/>
        <c:numFmt formatCode="General" sourceLinked="0"/>
        <c:majorTickMark val="out"/>
        <c:minorTickMark val="none"/>
        <c:tickLblPos val="low"/>
        <c:crossAx val="584015232"/>
        <c:crosses val="autoZero"/>
        <c:auto val="1"/>
        <c:lblAlgn val="ctr"/>
        <c:lblOffset val="100"/>
        <c:noMultiLvlLbl val="0"/>
      </c:catAx>
      <c:valAx>
        <c:axId val="584015232"/>
        <c:scaling>
          <c:orientation val="minMax"/>
        </c:scaling>
        <c:delete val="0"/>
        <c:axPos val="l"/>
        <c:majorGridlines/>
        <c:title>
          <c:tx>
            <c:rich>
              <a:bodyPr rot="-5400000" vert="horz"/>
              <a:lstStyle/>
              <a:p>
                <a:pPr>
                  <a:defRPr/>
                </a:pPr>
                <a:r>
                  <a:rPr lang="en-US"/>
                  <a:t>Net Floorspace (m²)</a:t>
                </a:r>
              </a:p>
            </c:rich>
          </c:tx>
          <c:overlay val="0"/>
        </c:title>
        <c:numFmt formatCode="#,##0" sourceLinked="1"/>
        <c:majorTickMark val="out"/>
        <c:minorTickMark val="none"/>
        <c:tickLblPos val="nextTo"/>
        <c:crossAx val="584013696"/>
        <c:crosses val="autoZero"/>
        <c:crossBetween val="between"/>
      </c:valAx>
    </c:plotArea>
    <c:legend>
      <c:legendPos val="b"/>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1"/>
          <c:tx>
            <c:strRef>
              <c:f>'2.4'!$N$4</c:f>
              <c:strCache>
                <c:ptCount val="1"/>
                <c:pt idx="0">
                  <c:v>A5</c:v>
                </c:pt>
              </c:strCache>
            </c:strRef>
          </c:tx>
          <c:invertIfNegative val="0"/>
          <c:cat>
            <c:strRef>
              <c:f>'2.4'!$A$7:$A$19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'2.4'!$N$7:$N$19</c:f>
              <c:numCache>
                <c:formatCode>General</c:formatCode>
                <c:ptCount val="13"/>
                <c:pt idx="0">
                  <c:v>0</c:v>
                </c:pt>
                <c:pt idx="1">
                  <c:v>383</c:v>
                </c:pt>
                <c:pt idx="2">
                  <c:v>184</c:v>
                </c:pt>
                <c:pt idx="3">
                  <c:v>215</c:v>
                </c:pt>
                <c:pt idx="4" formatCode="#,##0">
                  <c:v>324</c:v>
                </c:pt>
                <c:pt idx="5" formatCode="#,##0">
                  <c:v>295</c:v>
                </c:pt>
                <c:pt idx="6" formatCode="#,##0">
                  <c:v>323</c:v>
                </c:pt>
                <c:pt idx="7" formatCode="#,##0">
                  <c:v>447</c:v>
                </c:pt>
                <c:pt idx="8" formatCode="#,##0">
                  <c:v>323</c:v>
                </c:pt>
                <c:pt idx="9" formatCode="#,##0">
                  <c:v>25</c:v>
                </c:pt>
                <c:pt idx="10" formatCode="#,##0">
                  <c:v>358</c:v>
                </c:pt>
                <c:pt idx="11" formatCode="#,##0">
                  <c:v>205</c:v>
                </c:pt>
                <c:pt idx="12" formatCode="#,##0">
                  <c:v>2193</c:v>
                </c:pt>
              </c:numCache>
            </c:numRef>
          </c:val>
          <c:extLst>
            <c:ext xmlns:c16="http://schemas.microsoft.com/office/drawing/2014/chart" uri="{C3380CC4-5D6E-409C-BE32-E72D297353CC}">
              <c16:uniqueId val="{00000000-C90A-4AE5-82F4-7C261ADDC100}"/>
            </c:ext>
          </c:extLst>
        </c:ser>
        <c:ser>
          <c:idx val="3"/>
          <c:order val="2"/>
          <c:tx>
            <c:strRef>
              <c:f>'2.4'!$K$4</c:f>
              <c:strCache>
                <c:ptCount val="1"/>
                <c:pt idx="0">
                  <c:v>A4</c:v>
                </c:pt>
              </c:strCache>
            </c:strRef>
          </c:tx>
          <c:invertIfNegative val="0"/>
          <c:cat>
            <c:strRef>
              <c:f>'2.4'!$A$7:$A$19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'2.4'!$K$7:$K$19</c:f>
              <c:numCache>
                <c:formatCode>General</c:formatCode>
                <c:ptCount val="13"/>
                <c:pt idx="0">
                  <c:v>35</c:v>
                </c:pt>
                <c:pt idx="1">
                  <c:v>286</c:v>
                </c:pt>
                <c:pt idx="2">
                  <c:v>554</c:v>
                </c:pt>
                <c:pt idx="3">
                  <c:v>255</c:v>
                </c:pt>
                <c:pt idx="4" formatCode="#,##0">
                  <c:v>124</c:v>
                </c:pt>
                <c:pt idx="5" formatCode="#,##0">
                  <c:v>468</c:v>
                </c:pt>
                <c:pt idx="6" formatCode="#,##0">
                  <c:v>866</c:v>
                </c:pt>
                <c:pt idx="7" formatCode="#,##0">
                  <c:v>74</c:v>
                </c:pt>
                <c:pt idx="8" formatCode="#,##0">
                  <c:v>960</c:v>
                </c:pt>
                <c:pt idx="9" formatCode="#,##0">
                  <c:v>2443</c:v>
                </c:pt>
                <c:pt idx="10" formatCode="#,##0">
                  <c:v>2448</c:v>
                </c:pt>
                <c:pt idx="11" formatCode="#,##0">
                  <c:v>833</c:v>
                </c:pt>
                <c:pt idx="12" formatCode="#,##0">
                  <c:v>4212</c:v>
                </c:pt>
              </c:numCache>
            </c:numRef>
          </c:val>
          <c:extLst>
            <c:ext xmlns:c16="http://schemas.microsoft.com/office/drawing/2014/chart" uri="{C3380CC4-5D6E-409C-BE32-E72D297353CC}">
              <c16:uniqueId val="{00000001-C90A-4AE5-82F4-7C261ADDC100}"/>
            </c:ext>
          </c:extLst>
        </c:ser>
        <c:ser>
          <c:idx val="2"/>
          <c:order val="3"/>
          <c:tx>
            <c:strRef>
              <c:f>'2.4'!$H$4</c:f>
              <c:strCache>
                <c:ptCount val="1"/>
                <c:pt idx="0">
                  <c:v>A3</c:v>
                </c:pt>
              </c:strCache>
            </c:strRef>
          </c:tx>
          <c:invertIfNegative val="0"/>
          <c:cat>
            <c:strRef>
              <c:f>'2.4'!$A$7:$A$19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'2.4'!$H$7:$H$19</c:f>
              <c:numCache>
                <c:formatCode>#,##0</c:formatCode>
                <c:ptCount val="13"/>
                <c:pt idx="0">
                  <c:v>3583</c:v>
                </c:pt>
                <c:pt idx="1">
                  <c:v>4195</c:v>
                </c:pt>
                <c:pt idx="2">
                  <c:v>2700</c:v>
                </c:pt>
                <c:pt idx="3">
                  <c:v>2021</c:v>
                </c:pt>
                <c:pt idx="4">
                  <c:v>570</c:v>
                </c:pt>
                <c:pt idx="5">
                  <c:v>1266</c:v>
                </c:pt>
                <c:pt idx="6">
                  <c:v>1677</c:v>
                </c:pt>
                <c:pt idx="7">
                  <c:v>2604</c:v>
                </c:pt>
                <c:pt idx="8">
                  <c:v>1579</c:v>
                </c:pt>
                <c:pt idx="9">
                  <c:v>3136</c:v>
                </c:pt>
                <c:pt idx="10">
                  <c:v>4851</c:v>
                </c:pt>
                <c:pt idx="11">
                  <c:v>3006</c:v>
                </c:pt>
                <c:pt idx="12">
                  <c:v>6635</c:v>
                </c:pt>
              </c:numCache>
            </c:numRef>
          </c:val>
          <c:extLst>
            <c:ext xmlns:c16="http://schemas.microsoft.com/office/drawing/2014/chart" uri="{C3380CC4-5D6E-409C-BE32-E72D297353CC}">
              <c16:uniqueId val="{00000002-C90A-4AE5-82F4-7C261ADDC100}"/>
            </c:ext>
          </c:extLst>
        </c:ser>
        <c:ser>
          <c:idx val="1"/>
          <c:order val="4"/>
          <c:tx>
            <c:strRef>
              <c:f>'2.4'!$E$4</c:f>
              <c:strCache>
                <c:ptCount val="1"/>
                <c:pt idx="0">
                  <c:v>A2</c:v>
                </c:pt>
              </c:strCache>
            </c:strRef>
          </c:tx>
          <c:invertIfNegative val="0"/>
          <c:cat>
            <c:strRef>
              <c:f>'2.4'!$A$7:$A$19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'2.4'!$E$7:$E$19</c:f>
              <c:numCache>
                <c:formatCode>#,##0</c:formatCode>
                <c:ptCount val="13"/>
                <c:pt idx="0">
                  <c:v>1315</c:v>
                </c:pt>
                <c:pt idx="1">
                  <c:v>3559</c:v>
                </c:pt>
                <c:pt idx="2">
                  <c:v>3144</c:v>
                </c:pt>
                <c:pt idx="3">
                  <c:v>1671</c:v>
                </c:pt>
                <c:pt idx="4">
                  <c:v>776</c:v>
                </c:pt>
                <c:pt idx="5">
                  <c:v>1121</c:v>
                </c:pt>
                <c:pt idx="6">
                  <c:v>1676</c:v>
                </c:pt>
                <c:pt idx="7">
                  <c:v>3378</c:v>
                </c:pt>
                <c:pt idx="8">
                  <c:v>1811</c:v>
                </c:pt>
                <c:pt idx="9">
                  <c:v>1379</c:v>
                </c:pt>
                <c:pt idx="10">
                  <c:v>2366</c:v>
                </c:pt>
                <c:pt idx="11">
                  <c:v>1844</c:v>
                </c:pt>
                <c:pt idx="12">
                  <c:v>3528</c:v>
                </c:pt>
              </c:numCache>
            </c:numRef>
          </c:val>
          <c:extLst>
            <c:ext xmlns:c16="http://schemas.microsoft.com/office/drawing/2014/chart" uri="{C3380CC4-5D6E-409C-BE32-E72D297353CC}">
              <c16:uniqueId val="{00000003-C90A-4AE5-82F4-7C261ADDC100}"/>
            </c:ext>
          </c:extLst>
        </c:ser>
        <c:ser>
          <c:idx val="0"/>
          <c:order val="5"/>
          <c:tx>
            <c:strRef>
              <c:f>'2.4'!$B$4</c:f>
              <c:strCache>
                <c:ptCount val="1"/>
                <c:pt idx="0">
                  <c:v>A1</c:v>
                </c:pt>
              </c:strCache>
            </c:strRef>
          </c:tx>
          <c:invertIfNegative val="0"/>
          <c:cat>
            <c:strRef>
              <c:f>'2.4'!$A$7:$A$19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'2.4'!$B$7:$B$19</c:f>
              <c:numCache>
                <c:formatCode>#,##0</c:formatCode>
                <c:ptCount val="13"/>
                <c:pt idx="0">
                  <c:v>2669</c:v>
                </c:pt>
                <c:pt idx="1">
                  <c:v>4647</c:v>
                </c:pt>
                <c:pt idx="2">
                  <c:v>1828</c:v>
                </c:pt>
                <c:pt idx="3">
                  <c:v>3628</c:v>
                </c:pt>
                <c:pt idx="4">
                  <c:v>1413</c:v>
                </c:pt>
                <c:pt idx="5">
                  <c:v>5624</c:v>
                </c:pt>
                <c:pt idx="6">
                  <c:v>2929</c:v>
                </c:pt>
                <c:pt idx="7">
                  <c:v>6063</c:v>
                </c:pt>
                <c:pt idx="8">
                  <c:v>9909</c:v>
                </c:pt>
                <c:pt idx="9">
                  <c:v>6786</c:v>
                </c:pt>
                <c:pt idx="10">
                  <c:v>25408</c:v>
                </c:pt>
                <c:pt idx="11">
                  <c:v>4277</c:v>
                </c:pt>
                <c:pt idx="12">
                  <c:v>5791</c:v>
                </c:pt>
              </c:numCache>
            </c:numRef>
          </c:val>
          <c:extLst>
            <c:ext xmlns:c16="http://schemas.microsoft.com/office/drawing/2014/chart" uri="{C3380CC4-5D6E-409C-BE32-E72D297353CC}">
              <c16:uniqueId val="{00000004-C90A-4AE5-82F4-7C261ADDC100}"/>
            </c:ext>
          </c:extLst>
        </c:ser>
        <c:dLbls>
          <c:showLegendKey val="0"/>
          <c:showVal val="0"/>
          <c:showCatName val="0"/>
          <c:showSerName val="0"/>
          <c:showPercent val="0"/>
          <c:showBubbleSize val="0"/>
        </c:dLbls>
        <c:gapWidth val="150"/>
        <c:overlap val="100"/>
        <c:axId val="629360128"/>
        <c:axId val="629361664"/>
      </c:barChart>
      <c:lineChart>
        <c:grouping val="standard"/>
        <c:varyColors val="0"/>
        <c:ser>
          <c:idx val="5"/>
          <c:order val="0"/>
          <c:tx>
            <c:strRef>
              <c:f>'2.4'!$S$6</c:f>
              <c:strCache>
                <c:ptCount val="1"/>
                <c:pt idx="0">
                  <c:v>% in Town Centres</c:v>
                </c:pt>
              </c:strCache>
            </c:strRef>
          </c:tx>
          <c:marker>
            <c:symbol val="none"/>
          </c:marker>
          <c:cat>
            <c:strRef>
              <c:f>'2.4'!$A$7:$A$19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'2.4'!$S$7:$S$19</c:f>
              <c:numCache>
                <c:formatCode>0%</c:formatCode>
                <c:ptCount val="13"/>
                <c:pt idx="0">
                  <c:v>0.4655353854248882</c:v>
                </c:pt>
                <c:pt idx="1">
                  <c:v>0.22417750573833206</c:v>
                </c:pt>
                <c:pt idx="2">
                  <c:v>0.16444708680142686</c:v>
                </c:pt>
                <c:pt idx="3">
                  <c:v>0.44159178433889601</c:v>
                </c:pt>
                <c:pt idx="4">
                  <c:v>0.29778609292173369</c:v>
                </c:pt>
                <c:pt idx="5">
                  <c:v>0.42500569865511739</c:v>
                </c:pt>
                <c:pt idx="6">
                  <c:v>0.20291794940436353</c:v>
                </c:pt>
                <c:pt idx="7">
                  <c:v>0.53676587617380234</c:v>
                </c:pt>
                <c:pt idx="8">
                  <c:v>0.22267178713482375</c:v>
                </c:pt>
                <c:pt idx="9">
                  <c:v>0.19841673324133924</c:v>
                </c:pt>
                <c:pt idx="10">
                  <c:v>0.7972679292145296</c:v>
                </c:pt>
                <c:pt idx="11">
                  <c:v>0.35573044761436301</c:v>
                </c:pt>
                <c:pt idx="12">
                  <c:v>0.37832640100183373</c:v>
                </c:pt>
              </c:numCache>
            </c:numRef>
          </c:val>
          <c:smooth val="0"/>
          <c:extLst>
            <c:ext xmlns:c16="http://schemas.microsoft.com/office/drawing/2014/chart" uri="{C3380CC4-5D6E-409C-BE32-E72D297353CC}">
              <c16:uniqueId val="{00000005-C90A-4AE5-82F4-7C261ADDC100}"/>
            </c:ext>
          </c:extLst>
        </c:ser>
        <c:dLbls>
          <c:showLegendKey val="0"/>
          <c:showVal val="0"/>
          <c:showCatName val="0"/>
          <c:showSerName val="0"/>
          <c:showPercent val="0"/>
          <c:showBubbleSize val="0"/>
        </c:dLbls>
        <c:marker val="1"/>
        <c:smooth val="0"/>
        <c:axId val="629394432"/>
        <c:axId val="629392512"/>
      </c:lineChart>
      <c:catAx>
        <c:axId val="629360128"/>
        <c:scaling>
          <c:orientation val="minMax"/>
        </c:scaling>
        <c:delete val="0"/>
        <c:axPos val="b"/>
        <c:numFmt formatCode="General" sourceLinked="0"/>
        <c:majorTickMark val="out"/>
        <c:minorTickMark val="none"/>
        <c:tickLblPos val="nextTo"/>
        <c:crossAx val="629361664"/>
        <c:crosses val="autoZero"/>
        <c:auto val="1"/>
        <c:lblAlgn val="ctr"/>
        <c:lblOffset val="100"/>
        <c:noMultiLvlLbl val="0"/>
      </c:catAx>
      <c:valAx>
        <c:axId val="629361664"/>
        <c:scaling>
          <c:orientation val="minMax"/>
        </c:scaling>
        <c:delete val="0"/>
        <c:axPos val="l"/>
        <c:majorGridlines/>
        <c:title>
          <c:tx>
            <c:rich>
              <a:bodyPr rot="-5400000" vert="horz"/>
              <a:lstStyle/>
              <a:p>
                <a:pPr>
                  <a:defRPr/>
                </a:pPr>
                <a:r>
                  <a:rPr lang="en-US"/>
                  <a:t>Floorspace (m²)</a:t>
                </a:r>
              </a:p>
            </c:rich>
          </c:tx>
          <c:overlay val="0"/>
        </c:title>
        <c:numFmt formatCode="General" sourceLinked="1"/>
        <c:majorTickMark val="out"/>
        <c:minorTickMark val="none"/>
        <c:tickLblPos val="nextTo"/>
        <c:crossAx val="629360128"/>
        <c:crosses val="autoZero"/>
        <c:crossBetween val="between"/>
      </c:valAx>
      <c:valAx>
        <c:axId val="629392512"/>
        <c:scaling>
          <c:orientation val="minMax"/>
          <c:max val="1"/>
          <c:min val="0"/>
        </c:scaling>
        <c:delete val="0"/>
        <c:axPos val="r"/>
        <c:numFmt formatCode="0%" sourceLinked="1"/>
        <c:majorTickMark val="out"/>
        <c:minorTickMark val="none"/>
        <c:tickLblPos val="nextTo"/>
        <c:crossAx val="629394432"/>
        <c:crosses val="max"/>
        <c:crossBetween val="between"/>
      </c:valAx>
      <c:catAx>
        <c:axId val="629394432"/>
        <c:scaling>
          <c:orientation val="minMax"/>
        </c:scaling>
        <c:delete val="1"/>
        <c:axPos val="b"/>
        <c:numFmt formatCode="General" sourceLinked="1"/>
        <c:majorTickMark val="out"/>
        <c:minorTickMark val="none"/>
        <c:tickLblPos val="nextTo"/>
        <c:crossAx val="629392512"/>
        <c:crosses val="autoZero"/>
        <c:auto val="1"/>
        <c:lblAlgn val="ctr"/>
        <c:lblOffset val="100"/>
        <c:noMultiLvlLbl val="0"/>
      </c:catAx>
    </c:plotArea>
    <c:legend>
      <c:legendPos val="r"/>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'2.5'!$L$4:$M$4</c:f>
              <c:strCache>
                <c:ptCount val="1"/>
                <c:pt idx="0">
                  <c:v>Wandsworth</c:v>
                </c:pt>
              </c:strCache>
            </c:strRef>
          </c:tx>
          <c:invertIfNegative val="0"/>
          <c:val>
            <c:numRef>
              <c:f>'2.5'!$M$6:$M$18</c:f>
              <c:numCache>
                <c:formatCode>General</c:formatCode>
                <c:ptCount val="13"/>
                <c:pt idx="0" formatCode="#,##0">
                  <c:v>2575</c:v>
                </c:pt>
                <c:pt idx="1">
                  <c:v>400</c:v>
                </c:pt>
                <c:pt idx="2">
                  <c:v>275</c:v>
                </c:pt>
                <c:pt idx="3" formatCode="#,##0">
                  <c:v>2388</c:v>
                </c:pt>
                <c:pt idx="4" formatCode="#,##0">
                  <c:v>189</c:v>
                </c:pt>
                <c:pt idx="5" formatCode="#,##0">
                  <c:v>84</c:v>
                </c:pt>
                <c:pt idx="6" formatCode="#,##0">
                  <c:v>98</c:v>
                </c:pt>
                <c:pt idx="7" formatCode="#,##0">
                  <c:v>5877</c:v>
                </c:pt>
                <c:pt idx="8" formatCode="#,##0">
                  <c:v>372</c:v>
                </c:pt>
                <c:pt idx="9" formatCode="#,##0">
                  <c:v>962</c:v>
                </c:pt>
                <c:pt idx="10" formatCode="#,##0">
                  <c:v>25736</c:v>
                </c:pt>
                <c:pt idx="11" formatCode="#,##0">
                  <c:v>136</c:v>
                </c:pt>
                <c:pt idx="12" formatCode="#,##0">
                  <c:v>163</c:v>
                </c:pt>
              </c:numCache>
            </c:numRef>
          </c:val>
          <c:extLst>
            <c:ext xmlns:c16="http://schemas.microsoft.com/office/drawing/2014/chart" uri="{C3380CC4-5D6E-409C-BE32-E72D297353CC}">
              <c16:uniqueId val="{00000000-7953-4675-B98B-96CCAA4EA74C}"/>
            </c:ext>
          </c:extLst>
        </c:ser>
        <c:ser>
          <c:idx val="4"/>
          <c:order val="1"/>
          <c:tx>
            <c:strRef>
              <c:f>'2.5'!$J$4:$K$4</c:f>
              <c:strCache>
                <c:ptCount val="1"/>
                <c:pt idx="0">
                  <c:v>Tooting</c:v>
                </c:pt>
              </c:strCache>
            </c:strRef>
          </c:tx>
          <c:invertIfNegative val="0"/>
          <c:val>
            <c:numRef>
              <c:f>'2.5'!$K$6:$K$18</c:f>
              <c:numCache>
                <c:formatCode>General</c:formatCode>
                <c:ptCount val="13"/>
                <c:pt idx="0">
                  <c:v>331</c:v>
                </c:pt>
                <c:pt idx="1">
                  <c:v>266</c:v>
                </c:pt>
                <c:pt idx="2">
                  <c:v>131</c:v>
                </c:pt>
                <c:pt idx="3">
                  <c:v>495</c:v>
                </c:pt>
                <c:pt idx="4" formatCode="#,##0">
                  <c:v>96</c:v>
                </c:pt>
                <c:pt idx="5" formatCode="#,##0">
                  <c:v>0</c:v>
                </c:pt>
                <c:pt idx="6" formatCode="#,##0">
                  <c:v>207</c:v>
                </c:pt>
                <c:pt idx="7" formatCode="#,##0">
                  <c:v>100</c:v>
                </c:pt>
                <c:pt idx="8" formatCode="#,##0">
                  <c:v>436</c:v>
                </c:pt>
                <c:pt idx="9" formatCode="#,##0">
                  <c:v>1215</c:v>
                </c:pt>
                <c:pt idx="10" formatCode="#,##0">
                  <c:v>554</c:v>
                </c:pt>
                <c:pt idx="11" formatCode="#,##0">
                  <c:v>1141</c:v>
                </c:pt>
                <c:pt idx="12" formatCode="#,##0">
                  <c:v>1669</c:v>
                </c:pt>
              </c:numCache>
            </c:numRef>
          </c:val>
          <c:extLst>
            <c:ext xmlns:c16="http://schemas.microsoft.com/office/drawing/2014/chart" uri="{C3380CC4-5D6E-409C-BE32-E72D297353CC}">
              <c16:uniqueId val="{00000001-7953-4675-B98B-96CCAA4EA74C}"/>
            </c:ext>
          </c:extLst>
        </c:ser>
        <c:ser>
          <c:idx val="3"/>
          <c:order val="2"/>
          <c:tx>
            <c:strRef>
              <c:f>'2.5'!$H$4:$I$4</c:f>
              <c:strCache>
                <c:ptCount val="1"/>
                <c:pt idx="0">
                  <c:v>Putney</c:v>
                </c:pt>
              </c:strCache>
            </c:strRef>
          </c:tx>
          <c:invertIfNegative val="0"/>
          <c:val>
            <c:numRef>
              <c:f>'2.5'!$I$6:$I$18</c:f>
              <c:numCache>
                <c:formatCode>General</c:formatCode>
                <c:ptCount val="13"/>
                <c:pt idx="0">
                  <c:v>38</c:v>
                </c:pt>
                <c:pt idx="1">
                  <c:v>614</c:v>
                </c:pt>
                <c:pt idx="2">
                  <c:v>396</c:v>
                </c:pt>
                <c:pt idx="3">
                  <c:v>111</c:v>
                </c:pt>
                <c:pt idx="4" formatCode="#,##0">
                  <c:v>311</c:v>
                </c:pt>
                <c:pt idx="5" formatCode="#,##0">
                  <c:v>523</c:v>
                </c:pt>
                <c:pt idx="6" formatCode="#,##0">
                  <c:v>470</c:v>
                </c:pt>
                <c:pt idx="7" formatCode="#,##0">
                  <c:v>507</c:v>
                </c:pt>
                <c:pt idx="8" formatCode="#,##0">
                  <c:v>492</c:v>
                </c:pt>
                <c:pt idx="9" formatCode="#,##0">
                  <c:v>110</c:v>
                </c:pt>
                <c:pt idx="10" formatCode="#,##0">
                  <c:v>326</c:v>
                </c:pt>
                <c:pt idx="11" formatCode="#,##0">
                  <c:v>1605</c:v>
                </c:pt>
                <c:pt idx="12" formatCode="#,##0">
                  <c:v>297</c:v>
                </c:pt>
              </c:numCache>
            </c:numRef>
          </c:val>
          <c:extLst>
            <c:ext xmlns:c16="http://schemas.microsoft.com/office/drawing/2014/chart" uri="{C3380CC4-5D6E-409C-BE32-E72D297353CC}">
              <c16:uniqueId val="{00000002-7953-4675-B98B-96CCAA4EA74C}"/>
            </c:ext>
          </c:extLst>
        </c:ser>
        <c:ser>
          <c:idx val="2"/>
          <c:order val="3"/>
          <c:tx>
            <c:strRef>
              <c:f>'2.5'!$F$4:$G$4</c:f>
              <c:strCache>
                <c:ptCount val="1"/>
                <c:pt idx="0">
                  <c:v>Clapham Junction</c:v>
                </c:pt>
              </c:strCache>
            </c:strRef>
          </c:tx>
          <c:invertIfNegative val="0"/>
          <c:cat>
            <c:strRef>
              <c:f>'2.5'!$A$6:$A$18</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'2.5'!$G$6:$G$18</c:f>
              <c:numCache>
                <c:formatCode>General</c:formatCode>
                <c:ptCount val="13"/>
                <c:pt idx="0">
                  <c:v>0</c:v>
                </c:pt>
                <c:pt idx="1">
                  <c:v>250</c:v>
                </c:pt>
                <c:pt idx="2">
                  <c:v>541</c:v>
                </c:pt>
                <c:pt idx="3">
                  <c:v>283</c:v>
                </c:pt>
                <c:pt idx="4" formatCode="#,##0">
                  <c:v>359</c:v>
                </c:pt>
                <c:pt idx="5" formatCode="#,##0">
                  <c:v>2509</c:v>
                </c:pt>
                <c:pt idx="6" formatCode="#,##0">
                  <c:v>518</c:v>
                </c:pt>
                <c:pt idx="7" formatCode="#,##0">
                  <c:v>77</c:v>
                </c:pt>
                <c:pt idx="8" formatCode="#,##0">
                  <c:v>258</c:v>
                </c:pt>
                <c:pt idx="9" formatCode="#,##0">
                  <c:v>65</c:v>
                </c:pt>
                <c:pt idx="10" formatCode="#,##0">
                  <c:v>1269</c:v>
                </c:pt>
                <c:pt idx="11" formatCode="#,##0">
                  <c:v>504</c:v>
                </c:pt>
                <c:pt idx="12" formatCode="#,##0">
                  <c:v>662</c:v>
                </c:pt>
              </c:numCache>
            </c:numRef>
          </c:val>
          <c:extLst>
            <c:ext xmlns:c16="http://schemas.microsoft.com/office/drawing/2014/chart" uri="{C3380CC4-5D6E-409C-BE32-E72D297353CC}">
              <c16:uniqueId val="{00000003-7953-4675-B98B-96CCAA4EA74C}"/>
            </c:ext>
          </c:extLst>
        </c:ser>
        <c:ser>
          <c:idx val="1"/>
          <c:order val="4"/>
          <c:tx>
            <c:strRef>
              <c:f>'2.5'!$D$4:$E$4</c:f>
              <c:strCache>
                <c:ptCount val="1"/>
                <c:pt idx="0">
                  <c:v>Battersea Power Station</c:v>
                </c:pt>
              </c:strCache>
            </c:strRef>
          </c:tx>
          <c:invertIfNegative val="0"/>
          <c:cat>
            <c:strRef>
              <c:f>'2.5'!$A$6:$A$18</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'2.5'!$E$6:$E$18</c:f>
              <c:numCache>
                <c:formatCode>#,##0</c:formatCode>
                <c:ptCount val="13"/>
                <c:pt idx="0" formatCode="General">
                  <c:v>0</c:v>
                </c:pt>
                <c:pt idx="1">
                  <c:v>0</c:v>
                </c:pt>
                <c:pt idx="2" formatCode="General">
                  <c:v>0</c:v>
                </c:pt>
                <c:pt idx="3" formatCode="General">
                  <c:v>0</c:v>
                </c:pt>
                <c:pt idx="4">
                  <c:v>0</c:v>
                </c:pt>
                <c:pt idx="5">
                  <c:v>0</c:v>
                </c:pt>
                <c:pt idx="6">
                  <c:v>0</c:v>
                </c:pt>
                <c:pt idx="7">
                  <c:v>0</c:v>
                </c:pt>
                <c:pt idx="8">
                  <c:v>0</c:v>
                </c:pt>
                <c:pt idx="9">
                  <c:v>0</c:v>
                </c:pt>
                <c:pt idx="10">
                  <c:v>0</c:v>
                </c:pt>
                <c:pt idx="11">
                  <c:v>0</c:v>
                </c:pt>
                <c:pt idx="12">
                  <c:v>5112</c:v>
                </c:pt>
              </c:numCache>
            </c:numRef>
          </c:val>
          <c:extLst>
            <c:ext xmlns:c16="http://schemas.microsoft.com/office/drawing/2014/chart" uri="{C3380CC4-5D6E-409C-BE32-E72D297353CC}">
              <c16:uniqueId val="{00000004-7953-4675-B98B-96CCAA4EA74C}"/>
            </c:ext>
          </c:extLst>
        </c:ser>
        <c:ser>
          <c:idx val="0"/>
          <c:order val="5"/>
          <c:tx>
            <c:strRef>
              <c:f>'2.5'!$B$4:$C$4</c:f>
              <c:strCache>
                <c:ptCount val="1"/>
                <c:pt idx="0">
                  <c:v>Balham</c:v>
                </c:pt>
              </c:strCache>
            </c:strRef>
          </c:tx>
          <c:invertIfNegative val="0"/>
          <c:cat>
            <c:strRef>
              <c:f>'2.5'!$A$6:$A$18</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'2.5'!$C$6:$C$18</c:f>
              <c:numCache>
                <c:formatCode>#,##0</c:formatCode>
                <c:ptCount val="13"/>
                <c:pt idx="0" formatCode="General">
                  <c:v>595</c:v>
                </c:pt>
                <c:pt idx="1">
                  <c:v>1400</c:v>
                </c:pt>
                <c:pt idx="2" formatCode="General">
                  <c:v>40</c:v>
                </c:pt>
                <c:pt idx="3" formatCode="General">
                  <c:v>163</c:v>
                </c:pt>
                <c:pt idx="4">
                  <c:v>0</c:v>
                </c:pt>
                <c:pt idx="5">
                  <c:v>613</c:v>
                </c:pt>
                <c:pt idx="6">
                  <c:v>223</c:v>
                </c:pt>
                <c:pt idx="7">
                  <c:v>184</c:v>
                </c:pt>
                <c:pt idx="8">
                  <c:v>1689</c:v>
                </c:pt>
                <c:pt idx="9">
                  <c:v>380</c:v>
                </c:pt>
                <c:pt idx="10">
                  <c:v>363</c:v>
                </c:pt>
                <c:pt idx="11">
                  <c:v>230</c:v>
                </c:pt>
                <c:pt idx="12">
                  <c:v>556</c:v>
                </c:pt>
              </c:numCache>
            </c:numRef>
          </c:val>
          <c:extLst>
            <c:ext xmlns:c16="http://schemas.microsoft.com/office/drawing/2014/chart" uri="{C3380CC4-5D6E-409C-BE32-E72D297353CC}">
              <c16:uniqueId val="{00000005-7953-4675-B98B-96CCAA4EA74C}"/>
            </c:ext>
          </c:extLst>
        </c:ser>
        <c:dLbls>
          <c:showLegendKey val="0"/>
          <c:showVal val="0"/>
          <c:showCatName val="0"/>
          <c:showSerName val="0"/>
          <c:showPercent val="0"/>
          <c:showBubbleSize val="0"/>
        </c:dLbls>
        <c:gapWidth val="150"/>
        <c:overlap val="100"/>
        <c:axId val="635968896"/>
        <c:axId val="636337536"/>
      </c:barChart>
      <c:catAx>
        <c:axId val="635968896"/>
        <c:scaling>
          <c:orientation val="minMax"/>
        </c:scaling>
        <c:delete val="0"/>
        <c:axPos val="b"/>
        <c:majorTickMark val="out"/>
        <c:minorTickMark val="none"/>
        <c:tickLblPos val="nextTo"/>
        <c:crossAx val="636337536"/>
        <c:crosses val="autoZero"/>
        <c:auto val="1"/>
        <c:lblAlgn val="ctr"/>
        <c:lblOffset val="100"/>
        <c:noMultiLvlLbl val="0"/>
      </c:catAx>
      <c:valAx>
        <c:axId val="636337536"/>
        <c:scaling>
          <c:orientation val="minMax"/>
        </c:scaling>
        <c:delete val="0"/>
        <c:axPos val="l"/>
        <c:majorGridlines/>
        <c:title>
          <c:tx>
            <c:rich>
              <a:bodyPr rot="-5400000" vert="horz"/>
              <a:lstStyle/>
              <a:p>
                <a:pPr>
                  <a:defRPr/>
                </a:pPr>
                <a:r>
                  <a:rPr lang="en-US"/>
                  <a:t>Floorspace (m²)</a:t>
                </a:r>
              </a:p>
            </c:rich>
          </c:tx>
          <c:overlay val="0"/>
        </c:title>
        <c:numFmt formatCode="#,##0" sourceLinked="1"/>
        <c:majorTickMark val="out"/>
        <c:minorTickMark val="none"/>
        <c:tickLblPos val="nextTo"/>
        <c:crossAx val="635968896"/>
        <c:crosses val="autoZero"/>
        <c:crossBetween val="between"/>
      </c:valAx>
    </c:plotArea>
    <c:legend>
      <c:legendPos val="r"/>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tx>
            <c:strRef>
              <c:f>'3.1'!$C$14</c:f>
              <c:strCache>
                <c:ptCount val="1"/>
                <c:pt idx="0">
                  <c:v>Application Pending</c:v>
                </c:pt>
              </c:strCache>
            </c:strRef>
          </c:tx>
          <c:invertIfNegative val="0"/>
          <c:cat>
            <c:strRef>
              <c:f>'3.1'!$I$5</c:f>
              <c:strCache>
                <c:ptCount val="1"/>
                <c:pt idx="0">
                  <c:v>Net</c:v>
                </c:pt>
              </c:strCache>
            </c:strRef>
          </c:cat>
          <c:val>
            <c:numRef>
              <c:f>'3.1'!$I$14</c:f>
              <c:numCache>
                <c:formatCode>#,##0</c:formatCode>
                <c:ptCount val="1"/>
                <c:pt idx="0">
                  <c:v>-884</c:v>
                </c:pt>
              </c:numCache>
            </c:numRef>
          </c:val>
          <c:extLst>
            <c:ext xmlns:c16="http://schemas.microsoft.com/office/drawing/2014/chart" uri="{C3380CC4-5D6E-409C-BE32-E72D297353CC}">
              <c16:uniqueId val="{00000000-AF3E-46C4-8DA9-68F2DD60D9BB}"/>
            </c:ext>
          </c:extLst>
        </c:ser>
        <c:ser>
          <c:idx val="6"/>
          <c:order val="1"/>
          <c:tx>
            <c:strRef>
              <c:f>'3.1'!$C$13</c:f>
              <c:strCache>
                <c:ptCount val="1"/>
                <c:pt idx="0">
                  <c:v>Application at Appeal</c:v>
                </c:pt>
              </c:strCache>
            </c:strRef>
          </c:tx>
          <c:invertIfNegative val="0"/>
          <c:cat>
            <c:strRef>
              <c:f>'3.1'!$I$5</c:f>
              <c:strCache>
                <c:ptCount val="1"/>
                <c:pt idx="0">
                  <c:v>Net</c:v>
                </c:pt>
              </c:strCache>
            </c:strRef>
          </c:cat>
          <c:val>
            <c:numRef>
              <c:f>'3.1'!$I$13</c:f>
              <c:numCache>
                <c:formatCode>#,##0</c:formatCode>
                <c:ptCount val="1"/>
                <c:pt idx="0">
                  <c:v>-132</c:v>
                </c:pt>
              </c:numCache>
            </c:numRef>
          </c:val>
          <c:extLst>
            <c:ext xmlns:c16="http://schemas.microsoft.com/office/drawing/2014/chart" uri="{C3380CC4-5D6E-409C-BE32-E72D297353CC}">
              <c16:uniqueId val="{00000001-AF3E-46C4-8DA9-68F2DD60D9BB}"/>
            </c:ext>
          </c:extLst>
        </c:ser>
        <c:ser>
          <c:idx val="5"/>
          <c:order val="2"/>
          <c:tx>
            <c:strRef>
              <c:f>'3.1'!$C$12</c:f>
              <c:strCache>
                <c:ptCount val="1"/>
                <c:pt idx="0">
                  <c:v>Subject to Legal Agreement </c:v>
                </c:pt>
              </c:strCache>
            </c:strRef>
          </c:tx>
          <c:invertIfNegative val="0"/>
          <c:cat>
            <c:strRef>
              <c:f>'3.1'!$I$5</c:f>
              <c:strCache>
                <c:ptCount val="1"/>
                <c:pt idx="0">
                  <c:v>Net</c:v>
                </c:pt>
              </c:strCache>
            </c:strRef>
          </c:cat>
          <c:val>
            <c:numRef>
              <c:f>'3.1'!$I$12</c:f>
              <c:numCache>
                <c:formatCode>#,##0</c:formatCode>
                <c:ptCount val="1"/>
                <c:pt idx="0">
                  <c:v>6046</c:v>
                </c:pt>
              </c:numCache>
            </c:numRef>
          </c:val>
          <c:extLst>
            <c:ext xmlns:c16="http://schemas.microsoft.com/office/drawing/2014/chart" uri="{C3380CC4-5D6E-409C-BE32-E72D297353CC}">
              <c16:uniqueId val="{00000002-AF3E-46C4-8DA9-68F2DD60D9BB}"/>
            </c:ext>
          </c:extLst>
        </c:ser>
        <c:ser>
          <c:idx val="3"/>
          <c:order val="3"/>
          <c:tx>
            <c:strRef>
              <c:f>'3.1'!$C$10</c:f>
              <c:strCache>
                <c:ptCount val="1"/>
                <c:pt idx="0">
                  <c:v>Prior Approval / Certificate of Lawful Development</c:v>
                </c:pt>
              </c:strCache>
            </c:strRef>
          </c:tx>
          <c:invertIfNegative val="0"/>
          <c:cat>
            <c:strRef>
              <c:f>'3.1'!$I$5</c:f>
              <c:strCache>
                <c:ptCount val="1"/>
                <c:pt idx="0">
                  <c:v>Net</c:v>
                </c:pt>
              </c:strCache>
            </c:strRef>
          </c:cat>
          <c:val>
            <c:numRef>
              <c:f>'3.1'!$I$10</c:f>
              <c:numCache>
                <c:formatCode>#,##0</c:formatCode>
                <c:ptCount val="1"/>
                <c:pt idx="0">
                  <c:v>0</c:v>
                </c:pt>
              </c:numCache>
            </c:numRef>
          </c:val>
          <c:extLst>
            <c:ext xmlns:c16="http://schemas.microsoft.com/office/drawing/2014/chart" uri="{C3380CC4-5D6E-409C-BE32-E72D297353CC}">
              <c16:uniqueId val="{00000003-AF3E-46C4-8DA9-68F2DD60D9BB}"/>
            </c:ext>
          </c:extLst>
        </c:ser>
        <c:ser>
          <c:idx val="2"/>
          <c:order val="4"/>
          <c:tx>
            <c:strRef>
              <c:f>'3.1'!$C$9</c:f>
              <c:strCache>
                <c:ptCount val="1"/>
                <c:pt idx="0">
                  <c:v>Permission – Outline</c:v>
                </c:pt>
              </c:strCache>
            </c:strRef>
          </c:tx>
          <c:invertIfNegative val="0"/>
          <c:cat>
            <c:strRef>
              <c:f>'3.1'!$I$5</c:f>
              <c:strCache>
                <c:ptCount val="1"/>
                <c:pt idx="0">
                  <c:v>Net</c:v>
                </c:pt>
              </c:strCache>
            </c:strRef>
          </c:cat>
          <c:val>
            <c:numRef>
              <c:f>'3.1'!$I$9</c:f>
              <c:numCache>
                <c:formatCode>#,##0</c:formatCode>
                <c:ptCount val="1"/>
                <c:pt idx="0">
                  <c:v>14002</c:v>
                </c:pt>
              </c:numCache>
            </c:numRef>
          </c:val>
          <c:extLst>
            <c:ext xmlns:c16="http://schemas.microsoft.com/office/drawing/2014/chart" uri="{C3380CC4-5D6E-409C-BE32-E72D297353CC}">
              <c16:uniqueId val="{00000004-AF3E-46C4-8DA9-68F2DD60D9BB}"/>
            </c:ext>
          </c:extLst>
        </c:ser>
        <c:ser>
          <c:idx val="1"/>
          <c:order val="5"/>
          <c:tx>
            <c:strRef>
              <c:f>'3.1'!$C$8</c:f>
              <c:strCache>
                <c:ptCount val="1"/>
                <c:pt idx="0">
                  <c:v>Permission – Full</c:v>
                </c:pt>
              </c:strCache>
            </c:strRef>
          </c:tx>
          <c:invertIfNegative val="0"/>
          <c:cat>
            <c:strRef>
              <c:f>'3.1'!$I$5</c:f>
              <c:strCache>
                <c:ptCount val="1"/>
                <c:pt idx="0">
                  <c:v>Net</c:v>
                </c:pt>
              </c:strCache>
            </c:strRef>
          </c:cat>
          <c:val>
            <c:numRef>
              <c:f>'3.1'!$I$8</c:f>
              <c:numCache>
                <c:formatCode>#,##0</c:formatCode>
                <c:ptCount val="1"/>
                <c:pt idx="0">
                  <c:v>5119</c:v>
                </c:pt>
              </c:numCache>
            </c:numRef>
          </c:val>
          <c:extLst>
            <c:ext xmlns:c16="http://schemas.microsoft.com/office/drawing/2014/chart" uri="{C3380CC4-5D6E-409C-BE32-E72D297353CC}">
              <c16:uniqueId val="{00000005-AF3E-46C4-8DA9-68F2DD60D9BB}"/>
            </c:ext>
          </c:extLst>
        </c:ser>
        <c:ser>
          <c:idx val="0"/>
          <c:order val="6"/>
          <c:tx>
            <c:strRef>
              <c:f>'3.1'!$C$7</c:f>
              <c:strCache>
                <c:ptCount val="1"/>
                <c:pt idx="0">
                  <c:v>Under Construction </c:v>
                </c:pt>
              </c:strCache>
            </c:strRef>
          </c:tx>
          <c:invertIfNegative val="0"/>
          <c:cat>
            <c:strRef>
              <c:f>'3.1'!$I$5</c:f>
              <c:strCache>
                <c:ptCount val="1"/>
                <c:pt idx="0">
                  <c:v>Net</c:v>
                </c:pt>
              </c:strCache>
            </c:strRef>
          </c:cat>
          <c:val>
            <c:numRef>
              <c:f>'3.1'!$I$7</c:f>
              <c:numCache>
                <c:formatCode>#,##0</c:formatCode>
                <c:ptCount val="1"/>
                <c:pt idx="0">
                  <c:v>39078</c:v>
                </c:pt>
              </c:numCache>
            </c:numRef>
          </c:val>
          <c:extLst>
            <c:ext xmlns:c16="http://schemas.microsoft.com/office/drawing/2014/chart" uri="{C3380CC4-5D6E-409C-BE32-E72D297353CC}">
              <c16:uniqueId val="{00000006-AF3E-46C4-8DA9-68F2DD60D9BB}"/>
            </c:ext>
          </c:extLst>
        </c:ser>
        <c:dLbls>
          <c:showLegendKey val="0"/>
          <c:showVal val="0"/>
          <c:showCatName val="0"/>
          <c:showSerName val="0"/>
          <c:showPercent val="0"/>
          <c:showBubbleSize val="0"/>
        </c:dLbls>
        <c:gapWidth val="150"/>
        <c:overlap val="100"/>
        <c:axId val="636767232"/>
        <c:axId val="636832000"/>
      </c:barChart>
      <c:catAx>
        <c:axId val="636767232"/>
        <c:scaling>
          <c:orientation val="minMax"/>
        </c:scaling>
        <c:delete val="0"/>
        <c:axPos val="b"/>
        <c:numFmt formatCode="General" sourceLinked="0"/>
        <c:majorTickMark val="out"/>
        <c:minorTickMark val="none"/>
        <c:tickLblPos val="none"/>
        <c:crossAx val="636832000"/>
        <c:crosses val="autoZero"/>
        <c:auto val="1"/>
        <c:lblAlgn val="ctr"/>
        <c:lblOffset val="100"/>
        <c:noMultiLvlLbl val="0"/>
      </c:catAx>
      <c:valAx>
        <c:axId val="636832000"/>
        <c:scaling>
          <c:orientation val="minMax"/>
        </c:scaling>
        <c:delete val="0"/>
        <c:axPos val="l"/>
        <c:majorGridlines/>
        <c:title>
          <c:tx>
            <c:rich>
              <a:bodyPr rot="-5400000" vert="horz"/>
              <a:lstStyle/>
              <a:p>
                <a:pPr>
                  <a:defRPr/>
                </a:pPr>
                <a:r>
                  <a:rPr lang="en-US"/>
                  <a:t>Net Floorspace (m²)</a:t>
                </a:r>
              </a:p>
            </c:rich>
          </c:tx>
          <c:overlay val="0"/>
        </c:title>
        <c:numFmt formatCode="#,##0" sourceLinked="1"/>
        <c:majorTickMark val="out"/>
        <c:minorTickMark val="none"/>
        <c:tickLblPos val="nextTo"/>
        <c:crossAx val="636767232"/>
        <c:crosses val="autoZero"/>
        <c:crossBetween val="between"/>
      </c:valAx>
    </c:plotArea>
    <c:legend>
      <c:legendPos val="r"/>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stacked"/>
        <c:varyColors val="0"/>
        <c:ser>
          <c:idx val="0"/>
          <c:order val="0"/>
          <c:tx>
            <c:v>D1 – Non-Residential Institutions</c:v>
          </c:tx>
          <c:invertIfNegative val="0"/>
          <c:cat>
            <c:strRef>
              <c:f>'3.4'!$A$7:$A$19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'3.4'!$B$7:$B$19</c:f>
              <c:numCache>
                <c:formatCode>#,##0</c:formatCode>
                <c:ptCount val="13"/>
                <c:pt idx="0">
                  <c:v>59704</c:v>
                </c:pt>
                <c:pt idx="1">
                  <c:v>12787</c:v>
                </c:pt>
                <c:pt idx="2">
                  <c:v>14422</c:v>
                </c:pt>
                <c:pt idx="3">
                  <c:v>9206</c:v>
                </c:pt>
                <c:pt idx="4">
                  <c:v>28310</c:v>
                </c:pt>
                <c:pt idx="5">
                  <c:v>8417</c:v>
                </c:pt>
                <c:pt idx="6">
                  <c:v>20163</c:v>
                </c:pt>
                <c:pt idx="7">
                  <c:v>23694</c:v>
                </c:pt>
                <c:pt idx="8">
                  <c:v>790</c:v>
                </c:pt>
                <c:pt idx="9">
                  <c:v>2388</c:v>
                </c:pt>
                <c:pt idx="10">
                  <c:v>6690</c:v>
                </c:pt>
                <c:pt idx="11">
                  <c:v>1496</c:v>
                </c:pt>
                <c:pt idx="12">
                  <c:v>9834</c:v>
                </c:pt>
              </c:numCache>
            </c:numRef>
          </c:val>
          <c:extLst>
            <c:ext xmlns:c16="http://schemas.microsoft.com/office/drawing/2014/chart" uri="{C3380CC4-5D6E-409C-BE32-E72D297353CC}">
              <c16:uniqueId val="{00000000-08C1-4DD3-8881-B610EF178728}"/>
            </c:ext>
          </c:extLst>
        </c:ser>
        <c:ser>
          <c:idx val="1"/>
          <c:order val="1"/>
          <c:tx>
            <c:v>D2 – Assembly and Leisure</c:v>
          </c:tx>
          <c:invertIfNegative val="0"/>
          <c:cat>
            <c:strRef>
              <c:f>'3.4'!$A$7:$A$19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'3.4'!$E$7:$E$19</c:f>
              <c:numCache>
                <c:formatCode>#,##0</c:formatCode>
                <c:ptCount val="13"/>
                <c:pt idx="0">
                  <c:v>1989</c:v>
                </c:pt>
                <c:pt idx="1">
                  <c:v>10883</c:v>
                </c:pt>
                <c:pt idx="2">
                  <c:v>12424</c:v>
                </c:pt>
                <c:pt idx="3" formatCode="General">
                  <c:v>442</c:v>
                </c:pt>
                <c:pt idx="4">
                  <c:v>3343</c:v>
                </c:pt>
                <c:pt idx="5">
                  <c:v>775</c:v>
                </c:pt>
                <c:pt idx="6">
                  <c:v>10061</c:v>
                </c:pt>
                <c:pt idx="7">
                  <c:v>582</c:v>
                </c:pt>
                <c:pt idx="8">
                  <c:v>0</c:v>
                </c:pt>
                <c:pt idx="9">
                  <c:v>0</c:v>
                </c:pt>
                <c:pt idx="10">
                  <c:v>320</c:v>
                </c:pt>
                <c:pt idx="11">
                  <c:v>1257</c:v>
                </c:pt>
                <c:pt idx="12">
                  <c:v>4343</c:v>
                </c:pt>
              </c:numCache>
            </c:numRef>
          </c:val>
          <c:extLst>
            <c:ext xmlns:c16="http://schemas.microsoft.com/office/drawing/2014/chart" uri="{C3380CC4-5D6E-409C-BE32-E72D297353CC}">
              <c16:uniqueId val="{00000001-08C1-4DD3-8881-B610EF178728}"/>
            </c:ext>
          </c:extLst>
        </c:ser>
        <c:dLbls>
          <c:showLegendKey val="0"/>
          <c:showVal val="0"/>
          <c:showCatName val="0"/>
          <c:showSerName val="0"/>
          <c:showPercent val="0"/>
          <c:showBubbleSize val="0"/>
        </c:dLbls>
        <c:gapWidth val="150"/>
        <c:overlap val="100"/>
        <c:axId val="637817984"/>
        <c:axId val="637819520"/>
      </c:barChart>
      <c:lineChart>
        <c:grouping val="standard"/>
        <c:varyColors val="0"/>
        <c:ser>
          <c:idx val="2"/>
          <c:order val="2"/>
          <c:tx>
            <c:strRef>
              <c:f>'3.4'!$J$6</c:f>
              <c:strCache>
                <c:ptCount val="1"/>
                <c:pt idx="0">
                  <c:v>% In Town Centres</c:v>
                </c:pt>
              </c:strCache>
            </c:strRef>
          </c:tx>
          <c:spPr>
            <a:ln>
              <a:solidFill>
                <a:schemeClr val="accent6">
                  <a:shade val="76000"/>
                  <a:shade val="95000"/>
                  <a:satMod val="105000"/>
                </a:schemeClr>
              </a:solidFill>
            </a:ln>
          </c:spPr>
          <c:marker>
            <c:symbol val="none"/>
          </c:marker>
          <c:cat>
            <c:strRef>
              <c:f>'3.4'!$A$7:$A$19</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'3.4'!$J$7:$J$19</c:f>
              <c:numCache>
                <c:formatCode>0%</c:formatCode>
                <c:ptCount val="13"/>
                <c:pt idx="0">
                  <c:v>0</c:v>
                </c:pt>
                <c:pt idx="1">
                  <c:v>0.14000000000000001</c:v>
                </c:pt>
                <c:pt idx="2">
                  <c:v>0.04</c:v>
                </c:pt>
                <c:pt idx="3">
                  <c:v>0.06</c:v>
                </c:pt>
                <c:pt idx="4">
                  <c:v>0.62843964237197103</c:v>
                </c:pt>
                <c:pt idx="5">
                  <c:v>0.11172758920800696</c:v>
                </c:pt>
                <c:pt idx="6">
                  <c:v>0.17572128110111171</c:v>
                </c:pt>
                <c:pt idx="7">
                  <c:v>4.947273026857802E-2</c:v>
                </c:pt>
                <c:pt idx="8">
                  <c:v>0.5</c:v>
                </c:pt>
                <c:pt idx="9">
                  <c:v>0.5</c:v>
                </c:pt>
                <c:pt idx="10">
                  <c:v>0.17</c:v>
                </c:pt>
                <c:pt idx="11">
                  <c:v>0.4347984017435525</c:v>
                </c:pt>
                <c:pt idx="12">
                  <c:v>0.18170275798829089</c:v>
                </c:pt>
              </c:numCache>
            </c:numRef>
          </c:val>
          <c:smooth val="0"/>
          <c:extLst>
            <c:ext xmlns:c16="http://schemas.microsoft.com/office/drawing/2014/chart" uri="{C3380CC4-5D6E-409C-BE32-E72D297353CC}">
              <c16:uniqueId val="{00000002-08C1-4DD3-8881-B610EF178728}"/>
            </c:ext>
          </c:extLst>
        </c:ser>
        <c:dLbls>
          <c:showLegendKey val="0"/>
          <c:showVal val="0"/>
          <c:showCatName val="0"/>
          <c:showSerName val="0"/>
          <c:showPercent val="0"/>
          <c:showBubbleSize val="0"/>
        </c:dLbls>
        <c:marker val="1"/>
        <c:smooth val="0"/>
        <c:axId val="638531456"/>
        <c:axId val="638529536"/>
      </c:lineChart>
      <c:catAx>
        <c:axId val="637817984"/>
        <c:scaling>
          <c:orientation val="minMax"/>
        </c:scaling>
        <c:delete val="0"/>
        <c:axPos val="b"/>
        <c:numFmt formatCode="General" sourceLinked="0"/>
        <c:majorTickMark val="out"/>
        <c:minorTickMark val="none"/>
        <c:tickLblPos val="nextTo"/>
        <c:crossAx val="637819520"/>
        <c:crosses val="autoZero"/>
        <c:auto val="1"/>
        <c:lblAlgn val="ctr"/>
        <c:lblOffset val="100"/>
        <c:noMultiLvlLbl val="0"/>
      </c:catAx>
      <c:valAx>
        <c:axId val="637819520"/>
        <c:scaling>
          <c:orientation val="minMax"/>
        </c:scaling>
        <c:delete val="0"/>
        <c:axPos val="l"/>
        <c:majorGridlines/>
        <c:title>
          <c:tx>
            <c:rich>
              <a:bodyPr rot="-5400000" vert="horz"/>
              <a:lstStyle/>
              <a:p>
                <a:pPr>
                  <a:defRPr/>
                </a:pPr>
                <a:r>
                  <a:rPr lang="en-US"/>
                  <a:t>Floorspace (m²)</a:t>
                </a:r>
              </a:p>
            </c:rich>
          </c:tx>
          <c:overlay val="0"/>
        </c:title>
        <c:numFmt formatCode="#,##0" sourceLinked="1"/>
        <c:majorTickMark val="out"/>
        <c:minorTickMark val="none"/>
        <c:tickLblPos val="nextTo"/>
        <c:crossAx val="637817984"/>
        <c:crosses val="autoZero"/>
        <c:crossBetween val="between"/>
      </c:valAx>
      <c:valAx>
        <c:axId val="638529536"/>
        <c:scaling>
          <c:orientation val="minMax"/>
          <c:max val="1"/>
          <c:min val="0"/>
        </c:scaling>
        <c:delete val="0"/>
        <c:axPos val="r"/>
        <c:numFmt formatCode="0%" sourceLinked="1"/>
        <c:majorTickMark val="out"/>
        <c:minorTickMark val="none"/>
        <c:tickLblPos val="nextTo"/>
        <c:crossAx val="638531456"/>
        <c:crosses val="max"/>
        <c:crossBetween val="between"/>
      </c:valAx>
      <c:catAx>
        <c:axId val="638531456"/>
        <c:scaling>
          <c:orientation val="minMax"/>
        </c:scaling>
        <c:delete val="1"/>
        <c:axPos val="b"/>
        <c:numFmt formatCode="General" sourceLinked="1"/>
        <c:majorTickMark val="out"/>
        <c:minorTickMark val="none"/>
        <c:tickLblPos val="nextTo"/>
        <c:crossAx val="638529536"/>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'3.5'!$L$4:$M$4</c:f>
              <c:strCache>
                <c:ptCount val="1"/>
                <c:pt idx="0">
                  <c:v>Wandsworth</c:v>
                </c:pt>
              </c:strCache>
            </c:strRef>
          </c:tx>
          <c:invertIfNegative val="0"/>
          <c:val>
            <c:numRef>
              <c:f>'3.5'!$M$6:$M$18</c:f>
              <c:numCache>
                <c:formatCode>#,##0</c:formatCode>
                <c:ptCount val="13"/>
                <c:pt idx="0">
                  <c:v>0</c:v>
                </c:pt>
                <c:pt idx="1">
                  <c:v>187</c:v>
                </c:pt>
                <c:pt idx="2">
                  <c:v>809</c:v>
                </c:pt>
                <c:pt idx="3">
                  <c:v>0</c:v>
                </c:pt>
                <c:pt idx="4">
                  <c:v>19183</c:v>
                </c:pt>
                <c:pt idx="5">
                  <c:v>420</c:v>
                </c:pt>
                <c:pt idx="6">
                  <c:v>1985</c:v>
                </c:pt>
                <c:pt idx="7">
                  <c:v>400</c:v>
                </c:pt>
                <c:pt idx="8">
                  <c:v>159</c:v>
                </c:pt>
                <c:pt idx="9">
                  <c:v>314</c:v>
                </c:pt>
                <c:pt idx="10">
                  <c:v>1834</c:v>
                </c:pt>
                <c:pt idx="11">
                  <c:v>0</c:v>
                </c:pt>
                <c:pt idx="12">
                  <c:v>265</c:v>
                </c:pt>
              </c:numCache>
            </c:numRef>
          </c:val>
          <c:extLst>
            <c:ext xmlns:c16="http://schemas.microsoft.com/office/drawing/2014/chart" uri="{C3380CC4-5D6E-409C-BE32-E72D297353CC}">
              <c16:uniqueId val="{00000000-4C1D-4809-A3AA-6D8F00A43694}"/>
            </c:ext>
          </c:extLst>
        </c:ser>
        <c:ser>
          <c:idx val="4"/>
          <c:order val="1"/>
          <c:tx>
            <c:strRef>
              <c:f>'3.5'!$J$4:$K$4</c:f>
              <c:strCache>
                <c:ptCount val="1"/>
                <c:pt idx="0">
                  <c:v>Tooting</c:v>
                </c:pt>
              </c:strCache>
            </c:strRef>
          </c:tx>
          <c:invertIfNegative val="0"/>
          <c:val>
            <c:numRef>
              <c:f>'3.5'!$K$6:$K$18</c:f>
              <c:numCache>
                <c:formatCode>#,##0</c:formatCode>
                <c:ptCount val="13"/>
                <c:pt idx="0">
                  <c:v>0</c:v>
                </c:pt>
                <c:pt idx="1">
                  <c:v>0</c:v>
                </c:pt>
                <c:pt idx="2">
                  <c:v>153</c:v>
                </c:pt>
                <c:pt idx="3">
                  <c:v>185</c:v>
                </c:pt>
                <c:pt idx="4">
                  <c:v>519</c:v>
                </c:pt>
                <c:pt idx="5">
                  <c:v>0</c:v>
                </c:pt>
                <c:pt idx="6">
                  <c:v>90</c:v>
                </c:pt>
                <c:pt idx="7">
                  <c:v>230</c:v>
                </c:pt>
                <c:pt idx="8">
                  <c:v>0</c:v>
                </c:pt>
                <c:pt idx="9">
                  <c:v>670</c:v>
                </c:pt>
                <c:pt idx="10">
                  <c:v>918</c:v>
                </c:pt>
                <c:pt idx="11">
                  <c:v>0</c:v>
                </c:pt>
                <c:pt idx="12">
                  <c:v>542</c:v>
                </c:pt>
              </c:numCache>
            </c:numRef>
          </c:val>
          <c:extLst>
            <c:ext xmlns:c16="http://schemas.microsoft.com/office/drawing/2014/chart" uri="{C3380CC4-5D6E-409C-BE32-E72D297353CC}">
              <c16:uniqueId val="{00000001-4C1D-4809-A3AA-6D8F00A43694}"/>
            </c:ext>
          </c:extLst>
        </c:ser>
        <c:ser>
          <c:idx val="3"/>
          <c:order val="2"/>
          <c:tx>
            <c:strRef>
              <c:f>'3.5'!$H$4:$I$4</c:f>
              <c:strCache>
                <c:ptCount val="1"/>
                <c:pt idx="0">
                  <c:v>Putney</c:v>
                </c:pt>
              </c:strCache>
            </c:strRef>
          </c:tx>
          <c:invertIfNegative val="0"/>
          <c:val>
            <c:numRef>
              <c:f>'3.5'!$I$6:$I$18</c:f>
              <c:numCache>
                <c:formatCode>#,##0</c:formatCode>
                <c:ptCount val="13"/>
                <c:pt idx="0">
                  <c:v>0</c:v>
                </c:pt>
                <c:pt idx="1">
                  <c:v>3250</c:v>
                </c:pt>
                <c:pt idx="2">
                  <c:v>0</c:v>
                </c:pt>
                <c:pt idx="3">
                  <c:v>0</c:v>
                </c:pt>
                <c:pt idx="4">
                  <c:v>200</c:v>
                </c:pt>
                <c:pt idx="5">
                  <c:v>49</c:v>
                </c:pt>
                <c:pt idx="6">
                  <c:v>3061</c:v>
                </c:pt>
                <c:pt idx="7">
                  <c:v>411</c:v>
                </c:pt>
                <c:pt idx="8">
                  <c:v>236</c:v>
                </c:pt>
                <c:pt idx="9">
                  <c:v>0</c:v>
                </c:pt>
                <c:pt idx="10">
                  <c:v>0</c:v>
                </c:pt>
                <c:pt idx="11">
                  <c:v>646</c:v>
                </c:pt>
                <c:pt idx="12">
                  <c:v>213</c:v>
                </c:pt>
              </c:numCache>
            </c:numRef>
          </c:val>
          <c:extLst>
            <c:ext xmlns:c16="http://schemas.microsoft.com/office/drawing/2014/chart" uri="{C3380CC4-5D6E-409C-BE32-E72D297353CC}">
              <c16:uniqueId val="{00000002-4C1D-4809-A3AA-6D8F00A43694}"/>
            </c:ext>
          </c:extLst>
        </c:ser>
        <c:ser>
          <c:idx val="2"/>
          <c:order val="3"/>
          <c:tx>
            <c:strRef>
              <c:f>'3.5'!$F$4:$G$4</c:f>
              <c:strCache>
                <c:ptCount val="1"/>
                <c:pt idx="0">
                  <c:v>Clapham Junction</c:v>
                </c:pt>
              </c:strCache>
            </c:strRef>
          </c:tx>
          <c:invertIfNegative val="0"/>
          <c:val>
            <c:numRef>
              <c:f>'3.5'!$G$6:$G$18</c:f>
              <c:numCache>
                <c:formatCode>#,##0</c:formatCode>
                <c:ptCount val="13"/>
                <c:pt idx="0">
                  <c:v>0</c:v>
                </c:pt>
                <c:pt idx="1">
                  <c:v>0</c:v>
                </c:pt>
                <c:pt idx="2">
                  <c:v>0</c:v>
                </c:pt>
                <c:pt idx="3">
                  <c:v>0</c:v>
                </c:pt>
                <c:pt idx="4">
                  <c:v>0</c:v>
                </c:pt>
                <c:pt idx="5">
                  <c:v>558</c:v>
                </c:pt>
                <c:pt idx="6">
                  <c:v>161</c:v>
                </c:pt>
                <c:pt idx="7">
                  <c:v>40</c:v>
                </c:pt>
                <c:pt idx="8">
                  <c:v>0</c:v>
                </c:pt>
                <c:pt idx="9">
                  <c:v>0</c:v>
                </c:pt>
                <c:pt idx="10">
                  <c:v>948</c:v>
                </c:pt>
                <c:pt idx="11">
                  <c:v>381</c:v>
                </c:pt>
                <c:pt idx="12">
                  <c:v>33</c:v>
                </c:pt>
              </c:numCache>
            </c:numRef>
          </c:val>
          <c:extLst>
            <c:ext xmlns:c16="http://schemas.microsoft.com/office/drawing/2014/chart" uri="{C3380CC4-5D6E-409C-BE32-E72D297353CC}">
              <c16:uniqueId val="{00000003-4C1D-4809-A3AA-6D8F00A43694}"/>
            </c:ext>
          </c:extLst>
        </c:ser>
        <c:ser>
          <c:idx val="1"/>
          <c:order val="4"/>
          <c:tx>
            <c:strRef>
              <c:f>'3.5'!$D$4:$E$4</c:f>
              <c:strCache>
                <c:ptCount val="1"/>
                <c:pt idx="0">
                  <c:v>Battersea Power Station</c:v>
                </c:pt>
              </c:strCache>
            </c:strRef>
          </c:tx>
          <c:invertIfNegative val="0"/>
          <c:val>
            <c:numRef>
              <c:f>'3.5'!$E$6:$E$18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1445</c:v>
                </c:pt>
              </c:numCache>
            </c:numRef>
          </c:val>
          <c:extLst>
            <c:ext xmlns:c16="http://schemas.microsoft.com/office/drawing/2014/chart" uri="{C3380CC4-5D6E-409C-BE32-E72D297353CC}">
              <c16:uniqueId val="{00000004-4C1D-4809-A3AA-6D8F00A43694}"/>
            </c:ext>
          </c:extLst>
        </c:ser>
        <c:ser>
          <c:idx val="0"/>
          <c:order val="5"/>
          <c:tx>
            <c:strRef>
              <c:f>'3.5'!$B$4:$C$4</c:f>
              <c:strCache>
                <c:ptCount val="1"/>
                <c:pt idx="0">
                  <c:v>Balham</c:v>
                </c:pt>
              </c:strCache>
            </c:strRef>
          </c:tx>
          <c:invertIfNegative val="0"/>
          <c:cat>
            <c:strRef>
              <c:f>'3.5'!$A$6:$A$18</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'3.5'!$C$6:$C$18</c:f>
              <c:numCache>
                <c:formatCode>#,##0</c:formatCode>
                <c:ptCount val="13"/>
                <c:pt idx="0">
                  <c:v>0</c:v>
                </c:pt>
                <c:pt idx="1">
                  <c:v>0</c:v>
                </c:pt>
                <c:pt idx="2">
                  <c:v>0</c:v>
                </c:pt>
                <c:pt idx="3">
                  <c:v>392</c:v>
                </c:pt>
                <c:pt idx="4">
                  <c:v>0</c:v>
                </c:pt>
                <c:pt idx="5">
                  <c:v>0</c:v>
                </c:pt>
                <c:pt idx="6">
                  <c:v>14</c:v>
                </c:pt>
                <c:pt idx="7">
                  <c:v>120</c:v>
                </c:pt>
                <c:pt idx="8">
                  <c:v>0</c:v>
                </c:pt>
                <c:pt idx="9">
                  <c:v>210</c:v>
                </c:pt>
                <c:pt idx="10">
                  <c:v>1265</c:v>
                </c:pt>
                <c:pt idx="11">
                  <c:v>188</c:v>
                </c:pt>
                <c:pt idx="12">
                  <c:v>78</c:v>
                </c:pt>
              </c:numCache>
            </c:numRef>
          </c:val>
          <c:extLst>
            <c:ext xmlns:c16="http://schemas.microsoft.com/office/drawing/2014/chart" uri="{C3380CC4-5D6E-409C-BE32-E72D297353CC}">
              <c16:uniqueId val="{00000005-4C1D-4809-A3AA-6D8F00A43694}"/>
            </c:ext>
          </c:extLst>
        </c:ser>
        <c:dLbls>
          <c:showLegendKey val="0"/>
          <c:showVal val="0"/>
          <c:showCatName val="0"/>
          <c:showSerName val="0"/>
          <c:showPercent val="0"/>
          <c:showBubbleSize val="0"/>
        </c:dLbls>
        <c:gapWidth val="150"/>
        <c:overlap val="100"/>
        <c:axId val="639598976"/>
        <c:axId val="639600512"/>
      </c:barChart>
      <c:catAx>
        <c:axId val="639598976"/>
        <c:scaling>
          <c:orientation val="minMax"/>
        </c:scaling>
        <c:delete val="0"/>
        <c:axPos val="b"/>
        <c:majorTickMark val="out"/>
        <c:minorTickMark val="none"/>
        <c:tickLblPos val="nextTo"/>
        <c:crossAx val="639600512"/>
        <c:crosses val="autoZero"/>
        <c:auto val="1"/>
        <c:lblAlgn val="ctr"/>
        <c:lblOffset val="100"/>
        <c:noMultiLvlLbl val="0"/>
      </c:catAx>
      <c:valAx>
        <c:axId val="639600512"/>
        <c:scaling>
          <c:orientation val="minMax"/>
        </c:scaling>
        <c:delete val="0"/>
        <c:axPos val="l"/>
        <c:majorGridlines/>
        <c:title>
          <c:tx>
            <c:rich>
              <a:bodyPr rot="-5400000" vert="horz"/>
              <a:lstStyle/>
              <a:p>
                <a:pPr>
                  <a:defRPr/>
                </a:pPr>
                <a:r>
                  <a:rPr lang="en-US"/>
                  <a:t>Floorspace (m²)</a:t>
                </a:r>
              </a:p>
            </c:rich>
          </c:tx>
          <c:overlay val="0"/>
        </c:title>
        <c:numFmt formatCode="#,##0" sourceLinked="1"/>
        <c:majorTickMark val="out"/>
        <c:minorTickMark val="none"/>
        <c:tickLblPos val="nextTo"/>
        <c:crossAx val="639598976"/>
        <c:crosses val="autoZero"/>
        <c:crossBetween val="between"/>
      </c:valAx>
    </c:plotArea>
    <c:legend>
      <c:legendPos val="r"/>
      <c:overlay val="0"/>
    </c:legend>
    <c:plotVisOnly val="1"/>
    <c:dispBlanksAs val="gap"/>
    <c:showDLblsOverMax val="0"/>
  </c:chart>
  <c:spPr>
    <a:ln>
      <a:noFill/>
    </a:ln>
  </c:spPr>
  <c:txPr>
    <a:bodyPr/>
    <a:lstStyle/>
    <a:p>
      <a:pPr>
        <a:defRPr sz="900"/>
      </a:pPr>
      <a:endParaRPr lang="en-US"/>
    </a:p>
  </c:txPr>
  <c:printSettings>
    <c:headerFooter/>
    <c:pageMargins b="0.75" l="0.7" r="0.7" t="0.75" header="0.3" footer="0.3"/>
    <c:pageSetup orientation="portrait"/>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149677</xdr:rowOff>
    </xdr:from>
    <xdr:to>
      <xdr:col>13</xdr:col>
      <xdr:colOff>0</xdr:colOff>
      <xdr:row>41</xdr:row>
      <xdr:rowOff>-1</xdr:rowOff>
    </xdr:to>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0</xdr:rowOff>
    </xdr:from>
    <xdr:to>
      <xdr:col>18</xdr:col>
      <xdr:colOff>5442</xdr:colOff>
      <xdr:row>33</xdr:row>
      <xdr:rowOff>149677</xdr:rowOff>
    </xdr:to>
    <xdr:graphicFrame macro="">
      <xdr:nvGraphicFramePr>
        <xdr:cNvPr id="2" name="Chart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22</xdr:row>
      <xdr:rowOff>15874</xdr:rowOff>
    </xdr:from>
    <xdr:to>
      <xdr:col>12</xdr:col>
      <xdr:colOff>0</xdr:colOff>
      <xdr:row>44</xdr:row>
      <xdr:rowOff>158749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0</xdr:rowOff>
    </xdr:from>
    <xdr:to>
      <xdr:col>8</xdr:col>
      <xdr:colOff>603249</xdr:colOff>
      <xdr:row>37</xdr:row>
      <xdr:rowOff>0</xdr:rowOff>
    </xdr:to>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46</xdr:row>
      <xdr:rowOff>0</xdr:rowOff>
    </xdr:from>
    <xdr:to>
      <xdr:col>16</xdr:col>
      <xdr:colOff>0</xdr:colOff>
      <xdr:row>67</xdr:row>
      <xdr:rowOff>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19</xdr:col>
      <xdr:colOff>0</xdr:colOff>
      <xdr:row>43</xdr:row>
      <xdr:rowOff>0</xdr:rowOff>
    </xdr:to>
    <xdr:graphicFrame macro="">
      <xdr:nvGraphicFramePr>
        <xdr:cNvPr id="2" name="Chart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21</xdr:row>
      <xdr:rowOff>0</xdr:rowOff>
    </xdr:from>
    <xdr:to>
      <xdr:col>15</xdr:col>
      <xdr:colOff>0</xdr:colOff>
      <xdr:row>40</xdr:row>
      <xdr:rowOff>0</xdr:rowOff>
    </xdr:to>
    <xdr:graphicFrame macro="">
      <xdr:nvGraphicFramePr>
        <xdr:cNvPr id="2" name="Chart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19</xdr:row>
      <xdr:rowOff>0</xdr:rowOff>
    </xdr:from>
    <xdr:to>
      <xdr:col>9</xdr:col>
      <xdr:colOff>31749</xdr:colOff>
      <xdr:row>37</xdr:row>
      <xdr:rowOff>0</xdr:rowOff>
    </xdr:to>
    <xdr:graphicFrame macro="">
      <xdr:nvGraphicFramePr>
        <xdr:cNvPr id="3" name="Chart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21</xdr:row>
      <xdr:rowOff>148166</xdr:rowOff>
    </xdr:from>
    <xdr:to>
      <xdr:col>14</xdr:col>
      <xdr:colOff>0</xdr:colOff>
      <xdr:row>44</xdr:row>
      <xdr:rowOff>148166</xdr:rowOff>
    </xdr:to>
    <xdr:graphicFrame macro="">
      <xdr:nvGraphicFramePr>
        <xdr:cNvPr id="3" name="Chart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21</xdr:row>
      <xdr:rowOff>0</xdr:rowOff>
    </xdr:from>
    <xdr:to>
      <xdr:col>15</xdr:col>
      <xdr:colOff>0</xdr:colOff>
      <xdr:row>40</xdr:row>
      <xdr:rowOff>0</xdr:rowOff>
    </xdr:to>
    <xdr:graphicFrame macro="">
      <xdr:nvGraphicFramePr>
        <xdr:cNvPr id="3" name="Chart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earwater, Patrick" refreshedDate="43538.620189699075" createdVersion="4" refreshedVersion="6" minRefreshableVersion="3" recordCount="32" xr:uid="{00000000-000A-0000-FFFF-FFFF05000000}">
  <cacheSource type="worksheet">
    <worksheetSource ref="A1:EB33" sheet="Temporary Applications"/>
  </cacheSource>
  <cacheFields count="132">
    <cacheField name="Status 1 - Development" numFmtId="0">
      <sharedItems count="4">
        <s v="01 Completed"/>
        <s v="03 Planning"/>
        <s v="02 Under Construction"/>
        <s v="04 Pending"/>
      </sharedItems>
    </cacheField>
    <cacheField name="Status 2 - Permission Type" numFmtId="0">
      <sharedItems count="3">
        <s v="02 Full"/>
        <s v="03 Outline"/>
        <s v="04 Prior Approval"/>
      </sharedItems>
    </cacheField>
    <cacheField name="Status 2 - Permission Type (Unnumbered)" numFmtId="0">
      <sharedItems count="3">
        <s v="Full"/>
        <s v="Outline"/>
        <s v="Prior Approval Not Started"/>
      </sharedItems>
    </cacheField>
    <cacheField name="Site" numFmtId="0">
      <sharedItems containsSemiMixedTypes="0" containsString="0" containsNumber="1" containsInteger="1" minValue="145" maxValue="7065"/>
    </cacheField>
    <cacheField name="Address" numFmtId="0">
      <sharedItems count="25">
        <s v="Garratt Park Depot (Council Deport), Maskell Road"/>
        <s v="Chelsea Bridge Wharf (southern site), Queenstown Road (Phase 5, Residential Blocks F &amp; G (Lanson House &amp; Burnelli House))"/>
        <s v="South Lambeth Goods Depot, Cringle St./Battersea Park Rd., Kirtling Street (Battersea Power Station)"/>
        <s v="Springfield Hospital site, 61 Glenburnie Road"/>
        <s v="Ibstock Place School, Clarence Lane (The Row)"/>
        <s v="Putney High School, 35-37 Putney Hill"/>
        <s v="108 Upper Tooting Road"/>
        <s v="Roehampton Hall, Alton Road (The Cornerstone)"/>
        <s v="Western Riverside Transfer Station, Smugglers Way"/>
        <s v="Homebase, 198 York Road"/>
        <s v="Hornsby House Primary School, Hearnville Road"/>
        <s v="The Castle, 38 Tooting High Street"/>
        <s v="Cringle Dock, Cringle Street"/>
        <s v="British Genius site, Battersea Park, Albert Bridge Road"/>
        <s v="open croft area, 1-29 Danebury Avenue"/>
        <s v="86-88 Garratt Lane"/>
        <s v="114 Upper Richmond Road"/>
        <s v="Units 1 &amp; 2, 9 Osiers Road"/>
        <s v="Youth Centre Support Building on car park south of, Weekly Square"/>
        <s v="Bourne Valley Wharf Raised Garden, Riverside Walk"/>
        <s v="Unit 27 Jasmine House, Juniper Drive"/>
        <s v="18 Lavender Road"/>
        <s v="Wandle &amp; Willow Annex, St Georges Hospital, Blackshaw Road"/>
        <s v="Land adjacent 177, 177 Battersea Park Road"/>
        <s v="Grosvenor Bridge Railway Link, Grosvenor Bridge"/>
      </sharedItems>
    </cacheField>
    <cacheField name="Ward" numFmtId="0">
      <sharedItems count="12">
        <s v="Earlsfield"/>
        <s v="Queenstown"/>
        <s v="Wandsworth Common"/>
        <s v="Roehampton and Putney Heath"/>
        <s v="East Putney"/>
        <s v="Tooting"/>
        <s v="Fairfield"/>
        <s v="St Mary's Park"/>
        <s v="Nightingale"/>
        <s v="Southfields"/>
        <s v="Thamesfield"/>
        <s v="Latchmere"/>
      </sharedItems>
    </cacheField>
    <cacheField name="Whole Site Area (Ha)" numFmtId="166">
      <sharedItems containsSemiMixedTypes="0" containsString="0" containsNumber="1" minValue="8.0000003799796104E-3" maxValue="33.259998321533203"/>
    </cacheField>
    <cacheField name="Easting" numFmtId="0">
      <sharedItems containsSemiMixedTypes="0" containsString="0" containsNumber="1" containsInteger="1" minValue="521433" maxValue="529778"/>
    </cacheField>
    <cacheField name="Northing" numFmtId="0">
      <sharedItems containsSemiMixedTypes="0" containsString="0" containsNumber="1" containsInteger="1" minValue="171180" maxValue="177730"/>
    </cacheField>
    <cacheField name="Site Specific Allocation" numFmtId="0">
      <sharedItems containsBlank="1"/>
    </cacheField>
    <cacheField name="Application" numFmtId="0">
      <sharedItems count="28">
        <s v="2017/1508"/>
        <s v="2015/5875"/>
        <s v="2017/4900"/>
        <s v="2015/1496"/>
        <s v="2018/0882"/>
        <s v="2018/0919"/>
        <s v="2017/0925"/>
        <s v="2017/4616"/>
        <s v="2017/2632"/>
        <s v="2017/6304"/>
        <s v="2015/4784"/>
        <s v="2018/1359"/>
        <s v="2017/3469"/>
        <s v="2017/5439"/>
        <s v="2015/6358"/>
        <s v="2017/0937"/>
        <s v="2015/2275"/>
        <s v="2017/2933"/>
        <s v="2017/4676"/>
        <s v="2018/0675"/>
        <s v="2016/1961"/>
        <s v="2016/2786"/>
        <s v="2017/3418"/>
        <s v="2017/3789"/>
        <s v="2017/4195"/>
        <s v="2018/0515"/>
        <s v="2016/5882"/>
        <s v="2017/4865"/>
      </sharedItems>
    </cacheField>
    <cacheField name="Application Status" numFmtId="0">
      <sharedItems/>
    </cacheField>
    <cacheField name="Received Date" numFmtId="14">
      <sharedItems containsSemiMixedTypes="0" containsNonDate="0" containsDate="1" containsString="0" minDate="2015-03-19T00:00:00" maxDate="2018-03-30T00:00:00"/>
    </cacheField>
    <cacheField name="Decision Date" numFmtId="14">
      <sharedItems containsNonDate="0" containsDate="1" containsString="0" containsBlank="1" minDate="2015-06-10T00:00:00" maxDate="2017-11-28T00:00:00" count="20">
        <d v="2017-05-15T00:00:00"/>
        <d v="2016-04-05T00:00:00"/>
        <d v="2017-10-23T00:00:00"/>
        <d v="2015-07-13T00:00:00"/>
        <m/>
        <d v="2017-04-18T00:00:00"/>
        <d v="2017-11-27T00:00:00"/>
        <d v="2017-07-31T00:00:00"/>
        <d v="2016-11-23T00:00:00"/>
        <d v="2017-08-22T00:00:00"/>
        <d v="2016-07-04T00:00:00"/>
        <d v="2017-04-27T00:00:00"/>
        <d v="2015-06-10T00:00:00"/>
        <d v="2017-07-20T00:00:00"/>
        <d v="2017-10-18T00:00:00"/>
        <d v="2016-05-13T00:00:00"/>
        <d v="2017-06-26T00:00:00"/>
        <d v="2017-09-18T00:00:00"/>
        <d v="2016-11-07T00:00:00"/>
        <d v="2017-09-19T00:00:00"/>
      </sharedItems>
    </cacheField>
    <cacheField name="Granted in Reporting Year" numFmtId="0">
      <sharedItems containsNonDate="0" containsString="0" containsBlank="1"/>
    </cacheField>
    <cacheField name="Legal Agreement Date" numFmtId="14">
      <sharedItems containsNonDate="0" containsDate="1" containsString="0" containsBlank="1" minDate="2015-11-10T00:00:00" maxDate="2015-12-16T00:00:00"/>
    </cacheField>
    <cacheField name="Appeal Status" numFmtId="0">
      <sharedItems/>
    </cacheField>
    <cacheField name="Appeal Registered Date" numFmtId="14">
      <sharedItems containsNonDate="0" containsString="0" containsBlank="1"/>
    </cacheField>
    <cacheField name="Appeal Decision Date" numFmtId="14">
      <sharedItems containsNonDate="0" containsString="0" containsBlank="1"/>
    </cacheField>
    <cacheField name="Development" numFmtId="0">
      <sharedItems longText="1"/>
    </cacheField>
    <cacheField name="Development Type" numFmtId="0">
      <sharedItems/>
    </cacheField>
    <cacheField name="Development Type Report" numFmtId="0">
      <sharedItems/>
    </cacheField>
    <cacheField name="Development Status" numFmtId="0">
      <sharedItems/>
    </cacheField>
    <cacheField name="Demolition Date" numFmtId="14">
      <sharedItems containsNonDate="0" containsString="0" containsBlank="1"/>
    </cacheField>
    <cacheField name="Construction Date" numFmtId="14">
      <sharedItems containsNonDate="0" containsDate="1" containsString="0" containsBlank="1" minDate="2017-03-03T00:00:00" maxDate="2018-04-01T00:00:00"/>
    </cacheField>
    <cacheField name="Completion Date" numFmtId="14">
      <sharedItems containsNonDate="0" containsDate="1" containsString="0" containsBlank="1" minDate="2017-05-12T00:00:00" maxDate="2018-04-01T00:00:00"/>
    </cacheField>
    <cacheField name="Occupied Date" numFmtId="14">
      <sharedItems containsNonDate="0" containsDate="1" containsString="0" containsBlank="1" minDate="2017-05-12T00:00:00" maxDate="2018-04-01T00:00:00"/>
    </cacheField>
    <cacheField name="Currency" numFmtId="0">
      <sharedItems/>
    </cacheField>
    <cacheField name="Land Type" numFmtId="0">
      <sharedItems/>
    </cacheField>
    <cacheField name="Phase Name" numFmtId="0">
      <sharedItems containsBlank="1" count="7">
        <m/>
        <s v="ZONE 1"/>
        <s v="ZONE 2"/>
        <s v="ZONE 4"/>
        <s v="ZONE 5"/>
        <s v="ZONE 6"/>
        <s v="ZONE 3"/>
      </sharedItems>
    </cacheField>
    <cacheField name="Phase Currency" numFmtId="0">
      <sharedItems containsBlank="1"/>
    </cacheField>
    <cacheField name="Phase Construction Date" numFmtId="14">
      <sharedItems containsNonDate="0" containsString="0" containsBlank="1"/>
    </cacheField>
    <cacheField name="Phase Completion Date" numFmtId="14">
      <sharedItems containsNonDate="0" containsString="0" containsBlank="1"/>
    </cacheField>
    <cacheField name="A1 Gain" numFmtId="3">
      <sharedItems containsSemiMixedTypes="0" containsString="0" containsNumber="1" containsInteger="1" minValue="0" maxValue="37"/>
    </cacheField>
    <cacheField name="A2 Gain" numFmtId="3">
      <sharedItems containsSemiMixedTypes="0" containsString="0" containsNumber="1" containsInteger="1" minValue="0" maxValue="561"/>
    </cacheField>
    <cacheField name="A3 Gain" numFmtId="3">
      <sharedItems containsSemiMixedTypes="0" containsString="0" containsNumber="1" containsInteger="1" minValue="0" maxValue="59"/>
    </cacheField>
    <cacheField name="A4 Gain" numFmtId="3">
      <sharedItems containsSemiMixedTypes="0" containsString="0" containsNumber="1" containsInteger="1" minValue="0" maxValue="135"/>
    </cacheField>
    <cacheField name="A5 Gain" numFmtId="3">
      <sharedItems containsSemiMixedTypes="0" containsString="0" containsNumber="1" containsInteger="1" minValue="0" maxValue="28"/>
    </cacheField>
    <cacheField name="A Total Gain" numFmtId="3">
      <sharedItems containsSemiMixedTypes="0" containsString="0" containsNumber="1" containsInteger="1" minValue="0" maxValue="561"/>
    </cacheField>
    <cacheField name="B1a Gain" numFmtId="3">
      <sharedItems containsSemiMixedTypes="0" containsString="0" containsNumber="1" containsInteger="1" minValue="0" maxValue="504"/>
    </cacheField>
    <cacheField name="B1b Gain" numFmtId="3">
      <sharedItems containsSemiMixedTypes="0" containsString="0" containsNumber="1" containsInteger="1" minValue="0" maxValue="0"/>
    </cacheField>
    <cacheField name="B1c Gain" numFmtId="3">
      <sharedItems containsSemiMixedTypes="0" containsString="0" containsNumber="1" containsInteger="1" minValue="0" maxValue="0"/>
    </cacheField>
    <cacheField name="B2 Gain" numFmtId="3">
      <sharedItems containsSemiMixedTypes="0" containsString="0" containsNumber="1" containsInteger="1" minValue="0" maxValue="0"/>
    </cacheField>
    <cacheField name="B8 Gain" numFmtId="3">
      <sharedItems containsSemiMixedTypes="0" containsString="0" containsNumber="1" containsInteger="1" minValue="0" maxValue="4475"/>
    </cacheField>
    <cacheField name="B Total Gain" numFmtId="3">
      <sharedItems containsSemiMixedTypes="0" containsString="0" containsNumber="1" containsInteger="1" minValue="0" maxValue="4475"/>
    </cacheField>
    <cacheField name="C1 Gain" numFmtId="3">
      <sharedItems containsSemiMixedTypes="0" containsString="0" containsNumber="1" containsInteger="1" minValue="0" maxValue="0"/>
    </cacheField>
    <cacheField name="D1 Gain" numFmtId="3">
      <sharedItems containsSemiMixedTypes="0" containsString="0" containsNumber="1" containsInteger="1" minValue="0" maxValue="2143"/>
    </cacheField>
    <cacheField name="D2 Gain" numFmtId="3">
      <sharedItems containsSemiMixedTypes="0" containsString="0" containsNumber="1" containsInteger="1" minValue="0" maxValue="6730"/>
    </cacheField>
    <cacheField name="D Total Gain" numFmtId="3">
      <sharedItems containsSemiMixedTypes="0" containsString="0" containsNumber="1" containsInteger="1" minValue="0" maxValue="6730"/>
    </cacheField>
    <cacheField name="A1 Loss" numFmtId="3">
      <sharedItems containsSemiMixedTypes="0" containsString="0" containsNumber="1" containsInteger="1" minValue="0" maxValue="90"/>
    </cacheField>
    <cacheField name="A2 Loss" numFmtId="3">
      <sharedItems containsSemiMixedTypes="0" containsString="0" containsNumber="1" containsInteger="1" minValue="0" maxValue="594"/>
    </cacheField>
    <cacheField name="A3 Loss" numFmtId="3">
      <sharedItems containsSemiMixedTypes="0" containsString="0" containsNumber="1" containsInteger="1" minValue="0" maxValue="9"/>
    </cacheField>
    <cacheField name="A4 Loss" numFmtId="3">
      <sharedItems containsSemiMixedTypes="0" containsString="0" containsNumber="1" containsInteger="1" minValue="0" maxValue="0"/>
    </cacheField>
    <cacheField name="A5 Loss" numFmtId="3">
      <sharedItems containsSemiMixedTypes="0" containsString="0" containsNumber="1" containsInteger="1" minValue="0" maxValue="0"/>
    </cacheField>
    <cacheField name="A Total Loss" numFmtId="3">
      <sharedItems containsSemiMixedTypes="0" containsString="0" containsNumber="1" containsInteger="1" minValue="0" maxValue="594"/>
    </cacheField>
    <cacheField name="B1a Loss" numFmtId="3">
      <sharedItems containsSemiMixedTypes="0" containsString="0" containsNumber="1" containsInteger="1" minValue="0" maxValue="561"/>
    </cacheField>
    <cacheField name="B1b Loss" numFmtId="3">
      <sharedItems containsSemiMixedTypes="0" containsString="0" containsNumber="1" containsInteger="1" minValue="0" maxValue="0"/>
    </cacheField>
    <cacheField name="B1c Loss" numFmtId="3">
      <sharedItems containsSemiMixedTypes="0" containsString="0" containsNumber="1" containsInteger="1" minValue="0" maxValue="0"/>
    </cacheField>
    <cacheField name="B2 Loss" numFmtId="3">
      <sharedItems containsSemiMixedTypes="0" containsString="0" containsNumber="1" containsInteger="1" minValue="0" maxValue="0"/>
    </cacheField>
    <cacheField name="B8 Loss" numFmtId="3">
      <sharedItems containsSemiMixedTypes="0" containsString="0" containsNumber="1" containsInteger="1" minValue="0" maxValue="6675"/>
    </cacheField>
    <cacheField name="B Total Loss" numFmtId="3">
      <sharedItems containsSemiMixedTypes="0" containsString="0" containsNumber="1" containsInteger="1" minValue="0" maxValue="6675"/>
    </cacheField>
    <cacheField name="C1 Loss" numFmtId="3">
      <sharedItems containsSemiMixedTypes="0" containsString="0" containsNumber="1" containsInteger="1" minValue="0" maxValue="0"/>
    </cacheField>
    <cacheField name="D1 Loss" numFmtId="3">
      <sharedItems containsSemiMixedTypes="0" containsString="0" containsNumber="1" containsInteger="1" minValue="0" maxValue="630"/>
    </cacheField>
    <cacheField name="D2 Loss" numFmtId="3">
      <sharedItems containsSemiMixedTypes="0" containsString="0" containsNumber="1" containsInteger="1" minValue="0" maxValue="0"/>
    </cacheField>
    <cacheField name="D Total Loss" numFmtId="3">
      <sharedItems containsSemiMixedTypes="0" containsString="0" containsNumber="1" containsInteger="1" minValue="0" maxValue="630"/>
    </cacheField>
    <cacheField name="A Total Loss or Gain" numFmtId="3">
      <sharedItems count="2">
        <s v=""/>
        <s v="Y"/>
      </sharedItems>
    </cacheField>
    <cacheField name="B Total Loss or Gain" numFmtId="3">
      <sharedItems count="2">
        <s v="Y"/>
        <s v=""/>
      </sharedItems>
    </cacheField>
    <cacheField name="D Total Loss or Gain" numFmtId="3">
      <sharedItems count="2">
        <s v=""/>
        <s v="Y"/>
      </sharedItems>
    </cacheField>
    <cacheField name="A1 Net" numFmtId="3">
      <sharedItems containsSemiMixedTypes="0" containsString="0" containsNumber="1" containsInteger="1" minValue="-90" maxValue="37"/>
    </cacheField>
    <cacheField name="A2 Net" numFmtId="3">
      <sharedItems containsSemiMixedTypes="0" containsString="0" containsNumber="1" containsInteger="1" minValue="-594" maxValue="561"/>
    </cacheField>
    <cacheField name="A3 Net" numFmtId="3">
      <sharedItems containsSemiMixedTypes="0" containsString="0" containsNumber="1" containsInteger="1" minValue="-9" maxValue="59"/>
    </cacheField>
    <cacheField name="A4 Net" numFmtId="3">
      <sharedItems containsSemiMixedTypes="0" containsString="0" containsNumber="1" containsInteger="1" minValue="0" maxValue="135"/>
    </cacheField>
    <cacheField name="A5 Net" numFmtId="3">
      <sharedItems containsSemiMixedTypes="0" containsString="0" containsNumber="1" containsInteger="1" minValue="0" maxValue="28"/>
    </cacheField>
    <cacheField name="A Total Net" numFmtId="3">
      <sharedItems containsSemiMixedTypes="0" containsString="0" containsNumber="1" containsInteger="1" minValue="-594" maxValue="561"/>
    </cacheField>
    <cacheField name="B1a Net" numFmtId="3">
      <sharedItems containsSemiMixedTypes="0" containsString="0" containsNumber="1" containsInteger="1" minValue="-561" maxValue="504"/>
    </cacheField>
    <cacheField name="B1b Net" numFmtId="3">
      <sharedItems containsSemiMixedTypes="0" containsString="0" containsNumber="1" containsInteger="1" minValue="0" maxValue="0"/>
    </cacheField>
    <cacheField name="B1c Net" numFmtId="3">
      <sharedItems containsSemiMixedTypes="0" containsString="0" containsNumber="1" containsInteger="1" minValue="0" maxValue="0"/>
    </cacheField>
    <cacheField name="B2 Net" numFmtId="3">
      <sharedItems containsSemiMixedTypes="0" containsString="0" containsNumber="1" containsInteger="1" minValue="0" maxValue="0"/>
    </cacheField>
    <cacheField name="B8 Net" numFmtId="3">
      <sharedItems containsSemiMixedTypes="0" containsString="0" containsNumber="1" containsInteger="1" minValue="-2200" maxValue="22"/>
    </cacheField>
    <cacheField name="B Total Net" numFmtId="3">
      <sharedItems containsSemiMixedTypes="0" containsString="0" containsNumber="1" containsInteger="1" minValue="-2200" maxValue="504"/>
    </cacheField>
    <cacheField name="Net Loss of B" numFmtId="0">
      <sharedItems containsBlank="1"/>
    </cacheField>
    <cacheField name="C1 Net" numFmtId="3">
      <sharedItems containsSemiMixedTypes="0" containsString="0" containsNumber="1" containsInteger="1" minValue="0" maxValue="0"/>
    </cacheField>
    <cacheField name="D1 Net" numFmtId="3">
      <sharedItems containsSemiMixedTypes="0" containsString="0" containsNumber="1" containsInteger="1" minValue="-504" maxValue="1513"/>
    </cacheField>
    <cacheField name="D2 Net" numFmtId="3">
      <sharedItems containsSemiMixedTypes="0" containsString="0" containsNumber="1" containsInteger="1" minValue="0" maxValue="6730"/>
    </cacheField>
    <cacheField name="D Total Net" numFmtId="3">
      <sharedItems containsSemiMixedTypes="0" containsString="0" containsNumber="1" containsInteger="1" minValue="-504" maxValue="6730"/>
    </cacheField>
    <cacheField name="A1Description_Gain" numFmtId="0">
      <sharedItems/>
    </cacheField>
    <cacheField name="A2Description_Gain" numFmtId="0">
      <sharedItems/>
    </cacheField>
    <cacheField name="A3Description_Gain" numFmtId="0">
      <sharedItems/>
    </cacheField>
    <cacheField name="A4Description_Gain" numFmtId="0">
      <sharedItems/>
    </cacheField>
    <cacheField name="A5Description_Gain" numFmtId="0">
      <sharedItems/>
    </cacheField>
    <cacheField name="B1aDescription_Gain" numFmtId="0">
      <sharedItems/>
    </cacheField>
    <cacheField name="B1bDescription_Gain" numFmtId="0">
      <sharedItems/>
    </cacheField>
    <cacheField name="B1cDescription_Gain" numFmtId="0">
      <sharedItems/>
    </cacheField>
    <cacheField name="B2Description_Gain" numFmtId="0">
      <sharedItems/>
    </cacheField>
    <cacheField name="B8Description_Gain" numFmtId="0">
      <sharedItems/>
    </cacheField>
    <cacheField name="C1Description_Gain" numFmtId="0">
      <sharedItems/>
    </cacheField>
    <cacheField name="D1Description_Gain" numFmtId="0">
      <sharedItems/>
    </cacheField>
    <cacheField name="D2Description_Gain" numFmtId="0">
      <sharedItems/>
    </cacheField>
    <cacheField name="A1Description_Loss" numFmtId="0">
      <sharedItems/>
    </cacheField>
    <cacheField name="A2Description_Loss" numFmtId="0">
      <sharedItems/>
    </cacheField>
    <cacheField name="A3Description_Loss" numFmtId="0">
      <sharedItems/>
    </cacheField>
    <cacheField name="A4Description_Loss" numFmtId="0">
      <sharedItems/>
    </cacheField>
    <cacheField name="A5Description_Loss" numFmtId="0">
      <sharedItems/>
    </cacheField>
    <cacheField name="B1aDescription_Loss" numFmtId="0">
      <sharedItems/>
    </cacheField>
    <cacheField name="B1bDescription_Loss" numFmtId="0">
      <sharedItems/>
    </cacheField>
    <cacheField name="B1cDescription_Loss" numFmtId="0">
      <sharedItems/>
    </cacheField>
    <cacheField name="B2Description_Loss" numFmtId="0">
      <sharedItems/>
    </cacheField>
    <cacheField name="B8Description_Loss" numFmtId="0">
      <sharedItems/>
    </cacheField>
    <cacheField name="C1Description_Loss" numFmtId="0">
      <sharedItems/>
    </cacheField>
    <cacheField name="D1Description_Loss" numFmtId="0">
      <sharedItems/>
    </cacheField>
    <cacheField name="D2Description_Loss" numFmtId="0">
      <sharedItems/>
    </cacheField>
    <cacheField name="Non-Residential Site Area (ha)" numFmtId="3">
      <sharedItems containsNonDate="0" containsString="0" containsBlank="1"/>
    </cacheField>
    <cacheField name="Ind,Emp&amp;Retail Report Gain" numFmtId="3">
      <sharedItems containsSemiMixedTypes="0" containsString="0" containsNumber="1" containsInteger="1" minValue="0" maxValue="6750"/>
    </cacheField>
    <cacheField name="Ind,Emp&amp;Retail Report Loss" numFmtId="3">
      <sharedItems containsSemiMixedTypes="0" containsString="0" containsNumber="1" containsInteger="1" minValue="0" maxValue="6675"/>
    </cacheField>
    <cacheField name="Ind,Emp&amp;Retail Report Net" numFmtId="3">
      <sharedItems containsSemiMixedTypes="0" containsString="0" containsNumber="1" containsInteger="1" minValue="-1500" maxValue="6730"/>
    </cacheField>
    <cacheField name="Thames Policy Area" numFmtId="0">
      <sharedItems containsBlank="1"/>
    </cacheField>
    <cacheField name="Strategic Industrial Location" numFmtId="0">
      <sharedItems containsNonDate="0" containsString="0" containsBlank="1"/>
    </cacheField>
    <cacheField name="Strategic Industrial Location Name" numFmtId="0">
      <sharedItems containsNonDate="0" containsString="0" containsBlank="1"/>
    </cacheField>
    <cacheField name="Locally Significant Industrial Area" numFmtId="0">
      <sharedItems containsBlank="1"/>
    </cacheField>
    <cacheField name="Locally Significant Industrial Area Name" numFmtId="0">
      <sharedItems containsBlank="1"/>
    </cacheField>
    <cacheField name="Mixed Use Former Industrial Employment Area" numFmtId="0">
      <sharedItems containsBlank="1"/>
    </cacheField>
    <cacheField name="Mixed Use Former Industrial Employment Area Name" numFmtId="0">
      <sharedItems containsBlank="1"/>
    </cacheField>
    <cacheField name="Vauxhall, Nine Elms, Battersea Opportunity Area" numFmtId="0">
      <sharedItems containsBlank="1"/>
    </cacheField>
    <cacheField name="Town Centre" numFmtId="0">
      <sharedItems containsBlank="1"/>
    </cacheField>
    <cacheField name="Town Centre Name" numFmtId="0">
      <sharedItems containsBlank="1"/>
    </cacheField>
    <cacheField name="Local Centre" numFmtId="0">
      <sharedItems containsBlank="1"/>
    </cacheField>
    <cacheField name="Local Centre Name" numFmtId="0">
      <sharedItems containsBlank="1"/>
    </cacheField>
    <cacheField name="C3 Gain" numFmtId="3">
      <sharedItems containsSemiMixedTypes="0" containsString="0" containsNumber="1" containsInteger="1" minValue="0" maxValue="594"/>
    </cacheField>
    <cacheField name="C3 Loss" numFmtId="3">
      <sharedItems containsSemiMixedTypes="0" containsString="0" containsNumber="1" containsInteger="1" minValue="0" maxValue="0"/>
    </cacheField>
    <cacheField name="C3 Net" numFmtId="3">
      <sharedItems containsSemiMixedTypes="0" containsString="0" containsNumber="1" containsInteger="1" minValue="0" maxValue="594"/>
    </cacheField>
    <cacheField name="Residential Gain" numFmtId="0">
      <sharedItems containsBlank="1"/>
    </cacheField>
    <cacheField name="Temporary Permission"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earwater, Patrick" refreshedDate="43538.620190972222" createdVersion="4" refreshedVersion="6" minRefreshableVersion="3" recordCount="926" xr:uid="{00000000-000A-0000-FFFF-FFFF04000000}">
  <cacheSource type="worksheet">
    <worksheetSource ref="A1:ED927" sheet="Applications"/>
  </cacheSource>
  <cacheFields count="134">
    <cacheField name="Status 1 - Development" numFmtId="0">
      <sharedItems count="4">
        <s v="01 Completed"/>
        <s v="04 Pending"/>
        <s v="03 Planning"/>
        <s v="02 Under Construction"/>
      </sharedItems>
    </cacheField>
    <cacheField name="Status 2 - Permission Type" numFmtId="0">
      <sharedItems count="6">
        <s v="02 Full"/>
        <s v="06 Appeal"/>
        <s v="04 Prior Approval"/>
        <s v="05 Certificate of Lawful Development"/>
        <s v="01 Pending Legal Agreement"/>
        <s v="03 Outline"/>
      </sharedItems>
    </cacheField>
    <cacheField name="Status 2 - Permission Type (Unnumbered)" numFmtId="0">
      <sharedItems count="6">
        <s v="Full"/>
        <s v="Appeal"/>
        <s v="Prior Approval"/>
        <s v="Certificate of Lawful Development"/>
        <s v="Pending Legal Agreement"/>
        <s v="Outline"/>
      </sharedItems>
    </cacheField>
    <cacheField name="Status 3 - Occupancy" numFmtId="0">
      <sharedItems containsBlank="1" count="3">
        <s v="Occupied"/>
        <m/>
        <s v="Not Occupied"/>
      </sharedItems>
    </cacheField>
    <cacheField name="Site" numFmtId="0">
      <sharedItems containsString="0" containsBlank="1" containsNumber="1" containsInteger="1" minValue="9" maxValue="7064"/>
    </cacheField>
    <cacheField name="Address" numFmtId="0">
      <sharedItems containsBlank="1" count="754">
        <s v="Linden Lodge School, 61 Princes Way"/>
        <s v="Digby Stuart College, Roehampton Lane (Digby Stuart &amp; Southlands Colleges)"/>
        <s v="Trinity Court Nursing Home, 165-167 Trinity Road"/>
        <s v="Land adjoining 14, Cairns Road (16)"/>
        <s v="Ransomes Dock, 35-37 Parkgate Road (Ransomes Dock Business Centre)"/>
        <s v="70-74 St Johns Hill (Public open space east of 76)"/>
        <s v="Gargoyle Wharf, York Road/Bridgend Road (Battersea Reach, (former Guinness Site))"/>
        <s v="Craven Court, 1 Taybridge Road"/>
        <s v="374 Old York Road"/>
        <s v="257 Putney Bridge Road"/>
        <s v="12-14 Lombard Road (Lombard Wharf)"/>
        <s v="Newcombe House, 319-323 Battersea Park Road"/>
        <s v="Riverside West, Smugglers Way"/>
        <s v="Battersea Technology College and 3 Culovert Road, 401 Battersea Park Road (Harris Academy)"/>
        <s v="Estate House, 225-231 Upper Richmond Road"/>
        <s v="Section House, 3-5 Nightingale Lane"/>
        <s v="Trade Tower, Plantation Wharf, Coral Row (Plantation Wharf)"/>
        <s v="Land South of, Nine Elms Lane (North of Post Office Way) (US Embassy)"/>
        <s v="26 Stewarts Road"/>
        <s v="50 &amp; 50A Webbs Road"/>
        <s v="114 Falcon Road"/>
        <s v="Land rear of 319-321 (1a Burr road), 319-321 Merton Road"/>
        <s v="Battersea Park Studios, 2 Shuttleworth Road (131 Battersea High Street)"/>
        <s v="Car Showroom and Premises, 632-640 Garratt Lane"/>
        <s v="5-25 Burr Road"/>
        <s v="265 Putney Bridge Road"/>
        <s v="Market Towers, 1 Nine Elms Lane (One Nine Elms)"/>
        <s v="648b Garratt Lane"/>
        <s v="Alexander House, 155 Merton Road"/>
        <s v="169 St Johns Hill"/>
        <s v="220A Queenstown Road"/>
        <s v="5 Beechcroft Road"/>
        <s v="371 Garratt Lane"/>
        <s v="56 Battersea Bridge Road"/>
        <s v="(rear of 2), 2B Credenhill Street"/>
        <s v="294 Merton Road"/>
        <s v="Prince of Wales, 186 Battersea Bridge Road"/>
        <s v="41-49 and 49-59, 49-59 Battersea Park Road (Booker &amp; BMW Sites)"/>
        <s v="Rear of 76, Tooting High Street"/>
        <s v="and 5 Upper Richmond Road, 72 West Hill"/>
        <s v="252 Upper Richmond Road"/>
        <s v="6-10 Mitcham Road"/>
        <s v="Argylle House, 1a All Saints Passage"/>
        <s v="253 Lavender Hill"/>
        <s v="Kwik Fit 289, 279-291 Balham High Road"/>
        <s v="Upper floors, 362 Old York Road"/>
        <s v="180 Northcote Road"/>
        <s v="99-101 Putney High Street"/>
        <s v="Unit 1, The Chapel, RVPB, Fitzhugh Grove"/>
        <s v="First floor, 107-109 Wandsworth High Street"/>
        <s v="1a Bennerley Road"/>
        <s v="174 Battersea Park Road"/>
        <s v="Upper floors, 182 Balham High Road"/>
        <s v="99 Battersea Rise"/>
        <s v="Khasla Centre, 95 Upper Tooting Road"/>
        <s v="199b Upper Richmond Road (Flats 1 &amp; 2)"/>
        <s v="66 West Hill"/>
        <s v="83 Beechcroft Road"/>
        <s v="Upper floors, 535 Garratt Lane"/>
        <s v="178 Balham High Road"/>
        <s v="Coach house rear of, 812 Garratt Lane (812c also known as 812d workshop)"/>
        <s v="42 Keswick Road"/>
        <s v="65 Battersea Bridge Road"/>
        <s v="182 Lavender Hill"/>
        <s v="Our Lady &amp; St Peter RC Church &amp; Presbytery, 15 Victoria Drive"/>
        <s v="30 Bushnell Road"/>
        <s v="89 Mitcham Road"/>
        <s v="113 Mitcham Road"/>
        <s v="Upper floors, 10 Tooting High Street"/>
        <s v="Old Garden House, The Lanterns, Bridge Lane"/>
        <s v="Ground floor, 280 Earlsfield Road"/>
        <s v="122a Plough Road"/>
        <s v="94 East Hill (1-5 Cecil House)"/>
        <s v="St Francis Xavier College (part), Malwood Road (St Francis Place)"/>
        <s v="53 Lydden Grove"/>
        <s v="Land rear of 26, Longley Road (26a)"/>
        <s v="2a Isis Street"/>
        <s v="Ship House, 34-35 Battersea Square (JSS Pinnacle House (35))"/>
        <s v="175 Wandsworth High Street"/>
        <s v="Lock up garages, 26-40 Balham New Road"/>
        <s v="Our Lady of Mount Carmel &amp; St Joseph, 8 Battersea Park Road"/>
        <s v="65a Bramfield Road (145a Northcote Road)"/>
        <s v="81-87 Upper Tooting Road"/>
        <s v="Putney Place, 84-88 Upper Richmond Road (Putney Plaza / Oracle)"/>
        <s v="Land rear of 6-8a, Fontenoy Road"/>
        <s v="297-301 Balham High Road (1-9 Belgravia House, 301)"/>
        <s v="94-94a Longley Road"/>
        <s v="143-149 Merton Road (1-14 Priscilla Court, 145)"/>
        <s v="Rear of 118, St Johns Hill"/>
        <s v="Falcon Wharf, 32-34 Lombard Road (Hotel Rafayel)"/>
        <s v="20a Trinity Road"/>
        <s v="Mission Church development site, 22-24 Kellino Street (Tooting Boys' Club)"/>
        <s v="Land adj. and rear of 58, Topsham Road"/>
        <s v="Land adjoining 23, Boundaries Road"/>
        <s v="1a Colinette Road"/>
        <s v="191-195 Balham High Road"/>
        <s v="31-43 Putney High Street"/>
        <s v="Land rear of 39, Himley Road (39b)"/>
        <s v="89-93 Putney High Street"/>
        <s v="204 Mitcham Road"/>
        <s v="Former Domus Tiles site, 31-33 Parkgate Road/Elcho Street (27-33 Parkgate Road &amp; 2-42 Elcho Street)"/>
        <s v="The Forester, 114 Allfarthing Lane"/>
        <s v="and land to rear, 501a Old York Road"/>
        <s v="Tiffany Heights, 59 Standen Road"/>
        <s v="Land between 1 and 3, 1a Wimbledon Park Road"/>
        <s v="South Lambeth Goods Depot, Cringle St./Battersea Park Rd., Kirtling Street (Battersea Power Station)"/>
        <s v="74-80 Upper Tooting Road (1-18 Whitham Court, 76)"/>
        <s v="Phase III Riverside Quarter, Point Pleasant (Phase III Riverside Quarter)"/>
        <s v="Springfield Hospital site, 61 Glenburnie Road"/>
        <s v="Garages rear of 60, Granville Road (Land adjoining playing field Viewfield Road)"/>
        <s v="South London Lofts, 36-38 Old Devonshire Road"/>
        <s v="Upper floors, 33-37 St Johns Hill (Flats 1-10)"/>
        <s v="130-132 Wandsworth High Street"/>
        <s v="Garages between 77 &amp; 85, Ravenslea Road"/>
        <s v="Battersea Dogs &amp; Cats Home, 4 Battersea Park Road"/>
        <s v="41-43 Bedford Hill"/>
        <s v="Ground Floor, 103 East Hill"/>
        <s v="London Rowing Club, Embankment"/>
        <s v="4 Ingate Place"/>
        <s v="Garages rear of 168, Bedford Hill"/>
        <s v="Garages rear of 194, Bedford Hill"/>
        <s v="Paddock School, Priory Lane"/>
        <s v="26 Tooting High Street"/>
        <s v="South Thames College, Wandsworth High Street"/>
        <s v="163-165 Tooting High Street"/>
        <s v="L'Ecole de Battersea, Trott Street (Former Sacred Heart RC School)"/>
        <s v="Graveney School, Welham Road"/>
        <s v="241 Wimbledon Park Road"/>
        <s v="Dovercourt, 98 York Road (Lookers Volkswagen)"/>
        <s v="32-34 Upper Tooting Road"/>
        <s v="336 Garratt Lane"/>
        <s v="Roehampton Club, Roehampton Lane"/>
        <s v="Wandsworth Prison, Heathfield Road"/>
        <s v="Royal Hospital for Neuro Disability 101-119, 101 West Hill"/>
        <s v="181-207 Tooting High Street"/>
        <s v="38-40 Lower Richmond Road"/>
        <s v="131 St Johns Hill"/>
        <s v="Putney Evangelical Church, Sefton Street"/>
        <s v="527 Garratt Lane"/>
        <s v="9 Lavender Hill"/>
        <s v="79-85 Putney High Street"/>
        <s v="Eaton House School, 58 Clapham Common North Side"/>
        <s v="16 Tooting Bec Road"/>
        <s v="114 Tooting High Street"/>
        <s v="50 HavelockTerrace (Formerly 1 Gladstone Terrace)"/>
        <s v="Western Riverside Transfer Station, Smugglers Way"/>
        <s v="Lidl, 141 Falcon Lane"/>
        <s v="56 Tooting High Street"/>
        <s v="26 Wadham Road"/>
        <s v="526 Garratt Lane"/>
        <s v="160 Franciscan Road"/>
        <s v="Granard School, Cortis Road"/>
        <s v="Unit 8 Mandeville Courtyard, 142 Battersea Park Road"/>
        <s v="Former Caretaker House, Boyce House, Aldrington Road"/>
        <s v="82-84 Battersea Rise"/>
        <s v="1 Station Parade, Balham High Road"/>
        <s v="245 Mitcham Lane"/>
        <s v="70 Upper Tooting Road"/>
        <s v="Cockpen House, 20-30 Buckhold Road"/>
        <s v="208-214 York Road and, 4 Chatfield Road"/>
        <s v="Tideway Industrial Estate, 87 Kirtling Street (Riverlight)"/>
        <s v="New Covent Garden Market, Nine Elms Lane (Combined Main Market, Entrance site and Thessaly College site)"/>
        <s v="and land at rear (21-23), 3-4 Osiers Road (Dandara Site / Radius)"/>
        <s v="Battersea Gasholder, 101 Prince of Wales Drive"/>
        <s v="56-70, 56-66 Putney High Street (Wereldhave Site)"/>
        <s v="Marco Polo House, 346 Queenstown Road (Vista, Chelsea Bridge)"/>
        <s v="Unit B, 12-18 Radstock Street"/>
        <s v="Ram Brewery, Capital Studios &amp; Duvall Works, Ram Street/Armoury Way/Wandsworth High Street (The Ram Quarter)"/>
        <s v="B and Q Depot, Smugglers Way"/>
        <s v="Peabody Estate, St Johns Hill"/>
        <s v="Homebase, Swandon Way"/>
        <s v="Homebase, 198 York Road"/>
        <s v="74 St Rule Street"/>
        <s v="83 Lavender Hill"/>
        <s v="Hornsby House Primary School, Hearnville Road"/>
        <s v="3-4 Chivalry Road"/>
        <s v="Land rear of and basement/ground floor, 629 Garratt Lane"/>
        <s v="45 Upper Tooting Road"/>
        <s v="9-15 Elcho Street"/>
        <s v="Workshop rear of 7-9, Aldis Street"/>
        <s v="Big Yellow Storage, 100 Garratt Lane"/>
        <s v="Garage adjoining 67, 67A Blakenham Road"/>
        <s v="51 Lydden Grove"/>
        <s v="294 Cavendish Road"/>
        <s v="The Roche School, 11 Frogmore"/>
        <s v="Land rear of 4-24, Thrale Road (Land rear of Mitcham Lane)"/>
        <s v="178-192 Thessaly Road"/>
        <s v="Side alleyway, 74 Battersea Rise"/>
        <s v="35 Upper Tooting Road"/>
        <s v="729 Garratt Lane"/>
        <s v="88 Bedford Hill"/>
        <s v="Unit 4 Triangle House, 2 Broomhill Road"/>
        <s v="St Peter with St Paul Church, Vicarage and, 23-31 Plough Road (Parkside St. Peters)"/>
        <s v="78 Balham High Road"/>
        <s v="Herb Garden, Battersea Park Yard, Albert Bridge Road"/>
        <s v="BPS Phase 4a, Sleaford Street (Sleaford Street Industrial Estate &amp; Dairy Crest Distribution Depot)"/>
        <s v="Royal Mail Group Site, Ponton Road (Nine Elms Parkside)"/>
        <s v="Christies Auctioneers Depot, 40-42 Ponton Road (The Residence)"/>
        <s v="Dadu's Parade, 180-218 Upper Tooting Road"/>
        <s v="6-28 Gwynne Road (The Regent)"/>
        <s v="Former Garage, 39-41 East Hill"/>
        <s v="Former Prices Candles Factory, 110 York Road"/>
        <s v="262 Upper Tooting Road"/>
        <s v="515 Garratt Lane"/>
        <s v="184 Northcote Road"/>
        <s v="Unit 2, 10 Bective Place"/>
        <s v="11 Webbs Road"/>
        <s v="22 Trinity Road"/>
        <s v="294 Upper Richmond Road (Flats a, b &amp; c)"/>
        <s v="99 Mitcham Lane"/>
        <s v="Land rear of 134, Cavendish Road"/>
        <s v="25 Northcote Road"/>
        <s v="Park House, 233 Roehampton Lane"/>
        <s v="149-151 Wandsworth High Street"/>
        <s v="Nightingale House, 105 Nightingale Lane"/>
        <s v="55a Byrne Road"/>
        <s v="66 Fairfield Street"/>
        <s v="Lanterns Lodge, The Lanterns, Bridge Lane"/>
        <s v="155 Burntwood Lane"/>
        <s v="62 West Hill"/>
        <s v="Land rear of 88, Thurleigh Road"/>
        <s v="1A, 1 Winders Road"/>
        <s v="25-29 Tooting High Street"/>
        <s v="Allfarthing Primary School, St Anns Crescent"/>
        <s v="Ferrier Industrial Estate, 4 Ferrier Street"/>
        <s v="St Michaels School, 39 Granville Road"/>
        <s v="The Alchemist, 225 St Johns Hill"/>
        <s v="6 Lavender Hill"/>
        <s v="The Spencer Club, Fieldview"/>
        <s v="214 Upper Richmond Road"/>
        <s v="100 Upper Tooting Road"/>
        <s v="Ima House, 20 Northfields"/>
        <s v="120 Upper Richmond Road"/>
        <s v="535 Battersea Park Road"/>
        <s v="Brandlehow Primary School, Brandlehow Road"/>
        <s v="Thomas's Preparatory School, 28-40, 28 Battersea High Street"/>
        <s v="19-21 Mitcham Road"/>
        <s v="Unit 6 The Kimber Centre, 54 Kimber Road"/>
        <s v="St Marys C of E Primary School, Felsham Road"/>
        <s v="Linton Fuels, Osiers Road (Land at Linton Fuels Osiers Road)"/>
        <s v="Unit 118 Prospect Quay, 98 Point Pleasant"/>
        <s v="Cringle Dock, Cringle Street"/>
        <s v="9, Osiers Road (11 and 19 Osiers Road)"/>
        <s v="The London Mosque, 16 Gressenhall Road"/>
        <s v="Jessica House, Red Lion Square"/>
        <s v="253a, 253-255 Putney Bridge Road"/>
        <s v="28-30 Putney High Street"/>
        <s v="5-7 Tooting High Street"/>
        <s v="191 Replingham Road"/>
        <s v="South Thames College &amp; Welbeck House, 17-27 Garratt Lane"/>
        <s v="Main Site, Ballymore, Ponton Road (Embassy Gardens)"/>
        <s v="172-176 Balham High Road"/>
        <s v="34 Elmbourne Road"/>
        <s v="Garages adjacent to, 125 Pendle Road"/>
        <s v="19 Thrale Road"/>
        <s v="111-113 Wandsworth High Street"/>
        <s v="Garages adjoining 2, Sutherland Grove"/>
        <s v="and land rear of 100, 98-100 Tooting Bec Road"/>
        <s v="45 Trinity Road"/>
        <s v="Unit 25-28 Ransomes Dock, 35-37 Parkgate Road (Ransomes Dock Business Centre)"/>
        <s v="50 Thessaly Road"/>
        <s v="22 Melrose Road"/>
        <s v="Rear of 32, Brightwell Crescent"/>
        <s v="Richmond Mansions, Lower Richmond Road"/>
        <s v="1 Lavender Sweep"/>
        <s v="Site adjoining 60, Aliwal Road"/>
        <s v="The Crown Hotel, 102 Lavender Hill"/>
        <s v="25 Pensbury Place"/>
        <s v="Blithe Spirit, 157 Balham High Road"/>
        <s v="Reef House, Coral Row (Plantation Wharf)"/>
        <s v="1A Dinsmore Road"/>
        <s v="3 &amp; 4 The Boulevard, Balham High Road"/>
        <s v="36 Lavender Hill"/>
        <s v="The Mission Hall, Walkers Place"/>
        <s v="Unit 21-24, 35-37 Parkgate Road (Ransomes Dock Business Centre)"/>
        <s v="Southfields Post Office and St Pauls Church Hall, 265-271 Wimbledon Park Road"/>
        <s v="2-8 Leverson Street"/>
        <s v="47 Balham Hill"/>
        <s v="239 Wimbledon Park Road"/>
        <s v="235 Queenstown Road"/>
        <s v="Ground floor, 112 Tooting High Street"/>
        <s v="57-59 Balham Hill"/>
        <s v="Tooting Market, 21-23 Tooting High Street"/>
        <s v="The Castle, 115 Battersea High Street"/>
        <s v="3-4 Podmore Road"/>
        <s v="1A Garratt Terrace, 58-62 Tooting High Street"/>
        <s v="134-142 Mitcham Road (Pearl Chemist)"/>
        <s v="Land west of, 17 Broadwater Road"/>
        <s v="206-208 &amp; 2A Stella Road, Mitcham Road"/>
        <s v="58a Selkirk Road"/>
        <s v="192 Upper Richmond Road"/>
        <s v="137 Putney Bridge Road"/>
        <s v="Saint John Bosco College, Princes Way (Former John Paul II School)"/>
        <s v="Rear of 667-669, 667-669 Garratt Lane"/>
        <s v="21 Balham High Road"/>
        <s v="Land south of 75, 75 Alston Road"/>
        <s v="28 Thessaly Road"/>
        <s v="157 Upper Tooting Road"/>
        <s v="160 Upper Tooting Road"/>
        <s v="Delta House, Riverside Road"/>
        <s v="197 Blackshaw Road"/>
        <s v="Swaffield Primary School, St Anns Hill"/>
        <s v="R/O Southwest London Law Centres, 101A Tooting High Street"/>
        <s v="Tooting Bec Lido, Tooting Bec Road"/>
        <s v="76 Queenstown Road"/>
        <s v="915 Garratt Lane"/>
        <s v="507 Battersea Park Road"/>
        <s v="Carlton House (&amp; 27A Carlton Drive), 85-91 Upper Richmond Road"/>
        <s v="44-46 Falcon Road"/>
        <s v="2 Tooting Bec Road"/>
        <s v="18 Fallsbrook Road"/>
        <s v="Land Adjacent, 10 Glentanner Way"/>
        <s v="Centre Square 1-9, 1 Hardwicks Square"/>
        <s v="land adjacent to 72, 72A Bedford Hill"/>
        <s v="28 Tooting Bec Road"/>
        <s v="115 Lower Richmond Road"/>
        <s v="Battersea Bar/The Chopper, 58-70 York Road"/>
        <s v="129-139 Beaumont Road"/>
        <s v="Broadway Studio, 28 Tooting High Street"/>
        <s v="70A Ravensbury Road"/>
        <s v="Land r/o, 14A Lavender Hill"/>
        <s v="Carlson Court, 116 Putney Bridge Road"/>
        <s v="Land rear of, 76-77 Stanley Grove (Land adjacent to 76a Stanley Grove)"/>
        <s v="Church of the Nazarene, 2 Grant Road"/>
        <s v="Heliport House, 38 Lombard Road"/>
        <s v="15 Fernthorpe Road"/>
        <s v="148-150 Penwith Road"/>
        <s v="The Imperial Laundry, 71 Warriner Gardens"/>
        <s v="Phase 2 Development Wandsworth Business Village, Buckhold Road (Former Army Cadet Force Building)"/>
        <s v="335 Battersea Park Road"/>
        <s v="343 Wimbledon Park Road"/>
        <s v="Chatfield Court, 56 Chatfield Road"/>
        <s v="Unit 2 Windward House, Square Rigger Row"/>
        <s v="Bedford House, 215 Balham High Road"/>
        <s v="86-88 Garratt Lane"/>
        <s v="56 Trinity Road"/>
        <s v="10-10A, 10 Selkirk Road"/>
        <s v="Units 21,22 &amp; 23 Ransomes Dock, 35-37 Parkgate Road (Ransomes Dock Business Centre)"/>
        <s v="90-92 Garratt Lane"/>
        <s v="15 St Johns Hill"/>
        <s v="261 Lavender Hill"/>
        <s v="Unit 17, 18 21, 22 &amp; 23 Ransomes Dock Business Centre, 35-37 Parkgate Road (Ransomes Dock Business Centre)"/>
        <s v="64 St Johns Road"/>
        <s v="159 Putney High Street"/>
        <s v="135 Wandsworth High Street"/>
        <s v="176 Upper Tooting Road"/>
        <s v="Neals Farm Cottage and The Lodge, Dorlcote Road"/>
        <s v="271-273 Upper Richmond Road"/>
        <s v="7 Lavender Hill"/>
        <s v="525 Old York Road"/>
        <s v="Land Adjacent, 33 Vandyke Close"/>
        <s v="71 Lavender Hill"/>
        <s v="8 York Road"/>
        <s v="25 Frogmore"/>
        <s v="Rear of, 60 Culverden Road"/>
        <s v="House Boat Jadu, Vicarage Crescent"/>
        <s v="Unit A, 46 Oakmead Road"/>
        <s v="Unit F The Mews, 6 Putney Common"/>
        <s v="14 Oakhill Road"/>
        <s v="115 Mitcham Lane"/>
        <s v="1 Putney Wharf Tower, Brewhouse Lane"/>
        <s v="56-66 Gwynne Road"/>
        <s v="116 Upper Richmond Road"/>
        <s v="166 Battersea Park Road"/>
        <s v="Land rear of, 13 Thurleigh Road"/>
        <s v="Hookham Court Garages, Deeley Road"/>
        <s v="241 Balham High Road"/>
        <s v="and 2-24 Mendip Road, 1-9 Chatfield Road"/>
        <s v="Battersea Park East, Queenstown Road (Battersea Exchange)"/>
        <s v="Tooting Constitutional Club, 111-113 Tooting High Street"/>
        <s v="289 Battersea Park Road"/>
        <s v="Car Park and Land South of, Osiers Road"/>
        <s v="ground floor, 25 Alston Road"/>
        <s v="1 Gatton Road"/>
        <s v="1 Leeward House, Square Rigger Row"/>
        <s v="Units 2, 3, 4, 5, 6, &amp; 7 Leeward House, Square Rigger Row (Plantation Wharf)"/>
        <s v="East &amp; West 1,2,3,4, &amp; 8, Square Rigger Row (Plantation Wharf)"/>
        <s v="Units 3,4,5,6,7, &amp; 8 Windward House, Square Rigger Row (Plantation Wharf)"/>
        <s v="46 Ponton Road"/>
        <s v="194 Lavender Hill"/>
        <s v="Land west of River Wandle / north of electricity sub-station, Mapleton Crescent"/>
        <s v="199 Garratt Lane"/>
        <s v="19-21 &amp; 31-37, Cabul Road"/>
        <s v="341 Battersea Park Road"/>
        <s v="3 Selkirk Road"/>
        <s v="Garages in, Heathwall Street"/>
        <s v="26 Lavender Hill"/>
        <s v="Ground floor, 89 Replingham Road"/>
        <s v="2 Ravenswood Road"/>
        <s v="2A Revelstoke Road"/>
        <s v="and Land rear of 224, 224 Tooting High Street"/>
        <s v="rear of, 135 Mitcham Road"/>
        <s v="Land at, Stormont Road"/>
        <s v="Ground Floor, 38 Replingham Road"/>
        <s v="87 Putney High Street"/>
        <s v="281 Lavender Hill"/>
        <s v="2 Balham Grove"/>
        <s v="St Goar Cottage, Manfred Road"/>
        <s v="147 Northcote Road"/>
        <s v="173 Battersea Church Road (163-199)"/>
        <s v="8 Bellevue Road"/>
        <s v="193 Lower Richmond Road"/>
        <s v="Bright Cook House, 139 Upper Richmond Road"/>
        <s v="149 Balham Hill"/>
        <s v="627 Garratt Lane"/>
        <s v="Land rear of 63A, 63 Westcote Road"/>
        <s v="31 St Johns Hill"/>
        <s v="Unit D The Mews, 6 Putney Common"/>
        <s v="161 Wimbledon Park Road"/>
        <s v="186-188 Balham High Road"/>
        <s v="79 Trinity Road"/>
        <s v="60 Lavender Hill"/>
        <s v="Land adjacent to 75, 75 Kimber Road"/>
        <s v="48 &amp; 47A, 48 Lower Richmond Road"/>
        <s v="250 Upper Tooting Road"/>
        <s v="Garages &amp; Land west of 17 &amp; 19, 17 Sutherland Grove (2a Combemartin Road)"/>
        <s v="Unit 16 Mandeville Courtyard, 142 Battersea Park Road"/>
        <s v="Unit B The Mews, 6 Putney Common"/>
        <s v="Unit C The Mews, 6 Putney Common"/>
        <s v="4 Abercrombie Street"/>
        <s v="Unit 3 &amp; 20 Ransomes Dock Business Centre, 35-37 Parkgate Road (Ransomes Dock Business Centre)"/>
        <s v="BP Nightingale Service Station, 266 Balham High Road"/>
        <s v="Caretaker Office Overstrand Mansions, Prince of Wales Drive"/>
        <s v="520 Garratt Lane"/>
        <s v="6 Broadwater Road"/>
        <s v="53-55 Tooting High Street"/>
        <s v="44 Melrose Court, Melrose Road"/>
        <s v="Phoenix Members Bar Club, 37 Groom Crescent (Former Greenside Social Club)"/>
        <s v="Garages west of, 13 Limpsfield Avenue"/>
        <s v="47 Thurleigh Road"/>
        <s v="203 Replingham Road"/>
        <s v="The Stable Yard, 16A Balham Hill"/>
        <s v="Land adjacent Jordan Lodge, Nutwell Street"/>
        <s v="157A, 157 Mitcham Road"/>
        <s v="Unit E The Mews, 6 Putney Common"/>
        <s v="259 Putney Bridge Road"/>
        <s v="5 St Georges Court, 131 Putney Bridge Road"/>
        <s v="Land adjacent 75, 75 Putney Bridge Road"/>
        <s v="9-11 Chestnut Grove"/>
        <s v="615 Garratt Lane"/>
        <s v="Land and forecourt adjacent to, 44 Rowditch Lane"/>
        <s v="Land adjacent to 13-48 Gravenel Gardens, Nutwell Street"/>
        <s v="175 Replingham Road"/>
        <s v="The Bricklayers Arms, 32 Waterman Street"/>
        <s v="Chestnut Grove School, 45 Chestnut Grove"/>
        <s v="Land east of 11-13 (11A), 11-13 Stanmer Street"/>
        <s v="Prince of Wales P.H, 270 Cavendish Road"/>
        <s v="Unit 3 River Reach Business Park, Gartons Way"/>
        <s v="7 The Boulevard, Balham High Road"/>
        <s v="Jack's Place, 12 York Road"/>
        <s v="Garages &amp; Forecourt 72-82, 72-82 Gaskarth Road (1-6 Gaskarth Road)"/>
        <s v="28 Lacy Road"/>
        <s v="118 Upper Tooting Road"/>
        <s v="826 Garratt Lane"/>
        <s v="Former White Lion P.H., 14-16 Putney High Street"/>
        <s v="72 Lower Richmond Road"/>
        <s v="357-359, 357-359 Garratt Lane"/>
        <s v="207 Garratt Lane"/>
        <s v="213 Upper Richmond Road"/>
        <s v="Audiology House, 45 Nightingale Lane"/>
        <s v="22 Trewint Street"/>
        <s v="97 St Johns Hill"/>
        <s v="55 Kimber Road"/>
        <s v="Penthouse 81 Riverside One, 22 Hester Road"/>
        <s v="Land East of, 22 Balham New Road"/>
        <s v="Putney Lower Common Cemetery Chapels, Lower Richmond Road"/>
        <s v="53 Melrose Road"/>
        <s v="74 Lightermans Walk"/>
        <s v="234a Battersea Park Road"/>
        <s v="163 Fallsbrook Road"/>
        <s v="8 Ravensbury Terrace"/>
        <s v="219 Lower Richmond Road"/>
        <s v="581 Garratt Lane"/>
        <s v="36 Battersea Square"/>
        <s v="958 Garratt Lane"/>
        <s v="85 Putney High Street"/>
        <s v="197-199 and 197a, Replingham Road"/>
        <s v="Ground floor, 72 Upper Tooting Road"/>
        <s v="Ground floor, 41 West Hill"/>
        <s v="Ground floor, 43 West Hill"/>
        <s v="Ground Floor, 39 West Hill"/>
        <s v="7 Rayners Road"/>
        <s v="4-6, Yukon Road"/>
        <s v="Earlsfield House, 1 Swaffield Road"/>
        <s v="68a, Kelmscott Road"/>
        <s v="84 Lower Richmond Road"/>
        <s v="Land adjacent, 80 Manville Road"/>
        <s v="272 Franciscan Road"/>
        <s v="256 &amp; 262, Wimbledon Park Road (Petrol Station)"/>
        <s v="Shell Savoy Filling Station, 262 York Road"/>
        <s v="Land rear of, 117 Fernlea Road"/>
        <s v="513 Battersea Park Road"/>
        <s v="Land rear of 20-28, Taybridge Road"/>
        <s v="Land rear of 4, 4 Granville Road"/>
        <s v="Units 5, 6 and 14 Ransomes Dock Business Centre, 35-37 Parkgate Road (Ransomes Dock Business Centre)"/>
        <s v="15 West Hill"/>
        <s v="Office 23c Network Business Centre, 329-339 Putney Bridge Road"/>
        <s v="396-398, 396 Garratt Lane"/>
        <s v="Rear of 67, 67 Webbs Road"/>
        <s v="235a - 237a, Wimbledon Park road"/>
        <s v="341 Queenstown Road"/>
        <s v="505-507, Garratt Lane"/>
        <s v="187 Merton road"/>
        <s v="Unit 6 Compass House, Smugglers Way"/>
        <s v="Falcon Park, Cabul Road"/>
        <s v="339 Battersea Park Road"/>
        <s v="8 Coral Row"/>
        <s v="6 &amp; 7, Square Rigger Row (Plantation Wharf)"/>
        <s v="Unit 6, 27 Osiers Road"/>
        <s v="92a, 92A Balham High road"/>
        <s v="Unit 10 Mandeville Court, 142 Battersea Park Road"/>
        <s v="2 Umbria Street"/>
        <s v="9 Upper Tooting Road"/>
        <s v="Aminah Mansions 55F, Tooting High Street"/>
        <s v="205 Upper Richmond Road"/>
        <s v="1-9 Church row (part of Phase 3 Ram Brewery), Wandsworth Plain"/>
        <s v="27 Southolm Street"/>
        <s v="8 Roedean Crescent"/>
        <s v="Brathway Hall, Brathway Road"/>
        <s v="Ground Floor, 83 Mitcham Lane"/>
        <s v="43-45 Parkgate Road"/>
        <s v="281-285a, Battersea Park Road"/>
        <s v="Unit 5 Old School House, Bridge Lane"/>
        <s v="164 East Hill"/>
        <s v="Unit 15 Mandeville Courtyard, 142 Battersea Park Road"/>
        <s v="Rear of 96-100  (garages at Holmbury Court), 96-100 Upper Tooting Road"/>
        <s v="Garages rear of 21, Granard Avenue"/>
        <s v="37 Oldridge Road"/>
        <s v="(north east of) Unit 72 Winbledon Stadium Business Centre, Riverside Road"/>
        <s v="23 Balham High Road"/>
        <s v="Units 14 to 19 Blades Court, 121 Deodar Road"/>
        <s v="Unit 33 Ransomes Dock Business Centre, 35-37 Parkgate Road (Ransomes Dock Business Centre)"/>
        <s v="Studio 1 Dovedale Studios, 465 Battersea Park road"/>
        <s v="Studio 2 Dovedale Studios, 465 Battersea Park Road"/>
        <s v="Studio 4 Dovedale Studios, 465 Battersea Park Road"/>
        <s v="Studio 5 Dovedale Studios, 465 Battersea Park Road"/>
        <s v="Ground floor, 51 Queenstown Road"/>
        <s v="192-194, 192-194 Tooting High Street"/>
        <s v="104 &amp; 104a, 104 Mitcham Road"/>
        <s v="39-43 and 39-43a, 39 West Hill"/>
        <s v="Battersea District Library, 265 Lavender Hill"/>
        <s v="302-304, 302-304 Cavendish Road"/>
        <s v="Garages south of 19-27, 19 Skelbrook Road"/>
        <s v="261-293, 261-293 Queenstown Road (Sixt Rent a Car 275)"/>
        <s v="Railway Arches 98-102, 98-102 Sopwith Way"/>
        <s v="501 Battersea Park Road"/>
        <s v="523 Old York Road"/>
        <s v="128-130, 128 Balham High Road"/>
        <s v="7-11 St Johns Hill"/>
        <s v="Unit C Molasses House, Clove Hitch Quay"/>
        <s v="131 Lower Richmond Road"/>
        <s v="189b, 189b Balham High Road"/>
        <s v="241-243, 241-243 Wimbledon Park Road"/>
        <s v="127 Mitcham Lane"/>
        <s v="163-165, 163-165 Balham High Road"/>
        <s v="Ground floor flat, 38a Upper Richmond Road"/>
        <s v="96 Felsham Road"/>
        <s v="g/f/1st/2nd/fl waterfall house, 223 Tooting High Street"/>
        <s v="95 Putney High Street"/>
        <s v="Oliver House School 7-11, 7-11 Nightingale Lane"/>
        <s v="410 Garratt Lane"/>
        <s v="15-27 Falcon Road"/>
        <s v="Smiths Yard, Summerley Street"/>
        <s v="131-133 East Hill"/>
        <s v="212 Tooting High Street"/>
        <s v="2A &amp; B and 12 &amp; 14, Church Lane"/>
        <s v="Heathmere School Keeper's House, Alton Road"/>
        <s v="243 Lavender Hill"/>
        <s v="Unit 4 River Reach Business Park 1, Gartons Way"/>
        <s v="Streatham Park Bowling Club, Pringle Gardens"/>
        <s v="505 Old York Road"/>
        <s v="Stag House Putney Vale Youth Centre, Stroud Crescent"/>
        <s v="Telephpne Box south of Library Space, 108 Battersea Park Road"/>
        <s v="528-536 Garratt Lane"/>
        <s v="49 Tooting High Street"/>
        <s v="29 Hardwicks Square"/>
        <s v="276 Battersea Park Road"/>
        <s v="86 Moyser Road"/>
        <s v="56 Brookwood Road"/>
        <s v="Units 5 &amp; 6, 54 Kimber Road"/>
        <s v="533 Garratt Lane"/>
        <s v="62 Tooting High Street"/>
        <s v="ground floor, 50 Upper Tooting Road"/>
        <s v="Land rear of 163-165, 163-165 Mitcham Road"/>
        <s v="Sub-Station south-west of NCGM (flower market), Nine Elms Lane"/>
        <s v="Palmerston Court, 1-3 Havelock Terrace"/>
        <s v="Garages north of 99-152, 99-152 Gideon Road"/>
        <s v="Garages and parking spaces 57-84, 57-84 Gideon Road"/>
        <s v="189 Balham High Road"/>
        <s v="Basement &amp; Ground Floor, 155 Battersea Park road"/>
        <s v="193 Garratt Lane"/>
        <s v="Garage rear of, 130 Wimbledon Park road"/>
        <s v="298 Cavendish Road"/>
        <s v="64-64c, 64-64c Battersea Rise"/>
        <s v="Albany House, Portslade Road"/>
        <s v="1023-1025 Garratt Lane"/>
        <s v="Ground Floor, 40 Battersea Rise"/>
        <s v="Part of Plantation Wharf, York Place, Gartons Way (Plantation Wharf)"/>
        <s v="Ivory House, Clove Hitch Quay (Plantation Wharf)"/>
        <s v="Spice Court, Ivory Square (Plantation Wharf)"/>
        <s v="Port House, Square Rigger Row (Plantation Wharf)"/>
        <s v="Gwynneth Morgan Day Centre, 50-52, 50-52 East Hill"/>
        <s v="521 Old York Road"/>
        <s v="Shenstone House, Aldrington Road"/>
        <s v="Land at Wandsworth Riverside Quarter Phase 3 (Building 6B), Point Pleasant/Osiers Road"/>
        <s v="97A Mayford Road"/>
        <s v="Unit 3 Taylors Yard, 67 Alderbrook Road"/>
        <s v="Land west of 86-96, Garratt Lane"/>
        <s v="9 Clavering Place"/>
        <s v="Arch 7, Cranleigh Mews"/>
        <s v="The Platt Christian Centre, Felsham Road"/>
        <s v="3 Hildreth Street Mews"/>
        <s v="Basement and Ground Floor, 902 Garratt Lane"/>
        <s v="1 Holbeach Mews"/>
        <s v="Flat B, 18 Revelstoke Road"/>
        <s v="Land rear of 59, 59 Marius Road"/>
        <s v="31 Ruvigny Gardens"/>
        <s v="2 Bellevue Parade, Bellevue Road"/>
        <s v="487 Merton Road"/>
        <s v="Ground Floor, 110 Mitcham Road"/>
        <s v="161-163, 161-163 Putney High Street"/>
        <s v="10 Montfort Place"/>
        <s v="Second Floor Regent House, 16-18 Lombard Road"/>
        <s v="Units 11-13 &amp; 24-25 Blades Court, 121 Deodar Road"/>
        <s v="166 Upper Richmond Road"/>
        <s v="547 Battersea Park Road"/>
        <s v="Basement and Ground Floor, 168 Balham High Road"/>
        <s v="179 Northcote Road"/>
        <s v="Unit M303A Trident Business Centre, 89 Bickersteth Road"/>
        <s v="71 Northcote Road"/>
        <s v="882-884 Garratt Lane"/>
        <s v="Unit 39a and 49B Meridian House, Juniper Drive"/>
        <s v="Wardens Office and Club Room, 280-308 Cortis Road"/>
        <s v="Ground floor, 42 Battersea Rise"/>
        <s v="127 Northcote Road"/>
        <s v="22 Bangalore Street"/>
        <s v="Fitzroy House, 267 Merton Road"/>
        <s v="Land adjacent, 1 Charlmont Road"/>
        <s v="107 Allfarthing Lane"/>
        <s v="16 The Boulevard, Balham High Road"/>
        <s v="Livra UK Unit 6, Riverside Yard"/>
        <s v="River Walk abutting, 105-115 Deodar Road"/>
        <s v="Wandsworth Solid Transfer Station, Pensbury Place"/>
        <s v="97 St Johns Road"/>
        <s v="61-64, 61-64 Sefton Street"/>
        <s v="8 Bedford Hill"/>
        <s v="57 Louisville Road"/>
        <s v="Ground Floor South Wing The Grange, Bank Lane"/>
        <s v="132 Northcote Road"/>
        <s v="36-38, 36-38 Northcote Road"/>
        <s v="The Queens Arms P.H, 139 St Philip Street"/>
        <s v="179 Battersea Park road"/>
        <s v="1, 2 and 3 Crosland Place, Taybridge Road"/>
        <s v="Unit 1 &amp; 2, 2 Chestnut Grove"/>
        <s v="Unit (A) 35 Block T, Battersea Reach"/>
        <s v="38 Balham Hill"/>
        <s v="Brocklebank Health Centre, 249 Garratt Lane (and others), 229-247 Garratt Lane (Garratt Lane and Atheldene Regeneration Site)"/>
        <s v="Ground Floor, 231 Merton Road"/>
        <s v="Putney Pharmacy Basement, 278 Upper Richmond Road"/>
        <s v="40 Old Devonshire Road"/>
        <s v="Car storage site rear of, 1 Kenlor Road"/>
        <s v="15a Selkirk Road"/>
        <s v="71-73, 71-73 Upper Tooting Road"/>
        <s v="96 Moyser Road"/>
        <s v="Land rear of 73-77, 73-77 Dahomey Road"/>
        <s v="125 Lavender Hill"/>
        <s v="17 &amp; 19, 17 &amp; 19 Wimbledon Road"/>
        <s v="Unit 61 Wimbledon Businees Stadium Centre, Riverside Road"/>
        <s v="UKD House, Norstead Place"/>
        <s v="2 Ritherdon Road"/>
        <s v="189d, 189d Balham High Road"/>
        <s v="250 Battersea Park road"/>
        <s v="366 Garratt Lane"/>
        <s v="basement &amp; ground floor, 217 Longley road"/>
        <s v="158-160 Balham High Road"/>
        <s v="Railway Arches, 9 Lombard Road"/>
        <s v="Basement and Ground floor, 77 Lower Richmond Road"/>
        <s v="13 Upper Tooting Road"/>
        <s v="27-29 Hardwicks Square"/>
        <s v="205 Lower Richmond road"/>
        <s v="16 Smiths Yard"/>
        <s v="Unit B Putney Exchange, Putney High Street"/>
        <s v="65 Balham High Road"/>
        <s v="116-118, 116-118 Upper Richmond Road"/>
        <s v="1-11 &amp; 15-25 Howie St, 1-4 Elcho St, 7-9 &amp; 15-25 Parkgate Rd &amp; souther, Radstock Street (RAC Building)"/>
        <s v="69 Vant Road"/>
        <s v="2 Eardley Road"/>
        <s v="174 Franciscan Road"/>
        <s v="226 Battersea Park Road"/>
        <s v="Irene House, 218 Balham High road"/>
        <s v="Du Cane Court Shop Du Cane Court, Balham High Road"/>
        <s v="ground floor, 185 Replingham Road"/>
        <s v="14 Hildreth Street"/>
        <s v="99 St Johns Road"/>
        <s v="121-135 Putney High Street"/>
        <s v="30 Sisters Avenue"/>
        <s v="Units 10 &amp; 12 and Pennethorne Square, Lavender Road"/>
        <s v="Garages west of 1a, 1a Isis Street"/>
        <s v="1 Armoury Way"/>
        <s v="92 Putney Bridge Road"/>
        <s v="St Boniface Church, Mitcham Road"/>
        <s v="6-10, 6-10 Ingate Place"/>
        <s v="16 (E) Baltimore House, Battersea Reach"/>
        <s v="269 Putney Bridge Road"/>
        <s v="Site adjacent to 1-8, 1-8 Arnal Crescent"/>
        <s v="Garages north of Fordyce House, Colson way"/>
        <s v="Land north of Grant road incl parcels of land on c/o Plough/Winstanley, Grant Road"/>
        <s v="38 Havelock Terrace"/>
        <s v="Public House, 5 Lavender Hill"/>
        <s v="Basement, 264 Upper Richmond Road"/>
        <s v="62 St Johns Road"/>
        <s v="Rear Ground floor Flat, 102 Eardley Road"/>
        <s v="The Bedford, 77 Bedford Hill"/>
        <s v="29b, 29b Sudbrooke Road"/>
        <s v="Ground Floor, 280 Trinity Road"/>
        <s v="Store rear of 27, 27 Webbs Road"/>
        <s v="Blocks M &amp; N Part of units 42 &amp; 43, Juniper Drive"/>
        <s v="125 Lower Richmond Road"/>
        <s v="231 Putney Bridge Road"/>
        <s v="111 St Johns Hill"/>
        <s v="130 Brookwood Road"/>
        <s v="Basement &amp; Ground Floor, 130 Putney High Street"/>
        <s v="117 Putney High Street"/>
        <s v="The Surgery, Claudia Place"/>
        <s v="142-144 Tooting Bec Road"/>
        <s v="Unit 31 Ransomes Dock Business Centre, 35-37 Parkgate Road (Ransomes Dock Business Centre)"/>
        <s v="Unit 19 Ransomes Dock Business Centre, 35-37 Parkgate Road (Ransomes Dock Business Centre)"/>
        <s v="Unit 16 Ransomes Dock Business Centre, 35-37 Parkgate Road (Ransomes Dock Business Centre)"/>
        <s v="Unit 15 Ransomes Dock Business Centre, 35-37 Parkgate Road (Ransomes Dock Business Centre)"/>
        <s v="Unit 11-12 Ransomes Dock Business Centre, 35-37 Parkgate Road (Ransomes Dock Business Centre)"/>
        <s v="Unit 7-10 Ransomes Dock Business Centre, 35-37 Parkgate Road (Ransomes Dock Business Centre)"/>
        <s v="Cedars Hall 141, 141 Welham Road"/>
        <s v="59 St Johns Road"/>
        <s v="2 Chatfield Road"/>
        <s v="Ground floor 281, 281 Wimbledon Park road"/>
        <s v="Car Park @ Putney Exchange, Putney High Street"/>
        <s v="Land east of 57, 57 Putney Bridge Road"/>
        <s v="Garages south of 156-232, 156-232 Whitlock Drive"/>
        <s v="2a Keswick Broadway, Upper Richmond Road"/>
        <s v="43 Leverson Street"/>
        <s v="99 Mitcham Road"/>
        <s v="Glassmill 1, 1 Battersea Bridge Road"/>
        <s v="79 Mitcham Road"/>
        <s v="662-664, 662-664 Garratt Lane"/>
        <s v="103a, 103A Lavender Hill"/>
        <s v="Harvey &amp; Romero Court Building University of Roehampton, Roehampton Lane"/>
        <s v="34 Putney High Street"/>
        <s v="217 Garratt Lane"/>
        <s v="38 Lavender Hill"/>
        <s v="243 Balham High Road"/>
        <s v="Land east of Her Majesty's Prison &amp; North of Alma Terrace, Heathfield Road"/>
        <s v="27 Mallinson Road"/>
        <s v="Arches 744-759, Grosvenor Railway Bridge (Railway viaduct located immediately to the south of the Grosvenor Railway Bridge)"/>
        <m/>
      </sharedItems>
    </cacheField>
    <cacheField name="Ward" numFmtId="0">
      <sharedItems containsBlank="1" count="21">
        <s v="West Hill"/>
        <s v="Roehampton and Putney Heath"/>
        <s v="Nightingale"/>
        <s v="Northcote"/>
        <s v="St Mary's Park"/>
        <s v="Fairfield"/>
        <s v="Shaftesbury"/>
        <s v="Thamesfield"/>
        <s v="Queenstown"/>
        <s v="Latchmere"/>
        <s v="East Putney"/>
        <s v="Balham"/>
        <s v="Southfields"/>
        <s v="Earlsfield"/>
        <s v="Tooting"/>
        <s v="Furzedown"/>
        <s v="Graveney"/>
        <s v="Bedford"/>
        <s v="Wandsworth Common"/>
        <s v="West Putney"/>
        <m/>
      </sharedItems>
    </cacheField>
    <cacheField name="Whole Site Area (Ha)" numFmtId="166">
      <sharedItems containsString="0" containsBlank="1" containsNumber="1" minValue="0" maxValue="33.259998321533203"/>
    </cacheField>
    <cacheField name="Easting" numFmtId="0">
      <sharedItems containsString="0" containsBlank="1" containsNumber="1" containsInteger="1" minValue="521162" maxValue="530104"/>
    </cacheField>
    <cacheField name="Northing" numFmtId="0">
      <sharedItems containsString="0" containsBlank="1" containsNumber="1" containsInteger="1" minValue="170439" maxValue="177808"/>
    </cacheField>
    <cacheField name="Site Specific Allocation" numFmtId="0">
      <sharedItems containsBlank="1"/>
    </cacheField>
    <cacheField name="Application" numFmtId="0">
      <sharedItems containsBlank="1" count="833">
        <s v="2015/7648"/>
        <s v="2018/0758"/>
        <s v="2017/4355"/>
        <s v="2016/4028"/>
        <s v="2017/0125"/>
        <s v="2013/5712"/>
        <s v="2010/4417"/>
        <s v="2015/3877"/>
        <s v="2012/1443"/>
        <s v="2016/6925"/>
        <s v="2017/3227"/>
        <s v="2014/6909"/>
        <s v="2017/2634"/>
        <s v="2015/1352"/>
        <s v="2015/5039"/>
        <s v="2016/4188"/>
        <s v="2017/1804"/>
        <s v="2015/2469"/>
        <s v="2016/3452"/>
        <s v="2009/1506"/>
        <s v="2016/6523"/>
        <s v="2016/6135"/>
        <s v="2017/1223"/>
        <s v="2017/6506"/>
        <s v="2017/0764"/>
        <s v="2016/6201"/>
        <s v="2017/5499"/>
        <s v="2012/3143"/>
        <s v="2014/0871"/>
        <s v="2015/5942"/>
        <s v="2017/3668"/>
        <s v="2017/4389"/>
        <s v="2013/2047"/>
        <s v="2015/1591"/>
        <s v="2017/4958"/>
        <s v="2014/1122"/>
        <s v="2018/1163"/>
        <s v="2017/3054"/>
        <s v="2016/5225"/>
        <s v="2017/3434"/>
        <s v="2015/6813"/>
        <s v="2017/6089"/>
        <s v="2014/4498"/>
        <s v="2017/3124"/>
        <s v="2015/1855"/>
        <s v="2016/3733"/>
        <s v="2016/7216"/>
        <s v="2015/4386"/>
        <s v="2016/3909"/>
        <s v="2014/5345"/>
        <s v="2017/5907"/>
        <s v="2014/6590"/>
        <s v="2017/4558"/>
        <s v="2017/4453"/>
        <s v="2017/6149"/>
        <s v="2017/5175"/>
        <s v="2014/2278"/>
        <s v="2015/1205"/>
        <s v="2017/5168"/>
        <s v="2017/5189"/>
        <s v="2018/0582"/>
        <s v="2016/6874"/>
        <s v="2016/6658"/>
        <s v="2018/1619"/>
        <s v="2017/0931"/>
        <s v="2017/6759"/>
        <s v="2013/2365"/>
        <s v="2017/4351"/>
        <s v="2017/4445"/>
        <s v="2015/4654"/>
        <s v="2016/1558"/>
        <s v="2017/6647"/>
        <s v="2016/6113"/>
        <s v="2017/1464"/>
        <s v="2016/2026"/>
        <s v="2013/6634"/>
        <s v="2017/5079"/>
        <s v="2017/2851"/>
        <s v="2017/5394"/>
        <s v="2017/1036"/>
        <s v="2016/6999"/>
        <s v="2017/2843"/>
        <s v="2018/0250"/>
        <s v="2015/6034"/>
        <s v="2016/5757"/>
        <s v="2017/2817"/>
        <s v="2014/1471"/>
        <s v="2017/4891"/>
        <s v="2016/5443"/>
        <s v="2017/0644"/>
        <s v="2017/1604"/>
        <s v="2016/2397"/>
        <s v="2017/3823"/>
        <s v="2016/3569"/>
        <s v="2016/4806"/>
        <s v="2016/5132"/>
        <s v="2017/0534"/>
        <s v="2014/1622"/>
        <s v="2014/4588"/>
        <s v="2016/7167"/>
        <s v="2014/6765"/>
        <s v="2015/6304"/>
        <s v="2017/5724"/>
        <s v="2017/0437"/>
        <s v="2015/2601"/>
        <s v="2016/4977"/>
        <s v="2017/0560"/>
        <s v="2007/5659"/>
        <s v="2018/1437"/>
        <s v="2014/3837"/>
        <s v="2016/0954"/>
        <s v="2017/0226"/>
        <s v="2016/4583"/>
        <s v="2017/6507"/>
        <s v="2014/2837"/>
        <s v="2015/5923"/>
        <s v="2016/1119"/>
        <s v="2016/5098"/>
        <s v="2017/1247"/>
        <s v="2017/3226"/>
        <s v="2009/3372"/>
        <s v="2010/3703"/>
        <s v="2017/6683"/>
        <s v="2015/2235"/>
        <s v="2017/5336"/>
        <s v="2018/0079"/>
        <s v="2012/3960"/>
        <s v="2016/7263"/>
        <s v="2016/3682"/>
        <s v="2018/0280"/>
        <s v="2016/0276"/>
        <s v="2017/2608"/>
        <s v="2017/3392"/>
        <s v="2016/5007"/>
        <s v="2018/0283"/>
        <s v="2015/1571"/>
        <s v="2015/4775"/>
        <s v="2016/3541"/>
        <s v="2014/0692"/>
        <s v="2016/5085"/>
        <s v="2018/0857"/>
        <s v="2017/4508"/>
        <s v="2016/3337"/>
        <s v="2015/5308"/>
        <s v="2014/2891"/>
        <s v="2016/6170"/>
        <s v="2014/1823"/>
        <s v="2016/3548"/>
        <s v="2017/5493"/>
        <s v="2016/4422"/>
        <s v="2017/4947"/>
        <s v="2017/4215"/>
        <s v="2016/0918"/>
        <s v="2017/3859"/>
        <s v="2015/5850"/>
        <s v="2017/6357"/>
        <s v="2017/3268"/>
        <s v="2017/6675"/>
        <s v="2013/1068"/>
        <s v="2014/6454"/>
        <s v="2017/3288"/>
        <s v="2017/4171"/>
        <s v="2014/5529"/>
        <s v="2016/4287"/>
        <s v="2017/2972"/>
        <s v="2017/0775"/>
        <s v="2017/4458"/>
        <s v="2015/3161"/>
        <s v="2015/5374"/>
        <s v="2015/4804"/>
        <s v="2016/3439"/>
        <s v="2017/0340"/>
        <s v="2017/3026"/>
        <s v="2016/2903"/>
        <s v="2016/5620"/>
        <s v="2017/3232"/>
        <s v="2014/6971"/>
        <s v="2014/4626"/>
        <s v="2011/3748"/>
        <s v="2017/2988"/>
        <s v="2017/3050"/>
        <s v="2017/6932"/>
        <s v="2014/2810"/>
        <s v="2015/4508"/>
        <s v="2015/6432"/>
        <s v="2016/7217"/>
        <s v="2015/0591"/>
        <s v="2016/1517"/>
        <s v="2016/6228"/>
        <s v="2016/6417"/>
        <s v="2014/7344"/>
        <s v="2015/7533"/>
        <s v="2018/0356"/>
        <s v="2014/0567"/>
        <s v="2016/1139"/>
        <s v="2012/5286"/>
        <s v="2016/6029"/>
        <s v="2017/5718"/>
        <s v="2017/0580"/>
        <s v="2012/1258"/>
        <s v="2016/7356"/>
        <s v="2017/3886"/>
        <s v="2010/0722"/>
        <s v="2017/6631"/>
        <s v="2016/6161"/>
        <s v="2017/2604"/>
        <s v="2015/1090"/>
        <s v="2017/3853"/>
        <s v="2015/1203"/>
        <s v="2015/6923"/>
        <s v="2016/0654"/>
        <s v="2017/3405"/>
        <s v="2016/3205"/>
        <s v="2014/2898"/>
        <s v="2017/3453"/>
        <s v="2016/2345"/>
        <s v="2017/5753"/>
        <s v="2015/7118"/>
        <s v="2016/0664"/>
        <s v="2014/3529"/>
        <s v="2017/6037"/>
        <s v="2016/3716"/>
        <s v="2016/2881"/>
        <s v="2017/3254"/>
        <s v="2009/0699"/>
        <s v="2015/2905"/>
        <s v="2016/2467"/>
        <s v="2016/3778"/>
        <s v="2016/2424"/>
        <s v="2016/4720"/>
        <s v="2017/4726"/>
        <s v="2015/5711"/>
        <s v="2016/6438"/>
        <s v="2017/0745"/>
        <s v="2016/4223"/>
        <s v="2016/3762"/>
        <s v="2017/0194"/>
        <s v="2015/2404"/>
        <s v="2016/3028"/>
        <s v="2017/0015"/>
        <s v="2016/4647"/>
        <s v="2017/4159"/>
        <s v="2015/0639"/>
        <s v="2017/1096"/>
        <s v="2015/5183"/>
        <s v="2016/6259"/>
        <s v="2017/0175"/>
        <s v="2017/4246"/>
        <s v="2016/3067"/>
        <s v="2016/3494"/>
        <s v="2016/0326"/>
        <s v="2015/0170"/>
        <s v="2013/5264"/>
        <s v="2018/0752"/>
        <s v="2014/3016"/>
        <s v="2016/0711"/>
        <s v="2014/6050"/>
        <s v="2014/1204"/>
        <s v="2016/7129"/>
        <s v="2017/6115"/>
        <s v="2016/0647"/>
        <s v="2015/5221"/>
        <s v="2017/6442"/>
        <s v="2016/6169"/>
        <s v="2013/2961"/>
        <s v="2010/0271"/>
        <s v="2017/1456"/>
        <s v="2017/3967"/>
        <s v="2015/2085"/>
        <s v="2016/4486"/>
        <s v="2014/5383"/>
        <s v="2016/0568"/>
        <s v="2016/5367"/>
        <s v="2016/6164"/>
        <s v="2017/1530"/>
        <s v="2015/6357"/>
        <s v="2017/0319"/>
        <s v="2016/6873"/>
        <s v="2015/6811"/>
        <s v="2016/2182"/>
        <s v="2018/0386"/>
        <s v="2014/7090"/>
        <s v="2015/2828"/>
        <s v="2016/2748"/>
        <s v="2014/5149"/>
        <s v="2016/2445"/>
        <s v="2014/1097"/>
        <s v="2015/4499"/>
        <s v="2015/5658"/>
        <s v="2015/5664"/>
        <s v="2016/6747"/>
        <s v="2017/0899"/>
        <s v="2017/6436"/>
        <s v="2018/0508"/>
        <s v="2014/0195"/>
        <s v="2017/4646"/>
        <s v="2013/2746"/>
        <s v="2014/2693"/>
        <s v="2017/3065"/>
        <s v="2017/6538"/>
        <s v="2015/6064"/>
        <s v="2012/2460"/>
        <s v="2014/7305"/>
        <s v="2018/0808"/>
        <s v="2014/4515"/>
        <s v="2017/4893"/>
        <s v="2016/5598"/>
        <s v="2016/0742"/>
        <s v="2017/5758"/>
        <s v="2014/3467"/>
        <s v="2015/2602"/>
        <s v="2016/0540"/>
        <s v="2013/2106"/>
        <s v="2016/2444"/>
        <s v="2016/3441"/>
        <s v="2016/3873"/>
        <s v="2015/3531"/>
        <s v="2015/4019"/>
        <s v="2016/4435"/>
        <s v="2016/2986"/>
        <s v="2018/0812"/>
        <s v="2018/0357"/>
        <s v="2016/5488"/>
        <s v="2017/2194"/>
        <s v="2016/4971"/>
        <s v="2013/6533"/>
        <s v="2015/1510"/>
        <s v="2017/4913"/>
        <s v="2017/5511"/>
        <s v="2017/1008"/>
        <s v="2015/4768"/>
        <s v="2016/5770"/>
        <s v="2016/2096"/>
        <s v="2016/5729"/>
        <s v="2017/0847"/>
        <s v="2016/2586"/>
        <s v="2016/4807"/>
        <s v="2012/5419"/>
        <s v="2018/0294"/>
        <s v="2016/7080"/>
        <s v="2013/1978"/>
        <s v="2013/1327"/>
        <s v="2017/4140"/>
        <s v="2015/4902"/>
        <s v="2013/1313"/>
        <s v="2013/1283"/>
        <s v="2013/1479"/>
        <s v="2015/1700"/>
        <s v="2012/5814"/>
        <s v="2014/2692"/>
        <s v="2013/2786"/>
        <s v="2013/1504"/>
        <s v="2016/0914"/>
        <s v="2017/5094"/>
        <s v="2016/6854"/>
        <s v="2015/3563"/>
        <s v="2014/3881"/>
        <s v="2016/7270"/>
        <s v="2017/3193"/>
        <s v="2016/2174"/>
        <s v="2013/2947"/>
        <s v="2015/3069"/>
        <s v="2016/0280"/>
        <s v="2017/1030"/>
        <s v="2013/3267"/>
        <s v="2016/4349"/>
        <s v="2016/1804"/>
        <s v="2015/5307"/>
        <s v="2017/2058"/>
        <s v="2013/4945"/>
        <s v="2013/3516"/>
        <s v="2014/0058"/>
        <s v="2015/0039"/>
        <s v="2016/4016"/>
        <s v="2017/2221"/>
        <s v="2016/4033"/>
        <s v="2013/5731"/>
        <s v="2016/2315"/>
        <s v="2017/0014"/>
        <s v="2013/6430"/>
        <s v="2017/3067"/>
        <s v="2017/6636"/>
        <s v="2013/6478"/>
        <s v="2013/4653"/>
        <s v="2014/1269"/>
        <s v="2014/1730"/>
        <s v="2015/6848"/>
        <s v="2016/3444"/>
        <s v="2014/0641"/>
        <s v="2014/2603"/>
        <s v="2014/6428"/>
        <s v="2014/0618"/>
        <s v="2014/2077"/>
        <s v="2017/3103"/>
        <s v="2014/4775"/>
        <s v="2016/6980"/>
        <s v="2014/7018"/>
        <s v="2014/5735"/>
        <s v="2017/4151"/>
        <s v="2014/3761"/>
        <s v="2017/3565"/>
        <s v="2015/1446"/>
        <s v="2015/4797"/>
        <s v="2014/3598"/>
        <s v="2016/1252"/>
        <s v="2016/2466"/>
        <s v="2014/4531"/>
        <s v="2014/3755"/>
        <s v="2016/1443"/>
        <s v="2014/4661"/>
        <s v="2014/7166"/>
        <s v="2014/5516"/>
        <s v="2014/5494"/>
        <s v="2014/5806"/>
        <s v="2015/5021"/>
        <s v="2014/5848"/>
        <s v="2014/6851"/>
        <s v="2014/5357"/>
        <s v="2015/2071"/>
        <s v="2016/4163"/>
        <s v="2014/6325"/>
        <s v="2014/6447"/>
        <s v="2014/1700"/>
        <s v="2014/4301"/>
        <s v="2014/4665"/>
        <s v="2016/5408"/>
        <s v="2014/6445"/>
        <s v="2014/6746"/>
        <s v="2017/3215"/>
        <s v="2014/6941"/>
        <s v="2016/3450"/>
        <s v="2016/2265"/>
        <s v="2016/3707"/>
        <s v="2016/2392"/>
        <s v="2015/4504"/>
        <s v="2014/6901"/>
        <s v="2015/5777"/>
        <s v="2016/3196"/>
        <s v="2014/7206"/>
        <s v="2015/7642"/>
        <s v="2014/7080"/>
        <s v="2014/7233"/>
        <s v="2015/3861"/>
        <s v="2014/7399"/>
        <s v="2014/7184"/>
        <s v="2014/7331"/>
        <s v="2015/1330"/>
        <s v="2017/0406"/>
        <s v="2015/0140"/>
        <s v="2016/3045"/>
        <s v="2015/0317"/>
        <s v="2016/6295"/>
        <s v="2015/4259"/>
        <s v="2015/0771"/>
        <s v="2015/0545"/>
        <s v="2015/5289"/>
        <s v="2015/1235"/>
        <s v="2015/1520"/>
        <s v="2015/1777"/>
        <s v="2015/2093"/>
        <s v="2015/2761"/>
        <s v="2015/1156"/>
        <s v="2015/1913"/>
        <s v="2015/2091"/>
        <s v="2016/1193"/>
        <s v="2015/2110"/>
        <s v="2015/2512"/>
        <s v="2016/1889"/>
        <s v="2015/1999"/>
        <s v="2015/2251"/>
        <s v="2016/2116"/>
        <s v="2015/1211"/>
        <s v="2015/2506"/>
        <s v="2016/1048"/>
        <s v="2015/2661"/>
        <s v="2015/4160"/>
        <s v="2015/3191"/>
        <s v="2015/3904"/>
        <s v="2016/1844"/>
        <s v="2015/7662"/>
        <s v="2017/6232"/>
        <s v="2015/2202"/>
        <s v="2015/2690"/>
        <s v="2017/2748"/>
        <s v="2015/2650"/>
        <s v="2015/3237"/>
        <s v="2016/0406"/>
        <s v="2015/3138"/>
        <s v="2015/5954"/>
        <s v="2016/7462"/>
        <s v="2015/4077"/>
        <s v="2015/3757"/>
        <s v="2015/3835"/>
        <s v="2015/5557"/>
        <s v="2016/1735"/>
        <s v="2016/2446"/>
        <s v="2017/0261"/>
        <s v="2015/2434"/>
        <s v="2015/7069"/>
        <s v="2016/1170"/>
        <s v="2015/3244"/>
        <s v="2015/4903"/>
        <s v="2015/4585"/>
        <s v="2015/4817"/>
        <s v="2015/5395"/>
        <s v="2016/3803"/>
        <s v="2016/6118"/>
        <s v="2015/5072"/>
        <s v="2015/5610"/>
        <s v="2015/4710"/>
        <s v="2015/5318"/>
        <s v="2015/4528"/>
        <s v="2015/5926"/>
        <s v="2015/5951"/>
        <s v="2017/5176"/>
        <s v="2015/5835"/>
        <s v="2015/3688"/>
        <s v="2015/5540"/>
        <s v="2018/0078"/>
        <s v="2016/1098"/>
        <s v="2015/7254"/>
        <s v="2015/7245"/>
        <s v="2015/7658"/>
        <s v="2015/7075"/>
        <s v="2015/7465"/>
        <s v="2016/7424"/>
        <s v="2015/3994"/>
        <s v="2015/7472"/>
        <s v="2016/0319"/>
        <s v="2015/6263"/>
        <s v="2016/0432"/>
        <s v="2017/0982"/>
        <s v="2015/5315"/>
        <s v="2016/5183"/>
        <s v="2018/0563"/>
        <s v="2015/6444"/>
        <s v="2015/6650"/>
        <s v="2015/7275"/>
        <s v="2016/0141"/>
        <s v="2016/0435"/>
        <s v="2015/6637"/>
        <s v="2015/6929"/>
        <s v="2016/0600"/>
        <s v="2016/0601"/>
        <s v="2016/0602"/>
        <s v="2016/0857"/>
        <s v="2017/1233"/>
        <s v="2017/4253"/>
        <s v="2016/0686"/>
        <s v="2017/0401"/>
        <s v="2016/5294"/>
        <s v="2017/4656"/>
        <s v="2015/6849"/>
        <s v="2016/5329"/>
        <s v="2018/0885"/>
        <s v="2016/4474"/>
        <s v="2016/3340"/>
        <s v="2016/5073"/>
        <s v="2016/4839"/>
        <s v="2016/2294"/>
        <s v="2016/1892"/>
        <s v="2016/2601"/>
        <s v="2016/2670"/>
        <s v="2016/4970"/>
        <s v="2017/6512"/>
        <s v="2016/1698"/>
        <s v="2017/1262"/>
        <s v="2016/1705"/>
        <s v="2016/2902"/>
        <s v="2016/0501"/>
        <s v="2016/2773"/>
        <s v="2017/0240"/>
        <s v="2016/1853"/>
        <s v="2016/2922"/>
        <s v="2016/2985"/>
        <s v="2016/2029"/>
        <s v="2016/3344"/>
        <s v="2017/5515"/>
        <s v="2016/1268"/>
        <s v="2016/3275"/>
        <s v="2016/3220"/>
        <s v="2017/1458"/>
        <s v="2016/4742"/>
        <s v="2017/1864"/>
        <s v="2016/3628"/>
        <s v="2016/3841"/>
        <s v="2016/5392"/>
        <s v="2016/3244"/>
        <s v="2016/4081"/>
        <s v="2017/0883"/>
        <s v="2016/4321"/>
        <s v="2016/3656"/>
        <s v="2016/6511"/>
        <s v="2017/3137"/>
        <s v="2017/1973"/>
        <s v="2016/4671"/>
        <s v="2016/4253"/>
        <s v="2018/0806"/>
        <s v="2016/5214"/>
        <s v="2016/5215"/>
        <s v="2016/5216"/>
        <s v="2016/5219"/>
        <s v="2016/4941"/>
        <s v="2016/4465"/>
        <s v="2016/3001"/>
        <s v="2016/6386"/>
        <s v="2016/4824"/>
        <s v="2016/4974"/>
        <s v="2016/5245"/>
        <s v="2016/5029"/>
        <s v="2016/7213"/>
        <s v="2017/0975"/>
        <s v="2016/6533"/>
        <s v="2016/6541"/>
        <s v="2017/0498"/>
        <s v="2016/7075"/>
        <s v="2016/1137"/>
        <s v="2016/6192"/>
        <s v="2016/5804"/>
        <s v="2016/5828"/>
        <s v="2017/2382"/>
        <s v="2016/6655"/>
        <s v="2016/6876"/>
        <s v="2016/6985"/>
        <s v="2016/7087"/>
        <s v="2016/7161"/>
        <s v="2017/1952"/>
        <s v="2017/3512"/>
        <s v="2016/2027"/>
        <s v="2017/2142"/>
        <s v="2016/7195"/>
        <s v="2017/2588"/>
        <s v="2016/6734"/>
        <s v="2016/7179"/>
        <s v="2016/6504"/>
        <s v="2017/0333"/>
        <s v="2016/5921"/>
        <s v="2016/5946"/>
        <s v="2016/5949"/>
        <s v="2016/6575"/>
        <s v="2017/2903"/>
        <s v="2016/6608"/>
        <s v="2016/6205"/>
        <s v="2016/2862"/>
        <s v="2016/3055"/>
        <s v="2016/2871"/>
        <s v="2017/4859"/>
        <s v="2016/0923"/>
        <s v="2016/2162"/>
        <s v="2016/1793"/>
        <s v="2014/6859"/>
        <s v="2014/7326"/>
        <s v="2016/4601"/>
        <s v="2016/5422"/>
        <s v="2016/5738"/>
        <s v="2016/5739"/>
        <s v="2016/6122"/>
        <s v="2017/0926"/>
        <s v="2017/3621"/>
        <s v="2017/0473"/>
        <s v="2017/6319"/>
        <s v="2017/0248"/>
        <s v="2017/0153"/>
        <s v="2016/6020"/>
        <s v="2016/5209"/>
        <s v="2016/5420"/>
        <s v="2016/5644"/>
        <s v="2016/3365"/>
        <s v="2016/2261"/>
        <s v="2016/2396"/>
        <s v="2016/3445"/>
        <s v="2016/3447"/>
        <s v="2016/3870"/>
        <s v="2016/5713"/>
        <s v="2016/3363"/>
        <s v="2016/3364"/>
        <s v="2016/3451"/>
        <s v="2016/3761"/>
        <s v="2016/6473"/>
        <s v="2017/0637"/>
        <s v="2017/0090"/>
        <s v="2016/6539"/>
        <s v="2017/0679"/>
        <s v="2017/0535"/>
        <s v="2017/0258"/>
        <s v="2017/1499"/>
        <s v="2016/7186"/>
        <s v="2017/0244"/>
        <s v="2017/0692"/>
        <s v="2017/3252"/>
        <s v="2017/0592"/>
        <s v="2017/0627"/>
        <s v="2018/0989"/>
        <s v="2016/7408"/>
        <s v="2016/7340"/>
        <s v="2017/2605"/>
        <s v="2017/0565"/>
        <s v="2017/0952"/>
        <s v="2017/0960"/>
        <s v="2017/3542"/>
        <s v="2017/4356"/>
        <s v="2017/2023"/>
        <s v="2017/3282"/>
        <s v="2017/1195"/>
        <s v="2017/1628"/>
        <s v="2017/1524"/>
        <s v="2017/6117"/>
        <s v="2017/0948"/>
        <s v="2017/1411"/>
        <s v="2017/1887"/>
        <s v="2017/1858"/>
        <s v="2017/4681"/>
        <s v="2017/2123"/>
        <s v="2017/2259"/>
        <s v="2018/0109"/>
        <s v="2017/4296"/>
        <s v="2017/5042"/>
        <s v="2017/2095"/>
        <s v="2017/2707"/>
        <s v="2017/1219"/>
        <s v="2017/3122"/>
        <s v="2017/6931"/>
        <s v="2017/3070"/>
        <s v="2017/5495"/>
        <s v="2017/2937"/>
        <s v="2017/3061"/>
        <s v="2017/3100"/>
        <s v="2017/5029"/>
        <s v="2018/0300"/>
        <s v="2017/3404"/>
        <s v="2018/0494"/>
        <s v="2017/3797"/>
        <s v="2017/3607"/>
        <s v="2017/3980"/>
        <s v="2017/4141"/>
        <s v="2017/4125"/>
        <s v="2017/4184"/>
        <s v="2017/4217"/>
        <s v="2017/3040"/>
        <s v="2018/1219"/>
        <s v="2017/3316"/>
        <s v="2017/3824"/>
        <s v="2017/5308"/>
        <s v="2017/4429"/>
        <s v="2017/4305"/>
        <s v="2017/4568"/>
        <s v="2017/4930"/>
        <s v="2017/4686"/>
        <s v="2017/4368"/>
        <s v="2017/4844"/>
        <s v="2017/4640"/>
        <s v="2017/5146"/>
        <s v="2017/3907"/>
        <s v="2017/5299"/>
        <s v="2018/0466"/>
        <s v="2017/7023"/>
        <s v="2017/5043"/>
        <s v="2017/5349"/>
        <s v="2017/5450"/>
        <s v="2017/5807"/>
        <s v="2017/5797"/>
        <s v="2017/6926"/>
        <s v="2017/5682"/>
        <s v="2017/6064"/>
        <s v="2017/4624"/>
        <s v="2017/5648"/>
        <s v="2018/0664"/>
        <s v="2018/0111"/>
        <s v="2017/6160"/>
        <s v="2017/6236"/>
        <s v="2017/6256"/>
        <s v="2017/6416"/>
        <s v="2017/6074"/>
        <s v="2017/6286"/>
        <s v="2017/5993"/>
        <s v="2017/6127"/>
        <s v="2017/5244"/>
        <s v="2017/6205"/>
        <s v="2017/6642"/>
        <s v="2017/6478"/>
        <s v="2018/0544"/>
        <s v="2017/6084"/>
        <s v="2017/6712"/>
        <s v="2017/6531"/>
        <s v="2017/6846"/>
        <s v="2017/6864"/>
        <s v="2017/7026"/>
        <s v="2017/6906"/>
        <s v="2017/6973"/>
        <s v="2017/6849"/>
        <s v="2018/0061"/>
        <s v="2018/0263"/>
        <s v="2018/0334"/>
        <s v="2018/0254"/>
        <s v="2018/0569"/>
        <s v="2018/0297"/>
        <s v="2018/0359"/>
        <s v="2018/0376"/>
        <s v="2018/0464"/>
        <s v="2018/0247"/>
        <s v="2018/0559"/>
        <s v="2018/0778"/>
        <s v="2018/0585"/>
        <s v="2017/6930"/>
        <s v="2018/0807"/>
        <s v="2018/0813"/>
        <s v="2018/1606"/>
        <s v="2018/0815"/>
        <s v="2018/0816"/>
        <s v="2018/0817"/>
        <s v="2018/0669"/>
        <s v="2018/0845"/>
        <s v="2018/0732"/>
        <s v="2018/0159"/>
        <s v="2018/0905"/>
        <s v="2018/1079"/>
        <s v="2017/6139"/>
        <s v="2018/1102"/>
        <s v="2018/1169"/>
        <s v="2018/0972"/>
        <s v="2018/1311"/>
        <s v="2018/1411"/>
        <s v="2017/1867"/>
        <s v="2017/1383"/>
        <s v="2018/1531"/>
        <s v="2018/0144"/>
        <s v="2018/1377"/>
        <s v="2018/0024"/>
        <s v="2018/1238"/>
        <s v="2018/1612"/>
        <s v="2018/0485"/>
        <s v="2016/7037"/>
        <m/>
      </sharedItems>
    </cacheField>
    <cacheField name="Application Status" numFmtId="0">
      <sharedItems containsBlank="1"/>
    </cacheField>
    <cacheField name="Received Date" numFmtId="14">
      <sharedItems containsNonDate="0" containsDate="1" containsString="0" containsBlank="1" minDate="2007-10-27T00:00:00" maxDate="2018-03-30T00:00:00"/>
    </cacheField>
    <cacheField name="Decision Date" numFmtId="14">
      <sharedItems containsNonDate="0" containsDate="1" containsString="0" containsBlank="1" minDate="2008-03-20T00:00:00" maxDate="2018-03-30T00:00:00" count="477">
        <d v="2016-03-24T00:00:00"/>
        <m/>
        <d v="2017-12-14T00:00:00"/>
        <d v="2016-10-21T00:00:00"/>
        <d v="2017-12-18T00:00:00"/>
        <d v="2015-04-22T00:00:00"/>
        <d v="2011-02-14T00:00:00"/>
        <d v="2015-09-09T00:00:00"/>
        <d v="2012-08-24T00:00:00"/>
        <d v="2017-02-16T00:00:00"/>
        <d v="2017-10-05T00:00:00"/>
        <d v="2015-06-12T00:00:00"/>
        <d v="2017-10-26T00:00:00"/>
        <d v="2015-08-14T00:00:00"/>
        <d v="2016-01-26T00:00:00"/>
        <d v="2017-09-11T00:00:00"/>
        <d v="2017-07-13T00:00:00"/>
        <d v="2016-01-04T00:00:00"/>
        <d v="2016-08-22T00:00:00"/>
        <d v="2010-10-12T00:00:00"/>
        <d v="2017-01-18T00:00:00"/>
        <d v="2017-01-04T00:00:00"/>
        <d v="2017-04-25T00:00:00"/>
        <d v="2018-01-25T00:00:00"/>
        <d v="2017-11-06T00:00:00"/>
        <d v="2016-12-21T00:00:00"/>
        <d v="2017-12-21T00:00:00"/>
        <d v="2012-10-19T00:00:00"/>
        <d v="2014-08-26T00:00:00"/>
        <d v="2016-06-21T00:00:00"/>
        <d v="2017-10-09T00:00:00"/>
        <d v="2017-09-29T00:00:00"/>
        <d v="2013-09-13T00:00:00"/>
        <d v="2015-06-10T00:00:00"/>
        <d v="2014-04-28T00:00:00"/>
        <d v="2017-10-24T00:00:00"/>
        <d v="2016-11-01T00:00:00"/>
        <d v="2017-09-22T00:00:00"/>
        <d v="2018-03-08T00:00:00"/>
        <d v="2015-06-26T00:00:00"/>
        <d v="2017-08-24T00:00:00"/>
        <d v="2015-10-27T00:00:00"/>
        <d v="2016-08-19T00:00:00"/>
        <d v="2015-11-04T00:00:00"/>
        <d v="2016-08-24T00:00:00"/>
        <d v="2014-12-03T00:00:00"/>
        <d v="2017-12-20T00:00:00"/>
        <d v="2015-03-31T00:00:00"/>
        <d v="2017-10-03T00:00:00"/>
        <d v="2017-10-02T00:00:00"/>
        <d v="2018-03-27T00:00:00"/>
        <d v="2014-06-25T00:00:00"/>
        <d v="2015-07-10T00:00:00"/>
        <d v="2017-11-23T00:00:00"/>
        <d v="2018-01-24T00:00:00"/>
        <d v="2017-01-17T00:00:00"/>
        <d v="2017-02-23T00:00:00"/>
        <d v="2018-02-14T00:00:00"/>
        <d v="2013-08-08T00:00:00"/>
        <d v="2017-11-16T00:00:00"/>
        <d v="2017-10-16T00:00:00"/>
        <d v="2015-11-03T00:00:00"/>
        <d v="2016-06-02T00:00:00"/>
        <d v="2018-03-26T00:00:00"/>
        <d v="2017-01-30T00:00:00"/>
        <d v="2017-05-05T00:00:00"/>
        <d v="2016-06-14T00:00:00"/>
        <d v="2014-05-19T00:00:00"/>
        <d v="2017-08-16T00:00:00"/>
        <d v="2017-11-24T00:00:00"/>
        <d v="2017-05-24T00:00:00"/>
        <d v="2017-07-17T00:00:00"/>
        <d v="2015-12-10T00:00:00"/>
        <d v="2016-12-09T00:00:00"/>
        <d v="2017-09-25T00:00:00"/>
        <d v="2014-10-28T00:00:00"/>
        <d v="2017-11-01T00:00:00"/>
        <d v="2017-03-02T00:00:00"/>
        <d v="2017-07-03T00:00:00"/>
        <d v="2016-09-28T00:00:00"/>
        <d v="2016-08-15T00:00:00"/>
        <d v="2016-11-17T00:00:00"/>
        <d v="2016-10-28T00:00:00"/>
        <d v="2017-08-31T00:00:00"/>
        <d v="2014-07-18T00:00:00"/>
        <d v="2014-12-19T00:00:00"/>
        <d v="2017-03-28T00:00:00"/>
        <d v="2015-02-19T00:00:00"/>
        <d v="2016-03-04T00:00:00"/>
        <d v="2017-04-06T00:00:00"/>
        <d v="2016-05-04T00:00:00"/>
        <d v="2017-01-27T00:00:00"/>
        <d v="2017-09-06T00:00:00"/>
        <d v="2008-03-20T00:00:00"/>
        <d v="2015-06-30T00:00:00"/>
        <d v="2016-05-05T00:00:00"/>
        <d v="2017-03-14T00:00:00"/>
        <d v="2016-09-23T00:00:00"/>
        <d v="2014-12-05T00:00:00"/>
        <d v="2016-02-26T00:00:00"/>
        <d v="2016-11-08T00:00:00"/>
        <d v="2017-05-18T00:00:00"/>
        <d v="2017-08-02T00:00:00"/>
        <d v="2010-09-13T00:00:00"/>
        <d v="2011-02-13T00:00:00"/>
        <d v="2015-07-17T00:00:00"/>
        <d v="2018-02-16T00:00:00"/>
        <d v="2018-03-23T00:00:00"/>
        <d v="2012-12-19T00:00:00"/>
        <d v="2017-02-10T00:00:00"/>
        <d v="2016-04-21T00:00:00"/>
        <d v="2017-07-06T00:00:00"/>
        <d v="2017-11-10T00:00:00"/>
        <d v="2016-10-17T00:00:00"/>
        <d v="2015-07-15T00:00:00"/>
        <d v="2016-01-25T00:00:00"/>
        <d v="2016-11-07T00:00:00"/>
        <d v="2014-04-07T00:00:00"/>
        <d v="2017-11-27T00:00:00"/>
        <d v="2016-08-04T00:00:00"/>
        <d v="2015-12-18T00:00:00"/>
        <d v="2014-07-22T00:00:00"/>
        <d v="2017-06-08T00:00:00"/>
        <d v="2014-05-29T00:00:00"/>
        <d v="2016-08-11T00:00:00"/>
        <d v="2017-07-05T00:00:00"/>
        <d v="2017-10-31T00:00:00"/>
        <d v="2017-09-21T00:00:00"/>
        <d v="2016-04-11T00:00:00"/>
        <d v="2017-09-05T00:00:00"/>
        <d v="2015-12-30T00:00:00"/>
        <d v="2017-08-03T00:00:00"/>
        <d v="2018-02-01T00:00:00"/>
        <d v="2013-05-10T00:00:00"/>
        <d v="2017-08-30T00:00:00"/>
        <d v="2017-10-13T00:00:00"/>
        <d v="2014-11-06T00:00:00"/>
        <d v="2017-04-11T00:00:00"/>
        <d v="2015-09-17T00:00:00"/>
        <d v="2016-02-04T00:00:00"/>
        <d v="2015-11-12T00:00:00"/>
        <d v="2017-07-04T00:00:00"/>
        <d v="2016-08-03T00:00:00"/>
        <d v="2016-11-22T00:00:00"/>
        <d v="2015-03-24T00:00:00"/>
        <d v="2015-06-24T00:00:00"/>
        <d v="2011-12-15T00:00:00"/>
        <d v="2017-06-30T00:00:00"/>
        <d v="2018-03-07T00:00:00"/>
        <d v="2015-02-11T00:00:00"/>
        <d v="2015-11-06T00:00:00"/>
        <d v="2016-01-11T00:00:00"/>
        <d v="2017-02-24T00:00:00"/>
        <d v="2015-09-18T00:00:00"/>
        <d v="2016-10-24T00:00:00"/>
        <d v="2016-11-28T00:00:00"/>
        <d v="2017-05-03T00:00:00"/>
        <d v="2016-04-29T00:00:00"/>
        <d v="2016-06-20T00:00:00"/>
        <d v="2014-06-19T00:00:00"/>
        <d v="2016-04-18T00:00:00"/>
        <d v="2013-12-06T00:00:00"/>
        <d v="2016-12-02T00:00:00"/>
        <d v="2017-12-07T00:00:00"/>
        <d v="2012-10-18T00:00:00"/>
        <d v="2018-03-01T00:00:00"/>
        <d v="2010-10-13T00:00:00"/>
        <d v="2016-12-19T00:00:00"/>
        <d v="2015-04-27T00:00:00"/>
        <d v="2015-12-07T00:00:00"/>
        <d v="2016-02-23T00:00:00"/>
        <d v="2016-05-27T00:00:00"/>
        <d v="2017-08-07T00:00:00"/>
        <d v="2016-12-13T00:00:00"/>
        <d v="2014-09-11T00:00:00"/>
        <d v="2018-02-27T00:00:00"/>
        <d v="2016-07-12T00:00:00"/>
        <d v="2016-03-09T00:00:00"/>
        <d v="2014-08-15T00:00:00"/>
        <d v="2016-09-13T00:00:00"/>
        <d v="2016-08-18T00:00:00"/>
        <d v="2017-08-01T00:00:00"/>
        <d v="2012-01-13T00:00:00"/>
        <d v="2015-07-27T00:00:00"/>
        <d v="2016-08-16T00:00:00"/>
        <d v="2016-11-21T00:00:00"/>
        <d v="2017-01-23T00:00:00"/>
        <d v="2017-03-16T00:00:00"/>
        <d v="2015-12-02T00:00:00"/>
        <d v="2016-10-07T00:00:00"/>
        <d v="2016-09-05T00:00:00"/>
        <d v="2017-03-10T00:00:00"/>
        <d v="2016-11-25T00:00:00"/>
        <d v="2017-10-11T00:00:00"/>
        <d v="2017-04-21T00:00:00"/>
        <d v="2016-04-26T00:00:00"/>
        <d v="2017-10-25T00:00:00"/>
        <d v="2016-07-20T00:00:00"/>
        <d v="2017-11-30T00:00:00"/>
        <d v="2016-03-17T00:00:00"/>
        <d v="2015-05-29T00:00:00"/>
        <d v="2013-10-21T00:00:00"/>
        <d v="2014-09-24T00:00:00"/>
        <d v="2016-03-31T00:00:00"/>
        <d v="2016-04-22T00:00:00"/>
        <d v="2014-06-20T00:00:00"/>
        <d v="2017-02-22T00:00:00"/>
        <d v="2018-01-31T00:00:00"/>
        <d v="2016-09-15T00:00:00"/>
        <d v="2016-03-16T00:00:00"/>
        <d v="2018-01-18T00:00:00"/>
        <d v="2017-04-27T00:00:00"/>
        <d v="2013-08-05T00:00:00"/>
        <d v="2011-12-05T00:00:00"/>
        <d v="2017-06-26T00:00:00"/>
        <d v="2017-09-15T00:00:00"/>
        <d v="2015-07-08T00:00:00"/>
        <d v="2016-08-12T00:00:00"/>
        <d v="2017-09-07T00:00:00"/>
        <d v="2017-04-26T00:00:00"/>
        <d v="2016-07-04T00:00:00"/>
        <d v="2017-06-14T00:00:00"/>
        <d v="2016-12-28T00:00:00"/>
        <d v="2016-06-22T00:00:00"/>
        <d v="2015-08-17T00:00:00"/>
        <d v="2016-07-08T00:00:00"/>
        <d v="2016-07-05T00:00:00"/>
        <d v="2014-09-12T00:00:00"/>
        <d v="2017-05-25T00:00:00"/>
        <d v="2017-05-10T00:00:00"/>
        <d v="2017-05-15T00:00:00"/>
        <d v="2017-04-20T00:00:00"/>
        <d v="2018-03-15T00:00:00"/>
        <d v="2015-04-20T00:00:00"/>
        <d v="2014-04-16T00:00:00"/>
        <d v="2014-07-08T00:00:00"/>
        <d v="2017-07-26T00:00:00"/>
        <d v="2016-02-29T00:00:00"/>
        <d v="2012-09-26T00:00:00"/>
        <d v="2015-03-03T00:00:00"/>
        <d v="2014-11-10T00:00:00"/>
        <d v="2016-08-05T00:00:00"/>
        <d v="2017-12-06T00:00:00"/>
        <d v="2014-10-08T00:00:00"/>
        <d v="2015-11-16T00:00:00"/>
        <d v="2016-03-22T00:00:00"/>
        <d v="2013-07-08T00:00:00"/>
        <d v="2016-06-28T00:00:00"/>
        <d v="2016-08-10T00:00:00"/>
        <d v="2016-08-25T00:00:00"/>
        <d v="2015-08-24T00:00:00"/>
        <d v="2015-09-30T00:00:00"/>
        <d v="2016-10-26T00:00:00"/>
        <d v="2016-12-20T00:00:00"/>
        <d v="2016-12-15T00:00:00"/>
        <d v="2014-03-04T00:00:00"/>
        <d v="2015-09-14T00:00:00"/>
        <d v="2017-12-01T00:00:00"/>
        <d v="2017-09-20T00:00:00"/>
        <d v="2016-01-27T00:00:00"/>
        <d v="2016-08-17T00:00:00"/>
        <d v="2016-09-21T00:00:00"/>
        <d v="2017-02-01T00:00:00"/>
        <d v="2013-10-22T00:00:00"/>
        <d v="2013-05-17T00:00:00"/>
        <d v="2015-11-11T00:00:00"/>
        <d v="2013-10-08T00:00:00"/>
        <d v="2013-05-14T00:00:00"/>
        <d v="2013-08-30T00:00:00"/>
        <d v="2015-07-16T00:00:00"/>
        <d v="2013-02-05T00:00:00"/>
        <d v="2014-07-23T00:00:00"/>
        <d v="2013-08-02T00:00:00"/>
        <d v="2013-10-03T00:00:00"/>
        <d v="2016-09-01T00:00:00"/>
        <d v="2017-12-08T00:00:00"/>
        <d v="2015-11-27T00:00:00"/>
        <d v="2017-03-20T00:00:00"/>
        <d v="2017-09-08T00:00:00"/>
        <d v="2013-09-16T00:00:00"/>
        <d v="2015-09-16T00:00:00"/>
        <d v="2016-03-21T00:00:00"/>
        <d v="2018-01-26T00:00:00"/>
        <d v="2014-09-01T00:00:00"/>
        <d v="2013-10-11T00:00:00"/>
        <d v="2014-06-18T00:00:00"/>
        <d v="2015-10-14T00:00:00"/>
        <d v="2017-05-16T00:00:00"/>
        <d v="2014-03-13T00:00:00"/>
        <d v="2017-03-09T00:00:00"/>
        <d v="2015-04-13T00:00:00"/>
        <d v="2017-07-28T00:00:00"/>
        <d v="2015-01-21T00:00:00"/>
        <d v="2014-05-21T00:00:00"/>
        <d v="2016-02-03T00:00:00"/>
        <d v="2014-06-27T00:00:00"/>
        <d v="2014-07-02T00:00:00"/>
        <d v="2015-01-27T00:00:00"/>
        <d v="2014-07-11T00:00:00"/>
        <d v="2014-07-17T00:00:00"/>
        <d v="2017-07-14T00:00:00"/>
        <d v="2015-03-10T00:00:00"/>
        <d v="2015-02-25T00:00:00"/>
        <d v="2014-09-09T00:00:00"/>
        <d v="2017-11-02T00:00:00"/>
        <d v="2016-02-24T00:00:00"/>
        <d v="2014-10-22T00:00:00"/>
        <d v="2016-10-14T00:00:00"/>
        <d v="2014-11-13T00:00:00"/>
        <d v="2014-11-25T00:00:00"/>
        <d v="2016-05-31T00:00:00"/>
        <d v="2015-01-12T00:00:00"/>
        <d v="2015-02-13T00:00:00"/>
        <d v="2014-12-04T00:00:00"/>
        <d v="2015-12-01T00:00:00"/>
        <d v="2014-12-09T00:00:00"/>
        <d v="2015-02-05T00:00:00"/>
        <d v="2016-01-07T00:00:00"/>
        <d v="2015-08-20T00:00:00"/>
        <d v="2015-02-27T00:00:00"/>
        <d v="2017-01-05T00:00:00"/>
        <d v="2015-03-12T00:00:00"/>
        <d v="2017-03-30T00:00:00"/>
        <d v="2015-01-28T00:00:00"/>
        <d v="2017-08-14T00:00:00"/>
        <d v="2015-02-06T00:00:00"/>
        <d v="2016-06-23T00:00:00"/>
        <d v="2016-10-04T00:00:00"/>
        <d v="2015-02-09T00:00:00"/>
        <d v="2015-07-29T00:00:00"/>
        <d v="2016-07-01T00:00:00"/>
        <d v="2015-06-09T00:00:00"/>
        <d v="2017-06-06T00:00:00"/>
        <d v="2015-05-01T00:00:00"/>
        <d v="2017-02-27T00:00:00"/>
        <d v="2016-02-19T00:00:00"/>
        <d v="2015-04-29T00:00:00"/>
        <d v="2015-07-21T00:00:00"/>
        <d v="2015-05-22T00:00:00"/>
        <d v="2015-06-22T00:00:00"/>
        <d v="2015-06-23T00:00:00"/>
        <d v="2015-07-22T00:00:00"/>
        <d v="2015-07-02T00:00:00"/>
        <d v="2015-06-18T00:00:00"/>
        <d v="2016-06-08T00:00:00"/>
        <d v="2015-10-22T00:00:00"/>
        <d v="2016-08-30T00:00:00"/>
        <d v="2015-11-13T00:00:00"/>
        <d v="2015-10-28T00:00:00"/>
        <d v="2015-10-19T00:00:00"/>
        <d v="2015-10-08T00:00:00"/>
        <d v="2015-08-26T00:00:00"/>
        <d v="2016-05-24T00:00:00"/>
        <d v="2016-03-14T00:00:00"/>
        <d v="2015-09-23T00:00:00"/>
        <d v="2015-12-09T00:00:00"/>
        <d v="2015-09-10T00:00:00"/>
        <d v="2016-01-22T00:00:00"/>
        <d v="2017-03-08T00:00:00"/>
        <d v="2015-10-05T00:00:00"/>
        <d v="2016-01-06T00:00:00"/>
        <d v="2015-12-22T00:00:00"/>
        <d v="2016-08-01T00:00:00"/>
        <d v="2016-06-07T00:00:00"/>
        <d v="2015-12-17T00:00:00"/>
        <d v="2016-01-12T00:00:00"/>
        <d v="2016-03-30T00:00:00"/>
        <d v="2015-12-16T00:00:00"/>
        <d v="2016-07-29T00:00:00"/>
        <d v="2015-12-21T00:00:00"/>
        <d v="2016-06-03T00:00:00"/>
        <d v="2015-11-20T00:00:00"/>
        <d v="2018-03-16T00:00:00"/>
        <d v="2016-02-12T00:00:00"/>
        <d v="2016-03-01T00:00:00"/>
        <d v="2017-07-31T00:00:00"/>
        <d v="2016-04-05T00:00:00"/>
        <d v="2016-11-11T00:00:00"/>
        <d v="2016-04-14T00:00:00"/>
        <d v="2016-03-08T00:00:00"/>
        <d v="2016-04-01T00:00:00"/>
        <d v="2016-05-23T00:00:00"/>
        <d v="2016-04-06T00:00:00"/>
        <d v="2016-06-16T00:00:00"/>
        <d v="2017-05-22T00:00:00"/>
        <d v="2017-10-19T00:00:00"/>
        <d v="2016-06-06T00:00:00"/>
        <d v="2016-05-11T00:00:00"/>
        <d v="2017-08-08T00:00:00"/>
        <d v="2016-10-13T00:00:00"/>
        <d v="2016-09-27T00:00:00"/>
        <d v="2016-07-11T00:00:00"/>
        <d v="2018-02-05T00:00:00"/>
        <d v="2016-06-15T00:00:00"/>
        <d v="2016-11-30T00:00:00"/>
        <d v="2016-08-23T00:00:00"/>
        <d v="2016-07-27T00:00:00"/>
        <d v="2016-07-22T00:00:00"/>
        <d v="2017-01-19T00:00:00"/>
        <d v="2016-08-02T00:00:00"/>
        <d v="2017-11-29T00:00:00"/>
        <d v="2017-06-23T00:00:00"/>
        <d v="2017-05-17T00:00:00"/>
        <d v="2016-09-20T00:00:00"/>
        <d v="2017-07-25T00:00:00"/>
        <d v="2016-10-06T00:00:00"/>
        <d v="2016-09-16T00:00:00"/>
        <d v="2016-11-09T00:00:00"/>
        <d v="2016-10-10T00:00:00"/>
        <d v="2017-01-31T00:00:00"/>
        <d v="2017-01-16T00:00:00"/>
        <d v="2016-10-31T00:00:00"/>
        <d v="2017-06-29T00:00:00"/>
        <d v="2017-03-29T00:00:00"/>
        <d v="2017-03-21T00:00:00"/>
        <d v="2017-02-06T00:00:00"/>
        <d v="2016-11-29T00:00:00"/>
        <d v="2017-09-28T00:00:00"/>
        <d v="2017-01-26T00:00:00"/>
        <d v="2017-02-02T00:00:00"/>
        <d v="2017-02-08T00:00:00"/>
        <d v="2017-05-30T00:00:00"/>
        <d v="2017-08-17T00:00:00"/>
        <d v="2017-08-10T00:00:00"/>
        <d v="2017-03-06T00:00:00"/>
        <d v="2017-03-31T00:00:00"/>
        <d v="2017-03-24T00:00:00"/>
        <d v="2017-01-06T00:00:00"/>
        <d v="2016-07-13T00:00:00"/>
        <d v="2016-07-28T00:00:00"/>
        <d v="2016-04-13T00:00:00"/>
        <d v="2015-03-04T00:00:00"/>
        <d v="2015-03-30T00:00:00"/>
        <d v="2017-05-04T00:00:00"/>
        <d v="2017-05-23T00:00:00"/>
        <d v="2017-05-02T00:00:00"/>
        <d v="2017-11-14T00:00:00"/>
        <d v="2017-06-02T00:00:00"/>
        <d v="2017-04-03T00:00:00"/>
        <d v="2017-08-22T00:00:00"/>
        <d v="2017-05-08T00:00:00"/>
        <d v="2017-04-10T00:00:00"/>
        <d v="2017-04-13T00:00:00"/>
        <d v="2017-04-12T00:00:00"/>
        <d v="2017-08-18T00:00:00"/>
        <d v="2017-09-27T00:00:00"/>
        <d v="2017-12-29T00:00:00"/>
        <d v="2017-10-23T00:00:00"/>
        <d v="2017-07-07T00:00:00"/>
        <d v="2017-11-15T00:00:00"/>
        <d v="2017-12-04T00:00:00"/>
        <d v="2017-12-15T00:00:00"/>
        <d v="2017-07-27T00:00:00"/>
        <d v="2018-01-29T00:00:00"/>
        <d v="2017-09-04T00:00:00"/>
        <d v="2017-11-08T00:00:00"/>
        <d v="2017-11-20T00:00:00"/>
        <d v="2018-01-22T00:00:00"/>
        <d v="2017-11-03T00:00:00"/>
        <d v="2017-11-28T00:00:00"/>
        <d v="2017-12-11T00:00:00"/>
        <d v="2017-12-13T00:00:00"/>
        <d v="2018-02-23T00:00:00"/>
        <d v="2018-03-29T00:00:00"/>
        <d v="2018-02-22T00:00:00"/>
        <d v="2018-03-06T00:00:00"/>
        <d v="2018-01-08T00:00:00"/>
        <d v="2018-01-04T00:00:00"/>
        <d v="2018-01-12T00:00:00"/>
        <d v="2018-03-05T00:00:00"/>
        <d v="2018-02-13T00:00:00"/>
        <d v="2018-03-13T00:00:00"/>
        <d v="2018-02-28T00:00:00"/>
        <d v="2018-03-12T00:00:00"/>
        <d v="2018-03-20T00:00:00"/>
        <d v="2017-06-27T00:00:00"/>
        <d v="2017-05-09T00:00:00"/>
      </sharedItems>
    </cacheField>
    <cacheField name="Granted in Reporting Year" numFmtId="0">
      <sharedItems containsBlank="1"/>
    </cacheField>
    <cacheField name="Legal Agreement Date" numFmtId="14">
      <sharedItems containsNonDate="0" containsDate="1" containsString="0" containsBlank="1" minDate="2009-09-16T00:00:00" maxDate="2018-06-27T00:00:00"/>
    </cacheField>
    <cacheField name="Appeal Status" numFmtId="0">
      <sharedItems containsBlank="1"/>
    </cacheField>
    <cacheField name="Appeal Registered Date" numFmtId="14">
      <sharedItems containsNonDate="0" containsDate="1" containsString="0" containsBlank="1" minDate="2011-07-21T00:00:00" maxDate="2018-03-22T00:00:00"/>
    </cacheField>
    <cacheField name="Appeal Decision Date" numFmtId="14">
      <sharedItems containsNonDate="0" containsDate="1" containsString="0" containsBlank="1" minDate="2012-06-22T00:00:00" maxDate="2017-08-18T00:00:00"/>
    </cacheField>
    <cacheField name="Development Description" numFmtId="0">
      <sharedItems containsBlank="1" longText="1"/>
    </cacheField>
    <cacheField name="Summary Development Description" numFmtId="0">
      <sharedItems containsBlank="1" count="798">
        <s v="New build two-storey building."/>
        <s v="New s/s security gatehouse"/>
        <s v="s/s extn to existing C2 to provide 10 rooms for patients with dimentia"/>
        <s v="NB four-storey building to provide 2x 2 b/f."/>
        <s v="Demolish existing B1a @ 2nd fl and Extn to existing creating 1 x 1 b/f and 4 x 3 b/f"/>
        <s v="Renewal of p.p.2010/0537 for erection of 4-storey building to provide  A1 and C3 @ 8 x 2 b/f."/>
        <s v="Blocks H &amp; L"/>
        <s v="Prior Approval for CoU from B1 to C3 @ 1 x 2 b/f."/>
        <s v="New build A1 and C3 1 x 2 b/f and 2 x 2 b/f."/>
        <s v="CoU from A1 (vacant) to A2 (estate agents)"/>
        <s v="Demolish existing B1c and NB 3 x 2 b/f. Co U from A3 to C3 @ 1 x 1 b/f. Convert existing 2 x 2 b/f + extn to 1 x 1 b/f, 1 x 2 b/f and 1 x 3 b/f."/>
        <s v="Demolish part of retained building &amp; new build mix use development comprising 135 residential units and A3/4 + D2 Residents only gym."/>
        <s v="S.73 for CoU from A3/A4 to B1a (retain some A3/4)"/>
        <s v="Renewal of p.p.2012/0531 expired 24.05.15 (not implemented). Demolish existing upper floors of B1A and CoU from part of A2 and new build providing C3 @ 4 x 2 b/f and 1 x 3 b/f"/>
        <s v="CoU from SG (car park) to B8 (storage)."/>
        <s v="HYBRID APPLICATION = Outline = Layout of layout and massing of Sports Hall. Detailed = building to provide mixed-use development proving office and 39 resi units @ (P) 14 x 1 b/f, 15 x 2 b/f, 2 x 3b/f and (S/R - int) @ 2 x 1 and 2 x 2(INT) 2 x 1 and 2 x 2"/>
        <s v="CoU from ex B8 to C3 @ 1 x 2 b/f."/>
        <s v="Demolish existing B1 (Police Stn) new build 4-7 storey care home @ C2 comprising 102 units (BOOKED IN AS c3 AS SELF-CONTAINED UNITS) and ancillary A1 (retail), A3 (café) and D2 (day centre/swimming pool within the C2."/>
        <s v="Prior Approval fro CoU from B1a (g/f) to C3 @ 4 x 1 b/f."/>
        <s v="New embassy"/>
        <s v="Demolition of existing buildings and construction of an electricity substation"/>
        <s v="CoU A1 - A1 / SG"/>
        <s v="CoU from vacant B1 to D2 (yoga studio) + alterations"/>
        <s v="CoU from existing B8 (storage ) to B1c and a + additional storey providing B1 (ancillary)"/>
        <s v="S.73 for MMA to 2015/2963 to amend the tenure to 100% AH @ 15 x 1 b/f, 39 x 2 b/f, 9 x 3 b/f and 8 x 4 b/f."/>
        <s v="Demolish existing SG and NB SG (car rental and car wash)"/>
        <s v="Renewal of 2013/3855 to provide additional 976 sq.m of B1"/>
        <s v="Demolition of part D1 and erection of 1 x 3 b/h."/>
        <s v="S.73 to 2012/0380 to increase basment level 2 increase residential units from 487 to 491"/>
        <s v="NMA to 2014/0871 to reduce the private resi units by 2 x 1 b/f  and amendments to reatil + Public viewing"/>
        <s v="CoL - ex for CoU from B1 to B2"/>
        <s v="CoU from l/g/fl from D1 to B1"/>
        <s v="Construct part single/two storey extension + loft extension to provide additional B1a."/>
        <s v="Prior Approval for CoU from B1A to C3 @ 4 x 1 b/f."/>
        <s v="Demolish existing D1 and NB 3-storey building providing 1 x 1 b/f, 2 x 2 b/f and 1 x 3 b/f + D1"/>
        <s v="CoU from g/f A1 to extend existing C3."/>
        <s v="Prior Approval for CoU from A1 to A3"/>
        <s v="Demolish existing vacant B2 and NB 1 x 1 b/h."/>
        <s v="Extn to existing A2 providing add 28sq.m"/>
        <s v="CoU of lg/g/flr vacant A4 to A1 (Tescos)"/>
        <s v="Demolish existing SG (car servicing centre) into mixed use development comprising A1-A5, B1a and C3 @ 307 resi units including both private and affordable (INT)."/>
        <s v="Demolish existing garages and NB 4-storey building providing 1 x 3 b/h."/>
        <s v="CoU from SG to C3 (8 resi units) @ 2 x 1 b/f, 4 x 2 b/f and 2 x 3 b/f."/>
        <s v="CoU of rear part of g/f and b/mnt from A1 to C3 @ 1 x 2 b/f."/>
        <s v="Ext to create additional A1. New build 1 x 3 b/f to existing resi block and construction of new 2-storey ext to provide 4 x 2 b/f."/>
        <s v="Prior pproval for CoU from B1a to 9 residential units (as per officers report) C3 @ 1 x 1 s/f , 5 x 1 b/f and 3 x 2 b/f."/>
        <s v="Demolition of building and new build residential 22 units and B1(a)"/>
        <s v="Demolish existing B1 and new build larger B1."/>
        <s v="Prior Approval for CoU of B1A @ 1st (front) 2nd/3rd to C3 @ 3 x 2 b/f."/>
        <s v="CoU from part of g/f B2 to  A1/A2 or A3."/>
        <s v="(362a) Convert existing 1 x 3 b/f into 2 x 1 s/f + extn."/>
        <s v="(rear of) CoU from B8 (warehouse) + extension to C3 @ 1 x 1 b/h."/>
        <s v="CoU of 2nd/3rd floors vacant A1 to C3 @ 1 x 1 b/f and 4 x 2 b/f + alts/extn"/>
        <s v="CoU from vacant B1 to SG"/>
        <s v="s/s extn providing A1"/>
        <s v="Demolish existing vacant SG and  NB 4-storey building providing 2 x 1 b/f and 1 x 3 b/f."/>
        <s v="(Studio Z) Prior Approval for CoU from B1a to C3 @ 1 x 1 s/f."/>
        <s v="Part demolish existing A1 and and new build A1 and C3 @ 3 x 1 b/f and 2 x 2 b/f."/>
        <s v="CoU from A1 to A1 &amp; D2"/>
        <s v="Extn to ex to create additional floor to hall."/>
        <s v="CoU from A1 to flexible A1/2/D1/D2"/>
        <s v="Prior Approval for CoU from A1 to C3 @ 1 x 2 b/f."/>
        <s v="Extension providing additional D1 space."/>
        <s v="CoU from vacant A1 to D1 (dental Surgery)"/>
        <s v="CoU from vacant SG to A1/3 (coffee shop)"/>
        <s v="CoU of B8 (storage) to C3 @ 1 x 2 b/f + extn"/>
        <s v="Extension to provide additional floorspace to existing nursery and 1st f/f reisdential."/>
        <s v="CoL - existing for CoU from SG to C3 @ 1 x 2 b/f"/>
        <s v="CoU from A1 @ g/f to SG (nail salon)"/>
        <s v="(Ground floor) CoU from vacant A1 to D1 (osteopathy, physiotherapy and sports rehabilitation)"/>
        <s v="NB church hall"/>
        <s v="CoU from part C3 (1 x 6 b/h) @ g/f to D1 (day nursery) for up to 9 children and C3 @ 1 x 5 b/h."/>
        <s v="CoU from A1 to D1."/>
        <s v="CoU from A1 to A3 (restaurant)"/>
        <s v="CoL - [proposed for CoU from A1 (travel Agency) to A1 (sandwich bar/delicatessan (at g/f)"/>
        <s v="Internal alterations to convert 5 x 1 b/f and 3 x 2 b/f into 1 x 3 b/h and 2 x 4 b/h. (works are already under construction for flats)."/>
        <s v="CoU of existing B1a @ g/f to C3 @ 1 x 1 b/f + alts/extn"/>
        <s v="CoL- proposed for CoU from A1 to C3 @ 1 x 2 b/f."/>
        <s v="CoU of b/mnt and g/f A1 to D1 (counselling &amp; physcotherapy)"/>
        <s v="NB s/s extn on northern side."/>
        <s v="Alt's/extn to 1st/fl to provide B1"/>
        <s v="NB 1 x 2 b/bungalow."/>
        <s v="Demolish existing B8 and new build 1 x 1 b/f, 1 x 2 b/f and 3 x 2 b/h."/>
        <s v="Prior Approval for CoU from B1a to C3 @ (2nd fl) @ 2 x 1 b/f and 1 x 2 b/f."/>
        <s v="CoU of upper/lower g/f from A3 to B1a + alt's."/>
        <s v="Demolish existing garages and NB 8 x 4 b/h."/>
        <s v="Demolish existing vacant building and new build 20 resi units @ 4 x 1 b/f and 16 x 2 b/f + A1/A3 and D1."/>
        <s v="Demolish existing vacant B2 and NB B1"/>
        <s v="Demolish existing SG (car wash) into C3 @ (P) 5 x 1 b/f , 6 x 2 b/f and 1 x 3 b/h +  INT @ 2 x 1 b/f and 4 x 2 b/f  + D1 (community)"/>
        <s v="Non-material amendment to 2016/2468 changing use of Block D: Unit 8 from D1 to flexible B1a or D1"/>
        <s v="Demolish existing disused garages and NB s/s 1 x 4 b/h with 1 x 1 nanny flat (ancillary)."/>
        <s v="CoU from B1 to D1."/>
        <s v="Demolish existing 1 x 3 b/h and B1c and NB BLOCK A C3 @ 5 x 2 b/f and BLOCK B 3 x 2 b/f and 1 x 1 b/f"/>
        <s v="NMA to amend 2014/6409 for CoU from A2 to C3 @ 1 x 1 b/f and 1 x 2 b/f for SO (Viridian Housing willing to enter into a unilateral undertaking for S/O)"/>
        <s v="CoU from SG to B1/A2 + alt's /extn."/>
        <s v="CoU from A1 (flower shop ) @ g/f to SG (mini-cab)."/>
        <s v="Demolish existing vacant B8 and NB 1 x 2 b/h."/>
        <s v="CoU from D1 to C3 @ 2 x 2 b/f and 2 x 3 b/f."/>
        <s v="Demolish existing garages and new build 2 x 3 b/h and 1 x 4 b/h."/>
        <s v="New Build 1 x 2 b/h."/>
        <s v="Demolish existing building and new build 2 x 3 b/h and 2 x 4 b/h."/>
        <s v="Amalgamate existing vacant A1/SG into flexible A1/3/D2. CoU from exitsing SG (nightclub) to C3 @ 4 x 1 b/f and 2 x 2 b/f and roof ext to create C3 (new build) @ 1 x 1 b/f and 2 x 2 b/f."/>
        <s v="Demolish existing B1a, A1/3 and SG and NB C1, B1a, A1/2/3"/>
        <s v="Demolish existing vacant B1a to C3 @ 1 x 1 b/f."/>
        <s v="Demolish existing A1 and new build comprising A1 and C3 @ 1 x 3 b/f and 14 x 2 b/f."/>
        <s v="S.73 to CoU from A1 to A1/A2."/>
        <s v="S.73 to increase commercial by 6sq.m and amend 1 x 2 b/f into 1 x 3 b/f"/>
        <s v="11 flats over commercial"/>
        <s v="CoU as of 2007/5659 A1/2/3/4/5 adding D2 to the class uses."/>
        <s v="Renewal of 2008/0407 reducing the amount of resi units from 158 to 118. Demolish existing vacant building B1, B8, A4, D1/2 &amp; A1-5 and new build mix-use development comprising A1,3,4, SG and 118 resi units private and affordable."/>
        <s v="CoU from D1 (day centre) to C3 @ 1 x 1 b/f and 3 x 2 b/f."/>
        <s v="Change of use from Photography ( class B1 ) to a Barre Studio (Class D2)"/>
        <s v="Flat s 13 &amp; 14) Demolish existing shared penthouse/conservatory extn and new build replacement."/>
        <s v="NB 1 x 4 b/h"/>
        <s v="Changing of Development Zones O1 &amp; RS4 from outline to detailed elements of the outline planning permission"/>
        <s v="Changes to Phases 3 and 4"/>
        <s v="Changes to the residential mix to create additional residential units and the change of use of hotel and serviced apartments in Development Zone RS5 to residential"/>
        <s v="Resubmission of reserve matters for Phase 1"/>
        <s v="NMA to 2013/6639 relates to additional demolition, reconfigure retail layouts"/>
        <s v="CoU of g/f from vacant (originally education) D1 to D1 (counselling and pyscotherapy"/>
        <s v="Redevelopment Phase III"/>
        <s v="Mixed use redevelopment"/>
        <s v="Demolish existing garages and NB 1 x 1 b/h"/>
        <s v="CoU from part of g/f B8 (storage) to A1 (furniture showroom) &amp; B8."/>
        <s v="(1) CoU from SGto D1 and (2) CoU of rear part of A2 to C3 @ 2 x 2 b/f + extn"/>
        <s v="Demolish existing A3 and 2 x 1 b/f and NB 6-storey building comprising flexi A1-5/D2 and C3 @ 1 x 1 s/f, 6 x 1 b/f and 1 x 2 b/f."/>
        <s v="Demolish 6 garages and new build - 4 x 2 b/f and 1 x 3 b/f."/>
        <s v="Arches 717 to 719 - Refurbish existing A3, B1 and SG to B8 and SG."/>
        <s v="Prior Approval for CoU from A1 (rear part of g/f) to A3 (café/restaurant)"/>
        <s v="CoU of part of g/f A3 to part A1 and C3 @ 1 x 1 b/f"/>
        <s v="Refurb + extn to provide additional floorspace @ changing rooms/showers."/>
        <s v="CoL - ex for CoU from B1c to B1a"/>
        <s v="Extn to g &amp; 1st fl + additional 2-storey to provide additional B1a"/>
        <s v="Demolish existing garage and NB 1 x 1 b/h."/>
        <s v="New build single-storey café @ D1."/>
        <s v="Alt/ext in connection with conversion of existing 1 x 4 b/f into 3 x 1 b/f. Part CoU from A1 to A1 and C3."/>
        <s v="Alt/extns + part CoU from A1 to A1 and C3 @ 1 x 1 b/f."/>
        <s v="Demolish part of existing refectory and NB s/s extension"/>
        <s v="Part demolition and CoU from existing A1/B1 and D1. Extn to provide A1, D1 and C3 @ 2 x 2 b/f."/>
        <s v="1st fl extn to provide additional B1 &amp; B8"/>
        <s v="Demolish existing SG and NB D1 providing 9 additional classrooms"/>
        <s v="Prior Approval for CoU from part A2 to C3 @ 1 x 1 s/f at b/mnt level and A2 (estate agent) @ g/f."/>
        <s v="Demolish existing SG and new build mixed-use development comprising SG (car showroom with ancillary café) on g/f/2nd floors and C3 @ 173 resi units (incl. a/h)."/>
        <s v="(32 only) Extension to provide staff room and toilets."/>
        <s v="Alt's/extn to create 2 x 1 b/f and additional commercial floorspace"/>
        <s v="Extension to provide additional D2. (Sports Hall)"/>
        <s v="Erect a single-storey and two-storey extension providing additional D2 and replace outdoor swimming pool"/>
        <s v="Demolish existing D2 and NB D2"/>
        <s v="Demolish disued laundry building"/>
        <s v="Roof extn to accommodate lift installation"/>
        <s v="1st/f/extn to create additional 50sq.m to Drapers Ward"/>
        <s v="(Units 6)  CoU from from A1 to D1 (Day centre)."/>
        <s v="CoU from A1 to A3"/>
        <s v="CoU of rear part of g/f vacant B1 to C3 @ 1 x 1 b/f. Convert existing 1 x 3 b/f into 1 x 1 b/f and 1 x 2 b/f + alts/Extn's."/>
        <s v="Demolish existing vacant D1 (church) and NB 2 x 4 b/h."/>
        <s v="continued use as A3/5"/>
        <s v="CoL - existing for CoU from D1 @ g/f and b/mnt to C3 @ 1 x 4 b/f"/>
        <s v="Extension/conversion into 12 flats."/>
        <s v="Demolish existing D1 and NB s/s extn D1 for dining/Kitchen/teaching and nursery."/>
        <s v="CoU from A2 (Estate Agent) to A3 (restaurant)"/>
        <s v="(114a) CoU of rear g/f from A1 to A3"/>
        <s v="Erection of additional storey to provide additional B1 office space."/>
        <s v="Variation of Condition 3 for CoU (approved temporary use for a 5 year period) from 100% B8 (storage) to 80% B8 and 20% SG(coach parking)"/>
        <s v="Demolish existing A1 and NB A1"/>
        <s v="CoU from D1 (by condition education and training only) to D1 (NHS therapy talking service)"/>
        <s v="CoU from B1a to C3 @ 1 x 4 b/h + alt's/extns"/>
        <s v="Demolish existing B2 and new build C3 @ 4 x 1 b/f, 3 x 2 b/f and 1 x 3 b/f."/>
        <s v="CoU from g/f SG - mini-cab office into 1 x 2 b/f and alt/ext in connection with conversion of existing 1 x 1 b/f into 1 x 2 b/f."/>
        <s v="s/s extn"/>
        <s v="Prior Approval for CoU from B1a to C3 @ 1 x 1 b/f."/>
        <s v="Demolish existing caretakers home and NB 1 x 2 bungalow."/>
        <s v="CoU from A3 to flexible A1/2/3/D2."/>
        <s v="CoU of existing A1 to flexible A1/2/3 and convert existing 3 x 1 b/f into 2 x 1 b/f and2 x 2 b/f + extn's."/>
        <s v="CoU of part of the rear g/f A1 into C 3 @ 1 x 1 b/f + al's."/>
        <s v="CoU @ g/f vacant A1 to C3 @ 1 x 2 b/f + extn"/>
        <s v="(Units 27, 1, 2 &amp; 3 G/F The Filaments) CoU from B1 to D1 (creche)."/>
        <s v="Redevelop existing vacant site and new build C3 @ 51 resi units, A1 and B1."/>
        <s v="UNIT E2 - S.73 for NMA to 2015/1200 for additional sq.m. to mezzanine floor to create additional A3"/>
        <s v="BLOCK A Riverlight 5 Partial approval of details (not incl advert signage) creating additional 39.5 sq.m. of B1 mezzanine floor)"/>
        <s v="NMA to 2015/1200 BLOCK E for CoU from B1 to A3"/>
        <s v="Redevelopment for mixed use development. 2971 resi units both private and affordable (originally indicated 3019) remainder surplus if hotel is not implemented."/>
        <s v="Changes to main market floor area"/>
        <s v="Reduction in substation area"/>
        <s v="(Units 4, 7 &amp; 8) CoU from A1/2/3/B1/D1 to flexible A1/2/3/B1/D1/D2."/>
        <s v="Redevelop existing site for mix-use development comprising 839 residential units (incl. A/H)  flexible commercial use + public realm."/>
        <s v="S.73 for - Block D convert 1 x 2 b/f into 1 x 3 b/f, Block E gain 102 sq.m in B1 retail and concierge @ G/f lose 33sq.m, Block G,H &amp; J gain 1,079sq.m @ g/b/mnt, Blocks A &amp; F @ g/f/podium gain B1 Block A -= 452.32sq.m and Block f = 353.70 in total 806 sq.m"/>
        <s v="S.73 to planning permission 2016/1517 to BLOCK M (café) to provide additional 135sq.m of A3 by mezzanine floor."/>
        <s v="Increase of 116 residential units"/>
        <s v="Demolish existing building and new build mixed use development providing flexible A1/2/3 use and C3 @ 97 resi units of which 78 will be private and 19 affordable (int)."/>
        <s v="S.73 to 2011/2089 (BLOCK L) for coU from vacant B1a to C3 ' 2 x 2 b/f."/>
        <s v="(UNIT L2 - 336a) CoU of part of g/f &amp; 1st fl from vacant A1/2/3 to D2 (gym)"/>
        <s v="3-storey extension to provide additional D1 education space."/>
        <s v="Partial CoU from B1a to D2 (Pilates Studio)."/>
        <s v="Demolition, CoU and alterations for 661 residential units, A1, A3-5, B2, D1 and B1c."/>
        <s v="NMA to 2012/6029 for Building 9 (Phase 2) to amend existing S/O from 36 x 1 b/f, 12 x 2 b/f and 18 x 3 b/f to 36 x 1 b/f, 24 x 2 b/f and 6 x 3 b/d + sub-station and additional balconies/terraces.(+ 2 additional w/c homes increasing from 8 to 10)"/>
        <s v="BUILDING 11 - Ram Quarter CoU from B2, D1 and A3 only (original 2012/5286 is for flexible use A1-5) to D1/A3 and B2"/>
        <s v="Demolish existing A1 and NB C3 @ 517 residential units (336 private and 181 AH); B1; flexible A1, A2, A3, A4 and B1"/>
        <s v="New build 528 flats plus commercial and community units. (Figure amended to 528 from 527 re 2013/5527)."/>
        <s v="Demolish existing A1 and NB 3 buildings (max 15 storeys) to provide A!/2/3, B1a, D1 and C3 385 @ private, affordable rent and INT -shared ownership."/>
        <s v="Change to unit mix in blocks A and B; additional dance studio space."/>
        <s v="New 5 storey block of 9 flats over shops and café."/>
        <s v="(83a) CoU from C3 @ 1 X 4 b/m into HMO (SG) @ 8 rooms + mansard roof extn/extns (not self-contained)"/>
        <s v="Demolish existing s/s building and NB 2-storey extn/ for D1"/>
        <s v="Prior Approval for CoU from B1 to C3 @ 9 X s/f"/>
        <s v="(This application relates to the b/gfl only) for CoU from A1 to A1 &amp; D1 (Veterinary Clinic)."/>
        <s v="NB 2-storey extn to provide B1 (Rear of)"/>
        <s v="New build extension to provide additional B1a (ancillary floorspace) to existing B1a."/>
        <s v="excavate b/mnt provIding addition B1a."/>
        <s v="(Garage north of) Demolish existing Garage/storage @ B8 and N.B 10-storey building comprising flexible A1/A3/B1/D1 on g/f &amp; 1st fl and C3 @ 4 x 2 b/f."/>
        <s v="Demolish existing garages/outbuilding and NB 2 x 3 b/h."/>
        <s v="Demolish existing B1a office block and NB five-storey B8 storage.(only ground floor being implemented - the remaining mezzanine floors to be dealt with separately)"/>
        <s v="CoU from B8 to C3 @ 1 x 1 b/h."/>
        <s v="NB 2-storey 1 x 3 b/h."/>
        <s v="CoU from SG (mini-cab office)  + convert existing 1 x 4 b/f into 1 x 5 b/h."/>
        <s v="Demolish ex D1 and NB D1 (additional 21 classrooms) for increasein pupils from 328-380 and sfatff 80-88"/>
        <s v="New build 6 x 3 b/h."/>
        <s v="CoU from SG (Laundrette) to A1 (Chocolate retailer)."/>
        <s v="Alt's + s/s extn to provide additional A5"/>
        <s v="Continue as A3 (2015/5136 was for a CoU from A1 to A3  temporary period ceasing on 19.09.17)."/>
        <s v="CoU of g/f from A1 to A3 (Restaurant) + s/s extn"/>
        <s v="(88a) CoU from A1 to C3 @ 1 x 2 b/f + s/s extn."/>
        <s v="Prior Approval for CoU from B1a to C3 @ 2 x 1 b/f and 1 x 2 b/f."/>
        <s v="Redevelopment"/>
        <s v="1st/fl extn to provide additional B8."/>
        <s v="Remove portacabin (D1) and NB Wooden outbuilding D1."/>
        <s v="(PHASE 4A) MMA (S.73) to 2015/3555 to remove sub-stn, reconfiguration, CoU  and provision of additional sq.m."/>
        <s v="Reconfiguration of Block C to remove mail distribution centre and increase residential units and school/retail/commercial use"/>
        <s v="Reconfiguration of unit total and mix, with additional 1 and 2 bedroom units and fewer 3 bedroom units"/>
        <s v="Demolish existing A1, A3 and SG and NB A1-5/3, C1 (hotel @ 96 rooms) D1/D2 and C3 @ 41 resi units providing private, social rented and intermediate."/>
        <s v="Demolish existing vacant B1c/SG and NB 6 storey building providing C2 @ 98 rooms for 100 residents."/>
        <s v="(1) Erection of 25-storey building comprising C3 @ 136 resi units, A1 @ g/f. (2) Demolish existing car showroom and NB 5-storey building providing A1 @ gf an B1@ 1st/4th and (3) provision of 6 s/s pod buildings tocomprise A1/2/3/4."/>
        <s v="(262b - g/f) CoU from A1 (smoothie bar) to SG (nail and beauty)."/>
        <s v="CoU of B8 2 x 2 storage sheds and s/s extn to provide A1"/>
        <s v="Prior Approval for CoU from part A1 to C3 @ 1 x 1 b/f and retain A1"/>
        <s v="Prior Approval for CoU from B1A to C3 @ 1 x 2 b/f."/>
        <s v="Excavate basement to NB additional A2 floorspace."/>
        <s v="(G/F) Prior Approval for CoU from A2 (estate agents) to C3 @ 1 x 1 s/f (g/f)"/>
        <s v="CoU of part of g/f from SG to A2 (including b/mnt excavation) and part C3 @ 1 x 2 b/f  and extn's. Convert existing1 x 1 b/f into 1 x 2 b/f with extn."/>
        <s v="CoU of rear part of g/f A3 to C3 + excavate b/mnt and extn @ 1 x 2 b/f."/>
        <s v="Part CoU from g/f A1 to C3 @ 1 x 1 b/f + ext."/>
        <s v="Demolish existing garage and erection of a 1 x 3 b/h."/>
        <s v="Erection of an extension to provide additional B1 space."/>
        <s v="Prior Approval for CoU from B1a (1st/fl) to C3 @ 1 x 1 b/f and 1 x 2 b/f."/>
        <s v="Change of use from clinic to 2 x 2-bedroom flats"/>
        <s v="Demolish existing vacant 1 x 3 b/f and A1 and NB 4-storey builidng providing 2 x A1 units and C3 @ 2 x 1 b/f and 2 x 2 b/f."/>
        <s v="Prior Approval for CoU from part of C2 (ancillary to care home) to D1 (nursery) for 30 children."/>
        <s v="Convert existing garage + s/s extn to create 1 x 1 s/f."/>
        <s v="Renewal of 2013/0206 - Demolish existing vacant A1 (garage) and C3 @ 1 x 1 b/f into A2 and B1a + extn and enlarge b/mnt."/>
        <s v="CoU from B1 + roof extension to create C3 @ 1 x 2 b/h."/>
        <s v="Demolish rear addition, extension and CoU from A1 to C3 providing addditional 2 x 2 b/f and 1 x 3 b/f keeping existing 1 x 3 b/f."/>
        <s v="CoU of B8 (vacant storage) to D1 (school) for 8 pupils"/>
        <s v="Construction of 8 x 4 b/h."/>
        <s v="Prior approval for CoU from B1a to C3 @ 1 x 1 b/h."/>
        <s v="Extensions to provide 14 residential units @ 3 x 1b/f, 8 x 2 b/f and 3 x 3 b/f."/>
        <s v="Demolish existing 2-storey teaching block and new build 2-storey extension to provide additional D1 space."/>
        <s v="CoU from SG to B1c/2 or B8."/>
        <s v="S/S extension to provide D1(nursery) for 24 children"/>
        <s v="Demolish existing A4 (public house) and 1 x 6 b/f and NB 4-storey building providing A1/2/3/4 @ g/f and 1 x 1 s/f and 5 x 2 b/f."/>
        <s v="Creation of additional floor and mansard roof ext to provide 1 x 1 b/f and 1 x 3 b/f."/>
        <s v="Demolish existing Sports building and NB Indoor Crickets Nets"/>
        <s v="NB 5-storey building to provide C1 @ 34 hotel rooms, D1 (dr's surgery) and A3 (café)."/>
        <s v="New shower/toilet room."/>
        <s v="Commercial with 29 flats over"/>
        <s v="Convert exitsing 1 x 2 b/f to 2 x 1-bedroom and  extn to ex for 1 x 2-bedroom flats + extn"/>
        <s v="s/s extn to provide additional A1"/>
        <s v="Erection of ext to existing classroom."/>
        <s v="Demolish part of existing building and NB s/s link extn creating additional D1."/>
        <s v="CoU from A1 to C3 (19 flats) @ (P) 1 x 1 s/f, 1 x 1 b/f and 11 x 2 b/f and 6 flats (SO-INT) @ 3 x 1 b/f and 3 x 2 b/f."/>
        <s v="NB additonal B1a"/>
        <s v="Demolish existing mobile classroom and NB 2-storey extn providing new teaching space."/>
        <s v="Redevelop site for mixed use @ flexible A1/2/3/B1/D1/D2 &amp; C3 @ 109 resi units (P) @ 80units) and (INT) @ 29"/>
        <s v="Demolish existing SG (Waste Transfer Station) and NB waste transfer stn with ancillary facilities and 422 resi units."/>
        <s v="S.73 to amend 2015/6357 of SG Ancillary Wharf to Flexible A1/3/D2"/>
        <s v="Demolition"/>
        <s v="Partial demolition of existing hall/wing to create additional floorspace @ B1a, D1 and SG."/>
        <s v="Prior Approval for CoU from B1 to C3 @ 61 units comprising 30 x 1 s/f, 19 x 1 b/f and 12 x 2 b/f."/>
        <s v="CoU from A1 to B1"/>
        <s v="Part CoU from B1 (1st/2nd/3rd fl) to C3 @ 3 x 1 b/f and 2 x 2 b/f + extensions/reconfiguration retaining B1 and A3."/>
        <s v="Extensions in connection with CoU from SG (ancillary) of upper floors into 2 x 2 b/f."/>
        <s v="Prior Approval for CoU from B1 @ g/f to C3 @ 1 x 1 b/f."/>
        <s v="Demolish existing buildings and new build mixed development - 201 flats (C3) A1/2/3/4/5/and/or B1a/D1."/>
        <s v="(NMA to 2014/5149) increase C3 by 6.8sq.m reducing balcony (reduced on original application) increase D1 (gym) and commercial/concierge A1/2/3/4/5/B1"/>
        <s v="Amendments to A09 floorspace"/>
        <s v="A03 change of 2 bedroom unit to a studio; A05 change of 1 bedroom unit to a studio"/>
        <s v="Change to outline to accommodate additional C3 floorspace in Plot A01"/>
        <s v="Details for A01"/>
        <s v="BLOCK A02 - S.73 for NMA to 2011/1815 to omit the basement and enlarge 10th floor &amp; u/g car park ro be replaced by surface parking bays reducuint the amount."/>
        <s v="S.73 for NMA to 2011/1815 for omission of a B1a unit of original flexi use (B1/A1/2/3/4) in Unit 3 Plot A11 and CoU from B1a to A1/3 in Unit 7 Plot A09"/>
        <s v="Use of Unit 2 Plot A10 Phase 1 as flexible A2/3/4"/>
        <s v="CoU of Unit 1B (Plot A10) of Phase 1 from vacant SG to A1/3 (beauty salon and café) and D2 (indoor cycling studio) (extant permission 2016/2420)"/>
        <s v="Demolish existing two-storey building and new build 4-storey building/extension to provide A1, D2 and C3 @ 3 x 1 b/f and 5 x 2 b/f."/>
        <s v="CoU from C3 (Swimming pool) to part C3/D2 (swimming pool)"/>
        <s v="Demolition of garages and new build 2 x 5 b/h. (previous approval 2011/5035 was for 2 x 7 b/h)."/>
        <s v="Part CoU from G/F A2 to A2 and C3 @ 1 x 1 b/f."/>
        <s v="Convert exisiting 1 x 1 b/f into 1 x 2 (Retrospective) by CoU of part of the exisitng A2."/>
        <s v="Excavate b/mnt to create A1 and 2-storey extn at roof level to provide C3 @ 1 x 1 s/f, 1 x 1 b/f and 4 x 2 b/f"/>
        <s v="Demolish existing garages and new build 1 x 2 b/h."/>
        <s v="New single storey extension for A1/SG."/>
        <s v="CoU of rear office (A1) + alt's in connection with conversion into C3 @ 1 x 1 b/f."/>
        <s v="Prior approval for CoU from B1a @ 3rd fl to C3 @ 1 x 2 b/f"/>
        <s v="CoU from D1 to C3 (15 residential units - ALL AFFORDABLE) @ 1 x 1 b/f, 7 x 2 b/f, 3 x 3 b/h and 4 x 4 b/h."/>
        <s v="Retrospective CoU from C3 @ 1 x 4 b/f into C4 (7 rooms - HMO) and  conversion of 2 x 1 bf into 1 x 1 b/f (S/C)"/>
        <s v="CoU from B1c (vacant) to C3 @ 4 x 1 b/h and 1 x 2 b/h. (officers report shows 5 x 1 b/h). Therefore amend to 5 x 1 b/h."/>
        <s v="(Unit 7) s/s extn to provide additional A1"/>
        <s v="Demolish 2 x existing pre-fab storage units and new build C3 @ 1 x 3 l/work house."/>
        <s v="CoU of upper floors (SG) - (unlawful hostel) into C3 @ 1 x 3 b/h, 3 x 2 b/f, 1 x 1  b/f and 1 x 3 b/f + ext."/>
        <s v="CoU from B8 (warehouse) to B2 (car repair garage)"/>
        <s v="Construction of single-storey extension to be used as a function room."/>
        <s v="(Units 3 &amp; 4) Prior Approval for CoU from B1 to C3 @ 2 x 2 b/f."/>
        <s v="(Units 5, 6, 7 &amp; 8) Prior approval for CoU from B1a to C3 @ 4 x 2 b/f."/>
        <s v="(UNITS 1 &amp; 2) Prior Approval for CoU of B1a @ g/f to C3 @ 2 x 2 b/f."/>
        <s v="CoU from A1 (vacant) @ g/f and C3 on upper floor from 1x 1 b/f to 1 x 2 b/h."/>
        <s v="Prior Approval for CoU from A1 @ rear g/f to C3 @ 2 x 1 s/f."/>
        <s v="CoU of b/mnt/g/f A3 (reastaurant) to A1 @ front &amp; C3 @ b/mnt &amp; rear @ 1 x 3 b/f + alt's/extns."/>
        <s v="Demolish existing B1a and D1 and NB 4-storey building creating B1a or D1, A3 and C3 @ 6 x 2 b/f."/>
        <s v="(Unit 24 only) Prior Approval for CoU from B1a @ 2nd fl to C3 @ 1 x 1 b/f"/>
        <s v="Demolish existing A1 (post office) and C3 @ 1 x 4 b/f and NB four-storesy providing A1 and C3 @ 1 x 1 s/f, 1 x 1 b/f, 5 x 2 b/f and 1 x 3 b/f"/>
        <s v="Demolish existing s/s garage (B1c) and NB 2-storey garage with ancillary office above."/>
        <s v="CoU from vacant A2 to A4 (cocktail bar)"/>
        <s v="CoU from SG(mini-cab) @ g/f to A1"/>
        <s v="Minor material amendments to residential mix to 8 x 2 b/f and 1 x s/f."/>
        <s v="CoU from A1 to A4 (bar)."/>
        <s v="CoU of SG @ g/f to flexible A1-3 and D2"/>
        <s v="Part Retrospective -CoU from A3 to A1/2/3/4//B1"/>
        <s v="CoU from vacant A4 to D2"/>
        <s v="CoU from B1a &amp; c and B8 to C3 @ 2 x 2 /b/f/"/>
        <s v="(58-60) alts and side/rear ext (1A Garratt Terrace) to NB 1 x 1 b/h."/>
        <s v="New build 4 storey building for mix use development comprising A1 (retail/pharmacy) D1 (medical centre and C3 @ 2 x 1 b/f, 5 x 2 b/f and 2 x 3 b/f."/>
        <s v="Erection of 3-storey building to create 7 resi units @ 3 x 1 b/f, 2 x 2 b/f and 2 x 3 b/f."/>
        <s v="NB 3-storey building to provide 3 x 1 b/f, 2 x 2 b/f and 1 x 3 b/f"/>
        <s v="(206) Demolish existing 4 x 1 s/f and new build 2 x 1 b/f, 4 x 2 b/f and 1 x 3 b/f + B1 in the b/mnt and (208) Construct an additional storey providing 2 x 1 b/f  and alterations at 2A Stella Road providing addidional office space."/>
        <s v="Cou from vacant MOT Garage to C3 @ 1 x 2 b/h."/>
        <s v="Extension and CoU From A2 to include A2 and C3 1 x 1 b/s and 3 x 1 b/f."/>
        <s v="CoU from vacant A2/B1 to D1 (skincare clinic)"/>
        <s v="CoU from A1 to D1 (veterinary clinic) + extn."/>
        <s v="Demolition of existing buildings and new build 110 units ( 55 x flats and 55 town houses)."/>
        <s v="Extension to provide additional B1c space."/>
        <s v="Demolish existing 2-storey A1 @ rear and NB s/s extn to create 1 x 1 b/f."/>
        <s v="Demolish existing garages and new build C3 @ 1 x 1 b/h."/>
        <s v="Demolish existing A4 (P.H) and new build 3 x 1 b/f 8 x 2 b/f and 5 x 3 b/f."/>
        <s v="CoU from A1 to A2."/>
        <s v="CoU from A1 to A5."/>
        <s v="New build 3-storey ext for B1A."/>
        <s v="Single storey extension to provide additional B1a."/>
        <s v="Demolish existing covered playground structure and new build dining-room/multi purpose space @ D1."/>
        <s v="Co U from B1 to C3  @ 1 x 2 b/f and A1 shop + extension."/>
        <s v="Demolish existing suothern-end entrance - new build 2 x 1-storey/courtyard for multi purpose meeting room and extend cubilcles."/>
        <s v="Demolish existing B1 and new build 4 x 2  b/h."/>
        <s v="Demolish existing garage and part CoU of g/f A1 to C3 @ 1 x 1 b/f."/>
        <s v="CoU from SG (betting office) to C3 @ 1 x 2 b/f + alt's/extns."/>
        <s v="Demolish existing B1 and new build mixed use development @ 73 residential units (incl. 15 affordable) and A1/2 + B1."/>
        <s v="Demolish existing A4 and new build  16 private resi unts and 9 affordable (intermmediate) + 2 x commercial units A1/A2."/>
        <s v="Change of use of ground floor from A1/A2 to gym (D2)"/>
        <s v="(2D) CoU from A1 to A3"/>
        <s v="(18c) CoU from B1 to D1 (childrens activity club)."/>
        <s v="Prior Approval for CoU from B1 to C3 @ 3 x 2 b/f."/>
        <s v="CoU of b/mnt and part g/f C3 (1 x 2 b/f) into D2 (leisure) and C3 to 1 x 1 b/f."/>
        <s v="CoU from B1 to A2 and B1"/>
        <s v="New build three-storey building comprising A1 and 1 x 2 b/m."/>
        <s v="Convert existing 1 x 3 b/f + alt's/extns + excavation of basement to create additional A2 + 2 x 1 b/f and 1 x 2 b/f."/>
        <s v="CoU of A1 to A2 (at front) and part C3 (at rear) @ 1 x 1 b/f + extn."/>
        <s v="Demolish existing A4 (P.H) with ancillary C3 @ 1 x 3 b/f to re-develop a mixed-use development comprising flexible A1,2,3 or 4 + C3 @ 30 Private units and 9 A/H (intermediate)."/>
        <s v="Demolish existing vacant A1 and NB A1 and 28 resi units (all private) @  13 x 1 b/f, 11 x 2 b/f and 4 x 3 b/f."/>
        <s v="Construction of a 2-storey extension to existing building and CoU from B1 to provide new mixed development comprising A1, A3 and C3 @ 9 Units.  1 x 1, 6 x 2 and 2 x 3 b/f + courtyard."/>
        <s v="Demolish existing workshop and new build 1 x 1 b/h."/>
        <s v="New build 1 x 1 b/h."/>
        <s v="Alterations/extension to existing building in connection with providing commercial and C3 @ 53 resi units."/>
        <s v="Demolish existing B1a and new build B1a + flexible A1/3/B1/D1"/>
        <s v="S.73 NMA to 2016/4016 to amend from D1 to D2"/>
        <s v="NB 2 x 3 b/h and move/replace existing elctricity sub-station"/>
        <s v="Construction of s/s and 2-storey extension to extend existing hall and ancillary  1 x 2 b/f. (ALL D1 use)"/>
        <s v="S.73 to extend b/mnt creating additional 114sq.m."/>
        <s v="Prior approval for CoU from B1a (1st/2nd fl) to C3 @ 1 x 1 b/f and 3 x 2 b/f."/>
        <s v="Demolish existing garage and new build 1 x 2 b/h + extension."/>
        <s v="Prior Approval for CoU from B1a to C3 @ 1 x 1 s/f,  3 x 1 b/f and 3 x 2 b/f (1st/2ndfl)"/>
        <s v="CoU from D1 (music school) to C3 @ 2 x 1 b/f"/>
        <s v="Partial demolition of existing B1 and new build to provide B1 and C3 @ 9 x 5 b/h."/>
        <s v="Demolish existing building and new build 4-storey commerciaL @ B1 = 2245sq.m, A3 (café/restaurant and C3 = 77 residential flats @ 24 x 1 b/f, 43 x 2 b/f, 6 x 3 b/f and 2 x 1 b/s + 1 x 1 s/o and 3 x 2 s/o..(20-storey)"/>
        <s v="CoU from part of g/f into SG as mini-cab service."/>
        <s v="Demolish existing clubhouse and new build clubhouse @ D2 and creche @ D1."/>
        <s v="Prior Approval for CoU from B1a to C3 @ 3 x 1 b/f, 6 x 2b/f and 2 x 3 b/f."/>
        <s v="Demolish existing vacant building (B1) and new build 52 flats made up of private, social rented and shared ownership."/>
        <s v="Prior Approval for part CoU from B1 to C3 @ 12 x 1 b/f and 2 2 b/f."/>
        <s v="Prior Approval for CoU from B1 to C3 : 1 x 1 b/f and 1 x 2 b/f."/>
        <s v="CoU from part A1 to A1 and C3 @ 1 x 1 b/f."/>
        <s v="CoU of part of A1 to provide additional floorspace to existing C3."/>
        <s v="Prior Approval for CoU from B1 @ 1st fl to C3 @ 1 x 1 b/f and 1 x 2 b/f."/>
        <s v="Prior Approval for CoU @ 2nd fl from B1a to C3 @ 2 x 1 b/f and 2 x 2 b/f."/>
        <s v="Retrospective CoU from B1 @ 2nd/3rd fl into C3 @ 2 x 1 b/f"/>
        <s v="Extension and conversion to provide 2 x 1 b/f and 1 x 2 b/f."/>
        <s v="Units 17 &amp; 18 only) Prior Approval for CoU from B1 to C3 @ 2 x s/f."/>
        <s v="Prior Approval for CoU from B1a (1st/2nd/3rd fl) to C3 @ &quot; x 1 s/f and 1 x 1 b/f."/>
        <s v="Prior Approval for CoU from B1 to C3 @ 9 x s/f."/>
        <s v="Renewal of 2014/3439 for 3-storey extn, alt's to shop front and enlarge ex A1. Convert existing 2 x 2 b/f into 2 x 3 b/f and extn to create 1 x 2 b/f"/>
        <s v="Creation of new build @ 1 x 1 s/f and extensions to convert 1 x 1 b/f into 1 x 2 b/f + additional retail floorspace."/>
        <s v="CoU from C3 @ 1 x 2 b/f and 1 x 3 b/h on MOL into D1 (nursery and pre-school) to accommodate up to 62 children 0 - 5 yrs old."/>
        <s v="Part Cou from A3 (g/f) to flexible A1/A2 + extensionsconversion of existing 1 x 2 b/f to form 1 x 1 b/f and 1 x 2 b/h."/>
        <s v="CoU from A1 to C3 @ 1 x 1 b/f + s/s extn."/>
        <s v="CoU of rear part of (g/f) B1into C3 + part B1 + extn @ 1 x 1 b/f, 1 x 3 b/f and 1 x 4 b/f."/>
        <s v="Erection of 1 x 4 b/h."/>
        <s v="Part CoU from A1 to C3 + extension and new storey in connection with new build 1 x 1 s/f, 1 x 2 b/f and 1 x 4 b/f + alt to existing A1."/>
        <s v="Retrospective part CoU of g/f from SG (cab office) to SG (same) and A3 9Cafe/coffee shop)."/>
        <s v="CoU from B8 to SG (recording studio)."/>
        <s v="Conversion of 5 vacant garages into 1 x 2 b/h."/>
        <s v="Erection of electricty service cabinet."/>
        <s v="Demolish existing B1 and new build C3 @ 2 x 1 b/f and 2 x 2 b/f."/>
        <s v="Prior Approval for CoU from B1 to C3 @ 2 x 2 b/h."/>
        <s v="Revision to 2014/5704 for 1 x 2 b/f to create 1 x 2 b/f - therefore 2 x 2 b/f."/>
        <s v="CoU from A1 (g/f only) to SG (taxi hire business)."/>
        <s v="Prior Approval for CoU from B1 to C3 @ 3 x 3 b/f."/>
        <s v="Demolish existing SG (laundrette) and new build 14-storey building to provide mix use development with A1, B1 and C3 (33 Resi unts) : PRIVATE = 5 x 1 b/f, 15 x 2 /f ansd 2 x 3 b/f and INTERMEDIATE @ 4 x 1 b/f, 6 x 2 b/f and 1 x 3 b/f."/>
        <s v="Demolish existing workshop &amp; erection of 2-storey ext in connection with additional C3 @ 2 x 1 b/f and convert 2 x A1 shops into 1 x  A1."/>
        <s v="CoU of rear part of g/f A5 to C3 + extns in connection with conversion of existing 1 x 4 b/f into 2 x 1 b/f and 1 x 2 b/f."/>
        <s v="Demolish existing 3 garages and new build 1 x 2 b/h."/>
        <s v="Demolish existing garages and new build 5-storey building comprising 20 affordable housing units (SR) @ 6 x 1 b/f, 9 x 2 b/f and 5 x 3 b/f."/>
        <s v="CoU from A1 to A3 (restaurant)."/>
        <s v="Demolish existing building and new build vehicle storage and 3 x 3 keyworkers ancillary resi units."/>
        <s v="Demolish existing building (with exception of 1 viaduct) redevelop mix use providing 290 resi units, flexible A1/2/3/B1/D1 and new primary school."/>
        <s v="Demolish existing D2 and NB 5-storey building comprising D2/B1 and C3 @ (P) 12 x 1 b/f, 19 x 2 b/f and 5 x 3 b/f and (S/O) : 5 x 1 b/f and 4 x 2 b/f."/>
        <s v="CoU from A1 @ 1st fl to SG (mini-cab office)."/>
        <s v="Mixed use development including commercial @ A1/2/3/B1/D1 and D2 on ground floor (4 units) and 85 residential units - 66 Private and 19 Affordable."/>
        <s v="CoU of g/f B1 to C3 @ 1 x 1 b/f + alt's/extn"/>
        <s v="Prior Approval for CoU from B1 to C3 @ 10 x 1 s/f."/>
        <s v="Prior Approval for CoU from B1a(g/f) to C3 @ 1 x 1 b/f."/>
        <s v="Prior Approval for CoU from B1 to C3 @ 6 x 1 b/fon 1st/2nd and 3rd floors."/>
        <s v="Prior Approval for CoU from B1a to C3 @ 5 x 3 b/f."/>
        <s v="Prior Approval for CoU from B1 to C3 @ 3 x 1 b/f and 3 x 2 b/f."/>
        <s v="Demolish existing vacant B8 and new build mixed-use development providing 357 resi units and commercial space @ A1/2/3/B1/D1/D2."/>
        <s v="Part CoU from A2 @ g/f, CoU from HMO (3 bedrooms) @ 1st fl + extension to create 1 x 1 s/f and 1 x 1 b/f."/>
        <s v="Amendment to 2015/0662 (not decided) to include additional 2 storeys and reduce affordable units from 63 to 53 and increase private units from 23 to 36."/>
        <s v="CoU of part D1 (opticians - vacant) to part A1 and remainder of D1 to C3 to convert existing 1 x 1 s/f into 1 x 1 b/f."/>
        <s v="CoU from B1 and new build C3 @ (no.19) 2 x 2 b/f (no.21) 3 x 1 b/f, 6 x 2 b/f and 4 x 3 b/f (no.31-37) demolish existing 1 x 4 b/h and 2 x 2 b/h and new build 2 x 3 b/h, 1 x 2 b/h and 1 x 1 b/h.."/>
        <s v="Demolish existing A1 and B1a/c for mixed use development @ A1 and C3 @ 2 x 1 b/f, 6 x 2 b/f and 2 x 3 b/f."/>
        <s v="Extension to create 1 x 2 b/f."/>
        <s v="Demolish existing SG (garages) into C3 @ 1 x 2 b/h."/>
        <s v="(B/M &amp; G/F) Alt/ext to create 2 x 1 b/f and part CoU from A1 in b/m to C3 and remainder A1."/>
        <s v="Prior Approval for CoU from part of g/f A1 to C3 @ 1 x 1 s/f."/>
        <s v="Prior Approval for CoU from A1 to C3 @ 1 x 1 b/f."/>
        <s v="Demolish existing B8 to C3 @ 7 x 3 b/f ans 2 x 2 b/f."/>
        <s v="CoU of g/f from A1 to C3 and conversion of existing 1 x 3 b/f into 1 x 1 b/f, 1 x 2 b/f and 1 x 3 b/f + ext and demolish existing B1C and new build 1 x 2 b/h."/>
        <s v="CoU from B1 to C3 @ 1 x 1 b/f + extn."/>
        <s v="Demolish existing B2 (industrial build) to C3 @ 9 x 4 b/h."/>
        <s v="S/S Extn to provide ancillary seating to existing A3 (café)"/>
        <s v="Conversion of existing 1 x 3 b/f, alt/ext to create 3 x 1 b/f and 1 x 4 b/h."/>
        <s v="Continued Use"/>
        <s v="New build 1 x 3 b/h."/>
        <s v="Demolish existing garages and new build 1 x 4 b/h."/>
        <s v="CoU from B1a to C3 @ 1 x 2 b/h."/>
        <s v="Demolish existing vacant boiler room + ext to create a 1 x 2 b/f."/>
        <s v="Extension and conversion of rear part of existing A1 @ g/f and conversion of existing 1 x 3 b/f into and 1 x 1 b/f and 2 x 2 b/f."/>
        <s v="Extension/alterations in connection with CoU from A3 to A1/A2 @ 1 x 4 b/lwu."/>
        <s v="Prior Approval for CoU from B1A to C3 @ ground and basement level 2 x 1 b/f and 1 x 1 s/f."/>
        <s v="Extn to create add B1a."/>
        <s v="Alt/ext's in connection with new build providing 2 x 1 b/f and 2 x 2 b/f."/>
        <s v="Demolish existing garage/workshop and new build 9 x 3 b/h."/>
        <s v="Prior approval for CoU from B1 to C3 @ 1 x 1 b/f."/>
        <s v="CoU of part of g/f from A1 to C3 @ 1 x 1 s/f + A1. Extension creating new floor providing 1 x 1 s/f nb."/>
        <s v="Prior Approval for CoU from B1A to C3 @ 1 x 2  b/f."/>
        <s v="Prior approval for CoU from A1 to C3 @ 1 x 3 b/f."/>
        <s v="Part demolish existing A1/2 and new extns providing 1 x 3 b/mews house (NB) extn creating 4 x 2b/f and 2 x 3 b/f."/>
        <s v="CoU from B1 to C3 @ 3 x 1 b/f (conversion) 6 x 2 b/f (5 NB and 1 conv) + two-storey ext."/>
        <s v="Refurbish existing g/f commercial unit, ext/alt in connection with conversion of 1 x 4 b/f on u/f as 2 x 1 b/f and CoU from A1 to C3 @ 1 x 2 b/f  ."/>
        <s v="CoU from A1 to include both A1 and A2"/>
        <s v="Demolish existing B8 and new build 2-storey providing B8 (storage and distribution) and ancillary office space."/>
        <s v="Part CoU from A1 to C3 + alt/ext in connection with conversion of existing 1 x 3 b/f into 1 x 1 b/f and 1 x 2 b/f."/>
        <s v="Convert existing 2 x 2 b/f into 1 x 2 b/f and 3 x 1 b/f + ext/alt and reconfiguration. Extn to existing A3 providing additional floorspace."/>
        <s v="Prior Approval for CoU from B1(2nd/3rd fl) to C3 @ 2 x 2 b/f."/>
        <s v="Prior Approval for CoU from B1a to C3 @ 2 X s/f."/>
        <s v="S.73 to 2017/1369 to reconfigure the private units from 1 x s/f, 20 x 1 b/f , 37 x 2 b/f and 6 x 3 b/f TO 29 x 1 b/f, 36 x 2 b/f, 7 x 3 b/f and 1 x 4 b/f gaining additional sq.m"/>
        <s v="New build rear ext to provide additional space for caretakers office."/>
        <s v="Demolish existing school and new build school."/>
        <s v="Demolish existing vacant A1 and garages and NB 3-storey building providing 2 x 1 b/f and 1 x 2 b/f."/>
        <s v="Extension to provide additional A1 and create 3 x 1 b/f and 3 x  2 b/f."/>
        <s v="Demolish existing 8 garages and new build 1 x 4 b/h."/>
        <s v="Part demolish existing D2 (private members club) into D2 and C3 @ 2 x 4 b/h."/>
        <s v="Demolish existing garages and storage shed and new build 2 x 3 b/h for Affordable Rent."/>
        <s v="(CoU) Convert existing HMO (SG - 9 bedrooms) into C3 @ 1 x 6 b/h + ext."/>
        <s v="Change of use from retail (Class A1) to 2 x 1-bedroom flats (Class C3)."/>
        <s v="Demolish existing B1a + ext to C3 providing 1 x 1 s/f, 3 x 1 b/f and 3 x 2 b/f. Retain existing frontage and 1 x 3 b/f."/>
        <s v="Demolish existing store sheds and new build 2 x 3 b/h for affordable rent. (Council)"/>
        <s v="Demolish existing B1c and new build B1a."/>
        <s v="Prior approval for CoU from A1 (dry Cleaners) to C3 @ 1 x 2 b/f."/>
        <s v="CoU from B1 @ g/f to C3 @ 1 x 1 b/f."/>
        <s v="Prior Approval for CoU from B1a @ 1st fl  to C3 @ 1 x 1 b/f."/>
        <s v="Demolish existing 8 x 1 b/f and car wash and new build 1 x 1 b/f, 11 x 2 b/f, 2 x 3 b/f and 2 x 3 b/h."/>
        <s v="(9) Extension to provide additional sq.m and convert 1 x 1 s/f into 1 x 1 b/f. (11) Extensions and conversion of existing 1 x 2 b/f into 1 x 2 b/f and 1 x 1 b/f + additional floorsapce to SG (mini-cab office)"/>
        <s v="Excavate basement erect s/s extension at rear and CoU at Basement/G/f from A1 to C3 @ 1 x 1 b/f  and 1 x 2 b/f."/>
        <s v="Demolish existing garages and new build 1 x 2 b/h and 5 x 3 b/h. (Affordable rent)"/>
        <s v="Erection of 10 storage sheds."/>
        <s v="CoU from A3 (restaurant) to C3 creating  1 x 3 b/f and 1 x 1 s/f.+ ext"/>
        <s v="New build to provide C3 @ 1 x 2 b/f and 1 x 2 b/f + extension to provide additional ancillary to PH."/>
        <s v="Demolish main school building, 6th form common room and 2 x de-mountable classrooms. New build 2 x three-storey buildings + new sub-stn and MUGA."/>
        <s v="New build sub-station."/>
        <s v="MMA to 2015/5395 to provide 1 additional games court and retain portacabin classrooms."/>
        <s v="Erection of 1 x 2 b/h."/>
        <s v="Part CoU from A4 (P.H.) + alt/ext's to provide 1 x 1 b/f, 2 x 2 b/f and 1 x 3 b/f + retained A4. New build to provide 1 x 2 b/h, and 4 x 2 b/f."/>
        <s v="CoU from part B2 (general industry) to D2 (personal training studio)."/>
        <s v="Extension in connection with CoU from B8 (ancillary storage) to C3 @ 1 x 1 b/f."/>
        <s v="Alterations/extension to include part CoU from A3 (restaurant) to C3 and convert existing 1 x 1 b/f + 1 x 2 b/f in connection with forming 6 flats @6 x 1 b/f."/>
        <s v="Demolish existing garages and new build 2 x 1 b/f and 4 x 2 b/f as Council owned - social rented."/>
        <s v="CoU from B/M and G/f A1 to C3 + ext to create additional 1 x 3 b/f. (This application is con-current to 2015/5689)"/>
        <s v="Alts/excav b/mnt &amp; c/yrd &amp; erection of 4-storey extn to provide flexible A1/2 over part of g/f and 4 x 1 s/f."/>
        <s v="Convert existing 1 x 2 b/f into 3 x 1 b/f, retention of a smaller shop/office on g/f + ext"/>
        <s v="Ext/alt's in connection with use as A4 (Public house) and C1 Hotel with 16 guest rooms."/>
        <s v="CoU of l/gf from A1 (retail) to A2 (estate agents)."/>
        <s v="CoU of rear part of A1 @ 357 to C3 and Mansard extn/extn to 357 and 359 to provide 1 x 1 b/f , 2 x 2 b/f and 1 x 3 b/f."/>
        <s v="CoU from C3 @ 2 x 1 b/s and B1a into part A1 (retail and part C3 @ 1 x 1 b/f. Convert existing 1 x 3 b/f into 1 x 1 b/f and 1 x 2 b/f."/>
        <s v="Mansard roof extension in connection woth CoU of part of g/f café (A3) to C3 @ 1 x 1 b/f retaining smaller café."/>
        <s v="Demolish side/rear ext &amp; factory building + retain/convert existing to C3 @ 3 x 4 b/h, 2 x 1 /s/f, 3 x 1 b/f, 6 x 2 b/f, 2 x 3 b/f."/>
        <s v="CoU from SG (garage) to B8 (storage)."/>
        <s v="Convert existing A1 to reduced A1 &amp; existing C3 @ 1 x 1 b/f and 1 x 2 b/f into 2 x 1 b/f and 2 x 2 b/f + extn's."/>
        <s v="CoL- Proposed for CoU from B8 (storage) to B1a (office)"/>
        <s v="Extension to plant enclosure"/>
        <s v="construct glass pavillion and swimming pool @ roof level."/>
        <s v="New build 3 x 3 b/h."/>
        <s v="CoU from SG (cemetery chapel) to C3 @ 1 x 1 b/f."/>
        <s v="CoU from B1a (office to C3 @ 1 x 3 b/h + extn."/>
        <s v="Conversion of existing 1 x 3 b/f into to 2 x 2 bedroom flats at rear ground, first and second floor levels + extns"/>
        <s v="Demolish existing vacant garage building and new build providing 6 x 1 b/f and 3 x 2 b/f."/>
        <s v="Demolish existing B1c and NB 4-storey building providing 3 x 1 b/f, 11 x 2 b/f and 1 x 3 b/f + riverside walk way."/>
        <s v="Demolish existing B1c and NB 4-storey building providing 1 x 1 b/f, 7 x 2 b/f and 1 x 3 b/f + B1a"/>
        <s v="CoU from A3 to C3 @ 1 x 3 b/f."/>
        <s v="CoU of part of A1 to A1 and C3 @ 1 x 2 b/f + ext."/>
        <s v="Part demolish existing and Cou of D1 (dance academy) to C3 @ 34 resi units and 5 x 4 b/h."/>
        <s v="Demolish existing garage and new build 1 x 2 b/h."/>
        <s v="CoU of G/f &amp; b/mnt A1 to A3 (restaurant/café)."/>
        <s v="CoU from A3 (restaurant) to A3 and A4 (restaurant/bar)"/>
        <s v="Part CoU and Extn from A1 to A1 and C3 @ 1 x 2 b/f."/>
        <s v="Alt's/Cou from A1 @ g/f to C3 @ 1 x 2 b/f."/>
        <s v="Alt's/CoU from A1 @ g/f to C3 @ 1 x 1 b/f."/>
        <s v="Alt's/CoU from A1 @ g/f into C3 @ 1 x 1 b/f."/>
        <s v="Alts/conversion of existing tenants storage (B8)  into 1 x 2 b/f @ S/R."/>
        <s v="CoU from B1a (vacant) to C3 @ 4 x s/f, 2 x 2 b/f and 2 x 3 b/f + alt's/extn's"/>
        <s v="Demolish existing vacant SG and NB C3 @ 1 x 3 b/t/h and CoU from B1 to C3 @ 4 x 2 b/f."/>
        <s v="CoU from B1 to C3 @ 1 x 1 b/h + alt's."/>
        <s v="Retrospective CoU from A1 to A3."/>
        <s v="Demolish existing vacant garage and new build 1 x 1 b/h."/>
        <s v="CoL - existing for CoU from C3 @ 1 x 9 b/h into C1 (B &amp; B guest house) @ 9 rooms"/>
        <s v="Demolish existing vacant patrol stn and retail @ A1 and new build A1 &amp; C3 @ 6 x 2 b/f."/>
        <s v="Demolish existing A1 (petrol station) and NB 8-storey building providing A1/2and or B1 and 71 x private units and 18 S/O units (S.106 states 12 x 1 and 6 x 2 @ discount market rent)."/>
        <s v="Demolish existing garage and NB 1 x 2 b/h (as per officers report and revised darwings)"/>
        <s v="CoU from part of A1 to A2 and A1 to C3. Roof extn providing additional C3 providing in total 2 x 1 b/f and 2 x 2 b/f."/>
        <s v="Demolish existing (former Council) garages (SG) and NB 1 x 5 b/h."/>
        <s v="NB 1 x 2 b/h."/>
        <s v="Prior Approval for CoU from B1a to C3 (g/1st fl) @ 2  x 1 b/f and 2 x 2 b/f."/>
        <s v="CoU from A2 to C3 @ 2 x 1 b/f and 1 x 3 b/f + alt/ext"/>
        <s v="CoU from B1a to SG (mini-cab office)"/>
        <s v="CoU from A3 @ g/f + ancillary accommodation (C3) @ 1st/2nd fl to part A1 and part C3 @ rear of g/f @ 1 x 2 b/f + extn and convert existing 1 x 4 b/f (ancillary) to 2 x 1 b/f."/>
        <s v="CoL - proposed for CoU from SG (betting office) to A1."/>
        <s v="CoU from vacant A2/ancillary accommodation to D1 (Religious building)"/>
        <s v="Ext/alt's to create a larger A1/2/3 commercial unit and convert existing 2 x 4 b/f + ext to create 5 x 1 b/f and 3 x 2 b/f."/>
        <s v="CoU from A1 to A1 and A3"/>
        <s v="Convert existing 1 x 3 b/f into 1 x 1 b/f and 1 x 2 b/f + extn. Convert existing Garage into 1 x 1 b/m + extn."/>
        <s v="CoU rom B1 to A2 @ g/f (Estate Agent)"/>
        <s v="Provide floodlit football pitches new changing rooms and improvement to landscaping including pedestrian openspace and new playground."/>
        <s v="CoU from A4 (@ 1st fl) to C3 @ 1 x 1 s/f and 1 x 1 b/f. Demolish part of the rear of A4 and exc/extn to provide additional A4. New build providing 3 x 2 b/f."/>
        <s v="Demolition of rear addition to public house and replacement with three flats"/>
        <s v="Prior approval for CoU from B1 part of 1 x 4 b/h into C3 as a family room."/>
        <s v="Prior Approval for CoU from B1 to C3 @ 3 x 1 s/f and 3 x 1 b/f."/>
        <s v="CoU from B1 (vacant) to D1 (dental surgery)."/>
        <s v="New build 4-storey building providing C1 @ 24 room hotel with café within lobby +  erection of 2-storey over existing A1 (post office)."/>
        <s v="Partial demoliton of ancillary C3 (swimming pool) + alts/excavate b/mnt and NB s/s extension to create 1 x 3 b/h."/>
        <s v="CoU of B1 (artists studio) at g/f to C3 @ 2 x 1 b/f."/>
        <s v="CoU from A3 (café) @ g/f to SG (Tattoo Parlour)."/>
        <s v="Demolish existing B1a and NB C3 @ 6 x 1 s/f, 26 x 1 b/f and 2 x  live/work units. CoU of B1a to C3 @ 12 x 2 b/f,  3 x 3 b/f and 1 x 3 b/h."/>
        <s v="CoU from C3 @ 1 x 5 b/h into SG (HMO)  7 rooms = 3-storey extn."/>
        <s v="NB 1 x 6 b/h on vacant land (previously 1 x 8 b/h demolished under 2016/0751)"/>
        <s v="Demolish existing D1 (church hall) and new build D1 (church hall) on g/f and 2 x 2 b/f."/>
        <s v="CoU of front part of g/f a1 to A2 and rear part into C3 @ 1 x 1 b/f."/>
        <s v="CoU from A1 (vacant) to B1a"/>
        <s v="CoU from A1 (vacant) to D1 (drugs/alcohol rehab unit) + alts."/>
        <s v="Prior Approval for CoU from B1 to C3 @ 1 x 1 b/h."/>
        <s v="CoU from SG - HMO (7 rooms for HAKW) to C3 @ 3 x 2 b/f and 1 x 3 b/f + alt's/extn"/>
        <s v="Prior Approval fro CoU from B1a to C3 @ 2 x 1 s/f."/>
        <s v="Demolish existing garage and NB 1 x 2 b/f."/>
        <s v="Demolish existing garages and NB 1 x 6 b/h."/>
        <s v="Demolish existing 1 x 2 b/h and B1c and NB 4-storey building providing 1 x 1 s/f, 1 x 1 b/f, 2 x 2 b/f and NB s/s building providing 1 x 1 b/h."/>
        <s v="NB 2 x 2-storey buildings providing flexible B1c/2/8."/>
        <s v="Prior Approval for CoU of rear part A2 to C3 @ 1 x 1 b/f."/>
        <s v="Prior Approval for CoU from B1 to C3 @ 6 x 2 b/f."/>
        <s v="Prior Approval for CoU from B1a @ 2nd fl from B1a to C3 @ 2 x 3 b/f"/>
        <s v="Prior approval for CoU from B1a to C3 @ 1 x 3 b/f."/>
        <s v="Prior Approval fro CoU from B1a to C3 @ 1 x 2 b/f/"/>
        <s v="Prior Approval fro CoU from A1 (vacant dry cleaners) to A3 (restaurant)."/>
        <s v="Alterations to existing A3 providing new layout, extns and additional storey in connection with CoU from  2x 3 bedroom flats to 2 x 1 b/f and 3 x 2 b/f."/>
        <s v="NB 2-storey extn providing additional A1."/>
        <s v="CoU from A1 to C3 and excavate b/mnts acrooss all properties to create 1 x 1 b/f and 4 x 2 b/f."/>
        <s v="NB s/s WC building in courtyard."/>
        <s v="Demolish existing small extn and CoU from A1 to C3 providing 1 x 1 s/f and 1 x 1 b/f + roof extn providing additional 39sqm to existing flats."/>
        <s v="Demolish existing vacant garages and NB 2 x 3 b/h."/>
        <s v="CoU from SG (car hire business) to B1a + new shopfront and add parking."/>
        <s v="CoU of 2 vacant railway arches (98 &amp; 99) from SG to B8 (storage)"/>
        <s v="Alt's/extns to create 1 x s/f, 2 x 1 b/f and 2 x 2 b/f."/>
        <s v="CoU of part of g/f B1a and 1st fl B1a to C3 @ 1 x 1 b/f, 1 x 2 b/f and 1 x 3 b/f + excv b/mnt"/>
        <s v="Prior Approval for CoU from B1a @ 1st fl to C3 @ 1 x 1 b/f."/>
        <s v="Prior Approval for CoU from A2 (Bank) to C3 @ 2 x 1 b/f."/>
        <s v="Prior approval for coU from B1a to C3 (1st-4th fl) @ 32 x 1 b/f and 3 x 2 b/f."/>
        <s v="CoU from A3 (restaurant) to B1 (office)"/>
        <s v="Prior Approval for CoU from A1 @ B/mnt and part of g/f into C3 @ 1 x 2 b/f."/>
        <s v="CoU from vacant B8 to C3 @ 1 x 3 b/h."/>
        <s v="CoU of G/f A2 @ 241 into A1 and amalgamate 241 and 243 by knocking through party wall into 1 x A1 unit."/>
        <s v="Part CoU of g/f A1 to C3 @ 1 x 2 b/f conversion of existing 1 x 3 b/f  to create 3 x 1 and extn to ex to create 1 x 1 b/f."/>
        <s v="CoU of A1 (ancillary storage to A1) on 1st floor to C3 + extn to create 4 x 2 b/f."/>
        <s v="CoU from A3 (g/f/bmnt) to C3 @ 1 x 2 b/f + alt's."/>
        <s v="CoU from D1 (doctors surgery - vacant) to D1 (nursery)"/>
        <s v="Demolish existing garage and NB s/s classroom @ D1"/>
        <s v="CoU from A2 to D1 on g/f and b/mnt with ancillary A1"/>
        <s v="Demolish existing A1/2/B1a and NB 5-storey building providing mixed-use development including A1, D2 and C3 = 25 resi units @ 8 x 1 b/f, 13 x 2 b/f and 4 x 3 b/f."/>
        <s v="S/S extn to create B1a"/>
        <s v="Change of use from joinery workshop (Class B1c)  to gym/ fitness centre (Class D2)."/>
        <s v="CoU of l/g &amp; u/g/fl A2 (Accountants) into C3 @ 2 x 1 b/f. + extn"/>
        <s v="NB Terrace comprising 5 x 1 b/h."/>
        <s v="Erection of new building with 3 x 2-bedroom and 3 x 1-bedroom flats"/>
        <s v="CoU from A1 (off licence) to A3/4."/>
        <s v="CoU from B1c (vacant) to SG (motor cycle/van courier and mini-cab)"/>
        <s v="Remove exiting marquee and replace for indoor activities."/>
        <s v="CoU from A1 to D1 (physio)"/>
        <s v="Demolish existing D1 (vacant community hall) and NB providing 21 flats @ 11 (S/R for existing Council tenants) @ 4 x 1 b/f and 7 x 2 b/f and 10 x 1 b/f for people with learning difficulties (incl 1 warden flats - anc)"/>
        <s v="CoU from Sg (1935 Telephone Kiosk) to B1a Office pod"/>
        <s v="Demolish existing A1 and NB 4-storey building providing A1 @ g/f and C3 @ 2 x 1 b/f and 6 x 2 b/f."/>
        <s v="Prior Approval for CoU from A1 to A3 (restaurant)"/>
        <s v="CoU from vacant A3 to B1a."/>
        <s v="s/s extn to provide additional SG (beauty Salon)"/>
        <s v="CoU from A1 to C3 @ 1 x 3 b/h + alts"/>
        <s v="s/s extn to units 5 &amp; 6 creating additional B1c."/>
        <s v="Extension of office at ground floor"/>
        <s v="s/s extn to provide additional A3"/>
        <s v="Roof extn to provide additional B1c."/>
        <s v="NB sub-stn SW of flower market."/>
        <s v="Demolish existing A4 and B1 and NB C3 @ P and AH (162 resi unts), B1, A4, A1/2/3 and D1"/>
        <s v="Demolish existing garages and NB 15 flts and 3 houses."/>
        <s v="Demolish existing garages and NB 4 residential units."/>
        <s v="CoU from B1 (1st fl) to C3 @ 2 x 1 b/f + alt's/extn's and mansard roof extn to provide 1 x 2 b/f."/>
        <s v="Prior Approval for CoU from part A2 to C3 @ 1 x 1 b/f and 2 x 2 b/f and A2."/>
        <s v="Cou of rear part of A3 into C3 @ 1 x 2 b/f and convert existing 1 x 3 b/f into 1 x 1 b/f and 1 x 2 b/f + extn"/>
        <s v="CoU from vacant A2 to C3 @ 1 x 2 b/h + s/s extn."/>
        <s v="(Garage rear of) Demolish existing garage used as B8 and NB 1 x 2b/h"/>
        <s v="CoU from vacant D1 (surgery) to C3 @ 2 x 2 b/f + alt's/extn."/>
        <s v="Extn to existing A3 creating additional space and CoU from C3 to SG (HMO) @ 13 rooms"/>
        <s v="Demolish existing 1 x 3 b/h and NB 10-storey building providing mix-use dev ' B! (g/1st f;) and C3 @ 6 x 2 b/f and 3 x 3 b/f."/>
        <s v="Demolish existing B1 and NB C3 @ (P) 2 x 1 b/f, 7 x 2b/f and 3 x 3 b/f and (INT) @ 5 x 2 b/f."/>
        <s v="Retrospective CoU from A1 to A4 (bar)"/>
        <s v="Demolish existing buildings (excl Trade Tower) re-develop as mix-use site comprising A1/2/3/4/B1/D1/D2 (flexible) and C3 providing 127 resi units both Intermediate and Private and additional 6 storeys to Trade Tower providing 8 additional residentia units"/>
        <s v="(Unit 1 only) Prior Approval for CoU from B1a to C3 @ 2 x 1 b/f and 1 x 2 b/f."/>
        <s v="Prior Approval for CoU from B1 to C3 @ 2 x 1 b/f and 1 x 2 b/f @ 2nd floor level."/>
        <s v="Prior approval for CoU from B1 to C3 @ 3 x 1 b/f and 1 x 2 b/f."/>
        <s v="(2,3, &amp; 4 ) Prior Approval for CoU from B1a to C3 @ 1 x 1 b/f and 2 x 2 b/f."/>
        <s v="(5, 6, 7 &amp; 8) Prior Approval for CoU from B1a @ 1stFl to C3 @ 1 x 1 b/f and 3 x 2 b/f."/>
        <s v="Prior Approval for CoU from B1a @ g/f and 2nd fl to C3. G/f @ 1 x 1 b/f and 2nd/f @ 1 x 1 s/f, 1 x 1 b/f and 1 x 3 b/f."/>
        <s v="(5, 6 &amp; 7) Prior Approval for CoU from B1a to C3 @ 2 x 1 b/f and 1 x 2 b/f."/>
        <s v="Prior Approval for C0U from B1a to C3 @ 9 x 1 b/f and 4 x 2 b/f."/>
        <s v="Prior Approval for CoU from B1a to C3 @ 3 x 1 b/f."/>
        <s v="Prior approval for CoU from B1a (g/f) to C3 @ 4 x 1 b/f."/>
        <s v="CoU of existing A1 to D1 (day care centre) + extn to existing day centre."/>
        <s v="CoU from B1a to C3 at 1st floor and roof and basement extension to provide 4 flats @ 1 x 1 b/f and 3 x 2 b/f."/>
        <s v="Infill existing vacant undercroft (currently used as storage for bikes) into 1 x 1 b/f and 2 x 2 b/f."/>
        <s v="New build 15 storey residential building on site of previously consented building 6B @ A1, A3/4, D2, B1/A1/3 and C3 @ 79 private units and 93 Affordable units."/>
        <s v="CoU from Live / Work SG - 1 x 3 bed"/>
        <s v="Demlish existing B1a and NB C3 @ 2 x 3 b/h"/>
        <s v="NB 20-storey building comprising 27 resi units @ 17 x AH and 10 x P + A3 unit (café)."/>
        <s v="Additional bedroom in HMO making it SG (6 to 7 rooms)"/>
        <s v="CoU from B1 to D2 (gym)"/>
        <s v="Loss of 1 x 1 b/f and 1 x 2 b/f used by staff - extn's to create additional 10 rooms for elderley discharged from hospital."/>
        <s v="CoU from vacant B1 to D1 (physio)"/>
        <s v="Cou from A1 (vacant) to A3 (café)"/>
        <s v="Prior Approval for CoU from A1 to C3 @ 1 x 1 s/f and 1 x 1 b/f."/>
        <s v="CoU from B8 to D2(Fitness studio)"/>
        <s v="CoL - proposed for CoU from A1 to C3 @ 1 x 1 b/f - continued use"/>
        <s v="Demolish existing vacant B8 and NB 2-storey B8"/>
        <s v="Extn to existing to provide additional B1a"/>
        <s v="CoU from A1 (vacant) to SG (Beauty) + alt's"/>
        <s v="CoU from vacant A1 to A3 (café)"/>
        <s v="Cou from A1/A3 and merge 2 units to provide A1"/>
        <s v="Cou from vacant A1 to A5 (hot food take-away)"/>
        <s v="Prior Approval for CoU from B1 @ 2nd fl to C3 @ 4 x1 b/f, 3 x 2 b/f and 4 x 3 b/f."/>
        <s v="Prior Approval for CoU from B1a to C3 @ 12 x 1 b/f and 3 x 2 b/f"/>
        <s v="Demolish existing B1a and NB 6-storey building to provide B1a @ g/f and C3 @ 5 x 2 b/f."/>
        <s v="Mansard roof extn + CoU from B1of existing upper floors into C3 @ 3 x 1 b/f + reduce A1 but provide ancillary office."/>
        <s v="S/S extn to create additional A1."/>
        <s v="CoU from vacant A1 to D1/D2 (Pilates studio/physio)"/>
        <s v="CoU from B1 to SG (admin booking office for mini-cab)"/>
        <s v="CoU from A1 to A3 @ g/f and extn @ 1st/2nd/3rd to provide 1 x 1 b/f, 1 x 1 b/f and 2 x 2 b/f."/>
        <s v="Demolish existing A1, B2 and C3 @ 2 x 2 b/f and NB 3-storey building providing 1 x 1 s/f, 2 x 1 b/f, 6 x 2 b/f and 1 x 3 b/f"/>
        <s v="CoU from A1/2/3/B1 to D2 (Yoga)"/>
        <s v="CoU from vacant SG to C3 @ 2 x 1 b/f."/>
        <s v="CoU from A2 to A3/4"/>
        <s v="convert existing 1 x 3 b/f into 1 x 1 b/f and 1 x 2 b/f + s/sextn to create additional A1"/>
        <s v="Demolish existing garage and NB 1 x 2 b/h."/>
        <s v="CoU of part of A1 (factory shop) to B8 (warehouse."/>
        <s v="Nb 1 x 2 b/h"/>
        <s v="Prior Approval fro CoU from A1 to C3 @ 1 x 1 s/f and 1 x 1 b/f"/>
        <s v="NB 3-storey building providing B1/2 &amp; 8"/>
        <s v="CoU of 176sq.m of river walk to extend C3 garden"/>
        <s v="Extn to ex to create additional storey of SG"/>
        <s v="Demolish existing B1a/B8/SG and NB 2 x 4-storey buildings comprising flexi A1/2 or B1, C3 @ 3 x 1 b/f and 2 x 2 b/f + 2-storey building comprising 1 x 3 b/h."/>
        <s v="Convert existing vacant SG - HMO @ 3 x 1 b/f (s/c) and 4 rooms into 1 x 1 b/f, 1 x 2 b/f and 1 x 3 b/f + alt's/extn"/>
        <s v="CoU from vacant D2 to B1"/>
        <s v="Part retrospective (CoU complete - extns not) CoU fom A1 to A3 + alt's/extn"/>
        <s v="Demolish existing A4 and NB 1 x 2 b/h. (Amended As per Officers report - original proposal not amended in M3 as above)"/>
        <s v="CoU from A4 + ancillary to A4 and C3 @ 3 x 2 b/f and 1 x s/f.  Extn to roof to create 1 x 3 b/f."/>
        <s v="Convert existing 1 x 1 b/f, 1 x 2 b/f and 1 x 3 b/f into 3 x 2 b/f. CoU of C3 (1 x 2) to B8 + extns to create additional sq.m to both C3 and A1 (storage to)"/>
        <s v="Demolish existing vacant B1a and ancillary C3 and NB 3-storeys comprising 1 x 1 b/f, 7 x 2 b/f and 1 x 3 b/f."/>
        <s v="CoU from vacant A1 to A3"/>
        <s v="CoU from flexible A1/2/3 &amp; B1 to D2"/>
        <s v="Prior Approval for CoU from A2 to D2"/>
        <s v="Demolish existing D1/2/C3 and NB mixed use development comprising D1 (healthcentre) A1 (pharmacy) A1/2/3/B1 (Flexible) and C3 @ 190 resi units private and affordable. (to be constructed in 2 phases"/>
        <s v="Col -proposed for CoU from vacant A3 to A1"/>
        <s v="CoU from A1 (pharmacy) @ b/mnt to D1 (clinic)"/>
        <s v="CoU of B2 (MOT)  B1 and C3 @ 1 x 1 b/f"/>
        <s v="Retrospective application for retention of s/s car port"/>
        <s v="Demolish existing B1c (car repair garage) and NB c3 @ 1 x 1 b/h."/>
        <s v="Demolish existing SG (MOT Garage) and NB 2 x 2 b/h, 1 x 3 b/h, 2 x 1 b/f and 3 x 2 b/f."/>
        <s v="CoU from vacant A1 to D1 (ed/study)"/>
        <s v="(1) Demolish existing A1 and NB s/s extn creating 2 x 1 b/F. (2) CoU of b/mnt &amp; g/f A1 to C3 @ 1 x 2 b/f."/>
        <s v="CoL - ex for CoU from land (SG) to B8 (storage of builders materials)"/>
        <s v="CoU of rear part of g/f A1 into C3 @ 1 x 2 b/f + alts/extn"/>
        <s v="demolish temporary B8 and erection of S/s and 3/storey extn providing additional B8."/>
        <s v="CoU from B1a to D1 (church and daytime nursery)"/>
        <s v="CoU from vacant A1 to SG (beauty salon)"/>
        <s v="Demolish existing SG (lock-up garages) and B1c (joinery workshop) and NB 8 x 3 b/h"/>
        <s v="CoU of rear part of g/f&amp;lg fl from A1 to SG (dog groomimg)"/>
        <s v="CoU of g/f &amp; b/mnt from vacant A4 to A3 (restaurant with ancillary A5)"/>
        <s v="Retrospective CoU from A1 (hairdressing) to SG (tattoo studio)"/>
        <s v="Prior approval for coU from vacant B1 to C3 @ 7 x s/f."/>
        <s v="CoU from B8 (storage) to D2 (gym)"/>
        <s v="CoU from vacant A1 to D1 (Day Nursery)"/>
        <s v="(1) CoU of A1 to A3 and extn to commercial. (2) Convert existing 1 x 2 b/f into 1 x s/f and 3 x 1 b/f + roof/3-storey extn"/>
        <s v="Prior Approval for CoU from B1a@ part of g/f nd 1st fl to C3 @ 1 x s/f, 5 x 1 b/f and 2 x 2 b/f."/>
        <s v="CoU of b/mnt and g/f from A3 to A5"/>
        <s v="CoU from SG (beauty therapy) to SG and D1 (dental treatment)"/>
        <s v="CoU from vacant A1 to SG (beauty rooms)"/>
        <s v="CoU from A1 to A3 (restaurant) and C3 @ 1 x 3 b/f + Extn"/>
        <s v="Demolish existing B1c (workshop) and NB 3-storey extn to provide 1 x 1 b/f and 1 x 3 b/f (2 x 2 already exist) and CoU from A3 to A1 (amalgamating 2 A1 units into 1)"/>
        <s v="Demolish existing SG, B2 and D1 and NB D1, A3 &amp; A1"/>
        <s v="CoU of part g/f B1 to C3 @  1 x 4 b/h + roof extn and alts/extn"/>
        <s v="Demolish existing garages and NB 1 x 3 b/f + alts in connection with converted 2 x 1 b/f into 1 x 1 b/f."/>
        <s v="CoU from SG (scrap metal) to A1 (showroom + ancillary office)"/>
        <s v="Prior Approval for CoU from B1 to C3 @ 33 x s/f, 19 x 1 b/f, 18 x 2 b/f and 1 x 3 b/f."/>
        <s v="Prior Approval for CoU from A1 to C3 @ 1 x 2 b/f"/>
        <s v="CoU from D1 to C3 @ 1 x 1 b/f + alts"/>
        <s v="CoU from vacant A1 to D2 (Pilates)"/>
        <s v="Convert 4 x 1 b/f and 1 x 2 b/f into 4 x 2 b/fand 1 x 3 b/f, and extn to ex to create 3 x 2 b/f and 1 x 3 b/f."/>
        <s v="Convert/CoU existing vacant 7 bed care home/drug/alcohol to C3 @ 4 x s/f,  1 x 1 b/f  and 2 x 2 b/f+ extns"/>
        <s v="Amalgamate units 10 &amp; 12 and CoU from vacant A1 and A2 to B1/A2"/>
        <s v="Demolish existing vacant garages and NB 1 x 1 b/h"/>
        <s v="Demolish existing A1 (Odd-Bins) and NB 4-storey providing Flexible A1-2 and B1a"/>
        <s v="Demolish existing A1 (Tool Hire) and NB 5-storey building providing flexible A1/2/3/D1 @ g/f, B1a 1st/2nd and C3 @ 4 x 1 b/f and 5 x 2 b/f."/>
        <s v="Demolish existing D2 and NB 4 storey building providing mix-use development @ D1, A1 and C3 @ 5 x 2 b/f and 5 x 3 b/f."/>
        <s v="Demolish existing B1a/c/ and NB 10-storeys comprising B1a/c and SG"/>
        <s v="CoU from D2 to flexible B1/D2"/>
        <s v="CoU of rear part of g/f and b/mnt from A1 to D1"/>
        <s v="Demolish existing car park and NB 4-storey building providing 1 x 1 b/f and 3 x 2 b/f (A/R)"/>
        <s v="Demolish existing garages and NB 3-storey building providing 7 x 1 b/f as SR for supported housing and 1 x 1 carers flat"/>
        <s v="Demolish existing car park and NB 3 buildings providing BLOCK A C3 @ (SR) BLOCK C C3 @ (P) and BLOCK B @ School and chapel"/>
        <s v="Redevelop vacant B1c providing 10-storey building comprising B1c, B1a and shared B1a/c"/>
        <s v="CoU from vacant A4 to A3 including demolishing existing g/f extn and NB s/s extn for A3. Convert upper floors @ 2 x 1 and 1 x 3 b/f + extn to provide 1 x 1 b/f and 2 x 2 b/f"/>
        <s v="CoU from A1 (b/mnt) to SG (tattoo parlour)"/>
        <s v="CoU from part A1 to C3 @ 2 x 1 b/f and 1 x 2 b/f and A1"/>
        <s v="CoL - existing for Cou from rear part of g/f A1 to C3 @ 1 x 1 b/f"/>
        <s v="CoU of part A4 (ancillary guest rooms x 10) to A4/C1 @ 15 rooms (5 additional rooms)"/>
        <s v="Mansard roof extn to provide additional B1a"/>
        <s v="CoU of g/f D1 (vacant Doctors Surgery) to C3 @ 1 x 1 b/f."/>
        <s v="Prior Approval for CoU from B8 to C3 @ 1 x s/f."/>
        <s v="CoU from A1/2/3 &amp; B1 to A1/2/3/B1 and D2"/>
        <s v="Convert existing 2 x 1 b/f into 2 x 2 b/f, CoU from A1/B2 into A1/2 and extn to ex to create 1 x 1 b/f"/>
        <s v="CoU from part A4 to C3 @ 1 x 1 b/f + 4 x 2 b/f and extn to ex for 1 x 2 b/f."/>
        <s v="1) Convert existing 1 x 3 b/f into 3 x1 b/f and 1 x 2 b/f (2) CoU of G/f A2 into flexible A1/2 or B1 (3) Demolish garage to form a patio"/>
        <s v="CoU from A2 to C3 @ 1 x 1 b/f."/>
        <s v="CoU from A2 (Betting Office) to D1 (Dental Surgery)"/>
        <s v="Demolish existing vacant D1 and NB 4-storey building @ 1 x 4 b/h"/>
        <s v="Convert existing 1 x 2 b/f into 1 x 1 b/f, CoU from B1a to C3 @ 4 x 1 and extn to ex to create 1 x 1 b/f"/>
        <s v="Prior Approval for CoU from B1a @ g/f to C3 @ 1 x 1 b/f and 1 x 2 b/f"/>
        <s v="Prior approval for CoU from B1a @ 1st/fl to C3 @ 1 x s/f."/>
        <s v="Prior Approval for CoU from B1a to C3 @ 2 x 1 b/f"/>
        <s v="Prior Approval for CoU from B1a @ 1st fl to C3 @ 1 x 2 b/f."/>
        <s v="Prior Approval for CoU from B1a @ 2nd fl to C3 @ 1 x 2 b/f"/>
        <s v="Prior Approval for CoU from B1a @ 1st fl to C3 @ 1 x 1 b/f and 1 x 2 b/f."/>
        <s v="Erection of 2 storey extn over ex student accommodation providing 34 x 1 b/person units"/>
        <s v="CoU from A1 to A1/D1"/>
        <s v="CoU from B1a (vacant) to D2"/>
        <s v="Prior Approval for CoU from A1 to A3 (café)"/>
        <s v="CoU of part of roof level car park to A3 and A4 (food pop up venue &amp; s/s pergola)"/>
        <s v="Demolish existing advert hoarding and Nb 5-storey building to provide 5 x s/f"/>
        <s v="Demolish existing garages and NB 3-storey building providing 1 x 1 b/f, 6 x 2 b/f and 1 x 3 b/f for S/R"/>
        <s v="Retrospective CoU from SG (taxi offcie) to SG (nail bar)"/>
        <s v="CoU from g/f A1 to C3 @ 1 x 1 b/f  + alts."/>
        <s v="CoU from A1 (hairdresseres) to SG (beauty Salon)"/>
        <s v="Prior approval for CoU from B1 @ 1st/2nd/3rd/4th/5th floors to C3 @ 13 x 1 b/f, 14 x 2 b/f and 1 x 3 b/f"/>
        <s v="CoU from A1 to A5"/>
        <s v="Extn to existing D1 to create additional floor to Hindu Temple"/>
        <s v="2-storey extn + external plant room"/>
        <s v="Alts to existing shop and NB 1 x 1 b/f + extn @ 1st /2nd fl to create 2 x 2 b/f."/>
        <s v="CoU of part of A1 in connection with conversion + extn to  existing 1 x s/f into 1 x 1 b/f and convert/extend 1 x 2  into 2 x 1 b/f"/>
        <s v="Excavate b/nt to create additional floorspace for existing A2"/>
        <s v="Retention of various structures @ SG"/>
        <s v="Extn to ex to provide additional D1"/>
        <s v="S73 NMA to 2016/0916 for amendments to arches 749/50/51 &amp; 757 from (757) A3/4 to A3/4B2 (751) D2 to A3/4 (750) B1 to D2 (cinema) and (749) B1 to D2 (cinema)."/>
        <m/>
      </sharedItems>
    </cacheField>
    <cacheField name="Development Type 1" numFmtId="0">
      <sharedItems containsBlank="1"/>
    </cacheField>
    <cacheField name="Development Type 2" numFmtId="0">
      <sharedItems count="3">
        <s v="NB"/>
        <s v="EXT"/>
        <s v="COU"/>
      </sharedItems>
    </cacheField>
    <cacheField name="Development Status" numFmtId="0">
      <sharedItems containsBlank="1"/>
    </cacheField>
    <cacheField name="Demolition Date" numFmtId="14">
      <sharedItems containsNonDate="0" containsDate="1" containsString="0" containsBlank="1" minDate="2008-03-10T00:00:00" maxDate="2018-04-01T00:00:00"/>
    </cacheField>
    <cacheField name="Construction Date" numFmtId="14">
      <sharedItems containsNonDate="0" containsDate="1" containsString="0" containsBlank="1" minDate="2005-06-04T00:00:00" maxDate="2018-04-01T00:00:00"/>
    </cacheField>
    <cacheField name="Completion Date" numFmtId="14">
      <sharedItems containsNonDate="0" containsDate="1" containsString="0" containsBlank="1" minDate="2017-04-01T00:00:00" maxDate="2018-04-01T00:00:00"/>
    </cacheField>
    <cacheField name="Occupied Date" numFmtId="14">
      <sharedItems containsNonDate="0" containsDate="1" containsString="0" containsBlank="1" minDate="2017-04-01T00:00:00" maxDate="2018-04-01T00:00:00"/>
    </cacheField>
    <cacheField name="Currency" numFmtId="0">
      <sharedItems containsBlank="1"/>
    </cacheField>
    <cacheField name="Land Type" numFmtId="0">
      <sharedItems containsBlank="1"/>
    </cacheField>
    <cacheField name="Phase Name" numFmtId="0">
      <sharedItems containsBlank="1" count="53">
        <m/>
        <s v="Phase 7 (RS-WF)"/>
        <s v="Phase 3 (O-1)"/>
        <s v="Phase 3 (RS-4)"/>
        <s v="Phase 4 (RS-5)"/>
        <s v="Phase 5 (RS-6)"/>
        <s v="Phase 6 (RS-2)"/>
        <s v="Phase 1 (RS-1)"/>
        <s v="Jetty"/>
        <s v="Phase 2 (Power Station)"/>
        <s v="Apex Site"/>
        <s v="Entrance Site"/>
        <s v="Market Site - Existing"/>
        <s v="Northern Site - Existing"/>
        <s v="Northern Site - N8"/>
        <s v="Northern Site - Other Buildings"/>
        <s v="Market Site - Flower Market"/>
        <s v="Market Site - Garden Heart Building"/>
        <s v="Market Site - Trader Blocks A-C"/>
        <s v="Market Site - Ancillary Buildings"/>
        <s v="Demolition"/>
        <s v="Plot A"/>
        <s v="Plot B"/>
        <s v="Plot C"/>
        <s v="Plot D"/>
        <s v="Plot F"/>
        <s v="Plot G"/>
        <s v="A03"/>
        <s v="A04"/>
        <s v="A05"/>
        <s v="A07"/>
        <s v="A01"/>
        <s v="A02"/>
        <s v="A09"/>
        <s v="A10"/>
        <s v="A11"/>
        <s v="ARCH 744"/>
        <s v="ARCH 745"/>
        <s v="ARCH 746"/>
        <s v="ARCH 747"/>
        <s v="ARCH 748"/>
        <s v="ARCH 749"/>
        <s v="ARCH 750"/>
        <s v="ARCH 751"/>
        <s v="ARCH 752"/>
        <s v="ARCH 753"/>
        <s v="ARCH 754"/>
        <s v="Arch 755"/>
        <s v="ARCH 756"/>
        <s v="ARCH 757"/>
        <s v="ARCH 758"/>
        <s v="ARCH 759"/>
        <s v="EXISTING"/>
      </sharedItems>
    </cacheField>
    <cacheField name="Phase Currency" numFmtId="0">
      <sharedItems containsBlank="1"/>
    </cacheField>
    <cacheField name="Phase Construction Date" numFmtId="14">
      <sharedItems containsNonDate="0" containsDate="1" containsString="0" containsBlank="1" minDate="2005-06-04T00:00:00" maxDate="2018-04-01T00:00:00"/>
    </cacheField>
    <cacheField name="Phase Completion Date" numFmtId="14">
      <sharedItems containsNonDate="0" containsDate="1" containsString="0" containsBlank="1" minDate="2017-04-01T00:00:00" maxDate="2018-04-01T00:00:00"/>
    </cacheField>
    <cacheField name="A1 Gain" numFmtId="3">
      <sharedItems containsString="0" containsBlank="1" containsNumber="1" containsInteger="1" minValue="6" maxValue="17998"/>
    </cacheField>
    <cacheField name="A2 Gain" numFmtId="3">
      <sharedItems containsString="0" containsBlank="1" containsNumber="1" containsInteger="1" minValue="5" maxValue="17930"/>
    </cacheField>
    <cacheField name="A3 Gain" numFmtId="3">
      <sharedItems containsString="0" containsBlank="1" containsNumber="1" containsInteger="1" minValue="9" maxValue="2351"/>
    </cacheField>
    <cacheField name="A4 Gain" numFmtId="3">
      <sharedItems containsString="0" containsBlank="1" containsNumber="1" containsInteger="1" minValue="13" maxValue="2351"/>
    </cacheField>
    <cacheField name="A5 Gain" numFmtId="3">
      <sharedItems containsString="0" containsBlank="1" containsNumber="1" containsInteger="1" minValue="14" maxValue="2330"/>
    </cacheField>
    <cacheField name="A Total Gain" numFmtId="3">
      <sharedItems containsString="0" containsBlank="1" containsNumber="1" containsInteger="1" minValue="5" maxValue="42913"/>
    </cacheField>
    <cacheField name="B1a Gain" numFmtId="3">
      <sharedItems containsString="0" containsBlank="1" containsNumber="1" containsInteger="1" minValue="1" maxValue="63038"/>
    </cacheField>
    <cacheField name="B1b Gain" numFmtId="3">
      <sharedItems containsString="0" containsBlank="1" containsNumber="1" containsInteger="1" minValue="405" maxValue="405"/>
    </cacheField>
    <cacheField name="B1c Gain" numFmtId="3">
      <sharedItems containsString="0" containsBlank="1" containsNumber="1" containsInteger="1" minValue="52" maxValue="1956"/>
    </cacheField>
    <cacheField name="B1 Total Gain" numFmtId="3">
      <sharedItems containsString="0" containsBlank="1" containsNumber="1" containsInteger="1" minValue="1" maxValue="63038"/>
    </cacheField>
    <cacheField name="B2 Gain" numFmtId="3">
      <sharedItems containsString="0" containsBlank="1" containsNumber="1" containsInteger="1" minValue="43" maxValue="336"/>
    </cacheField>
    <cacheField name="B8 Gain" numFmtId="3">
      <sharedItems containsString="0" containsBlank="1" containsNumber="1" containsInteger="1" minValue="14" maxValue="4816"/>
    </cacheField>
    <cacheField name="B Total Gain" numFmtId="3">
      <sharedItems containsString="0" containsBlank="1" containsNumber="1" containsInteger="1" minValue="1" maxValue="63038"/>
    </cacheField>
    <cacheField name="D1 Gain" numFmtId="3">
      <sharedItems containsString="0" containsBlank="1" containsNumber="1" containsInteger="1" minValue="15" maxValue="15759"/>
    </cacheField>
    <cacheField name="D2 Gain" numFmtId="3">
      <sharedItems containsString="0" containsBlank="1" containsNumber="1" containsInteger="1" minValue="14" maxValue="4454"/>
    </cacheField>
    <cacheField name="D Total Gain" numFmtId="3">
      <sharedItems containsString="0" containsBlank="1" containsNumber="1" containsInteger="1" minValue="14" maxValue="15759"/>
    </cacheField>
    <cacheField name="A1 Loss" numFmtId="3">
      <sharedItems containsString="0" containsBlank="1" containsNumber="1" containsInteger="1" minValue="9" maxValue="6309"/>
    </cacheField>
    <cacheField name="A2 Loss" numFmtId="3">
      <sharedItems containsString="0" containsBlank="1" containsNumber="1" containsInteger="1" minValue="19" maxValue="1736"/>
    </cacheField>
    <cacheField name="A3 Loss" numFmtId="3">
      <sharedItems containsString="0" containsBlank="1" containsNumber="1" containsInteger="1" minValue="23" maxValue="768"/>
    </cacheField>
    <cacheField name="A4 Loss" numFmtId="3">
      <sharedItems containsString="0" containsBlank="1" containsNumber="1" containsInteger="1" minValue="11" maxValue="2047"/>
    </cacheField>
    <cacheField name="A5 Loss" numFmtId="3">
      <sharedItems containsString="0" containsBlank="1" containsNumber="1" containsInteger="1" minValue="37" maxValue="112"/>
    </cacheField>
    <cacheField name="A Total Loss" numFmtId="3">
      <sharedItems containsString="0" containsBlank="1" containsNumber="1" containsInteger="1" minValue="9" maxValue="6309"/>
    </cacheField>
    <cacheField name="B1a Loss" numFmtId="3">
      <sharedItems containsString="0" containsBlank="1" containsNumber="1" containsInteger="1" minValue="8" maxValue="25389"/>
    </cacheField>
    <cacheField name="B1b Loss" numFmtId="3">
      <sharedItems containsString="0" containsBlank="1" containsNumber="1" containsInteger="1" minValue="47" maxValue="4728"/>
    </cacheField>
    <cacheField name="B1c Loss" numFmtId="3">
      <sharedItems containsString="0" containsBlank="1" containsNumber="1" containsInteger="1" minValue="29" maxValue="22859"/>
    </cacheField>
    <cacheField name="B2 Loss" numFmtId="3">
      <sharedItems containsString="0" containsBlank="1" containsNumber="1" containsInteger="1" minValue="21" maxValue="4728"/>
    </cacheField>
    <cacheField name="B8 Loss" numFmtId="3">
      <sharedItems containsString="0" containsBlank="1" containsNumber="1" containsInteger="1" minValue="10" maxValue="33607"/>
    </cacheField>
    <cacheField name="B Total Loss" numFmtId="3">
      <sharedItems containsString="0" containsBlank="1" containsNumber="1" containsInteger="1" minValue="8" maxValue="33607"/>
    </cacheField>
    <cacheField name="D1 Loss" numFmtId="3">
      <sharedItems containsString="0" containsBlank="1" containsNumber="1" containsInteger="1" minValue="24" maxValue="11557"/>
    </cacheField>
    <cacheField name="D2 Loss" numFmtId="3">
      <sharedItems containsString="0" containsBlank="1" containsNumber="1" containsInteger="1" minValue="63" maxValue="1812"/>
    </cacheField>
    <cacheField name="D Total Loss" numFmtId="3">
      <sharedItems containsString="0" containsBlank="1" containsNumber="1" containsInteger="1" minValue="24" maxValue="11557"/>
    </cacheField>
    <cacheField name="A Total Loss or Gain" numFmtId="3">
      <sharedItems count="2">
        <s v=""/>
        <s v="Y"/>
      </sharedItems>
    </cacheField>
    <cacheField name="B Total Loss or Gain" numFmtId="3">
      <sharedItems count="2">
        <s v=""/>
        <s v="Y"/>
      </sharedItems>
    </cacheField>
    <cacheField name="D Total Loss or Gain" numFmtId="3">
      <sharedItems count="2">
        <s v="Y"/>
        <s v=""/>
      </sharedItems>
    </cacheField>
    <cacheField name="A1 Net" numFmtId="3">
      <sharedItems containsString="0" containsBlank="1" containsNumber="1" containsInteger="1" minValue="-5760" maxValue="17998"/>
    </cacheField>
    <cacheField name="A2 Net" numFmtId="3">
      <sharedItems containsString="0" containsBlank="1" containsNumber="1" containsInteger="1" minValue="-1653" maxValue="17930"/>
    </cacheField>
    <cacheField name="A3 Net" numFmtId="3">
      <sharedItems containsString="0" containsBlank="1" containsNumber="1" containsInteger="1" minValue="-530" maxValue="2351"/>
    </cacheField>
    <cacheField name="A4 Net" numFmtId="3">
      <sharedItems containsString="0" containsBlank="1" containsNumber="1" containsInteger="1" minValue="-665" maxValue="2351"/>
    </cacheField>
    <cacheField name="A5 Net" numFmtId="3">
      <sharedItems containsString="0" containsBlank="1" containsNumber="1" containsInteger="1" minValue="-112" maxValue="2330"/>
    </cacheField>
    <cacheField name="A Total Net" numFmtId="3">
      <sharedItems containsString="0" containsBlank="1" containsNumber="1" containsInteger="1" minValue="-5011" maxValue="42913"/>
    </cacheField>
    <cacheField name="B1a Net" numFmtId="3">
      <sharedItems containsString="0" containsBlank="1" containsNumber="1" containsInteger="1" minValue="-25389" maxValue="63038"/>
    </cacheField>
    <cacheField name="B1a Net Loss" numFmtId="3">
      <sharedItems count="2">
        <s v=""/>
        <s v="Y"/>
      </sharedItems>
    </cacheField>
    <cacheField name="B1b Net" numFmtId="3">
      <sharedItems containsString="0" containsBlank="1" containsNumber="1" containsInteger="1" minValue="-4728" maxValue="405"/>
    </cacheField>
    <cacheField name="B1c Net" numFmtId="3">
      <sharedItems containsString="0" containsBlank="1" containsNumber="1" containsInteger="1" minValue="-22859" maxValue="1549"/>
    </cacheField>
    <cacheField name="B2 Net" numFmtId="3">
      <sharedItems containsString="0" containsBlank="1" containsNumber="1" containsInteger="1" minValue="-4728" maxValue="212"/>
    </cacheField>
    <cacheField name="B8 Net" numFmtId="3">
      <sharedItems containsString="0" containsBlank="1" containsNumber="1" containsInteger="1" minValue="-33607" maxValue="2306"/>
    </cacheField>
    <cacheField name="B Total Net" numFmtId="3">
      <sharedItems containsString="0" containsBlank="1" containsNumber="1" containsInteger="1" minValue="-33607" maxValue="63038"/>
    </cacheField>
    <cacheField name="Net Loss of B" numFmtId="0">
      <sharedItems containsBlank="1" count="2">
        <m/>
        <s v="Y"/>
      </sharedItems>
    </cacheField>
    <cacheField name="C1 Net" numFmtId="3">
      <sharedItems containsString="0" containsBlank="1" containsNumber="1" containsInteger="1" minValue="113" maxValue="16450"/>
    </cacheField>
    <cacheField name="D1 Net" numFmtId="3">
      <sharedItems containsString="0" containsBlank="1" containsNumber="1" containsInteger="1" minValue="-7657" maxValue="12968"/>
    </cacheField>
    <cacheField name="D2 Net" numFmtId="3">
      <sharedItems containsString="0" containsBlank="1" containsNumber="1" containsInteger="1" minValue="-798" maxValue="4454"/>
    </cacheField>
    <cacheField name="D Total Net" numFmtId="3">
      <sharedItems containsString="0" containsBlank="1" containsNumber="1" containsInteger="1" minValue="-7657" maxValue="12968"/>
    </cacheField>
    <cacheField name="A1Description_Gain" numFmtId="0">
      <sharedItems containsBlank="1"/>
    </cacheField>
    <cacheField name="A2Description_Gain" numFmtId="0">
      <sharedItems containsBlank="1"/>
    </cacheField>
    <cacheField name="A3Description_Gain" numFmtId="0">
      <sharedItems containsBlank="1"/>
    </cacheField>
    <cacheField name="A4Description_Gain" numFmtId="0">
      <sharedItems containsBlank="1"/>
    </cacheField>
    <cacheField name="A5Description_Gain" numFmtId="0">
      <sharedItems containsBlank="1"/>
    </cacheField>
    <cacheField name="B1aDescription_Gain" numFmtId="0">
      <sharedItems containsBlank="1"/>
    </cacheField>
    <cacheField name="B1bDescription_Gain" numFmtId="0">
      <sharedItems containsBlank="1"/>
    </cacheField>
    <cacheField name="B1cDescription_Gain" numFmtId="0">
      <sharedItems containsBlank="1"/>
    </cacheField>
    <cacheField name="B2Description_Gain" numFmtId="0">
      <sharedItems containsBlank="1"/>
    </cacheField>
    <cacheField name="B8Description_Gain" numFmtId="0">
      <sharedItems containsBlank="1"/>
    </cacheField>
    <cacheField name="C1Description_Gain" numFmtId="0">
      <sharedItems containsBlank="1"/>
    </cacheField>
    <cacheField name="D1Description_Gain" numFmtId="0">
      <sharedItems containsBlank="1" count="10">
        <s v="Education or Training"/>
        <s v="-"/>
        <s v="Other"/>
        <s v="Medical Health Centre"/>
        <s v="Community Premises"/>
        <s v="Not Known"/>
        <s v="Day Nursery"/>
        <s v="Religious Premises"/>
        <s v="Library"/>
        <m/>
      </sharedItems>
    </cacheField>
    <cacheField name="D2Description_Gain" numFmtId="0">
      <sharedItems containsBlank="1" count="6">
        <s v="-"/>
        <s v="Sports Facilities"/>
        <s v="Other"/>
        <s v="Not Known"/>
        <s v="Cinema or Music Hall"/>
        <m/>
      </sharedItems>
    </cacheField>
    <cacheField name="A1Description_Loss" numFmtId="0">
      <sharedItems containsBlank="1"/>
    </cacheField>
    <cacheField name="A2Description_Loss" numFmtId="0">
      <sharedItems containsBlank="1"/>
    </cacheField>
    <cacheField name="A3Description_Loss" numFmtId="0">
      <sharedItems containsBlank="1"/>
    </cacheField>
    <cacheField name="A4Description_Loss" numFmtId="0">
      <sharedItems containsBlank="1"/>
    </cacheField>
    <cacheField name="A5Description_Loss" numFmtId="0">
      <sharedItems containsBlank="1"/>
    </cacheField>
    <cacheField name="B1aDescription_Loss" numFmtId="0">
      <sharedItems containsBlank="1"/>
    </cacheField>
    <cacheField name="B1bDescription_Loss" numFmtId="0">
      <sharedItems containsBlank="1"/>
    </cacheField>
    <cacheField name="B1cDescription_Loss" numFmtId="0">
      <sharedItems containsBlank="1"/>
    </cacheField>
    <cacheField name="B2Description_Loss" numFmtId="0">
      <sharedItems containsBlank="1"/>
    </cacheField>
    <cacheField name="B8Description_Loss" numFmtId="0">
      <sharedItems containsBlank="1"/>
    </cacheField>
    <cacheField name="C1Description_Loss" numFmtId="0">
      <sharedItems containsBlank="1"/>
    </cacheField>
    <cacheField name="D1Description_Loss" numFmtId="0">
      <sharedItems containsBlank="1" count="9">
        <s v="-"/>
        <s v="Medical Health Centre"/>
        <s v="Other"/>
        <s v="Community Premises"/>
        <s v="Religious Premises"/>
        <s v="Vacant"/>
        <s v="Education or Training"/>
        <s v="Not Known"/>
        <m/>
      </sharedItems>
    </cacheField>
    <cacheField name="D2Description_Loss" numFmtId="0">
      <sharedItems containsBlank="1" count="6">
        <s v="-"/>
        <s v="Vacant"/>
        <s v="Sports Facilities"/>
        <s v="Childrens Play Facilities"/>
        <s v="Other"/>
        <m/>
      </sharedItems>
    </cacheField>
    <cacheField name="Non-Residential Site Area (ha)" numFmtId="165">
      <sharedItems containsString="0" containsBlank="1" containsNumber="1" minValue="-0.19499999284744296" maxValue="24.569999694824201"/>
    </cacheField>
    <cacheField name="Ind,Emp&amp;Retail Report Gain" numFmtId="3">
      <sharedItems containsString="0" containsBlank="1" containsNumber="1" containsInteger="1" minValue="0" maxValue="114858"/>
    </cacheField>
    <cacheField name="Ind,Emp&amp;Retail Report Loss" numFmtId="3">
      <sharedItems containsString="0" containsBlank="1" containsNumber="1" containsInteger="1" minValue="0" maxValue="56183"/>
    </cacheField>
    <cacheField name="Ind,Emp&amp;Retail Report Net" numFmtId="3">
      <sharedItems containsString="0" containsBlank="1" containsNumber="1" containsInteger="1" minValue="-56183" maxValue="114858"/>
    </cacheField>
    <cacheField name="Thames Policy Area" numFmtId="0">
      <sharedItems containsBlank="1" count="2">
        <m/>
        <s v="Y"/>
      </sharedItems>
    </cacheField>
    <cacheField name="Strategic Industrial Location" numFmtId="0">
      <sharedItems containsBlank="1" count="2">
        <m/>
        <s v="Y"/>
      </sharedItems>
    </cacheField>
    <cacheField name="Strategic Industrial Location Name" numFmtId="0">
      <sharedItems containsBlank="1"/>
    </cacheField>
    <cacheField name="Locally Significant Industrial Area" numFmtId="0">
      <sharedItems containsBlank="1" count="2">
        <m/>
        <s v="Y"/>
      </sharedItems>
    </cacheField>
    <cacheField name="Locally Significant Industrial Area Name" numFmtId="0">
      <sharedItems containsBlank="1"/>
    </cacheField>
    <cacheField name="Mixed Use Former Industrial Employment Area" numFmtId="0">
      <sharedItems containsBlank="1" count="2">
        <m/>
        <s v="Y"/>
      </sharedItems>
    </cacheField>
    <cacheField name="Mixed Use Former Industrial Employment Area Name" numFmtId="0">
      <sharedItems containsBlank="1"/>
    </cacheField>
    <cacheField name="Vauxhall, Nine Elms, Battersea Opportunity Area" numFmtId="0">
      <sharedItems containsBlank="1" count="2">
        <m/>
        <s v="Y"/>
      </sharedItems>
    </cacheField>
    <cacheField name="Town Centre" numFmtId="0">
      <sharedItems containsBlank="1" count="2">
        <m/>
        <s v="Y"/>
      </sharedItems>
    </cacheField>
    <cacheField name="Town Centre Name" numFmtId="0">
      <sharedItems containsBlank="1" count="7">
        <m/>
        <s v="Clapham Junction"/>
        <s v="Putney"/>
        <s v="Tooting"/>
        <s v="Wandsworth"/>
        <s v="Balham"/>
        <s v="Battersea Power Station"/>
      </sharedItems>
    </cacheField>
    <cacheField name="Local Centre" numFmtId="0">
      <sharedItems containsBlank="1" count="2">
        <m/>
        <s v="Y"/>
      </sharedItems>
    </cacheField>
    <cacheField name="Local Centre Name" numFmtId="0">
      <sharedItems containsBlank="1"/>
    </cacheField>
    <cacheField name="C3 Gain" numFmtId="3">
      <sharedItems containsString="0" containsBlank="1" containsNumber="1" containsInteger="1" minValue="0" maxValue="164821"/>
    </cacheField>
    <cacheField name="C3 Loss" numFmtId="3">
      <sharedItems containsString="0" containsBlank="1" containsNumber="1" containsInteger="1" minValue="0" maxValue="16541"/>
    </cacheField>
    <cacheField name="C3 Net" numFmtId="3">
      <sharedItems containsString="0" containsBlank="1" containsNumber="1" containsInteger="1" minValue="-219" maxValue="164821"/>
    </cacheField>
    <cacheField name="Residential Gain" numFmtId="0">
      <sharedItems containsBlank="1" count="2">
        <m/>
        <s v="Y"/>
      </sharedItems>
    </cacheField>
    <cacheField name="Temporary Applicatio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x v="0"/>
    <x v="0"/>
    <x v="0"/>
    <n v="145"/>
    <x v="0"/>
    <x v="0"/>
    <n v="0.5"/>
    <n v="525916"/>
    <n v="172132"/>
    <m/>
    <x v="0"/>
    <s v="PF"/>
    <d v="2017-03-14T00:00:00"/>
    <x v="0"/>
    <m/>
    <m/>
    <s v="Nil"/>
    <m/>
    <m/>
    <s v="Retention of temporary modular building for further period until 31/03/2028."/>
    <s v="NB"/>
    <s v="NB"/>
    <s v="OC"/>
    <m/>
    <d v="2017-05-15T00:00:00"/>
    <d v="2018-03-31T00:00:00"/>
    <d v="2018-03-31T00:00:00"/>
    <s v="C"/>
    <s v="BF"/>
    <x v="0"/>
    <m/>
    <m/>
    <m/>
    <n v="0"/>
    <n v="0"/>
    <n v="0"/>
    <n v="0"/>
    <n v="0"/>
    <n v="0"/>
    <n v="230"/>
    <n v="0"/>
    <n v="0"/>
    <n v="0"/>
    <n v="0"/>
    <n v="230"/>
    <n v="0"/>
    <n v="0"/>
    <n v="0"/>
    <n v="0"/>
    <n v="0"/>
    <n v="0"/>
    <n v="0"/>
    <n v="0"/>
    <n v="0"/>
    <n v="0"/>
    <n v="230"/>
    <n v="0"/>
    <n v="0"/>
    <n v="0"/>
    <n v="0"/>
    <n v="230"/>
    <n v="0"/>
    <n v="0"/>
    <n v="0"/>
    <n v="0"/>
    <x v="0"/>
    <x v="0"/>
    <x v="0"/>
    <n v="0"/>
    <n v="0"/>
    <n v="0"/>
    <n v="0"/>
    <n v="0"/>
    <n v="0"/>
    <n v="0"/>
    <n v="0"/>
    <n v="0"/>
    <n v="0"/>
    <n v="0"/>
    <n v="0"/>
    <m/>
    <n v="0"/>
    <n v="0"/>
    <n v="0"/>
    <n v="0"/>
    <s v="-"/>
    <s v="-"/>
    <s v="-"/>
    <s v="-"/>
    <s v="-"/>
    <s v="Financial or Professional Services"/>
    <s v="-"/>
    <s v="-"/>
    <s v="-"/>
    <s v="-"/>
    <s v="-"/>
    <s v="-"/>
    <s v="-"/>
    <s v="-"/>
    <s v="-"/>
    <s v="-"/>
    <s v="-"/>
    <s v="-"/>
    <s v="Financial or Professional Services"/>
    <s v="-"/>
    <s v="-"/>
    <s v="-"/>
    <s v="-"/>
    <s v="-"/>
    <s v="-"/>
    <s v="-"/>
    <m/>
    <n v="230"/>
    <n v="230"/>
    <n v="0"/>
    <m/>
    <m/>
    <m/>
    <s v="Y"/>
    <s v="Summerstown"/>
    <m/>
    <m/>
    <m/>
    <m/>
    <m/>
    <m/>
    <m/>
    <n v="0"/>
    <n v="0"/>
    <n v="0"/>
    <m/>
    <s v="Y"/>
  </r>
  <r>
    <x v="1"/>
    <x v="0"/>
    <x v="0"/>
    <n v="2304"/>
    <x v="1"/>
    <x v="1"/>
    <n v="0.91500002145767201"/>
    <n v="528666"/>
    <n v="177450"/>
    <m/>
    <x v="1"/>
    <s v="PFLA"/>
    <d v="2015-10-19T00:00:00"/>
    <x v="1"/>
    <m/>
    <d v="2015-12-15T00:00:00"/>
    <s v="Nil"/>
    <m/>
    <m/>
    <s v="Change of use from &quot;flexible commercial space&quot; to provide 7 residential apartments with associated screening and landscaping"/>
    <s v="COU"/>
    <s v="COU"/>
    <s v="NSO"/>
    <m/>
    <m/>
    <m/>
    <m/>
    <s v="C"/>
    <s v="BF"/>
    <x v="0"/>
    <m/>
    <m/>
    <m/>
    <n v="0"/>
    <n v="0"/>
    <n v="0"/>
    <n v="0"/>
    <n v="0"/>
    <n v="0"/>
    <n v="0"/>
    <n v="0"/>
    <n v="0"/>
    <n v="0"/>
    <n v="0"/>
    <n v="0"/>
    <n v="0"/>
    <n v="0"/>
    <n v="0"/>
    <n v="0"/>
    <n v="0"/>
    <n v="594"/>
    <n v="0"/>
    <n v="0"/>
    <n v="0"/>
    <n v="594"/>
    <n v="0"/>
    <n v="0"/>
    <n v="0"/>
    <n v="0"/>
    <n v="0"/>
    <n v="0"/>
    <n v="0"/>
    <n v="0"/>
    <n v="0"/>
    <n v="0"/>
    <x v="1"/>
    <x v="1"/>
    <x v="0"/>
    <n v="0"/>
    <n v="-594"/>
    <n v="0"/>
    <n v="0"/>
    <n v="0"/>
    <n v="-594"/>
    <n v="0"/>
    <n v="0"/>
    <n v="0"/>
    <n v="0"/>
    <n v="0"/>
    <n v="0"/>
    <m/>
    <n v="0"/>
    <n v="0"/>
    <n v="0"/>
    <n v="0"/>
    <s v="-"/>
    <s v="-"/>
    <s v="-"/>
    <s v="-"/>
    <s v="-"/>
    <s v="-"/>
    <s v="-"/>
    <s v="-"/>
    <s v="-"/>
    <s v="-"/>
    <s v="-"/>
    <s v="-"/>
    <s v="-"/>
    <s v="-"/>
    <s v="Not Known"/>
    <s v="-"/>
    <s v="-"/>
    <s v="-"/>
    <s v="-"/>
    <s v="-"/>
    <s v="-"/>
    <s v="-"/>
    <s v="-"/>
    <s v="-"/>
    <s v="-"/>
    <s v="-"/>
    <m/>
    <n v="0"/>
    <n v="594"/>
    <n v="-594"/>
    <s v="Y"/>
    <m/>
    <m/>
    <m/>
    <m/>
    <m/>
    <m/>
    <s v="Y"/>
    <m/>
    <m/>
    <m/>
    <m/>
    <n v="594"/>
    <n v="0"/>
    <n v="594"/>
    <s v="Y"/>
    <s v="Y"/>
  </r>
  <r>
    <x v="0"/>
    <x v="0"/>
    <x v="0"/>
    <n v="2304"/>
    <x v="1"/>
    <x v="1"/>
    <n v="0.91500002145767201"/>
    <n v="528666"/>
    <n v="177450"/>
    <m/>
    <x v="2"/>
    <s v="PF"/>
    <d v="2017-09-01T00:00:00"/>
    <x v="2"/>
    <m/>
    <m/>
    <s v="Nil"/>
    <m/>
    <m/>
    <s v="Temporary use  of the ground floor of the Lanson Building as a sales and marketing suite (4 years)."/>
    <s v="COU"/>
    <s v="COU"/>
    <s v="OC"/>
    <m/>
    <d v="2017-10-23T00:00:00"/>
    <d v="2018-03-31T00:00:00"/>
    <d v="2018-03-31T00:00:00"/>
    <s v="C"/>
    <s v="BF"/>
    <x v="0"/>
    <m/>
    <m/>
    <m/>
    <n v="0"/>
    <n v="561"/>
    <n v="0"/>
    <n v="0"/>
    <n v="0"/>
    <n v="561"/>
    <n v="0"/>
    <n v="0"/>
    <n v="0"/>
    <n v="0"/>
    <n v="0"/>
    <n v="0"/>
    <n v="0"/>
    <n v="0"/>
    <n v="0"/>
    <n v="0"/>
    <n v="0"/>
    <n v="0"/>
    <n v="0"/>
    <n v="0"/>
    <n v="0"/>
    <n v="0"/>
    <n v="561"/>
    <n v="0"/>
    <n v="0"/>
    <n v="0"/>
    <n v="0"/>
    <n v="561"/>
    <n v="0"/>
    <n v="0"/>
    <n v="0"/>
    <n v="0"/>
    <x v="1"/>
    <x v="0"/>
    <x v="0"/>
    <n v="0"/>
    <n v="561"/>
    <n v="0"/>
    <n v="0"/>
    <n v="0"/>
    <n v="561"/>
    <n v="-561"/>
    <n v="0"/>
    <n v="0"/>
    <n v="0"/>
    <n v="0"/>
    <n v="-561"/>
    <s v="Y"/>
    <n v="0"/>
    <n v="0"/>
    <n v="0"/>
    <n v="0"/>
    <s v="-"/>
    <s v="Other"/>
    <s v="-"/>
    <s v="-"/>
    <s v="-"/>
    <s v="-"/>
    <s v="-"/>
    <s v="-"/>
    <s v="-"/>
    <s v="-"/>
    <s v="-"/>
    <s v="-"/>
    <s v="-"/>
    <s v="-"/>
    <s v="-"/>
    <s v="-"/>
    <s v="-"/>
    <s v="-"/>
    <s v="Financial or Professional Services"/>
    <s v="-"/>
    <s v="-"/>
    <s v="-"/>
    <s v="-"/>
    <s v="-"/>
    <s v="-"/>
    <s v="-"/>
    <m/>
    <n v="561"/>
    <n v="561"/>
    <n v="0"/>
    <s v="Y"/>
    <m/>
    <m/>
    <m/>
    <m/>
    <m/>
    <m/>
    <s v="Y"/>
    <m/>
    <m/>
    <m/>
    <m/>
    <n v="0"/>
    <n v="0"/>
    <n v="0"/>
    <m/>
    <s v="Y"/>
  </r>
  <r>
    <x v="2"/>
    <x v="0"/>
    <x v="0"/>
    <n v="2411"/>
    <x v="2"/>
    <x v="1"/>
    <n v="15.800000190734901"/>
    <n v="528934"/>
    <n v="177496"/>
    <s v="2.1.1"/>
    <x v="3"/>
    <s v="PF"/>
    <d v="2015-03-19T00:00:00"/>
    <x v="3"/>
    <m/>
    <m/>
    <s v="Nil"/>
    <m/>
    <m/>
    <s v="Erection of a two storey structure to accommodate a heat rejection plant, located to the southeast of the Power Station partially on the site of the water pumping station, for a temporary period of six years (until May 2021)."/>
    <s v="NB"/>
    <s v="NB"/>
    <s v="UC"/>
    <m/>
    <d v="2017-03-31T00:00:00"/>
    <m/>
    <m/>
    <s v="C"/>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800"/>
    <n v="0"/>
    <n v="800"/>
    <s v="Y"/>
    <m/>
    <m/>
    <m/>
    <m/>
    <m/>
    <m/>
    <s v="Y"/>
    <m/>
    <m/>
    <m/>
    <m/>
    <n v="0"/>
    <n v="0"/>
    <n v="0"/>
    <m/>
    <s v="Y"/>
  </r>
  <r>
    <x v="3"/>
    <x v="0"/>
    <x v="0"/>
    <n v="2502"/>
    <x v="3"/>
    <x v="2"/>
    <n v="33.259998321533203"/>
    <n v="527221"/>
    <n v="172443"/>
    <s v="9.1"/>
    <x v="4"/>
    <s v="AF"/>
    <d v="2018-03-07T00:00:00"/>
    <x v="4"/>
    <m/>
    <m/>
    <s v="Nil"/>
    <m/>
    <m/>
    <s v="Alterations including erection of a two-storey pre-fabricated modular conference centre building on the eastern part of the site (to the north-east of the Elizabeth Newton Wing), for a temporary period of five years, in order to accommodate existing meeting room, study and office facilities during the re-development of the Springfield site, together with the provision of a new access pathway."/>
    <s v="NB"/>
    <s v="NB"/>
    <s v="NSO"/>
    <m/>
    <m/>
    <m/>
    <m/>
    <s v="P"/>
    <s v="BF"/>
    <x v="0"/>
    <m/>
    <m/>
    <m/>
    <n v="0"/>
    <n v="0"/>
    <n v="0"/>
    <n v="0"/>
    <n v="0"/>
    <n v="0"/>
    <n v="0"/>
    <n v="0"/>
    <n v="0"/>
    <n v="0"/>
    <n v="0"/>
    <n v="0"/>
    <n v="0"/>
    <n v="1246"/>
    <n v="0"/>
    <n v="1246"/>
    <n v="0"/>
    <n v="0"/>
    <n v="0"/>
    <n v="0"/>
    <n v="0"/>
    <n v="0"/>
    <n v="0"/>
    <n v="0"/>
    <n v="0"/>
    <n v="0"/>
    <n v="0"/>
    <n v="0"/>
    <n v="0"/>
    <n v="0"/>
    <n v="0"/>
    <n v="0"/>
    <x v="0"/>
    <x v="1"/>
    <x v="1"/>
    <n v="0"/>
    <n v="0"/>
    <n v="0"/>
    <n v="0"/>
    <n v="0"/>
    <n v="0"/>
    <n v="0"/>
    <n v="0"/>
    <n v="0"/>
    <n v="0"/>
    <n v="0"/>
    <n v="0"/>
    <m/>
    <n v="0"/>
    <n v="1246"/>
    <n v="0"/>
    <n v="1246"/>
    <s v="-"/>
    <s v="-"/>
    <s v="-"/>
    <s v="-"/>
    <s v="-"/>
    <s v="-"/>
    <s v="-"/>
    <s v="-"/>
    <s v="-"/>
    <s v="-"/>
    <s v="-"/>
    <s v="Other"/>
    <s v="-"/>
    <s v="-"/>
    <s v="-"/>
    <s v="-"/>
    <s v="-"/>
    <s v="-"/>
    <s v="-"/>
    <s v="-"/>
    <s v="-"/>
    <s v="-"/>
    <s v="-"/>
    <s v="-"/>
    <s v="-"/>
    <s v="-"/>
    <m/>
    <n v="1246"/>
    <n v="0"/>
    <n v="1246"/>
    <m/>
    <m/>
    <m/>
    <m/>
    <m/>
    <m/>
    <m/>
    <m/>
    <m/>
    <m/>
    <m/>
    <m/>
    <n v="0"/>
    <n v="0"/>
    <n v="0"/>
    <m/>
    <s v="Y"/>
  </r>
  <r>
    <x v="3"/>
    <x v="0"/>
    <x v="0"/>
    <n v="2502"/>
    <x v="3"/>
    <x v="2"/>
    <n v="33.259998321533203"/>
    <n v="527221"/>
    <n v="172443"/>
    <s v="9.1"/>
    <x v="5"/>
    <s v="AF"/>
    <d v="2018-02-27T00:00:00"/>
    <x v="4"/>
    <m/>
    <m/>
    <s v="Nil"/>
    <m/>
    <m/>
    <s v="Alterations, including lighting and surface treatment, in connection with the provision of 207 car parking spaces on the western part of the site for a 5 year temporary period, in order to replace displaced car parking spaces during the re-development of the Springfield site. [The proposed parking spaces would be located adjacent to 156 existing parking spaces for hospital use]."/>
    <s v="NB"/>
    <s v="NB"/>
    <s v="NSO"/>
    <m/>
    <m/>
    <m/>
    <m/>
    <s v="P"/>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6605"/>
    <n v="0"/>
    <n v="6605"/>
    <m/>
    <m/>
    <m/>
    <m/>
    <m/>
    <m/>
    <m/>
    <m/>
    <m/>
    <m/>
    <m/>
    <m/>
    <n v="0"/>
    <n v="0"/>
    <n v="0"/>
    <m/>
    <s v="Y"/>
  </r>
  <r>
    <x v="2"/>
    <x v="0"/>
    <x v="0"/>
    <n v="2676"/>
    <x v="4"/>
    <x v="3"/>
    <n v="2.4260001182556201"/>
    <n v="521433"/>
    <n v="174272"/>
    <m/>
    <x v="6"/>
    <s v="PF"/>
    <d v="2017-02-21T00:00:00"/>
    <x v="5"/>
    <m/>
    <m/>
    <s v="Nil"/>
    <m/>
    <m/>
    <s v="Demolition of existing single storey refectory building and replacement with new single storey refectory building including new kitchen, servery, stores, mezzanine and basement and provision of a temporary kitchen and dining facilities on the southern games area during construction."/>
    <s v="NB"/>
    <s v="NB"/>
    <s v="UC"/>
    <m/>
    <d v="2018-03-31T00:00:00"/>
    <m/>
    <m/>
    <s v="C"/>
    <s v="BF"/>
    <x v="0"/>
    <m/>
    <m/>
    <m/>
    <n v="0"/>
    <n v="0"/>
    <n v="0"/>
    <n v="0"/>
    <n v="0"/>
    <n v="0"/>
    <n v="0"/>
    <n v="0"/>
    <n v="0"/>
    <n v="0"/>
    <n v="0"/>
    <n v="0"/>
    <n v="0"/>
    <n v="2143"/>
    <n v="0"/>
    <n v="2143"/>
    <n v="0"/>
    <n v="0"/>
    <n v="0"/>
    <n v="0"/>
    <n v="0"/>
    <n v="0"/>
    <n v="0"/>
    <n v="0"/>
    <n v="0"/>
    <n v="0"/>
    <n v="0"/>
    <n v="0"/>
    <n v="0"/>
    <n v="630"/>
    <n v="0"/>
    <n v="630"/>
    <x v="0"/>
    <x v="1"/>
    <x v="1"/>
    <n v="0"/>
    <n v="0"/>
    <n v="0"/>
    <n v="0"/>
    <n v="0"/>
    <n v="0"/>
    <n v="0"/>
    <n v="0"/>
    <n v="0"/>
    <n v="0"/>
    <n v="0"/>
    <n v="0"/>
    <m/>
    <n v="0"/>
    <n v="1513"/>
    <n v="0"/>
    <n v="1513"/>
    <s v="-"/>
    <s v="-"/>
    <s v="-"/>
    <s v="-"/>
    <s v="-"/>
    <s v="-"/>
    <s v="-"/>
    <s v="-"/>
    <s v="-"/>
    <s v="-"/>
    <s v="-"/>
    <s v="Other"/>
    <s v="-"/>
    <s v="-"/>
    <s v="-"/>
    <s v="-"/>
    <s v="-"/>
    <s v="-"/>
    <s v="-"/>
    <s v="-"/>
    <s v="-"/>
    <s v="-"/>
    <s v="-"/>
    <s v="-"/>
    <s v="Other"/>
    <s v="-"/>
    <m/>
    <n v="2143"/>
    <n v="630"/>
    <n v="1513"/>
    <m/>
    <m/>
    <m/>
    <m/>
    <m/>
    <m/>
    <m/>
    <m/>
    <m/>
    <m/>
    <m/>
    <m/>
    <n v="0"/>
    <n v="0"/>
    <n v="0"/>
    <m/>
    <s v="Y"/>
  </r>
  <r>
    <x v="1"/>
    <x v="0"/>
    <x v="0"/>
    <n v="2859"/>
    <x v="5"/>
    <x v="4"/>
    <n v="1.9800000190734901"/>
    <n v="523900"/>
    <n v="174602"/>
    <m/>
    <x v="7"/>
    <s v="PF"/>
    <d v="2017-08-18T00:00:00"/>
    <x v="6"/>
    <m/>
    <m/>
    <s v="Nil"/>
    <m/>
    <m/>
    <s v="Alterations including erection of a two-storey modular teaching building (1,389 sqm) for a temporary period of four years; creation of a new permanent pedestrian entrance and an emergency access on Lytton Grove, landscape improvements, rationalisation of staff car parking (including net increase of one parking bay); replacement boundary treatment to 1.8m high fronting Lytton Grove."/>
    <s v="NB"/>
    <s v="NB"/>
    <s v="NSO"/>
    <m/>
    <m/>
    <m/>
    <m/>
    <s v="C"/>
    <s v="BF"/>
    <x v="0"/>
    <m/>
    <m/>
    <m/>
    <n v="0"/>
    <n v="0"/>
    <n v="0"/>
    <n v="0"/>
    <n v="0"/>
    <n v="0"/>
    <n v="0"/>
    <n v="0"/>
    <n v="0"/>
    <n v="0"/>
    <n v="0"/>
    <n v="0"/>
    <n v="0"/>
    <n v="1350"/>
    <n v="0"/>
    <n v="1350"/>
    <n v="0"/>
    <n v="0"/>
    <n v="0"/>
    <n v="0"/>
    <n v="0"/>
    <n v="0"/>
    <n v="0"/>
    <n v="0"/>
    <n v="0"/>
    <n v="0"/>
    <n v="0"/>
    <n v="0"/>
    <n v="0"/>
    <n v="0"/>
    <n v="0"/>
    <n v="0"/>
    <x v="0"/>
    <x v="1"/>
    <x v="1"/>
    <n v="0"/>
    <n v="0"/>
    <n v="0"/>
    <n v="0"/>
    <n v="0"/>
    <n v="0"/>
    <n v="0"/>
    <n v="0"/>
    <n v="0"/>
    <n v="0"/>
    <n v="0"/>
    <n v="0"/>
    <m/>
    <n v="0"/>
    <n v="1350"/>
    <n v="0"/>
    <n v="1350"/>
    <s v="-"/>
    <s v="-"/>
    <s v="-"/>
    <s v="-"/>
    <s v="-"/>
    <s v="-"/>
    <s v="-"/>
    <s v="-"/>
    <s v="-"/>
    <s v="-"/>
    <s v="-"/>
    <s v="Education or Training"/>
    <s v="-"/>
    <s v="-"/>
    <s v="-"/>
    <s v="-"/>
    <s v="-"/>
    <s v="-"/>
    <s v="-"/>
    <s v="-"/>
    <s v="-"/>
    <s v="-"/>
    <s v="-"/>
    <s v="-"/>
    <s v="-"/>
    <s v="-"/>
    <m/>
    <n v="1350"/>
    <n v="0"/>
    <n v="1350"/>
    <m/>
    <m/>
    <m/>
    <m/>
    <m/>
    <m/>
    <m/>
    <m/>
    <m/>
    <m/>
    <m/>
    <m/>
    <n v="0"/>
    <n v="0"/>
    <n v="0"/>
    <m/>
    <s v="Y"/>
  </r>
  <r>
    <x v="1"/>
    <x v="0"/>
    <x v="0"/>
    <n v="3004"/>
    <x v="6"/>
    <x v="5"/>
    <n v="1.09999999403954E-2"/>
    <n v="527748"/>
    <n v="172086"/>
    <m/>
    <x v="8"/>
    <s v="PF"/>
    <d v="2017-04-25T00:00:00"/>
    <x v="7"/>
    <m/>
    <m/>
    <s v="Nil"/>
    <m/>
    <m/>
    <s v="Change of use of part of the unit into a mini cab office (Class Use Sui Generis) and installation of shopfront."/>
    <s v="COU"/>
    <s v="COU"/>
    <s v="NSO"/>
    <m/>
    <m/>
    <m/>
    <m/>
    <s v="C"/>
    <s v="BF"/>
    <x v="0"/>
    <m/>
    <m/>
    <m/>
    <n v="0"/>
    <n v="0"/>
    <n v="0"/>
    <n v="0"/>
    <n v="0"/>
    <n v="0"/>
    <n v="0"/>
    <n v="0"/>
    <n v="0"/>
    <n v="0"/>
    <n v="0"/>
    <n v="0"/>
    <n v="0"/>
    <n v="0"/>
    <n v="0"/>
    <n v="0"/>
    <n v="0"/>
    <n v="0"/>
    <n v="9"/>
    <n v="0"/>
    <n v="0"/>
    <n v="9"/>
    <n v="0"/>
    <n v="0"/>
    <n v="0"/>
    <n v="0"/>
    <n v="0"/>
    <n v="0"/>
    <n v="0"/>
    <n v="0"/>
    <n v="0"/>
    <n v="0"/>
    <x v="1"/>
    <x v="1"/>
    <x v="0"/>
    <n v="0"/>
    <n v="0"/>
    <n v="-9"/>
    <n v="0"/>
    <n v="0"/>
    <n v="-9"/>
    <n v="0"/>
    <n v="0"/>
    <n v="0"/>
    <n v="0"/>
    <n v="0"/>
    <n v="0"/>
    <m/>
    <n v="0"/>
    <n v="0"/>
    <n v="0"/>
    <n v="0"/>
    <s v="-"/>
    <s v="-"/>
    <s v="-"/>
    <s v="-"/>
    <s v="-"/>
    <s v="-"/>
    <s v="-"/>
    <s v="-"/>
    <s v="-"/>
    <s v="-"/>
    <s v="-"/>
    <s v="-"/>
    <s v="-"/>
    <s v="-"/>
    <s v="-"/>
    <s v="Vacant"/>
    <s v="-"/>
    <s v="-"/>
    <s v="-"/>
    <s v="-"/>
    <s v="-"/>
    <s v="-"/>
    <s v="-"/>
    <s v="-"/>
    <s v="-"/>
    <s v="-"/>
    <m/>
    <n v="9"/>
    <n v="9"/>
    <n v="0"/>
    <m/>
    <m/>
    <m/>
    <m/>
    <m/>
    <m/>
    <m/>
    <m/>
    <m/>
    <m/>
    <m/>
    <m/>
    <n v="0"/>
    <n v="0"/>
    <n v="0"/>
    <m/>
    <s v="Y"/>
  </r>
  <r>
    <x v="3"/>
    <x v="0"/>
    <x v="0"/>
    <n v="3063"/>
    <x v="7"/>
    <x v="3"/>
    <n v="0.123000003397465"/>
    <n v="522488"/>
    <n v="173685"/>
    <m/>
    <x v="9"/>
    <s v="AF"/>
    <d v="2018-02-05T00:00:00"/>
    <x v="4"/>
    <m/>
    <m/>
    <s v="Nil"/>
    <m/>
    <m/>
    <s v="Alterations in connection with temporary change of use of ground floor and part basement/first floor levels from non residentail institutions (Class D1) to office (Class B1); associated landscaping and provision of two dedicated accessible parking spaces. Installation of vehicle barrier. Provision of refuse/cycle storage."/>
    <s v="COU"/>
    <s v="COU"/>
    <s v="NSO"/>
    <m/>
    <m/>
    <m/>
    <m/>
    <s v="P"/>
    <s v="BF"/>
    <x v="0"/>
    <m/>
    <m/>
    <m/>
    <n v="0"/>
    <n v="0"/>
    <n v="0"/>
    <n v="0"/>
    <n v="0"/>
    <n v="0"/>
    <n v="504"/>
    <n v="0"/>
    <n v="0"/>
    <n v="0"/>
    <n v="0"/>
    <n v="504"/>
    <n v="0"/>
    <n v="0"/>
    <n v="0"/>
    <n v="0"/>
    <n v="0"/>
    <n v="0"/>
    <n v="0"/>
    <n v="0"/>
    <n v="0"/>
    <n v="0"/>
    <n v="0"/>
    <n v="0"/>
    <n v="0"/>
    <n v="0"/>
    <n v="0"/>
    <n v="0"/>
    <n v="0"/>
    <n v="504"/>
    <n v="0"/>
    <n v="504"/>
    <x v="0"/>
    <x v="0"/>
    <x v="1"/>
    <n v="0"/>
    <n v="0"/>
    <n v="0"/>
    <n v="0"/>
    <n v="0"/>
    <n v="0"/>
    <n v="504"/>
    <n v="0"/>
    <n v="0"/>
    <n v="0"/>
    <n v="0"/>
    <n v="504"/>
    <m/>
    <n v="0"/>
    <n v="-504"/>
    <n v="0"/>
    <n v="-504"/>
    <s v="-"/>
    <s v="-"/>
    <s v="-"/>
    <s v="-"/>
    <s v="-"/>
    <s v="Financial or Professional Services"/>
    <s v="-"/>
    <s v="-"/>
    <s v="-"/>
    <s v="-"/>
    <s v="-"/>
    <s v="-"/>
    <s v="-"/>
    <s v="-"/>
    <s v="-"/>
    <s v="-"/>
    <s v="-"/>
    <s v="-"/>
    <s v="-"/>
    <s v="-"/>
    <s v="-"/>
    <s v="-"/>
    <s v="-"/>
    <s v="-"/>
    <s v="Other"/>
    <s v="-"/>
    <m/>
    <n v="504"/>
    <n v="504"/>
    <n v="0"/>
    <m/>
    <m/>
    <m/>
    <m/>
    <m/>
    <m/>
    <m/>
    <m/>
    <m/>
    <m/>
    <m/>
    <m/>
    <n v="0"/>
    <n v="0"/>
    <n v="0"/>
    <m/>
    <s v="Y"/>
  </r>
  <r>
    <x v="1"/>
    <x v="0"/>
    <x v="0"/>
    <n v="3159"/>
    <x v="8"/>
    <x v="6"/>
    <n v="0.62000000476837203"/>
    <n v="525640"/>
    <n v="175236"/>
    <s v="3.5"/>
    <x v="10"/>
    <s v="PFLA"/>
    <d v="2015-08-17T00:00:00"/>
    <x v="8"/>
    <m/>
    <d v="2015-11-10T00:00:00"/>
    <s v="Nil"/>
    <m/>
    <m/>
    <s v="Construction of a new Bulk Waste Transfer Station to handle up to 25,000 tonnes of recyclable materials on the southern part of the Feathers Wharf site, including the construction of a new waste transfer building, for use in conjunction with the existing adjacent Smugglers Way waste facility, for an 8 year temporary period. Use of the northern part of the site for the storage of construction plant for a temporary 5 year period. Refurbishment of existing elevated section of riverside walkway on the north side of existing waste transfer station, including encasing it with mesh security fencing and a roof, and the construction of an extension to the riverside walkway along the northern and western sides of Feathers Wharf."/>
    <s v="NB"/>
    <s v="NB"/>
    <s v="NSO"/>
    <m/>
    <m/>
    <m/>
    <m/>
    <s v="C"/>
    <s v="BF"/>
    <x v="0"/>
    <m/>
    <m/>
    <m/>
    <n v="0"/>
    <n v="0"/>
    <n v="0"/>
    <n v="0"/>
    <n v="0"/>
    <n v="0"/>
    <n v="0"/>
    <n v="0"/>
    <n v="0"/>
    <n v="0"/>
    <n v="4475"/>
    <n v="4475"/>
    <n v="0"/>
    <n v="0"/>
    <n v="0"/>
    <n v="0"/>
    <n v="0"/>
    <n v="0"/>
    <n v="0"/>
    <n v="0"/>
    <n v="0"/>
    <n v="0"/>
    <n v="0"/>
    <n v="0"/>
    <n v="0"/>
    <n v="0"/>
    <n v="6675"/>
    <n v="6675"/>
    <n v="0"/>
    <n v="0"/>
    <n v="0"/>
    <n v="0"/>
    <x v="0"/>
    <x v="0"/>
    <x v="0"/>
    <n v="0"/>
    <n v="0"/>
    <n v="0"/>
    <n v="0"/>
    <n v="0"/>
    <n v="0"/>
    <n v="0"/>
    <n v="0"/>
    <n v="0"/>
    <n v="0"/>
    <n v="-2200"/>
    <n v="-2200"/>
    <s v="Y"/>
    <n v="0"/>
    <n v="0"/>
    <n v="0"/>
    <n v="0"/>
    <s v="-"/>
    <s v="-"/>
    <s v="-"/>
    <s v="-"/>
    <s v="-"/>
    <s v="-"/>
    <s v="-"/>
    <s v="-"/>
    <s v="-"/>
    <s v="-"/>
    <s v="-"/>
    <s v="-"/>
    <s v="-"/>
    <s v="-"/>
    <s v="-"/>
    <s v="-"/>
    <s v="-"/>
    <s v="-"/>
    <s v="-"/>
    <s v="-"/>
    <s v="-"/>
    <s v="-"/>
    <s v="-"/>
    <s v="-"/>
    <s v="-"/>
    <s v="-"/>
    <m/>
    <n v="6675"/>
    <n v="6675"/>
    <n v="0"/>
    <s v="Y"/>
    <m/>
    <m/>
    <m/>
    <m/>
    <m/>
    <m/>
    <m/>
    <m/>
    <m/>
    <m/>
    <m/>
    <n v="0"/>
    <n v="0"/>
    <n v="0"/>
    <m/>
    <s v="Y"/>
  </r>
  <r>
    <x v="3"/>
    <x v="0"/>
    <x v="0"/>
    <n v="3526"/>
    <x v="9"/>
    <x v="7"/>
    <n v="0.81999999284744296"/>
    <n v="526547"/>
    <n v="175744"/>
    <s v="10.4"/>
    <x v="11"/>
    <s v="AF"/>
    <d v="2018-03-29T00:00:00"/>
    <x v="4"/>
    <m/>
    <m/>
    <s v="Nil"/>
    <m/>
    <m/>
    <s v="Erection of a sales and marketing suite for a temporary period of 18 months and associated landscaping."/>
    <s v="NB"/>
    <s v="NB"/>
    <s v="NSO"/>
    <m/>
    <m/>
    <m/>
    <m/>
    <s v="P"/>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58"/>
    <n v="0"/>
    <n v="58"/>
    <s v="Y"/>
    <m/>
    <m/>
    <m/>
    <m/>
    <m/>
    <m/>
    <m/>
    <m/>
    <m/>
    <m/>
    <m/>
    <n v="0"/>
    <n v="0"/>
    <n v="0"/>
    <m/>
    <s v="Y"/>
  </r>
  <r>
    <x v="0"/>
    <x v="0"/>
    <x v="0"/>
    <n v="3598"/>
    <x v="10"/>
    <x v="8"/>
    <n v="0.365000009536743"/>
    <n v="528192"/>
    <n v="173340"/>
    <m/>
    <x v="12"/>
    <s v="PF"/>
    <d v="2017-06-27T00:00:00"/>
    <x v="9"/>
    <m/>
    <m/>
    <s v="Nil"/>
    <m/>
    <m/>
    <s v="Temporary retention of 2 x single storey modular buildings and erection of first floor extension to existing modular building (part retrospective)."/>
    <s v="EXT"/>
    <s v="COU"/>
    <s v="OC"/>
    <m/>
    <d v="2017-08-01T00:00:00"/>
    <d v="2018-01-23T00:00:00"/>
    <d v="2018-01-23T00:00:00"/>
    <s v="C"/>
    <s v="BF"/>
    <x v="0"/>
    <m/>
    <m/>
    <m/>
    <n v="0"/>
    <n v="0"/>
    <n v="0"/>
    <n v="0"/>
    <n v="0"/>
    <n v="0"/>
    <n v="0"/>
    <n v="0"/>
    <n v="0"/>
    <n v="0"/>
    <n v="0"/>
    <n v="0"/>
    <n v="0"/>
    <n v="116"/>
    <n v="0"/>
    <n v="116"/>
    <n v="0"/>
    <n v="0"/>
    <n v="0"/>
    <n v="0"/>
    <n v="0"/>
    <n v="0"/>
    <n v="0"/>
    <n v="0"/>
    <n v="0"/>
    <n v="0"/>
    <n v="0"/>
    <n v="0"/>
    <n v="0"/>
    <n v="0"/>
    <n v="0"/>
    <n v="0"/>
    <x v="0"/>
    <x v="1"/>
    <x v="1"/>
    <n v="0"/>
    <n v="0"/>
    <n v="0"/>
    <n v="0"/>
    <n v="0"/>
    <n v="0"/>
    <n v="0"/>
    <n v="0"/>
    <n v="0"/>
    <n v="0"/>
    <n v="0"/>
    <n v="0"/>
    <m/>
    <n v="0"/>
    <n v="116"/>
    <n v="0"/>
    <n v="116"/>
    <s v="-"/>
    <s v="-"/>
    <s v="-"/>
    <s v="-"/>
    <s v="-"/>
    <s v="-"/>
    <s v="-"/>
    <s v="-"/>
    <s v="-"/>
    <s v="-"/>
    <s v="-"/>
    <s v="Education or Training"/>
    <s v="-"/>
    <s v="-"/>
    <s v="-"/>
    <s v="-"/>
    <s v="-"/>
    <s v="-"/>
    <s v="-"/>
    <s v="-"/>
    <s v="-"/>
    <s v="-"/>
    <s v="-"/>
    <s v="-"/>
    <s v="-"/>
    <s v="-"/>
    <m/>
    <n v="116"/>
    <n v="0"/>
    <n v="116"/>
    <m/>
    <m/>
    <m/>
    <m/>
    <m/>
    <m/>
    <m/>
    <m/>
    <m/>
    <m/>
    <m/>
    <m/>
    <n v="0"/>
    <n v="0"/>
    <n v="0"/>
    <m/>
    <s v="Y"/>
  </r>
  <r>
    <x v="0"/>
    <x v="0"/>
    <x v="0"/>
    <n v="4100"/>
    <x v="11"/>
    <x v="5"/>
    <n v="0.20900000631809201"/>
    <n v="527435"/>
    <n v="171561"/>
    <m/>
    <x v="13"/>
    <s v="PF"/>
    <d v="2017-10-02T00:00:00"/>
    <x v="6"/>
    <m/>
    <m/>
    <s v="Nil"/>
    <m/>
    <m/>
    <s v="Retention of marquee to the rear of public house (Class A4)  for temporary period of up to 24 months."/>
    <s v="EXT"/>
    <s v="COU"/>
    <s v="OC"/>
    <m/>
    <d v="2017-11-27T00:00:00"/>
    <d v="2018-03-31T00:00:00"/>
    <d v="2018-03-31T00:00:00"/>
    <s v="C"/>
    <s v="BF"/>
    <x v="0"/>
    <m/>
    <m/>
    <m/>
    <n v="0"/>
    <n v="0"/>
    <n v="0"/>
    <n v="135"/>
    <n v="0"/>
    <n v="135"/>
    <n v="0"/>
    <n v="0"/>
    <n v="0"/>
    <n v="0"/>
    <n v="0"/>
    <n v="0"/>
    <n v="0"/>
    <n v="0"/>
    <n v="0"/>
    <n v="0"/>
    <n v="0"/>
    <n v="0"/>
    <n v="0"/>
    <n v="0"/>
    <n v="0"/>
    <n v="0"/>
    <n v="0"/>
    <n v="0"/>
    <n v="0"/>
    <n v="0"/>
    <n v="0"/>
    <n v="0"/>
    <n v="0"/>
    <n v="0"/>
    <n v="0"/>
    <n v="0"/>
    <x v="1"/>
    <x v="1"/>
    <x v="0"/>
    <n v="0"/>
    <n v="0"/>
    <n v="0"/>
    <n v="135"/>
    <n v="0"/>
    <n v="135"/>
    <n v="0"/>
    <n v="0"/>
    <n v="0"/>
    <n v="0"/>
    <n v="0"/>
    <n v="0"/>
    <m/>
    <n v="0"/>
    <n v="0"/>
    <n v="0"/>
    <n v="0"/>
    <s v="-"/>
    <s v="-"/>
    <s v="-"/>
    <s v="Public House"/>
    <s v="-"/>
    <s v="-"/>
    <s v="-"/>
    <s v="-"/>
    <s v="-"/>
    <s v="-"/>
    <s v="-"/>
    <s v="-"/>
    <s v="-"/>
    <s v="-"/>
    <s v="-"/>
    <s v="-"/>
    <s v="-"/>
    <s v="-"/>
    <s v="-"/>
    <s v="-"/>
    <s v="-"/>
    <s v="-"/>
    <s v="-"/>
    <s v="-"/>
    <s v="-"/>
    <s v="-"/>
    <m/>
    <n v="135"/>
    <n v="0"/>
    <n v="135"/>
    <m/>
    <m/>
    <m/>
    <m/>
    <m/>
    <m/>
    <m/>
    <m/>
    <s v="Y"/>
    <s v="Tooting Town Centre"/>
    <m/>
    <m/>
    <n v="0"/>
    <n v="0"/>
    <n v="0"/>
    <m/>
    <s v="Y"/>
  </r>
  <r>
    <x v="1"/>
    <x v="1"/>
    <x v="1"/>
    <n v="4509"/>
    <x v="12"/>
    <x v="1"/>
    <n v="1.12999999523163"/>
    <n v="529156"/>
    <n v="177572"/>
    <s v="2.1.6"/>
    <x v="14"/>
    <s v="PO"/>
    <d v="2016-02-08T00:00:00"/>
    <x v="10"/>
    <m/>
    <m/>
    <s v="Nil"/>
    <m/>
    <m/>
    <s v="Demolition and/or relocation of all buildings and structures on site and the construction of a temporary waste transfer station comprising: a single-storey (double-height) structure to accommodate the waste unloading and compaction facilities; an office building; the provision of a riverside crane; construction of an associated campshed within the River Thames; provision of hard standing areas for waste handling and container storage; provision of new boundary treatments; the creation of vehicular access from Cringle Street and other associated works in connection with the use of the site for a waste transfer station during the associated redevelopment of the Cringle Dock waste transfer station; and the subsequent demolition of the temporary waste transfer station and all associated works. (An Environmental Statement has been submitted with the application under the Town and Country Planning (Environmental Impact Assessment) (Amendment) Regulations 2015)."/>
    <s v="NB"/>
    <s v="NB"/>
    <s v="NSO"/>
    <m/>
    <m/>
    <m/>
    <m/>
    <s v="C"/>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2876"/>
    <n v="0"/>
    <n v="2876"/>
    <s v="Y"/>
    <m/>
    <m/>
    <m/>
    <m/>
    <m/>
    <m/>
    <s v="Y"/>
    <m/>
    <m/>
    <m/>
    <m/>
    <n v="0"/>
    <n v="0"/>
    <n v="0"/>
    <m/>
    <s v="Y"/>
  </r>
  <r>
    <x v="0"/>
    <x v="0"/>
    <x v="0"/>
    <n v="4753"/>
    <x v="13"/>
    <x v="1"/>
    <n v="1.8270000219345099"/>
    <n v="528176"/>
    <n v="177365"/>
    <m/>
    <x v="15"/>
    <s v="PF"/>
    <d v="2017-03-02T00:00:00"/>
    <x v="11"/>
    <m/>
    <m/>
    <s v="Nil"/>
    <m/>
    <m/>
    <s v="Erection of temporary buildings in the British Genius Site and others around the Park up to a maximum height 9.5m from the period 16 August 2017 to 1 October 2019 (to be used for a variety of events in the Park). Permanent retention of timber shed to the rear of the Pump House Gallery, to house catering facilities relating to the gallery"/>
    <s v="NB"/>
    <s v="NB"/>
    <s v="OC"/>
    <m/>
    <d v="2017-04-27T00:00:00"/>
    <d v="2018-03-31T00:00:00"/>
    <d v="2018-03-31T00:00:00"/>
    <s v="C"/>
    <s v="BF"/>
    <x v="0"/>
    <m/>
    <m/>
    <m/>
    <n v="0"/>
    <n v="0"/>
    <n v="0"/>
    <n v="0"/>
    <n v="0"/>
    <n v="0"/>
    <n v="0"/>
    <n v="0"/>
    <n v="0"/>
    <n v="0"/>
    <n v="0"/>
    <n v="0"/>
    <n v="0"/>
    <n v="0"/>
    <n v="6730"/>
    <n v="6730"/>
    <n v="0"/>
    <n v="0"/>
    <n v="0"/>
    <n v="0"/>
    <n v="0"/>
    <n v="0"/>
    <n v="0"/>
    <n v="0"/>
    <n v="0"/>
    <n v="0"/>
    <n v="0"/>
    <n v="0"/>
    <n v="0"/>
    <n v="0"/>
    <n v="0"/>
    <n v="0"/>
    <x v="0"/>
    <x v="1"/>
    <x v="1"/>
    <n v="0"/>
    <n v="0"/>
    <n v="0"/>
    <n v="0"/>
    <n v="0"/>
    <n v="0"/>
    <n v="0"/>
    <n v="0"/>
    <n v="0"/>
    <n v="0"/>
    <n v="0"/>
    <n v="0"/>
    <m/>
    <n v="0"/>
    <n v="0"/>
    <n v="6730"/>
    <n v="6730"/>
    <s v="-"/>
    <s v="-"/>
    <s v="-"/>
    <s v="-"/>
    <s v="-"/>
    <s v="-"/>
    <s v="-"/>
    <s v="-"/>
    <s v="-"/>
    <s v="-"/>
    <s v="-"/>
    <s v="-"/>
    <s v="Other"/>
    <s v="-"/>
    <s v="-"/>
    <s v="-"/>
    <s v="-"/>
    <s v="-"/>
    <s v="-"/>
    <s v="-"/>
    <s v="-"/>
    <s v="-"/>
    <s v="-"/>
    <s v="-"/>
    <s v="-"/>
    <s v="-"/>
    <m/>
    <n v="6750"/>
    <n v="20"/>
    <n v="6730"/>
    <s v="Y"/>
    <m/>
    <m/>
    <m/>
    <m/>
    <m/>
    <m/>
    <m/>
    <m/>
    <m/>
    <m/>
    <m/>
    <n v="0"/>
    <n v="0"/>
    <n v="0"/>
    <m/>
    <s v="Y"/>
  </r>
  <r>
    <x v="1"/>
    <x v="0"/>
    <x v="0"/>
    <n v="5290"/>
    <x v="14"/>
    <x v="3"/>
    <n v="6.3000001013279003E-2"/>
    <n v="522325"/>
    <n v="173735"/>
    <s v="8.1.1"/>
    <x v="16"/>
    <s v="PF"/>
    <d v="2015-04-30T00:00:00"/>
    <x v="12"/>
    <m/>
    <m/>
    <s v="Nil"/>
    <m/>
    <m/>
    <s v="Infill existing ground floor open under croft area at northern end of building with timber cladding, aluminium and glazed elevations and erection of single-storey rear extension. Use of the enclosed area as office and drop in centre (Class B1). Application for a Temporary Permission."/>
    <s v="MIX"/>
    <s v="NB"/>
    <s v="NSV"/>
    <m/>
    <m/>
    <m/>
    <m/>
    <s v="C"/>
    <s v="BF"/>
    <x v="0"/>
    <m/>
    <m/>
    <m/>
    <n v="0"/>
    <n v="0"/>
    <n v="0"/>
    <n v="0"/>
    <n v="0"/>
    <n v="0"/>
    <n v="52"/>
    <n v="0"/>
    <n v="0"/>
    <n v="0"/>
    <n v="0"/>
    <n v="52"/>
    <n v="0"/>
    <n v="0"/>
    <n v="0"/>
    <n v="0"/>
    <n v="0"/>
    <n v="0"/>
    <n v="0"/>
    <n v="0"/>
    <n v="0"/>
    <n v="0"/>
    <n v="0"/>
    <n v="0"/>
    <n v="0"/>
    <n v="0"/>
    <n v="0"/>
    <n v="0"/>
    <n v="0"/>
    <n v="0"/>
    <n v="0"/>
    <n v="0"/>
    <x v="0"/>
    <x v="0"/>
    <x v="0"/>
    <n v="0"/>
    <n v="0"/>
    <n v="0"/>
    <n v="0"/>
    <n v="0"/>
    <n v="0"/>
    <n v="52"/>
    <n v="0"/>
    <n v="0"/>
    <n v="0"/>
    <n v="0"/>
    <n v="52"/>
    <m/>
    <n v="0"/>
    <n v="0"/>
    <n v="0"/>
    <n v="0"/>
    <s v="-"/>
    <s v="-"/>
    <s v="-"/>
    <s v="-"/>
    <s v="-"/>
    <s v="Other"/>
    <s v="-"/>
    <s v="-"/>
    <s v="-"/>
    <s v="-"/>
    <s v="-"/>
    <s v="-"/>
    <s v="-"/>
    <s v="-"/>
    <s v="-"/>
    <s v="-"/>
    <s v="-"/>
    <s v="-"/>
    <s v="-"/>
    <s v="-"/>
    <s v="-"/>
    <s v="-"/>
    <s v="-"/>
    <s v="-"/>
    <s v="-"/>
    <s v="-"/>
    <m/>
    <n v="52"/>
    <n v="40"/>
    <n v="12"/>
    <m/>
    <m/>
    <m/>
    <m/>
    <m/>
    <m/>
    <m/>
    <m/>
    <m/>
    <m/>
    <s v="Y"/>
    <s v="Roehampton"/>
    <n v="0"/>
    <n v="0"/>
    <n v="0"/>
    <m/>
    <s v="Y"/>
  </r>
  <r>
    <x v="0"/>
    <x v="0"/>
    <x v="0"/>
    <n v="5629"/>
    <x v="15"/>
    <x v="9"/>
    <n v="5.2999999374151202E-2"/>
    <n v="525681"/>
    <n v="174324"/>
    <m/>
    <x v="17"/>
    <s v="PF"/>
    <d v="2017-07-18T00:00:00"/>
    <x v="13"/>
    <m/>
    <m/>
    <s v="Nil"/>
    <m/>
    <m/>
    <s v="Erection of a single storey building, with associated wheelchair access ramp, for temporary use (18 months) for marketing purposes in connection with the consented Mapleton Crescent development (ref: 2015/5777)"/>
    <s v="NB"/>
    <s v="NB"/>
    <s v="OC"/>
    <m/>
    <m/>
    <d v="2018-03-31T00:00:00"/>
    <d v="2018-03-31T00:00:00"/>
    <s v="C"/>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58"/>
    <n v="0"/>
    <n v="58"/>
    <m/>
    <m/>
    <m/>
    <m/>
    <m/>
    <m/>
    <m/>
    <m/>
    <s v="Y"/>
    <s v="Wandsworth Town Centre"/>
    <m/>
    <m/>
    <n v="0"/>
    <n v="0"/>
    <n v="0"/>
    <m/>
    <s v="Y"/>
  </r>
  <r>
    <x v="0"/>
    <x v="0"/>
    <x v="0"/>
    <n v="6069"/>
    <x v="16"/>
    <x v="10"/>
    <n v="1.60000007599592E-2"/>
    <n v="524324"/>
    <n v="174957"/>
    <m/>
    <x v="18"/>
    <s v="PF"/>
    <d v="2017-08-23T00:00:00"/>
    <x v="14"/>
    <m/>
    <m/>
    <s v="Nil"/>
    <m/>
    <m/>
    <s v="Change of use from shop ( Class A1 to marketing suite (Sui Generis)."/>
    <s v="COU"/>
    <s v="COU"/>
    <s v="OC"/>
    <m/>
    <d v="2017-10-19T00:00:00"/>
    <d v="2017-12-13T00:00:00"/>
    <d v="2017-12-13T00:00:00"/>
    <s v="C"/>
    <s v="BF"/>
    <x v="0"/>
    <m/>
    <m/>
    <m/>
    <n v="0"/>
    <n v="0"/>
    <n v="0"/>
    <n v="0"/>
    <n v="0"/>
    <n v="0"/>
    <n v="0"/>
    <n v="0"/>
    <n v="0"/>
    <n v="0"/>
    <n v="0"/>
    <n v="0"/>
    <n v="0"/>
    <n v="0"/>
    <n v="0"/>
    <n v="0"/>
    <n v="90"/>
    <n v="0"/>
    <n v="0"/>
    <n v="0"/>
    <n v="0"/>
    <n v="90"/>
    <n v="0"/>
    <n v="0"/>
    <n v="0"/>
    <n v="0"/>
    <n v="0"/>
    <n v="0"/>
    <n v="0"/>
    <n v="0"/>
    <n v="0"/>
    <n v="0"/>
    <x v="1"/>
    <x v="1"/>
    <x v="0"/>
    <n v="-90"/>
    <n v="0"/>
    <n v="0"/>
    <n v="0"/>
    <n v="0"/>
    <n v="-90"/>
    <n v="0"/>
    <n v="0"/>
    <n v="0"/>
    <n v="0"/>
    <n v="0"/>
    <n v="0"/>
    <m/>
    <n v="0"/>
    <n v="0"/>
    <n v="0"/>
    <n v="0"/>
    <s v="-"/>
    <s v="-"/>
    <s v="-"/>
    <s v="-"/>
    <s v="-"/>
    <s v="-"/>
    <s v="-"/>
    <s v="-"/>
    <s v="-"/>
    <s v="-"/>
    <s v="-"/>
    <s v="-"/>
    <s v="-"/>
    <s v="Vacant"/>
    <s v="-"/>
    <s v="-"/>
    <s v="-"/>
    <s v="-"/>
    <s v="-"/>
    <s v="-"/>
    <s v="-"/>
    <s v="-"/>
    <s v="-"/>
    <s v="-"/>
    <s v="-"/>
    <s v="-"/>
    <m/>
    <n v="90"/>
    <n v="90"/>
    <n v="0"/>
    <m/>
    <m/>
    <m/>
    <m/>
    <m/>
    <m/>
    <m/>
    <m/>
    <s v="Y"/>
    <s v="Putney Town Centre"/>
    <m/>
    <m/>
    <n v="0"/>
    <n v="0"/>
    <n v="0"/>
    <m/>
    <s v="Y"/>
  </r>
  <r>
    <x v="3"/>
    <x v="0"/>
    <x v="0"/>
    <n v="6079"/>
    <x v="17"/>
    <x v="10"/>
    <n v="9.3000002205371898E-2"/>
    <n v="525314"/>
    <n v="175111"/>
    <s v="3.3.3"/>
    <x v="19"/>
    <s v="AF"/>
    <d v="2018-02-16T00:00:00"/>
    <x v="4"/>
    <m/>
    <m/>
    <s v="Nil"/>
    <m/>
    <m/>
    <s v="Alterations including installation of roller shutter doors and bunded diesel storage tank in connection with proposed change of use from  Class B8 (storage and distribution) to use for the storage and distribution of vehicles and diesel, with associated office space (use class Sui Generis)."/>
    <s v="COU"/>
    <s v="COU"/>
    <s v="NSO"/>
    <m/>
    <m/>
    <m/>
    <m/>
    <s v="P"/>
    <s v="BF"/>
    <x v="0"/>
    <m/>
    <m/>
    <m/>
    <n v="0"/>
    <n v="0"/>
    <n v="0"/>
    <n v="0"/>
    <n v="0"/>
    <n v="0"/>
    <n v="0"/>
    <n v="0"/>
    <n v="0"/>
    <n v="0"/>
    <n v="0"/>
    <n v="0"/>
    <n v="0"/>
    <n v="0"/>
    <n v="0"/>
    <n v="0"/>
    <n v="0"/>
    <n v="0"/>
    <n v="0"/>
    <n v="0"/>
    <n v="0"/>
    <n v="0"/>
    <n v="0"/>
    <n v="0"/>
    <n v="0"/>
    <n v="0"/>
    <n v="1013"/>
    <n v="1013"/>
    <n v="0"/>
    <n v="0"/>
    <n v="0"/>
    <n v="0"/>
    <x v="0"/>
    <x v="0"/>
    <x v="0"/>
    <n v="0"/>
    <n v="0"/>
    <n v="0"/>
    <n v="0"/>
    <n v="0"/>
    <n v="0"/>
    <n v="0"/>
    <n v="0"/>
    <n v="0"/>
    <n v="0"/>
    <n v="-1013"/>
    <n v="-1013"/>
    <s v="Y"/>
    <n v="0"/>
    <n v="0"/>
    <n v="0"/>
    <n v="0"/>
    <s v="-"/>
    <s v="-"/>
    <s v="-"/>
    <s v="-"/>
    <s v="-"/>
    <s v="-"/>
    <s v="-"/>
    <s v="-"/>
    <s v="-"/>
    <s v="-"/>
    <s v="-"/>
    <s v="-"/>
    <s v="-"/>
    <s v="-"/>
    <s v="-"/>
    <s v="-"/>
    <s v="-"/>
    <s v="-"/>
    <s v="-"/>
    <s v="-"/>
    <s v="-"/>
    <s v="-"/>
    <s v="Storage"/>
    <s v="-"/>
    <s v="-"/>
    <s v="-"/>
    <m/>
    <n v="1013"/>
    <n v="1013"/>
    <n v="0"/>
    <s v="Y"/>
    <m/>
    <m/>
    <m/>
    <m/>
    <s v="Y"/>
    <s v="Osiers Road"/>
    <m/>
    <m/>
    <m/>
    <m/>
    <m/>
    <n v="0"/>
    <n v="0"/>
    <n v="0"/>
    <m/>
    <s v="Y"/>
  </r>
  <r>
    <x v="1"/>
    <x v="0"/>
    <x v="0"/>
    <n v="6267"/>
    <x v="18"/>
    <x v="11"/>
    <n v="9.9999997764825804E-3"/>
    <n v="526873"/>
    <n v="175509"/>
    <s v="4.1.7"/>
    <x v="20"/>
    <s v="PF"/>
    <d v="2016-04-08T00:00:00"/>
    <x v="15"/>
    <m/>
    <m/>
    <s v="Nil"/>
    <m/>
    <m/>
    <s v="A temporary modular building for Quest Employment Support Team which will be used to assist young adults into work. The structure is proposed to be sited in the corner of the disused car park at the back of Weekley Square by the Grant Road bicycle stand and will be accessible via Grant Road. Signage will be applied to the side of the structure."/>
    <s v="NB"/>
    <s v="NB"/>
    <s v="NSV"/>
    <m/>
    <m/>
    <m/>
    <m/>
    <s v="C"/>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108"/>
    <n v="0"/>
    <n v="108"/>
    <m/>
    <m/>
    <m/>
    <m/>
    <m/>
    <m/>
    <m/>
    <m/>
    <m/>
    <m/>
    <m/>
    <m/>
    <n v="0"/>
    <n v="0"/>
    <n v="0"/>
    <m/>
    <s v="Y"/>
  </r>
  <r>
    <x v="2"/>
    <x v="0"/>
    <x v="0"/>
    <n v="6477"/>
    <x v="19"/>
    <x v="1"/>
    <n v="7.1999996900558499E-2"/>
    <n v="529778"/>
    <n v="177730"/>
    <m/>
    <x v="21"/>
    <s v="PF"/>
    <d v="2016-05-16T00:00:00"/>
    <x v="10"/>
    <m/>
    <m/>
    <s v="Nil"/>
    <m/>
    <m/>
    <s v="Proposed pavilion structure with raised garden above and storage for public furniture items to be used in Bourne Valley Wharf beneath."/>
    <s v="NB"/>
    <s v="NB"/>
    <s v="UC"/>
    <m/>
    <d v="2017-03-31T00:00:00"/>
    <m/>
    <m/>
    <s v="C"/>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47"/>
    <n v="0"/>
    <n v="47"/>
    <s v="Y"/>
    <m/>
    <m/>
    <m/>
    <m/>
    <m/>
    <m/>
    <s v="Y"/>
    <m/>
    <m/>
    <m/>
    <m/>
    <n v="0"/>
    <n v="0"/>
    <n v="0"/>
    <m/>
    <s v="Y"/>
  </r>
  <r>
    <x v="0"/>
    <x v="2"/>
    <x v="2"/>
    <n v="6635"/>
    <x v="20"/>
    <x v="7"/>
    <n v="2.5000000372528999E-2"/>
    <n v="526284"/>
    <n v="175487"/>
    <m/>
    <x v="22"/>
    <s v="PANR"/>
    <d v="2017-06-13T00:00:00"/>
    <x v="16"/>
    <m/>
    <m/>
    <s v="Nil"/>
    <m/>
    <m/>
    <s v="Change of use from Class A1 (Retail) to Class B1 (Office)"/>
    <s v="COU"/>
    <s v="COU"/>
    <s v="OC"/>
    <m/>
    <d v="2017-06-26T00:00:00"/>
    <d v="2018-03-31T00:00:00"/>
    <d v="2018-03-31T00:00:00"/>
    <s v="C"/>
    <s v="BF"/>
    <x v="0"/>
    <m/>
    <m/>
    <m/>
    <n v="0"/>
    <n v="0"/>
    <n v="0"/>
    <n v="0"/>
    <n v="0"/>
    <n v="0"/>
    <n v="70"/>
    <n v="0"/>
    <n v="0"/>
    <n v="0"/>
    <n v="0"/>
    <n v="70"/>
    <n v="0"/>
    <n v="0"/>
    <n v="0"/>
    <n v="0"/>
    <n v="70"/>
    <n v="0"/>
    <n v="0"/>
    <n v="0"/>
    <n v="0"/>
    <n v="70"/>
    <n v="0"/>
    <n v="0"/>
    <n v="0"/>
    <n v="0"/>
    <n v="0"/>
    <n v="0"/>
    <n v="0"/>
    <n v="0"/>
    <n v="0"/>
    <n v="0"/>
    <x v="1"/>
    <x v="0"/>
    <x v="0"/>
    <n v="-70"/>
    <n v="0"/>
    <n v="0"/>
    <n v="0"/>
    <n v="0"/>
    <n v="-70"/>
    <n v="70"/>
    <n v="0"/>
    <n v="0"/>
    <n v="0"/>
    <n v="0"/>
    <n v="70"/>
    <m/>
    <n v="0"/>
    <n v="0"/>
    <n v="0"/>
    <n v="0"/>
    <s v="-"/>
    <s v="-"/>
    <s v="-"/>
    <s v="-"/>
    <s v="-"/>
    <s v="Not Known"/>
    <s v="-"/>
    <s v="-"/>
    <s v="-"/>
    <s v="-"/>
    <s v="-"/>
    <s v="-"/>
    <s v="-"/>
    <s v="Not Known"/>
    <s v="-"/>
    <s v="-"/>
    <s v="-"/>
    <s v="-"/>
    <s v="-"/>
    <s v="-"/>
    <s v="-"/>
    <s v="-"/>
    <s v="-"/>
    <s v="-"/>
    <s v="-"/>
    <s v="-"/>
    <m/>
    <n v="70"/>
    <n v="70"/>
    <n v="0"/>
    <s v="Y"/>
    <m/>
    <m/>
    <m/>
    <m/>
    <m/>
    <m/>
    <m/>
    <m/>
    <m/>
    <m/>
    <m/>
    <n v="0"/>
    <n v="0"/>
    <n v="0"/>
    <m/>
    <s v="Y"/>
  </r>
  <r>
    <x v="1"/>
    <x v="2"/>
    <x v="2"/>
    <n v="6640"/>
    <x v="21"/>
    <x v="11"/>
    <n v="8.0000003799796104E-3"/>
    <n v="526806"/>
    <n v="175862"/>
    <m/>
    <x v="23"/>
    <s v="PANR"/>
    <d v="2017-07-25T00:00:00"/>
    <x v="17"/>
    <m/>
    <m/>
    <s v="Nil"/>
    <m/>
    <m/>
    <s v="Determination as to whether prior notification is required for change of use for a temporary period of up to two years from the Class A1 retail unit at ground floor to a Class A3 use for a period of two years from 18 September 2017 (Prior notification under Sch 2, Part 4, Class D of GPDO)."/>
    <s v="COU"/>
    <s v="COU"/>
    <s v="NSV"/>
    <m/>
    <m/>
    <m/>
    <m/>
    <s v="C"/>
    <s v="BF"/>
    <x v="0"/>
    <m/>
    <m/>
    <m/>
    <n v="0"/>
    <n v="0"/>
    <n v="59"/>
    <n v="0"/>
    <n v="0"/>
    <n v="59"/>
    <n v="0"/>
    <n v="0"/>
    <n v="0"/>
    <n v="0"/>
    <n v="0"/>
    <n v="0"/>
    <n v="0"/>
    <n v="0"/>
    <n v="0"/>
    <n v="0"/>
    <n v="59"/>
    <n v="0"/>
    <n v="0"/>
    <n v="0"/>
    <n v="0"/>
    <n v="59"/>
    <n v="0"/>
    <n v="0"/>
    <n v="0"/>
    <n v="0"/>
    <n v="0"/>
    <n v="0"/>
    <n v="0"/>
    <n v="0"/>
    <n v="0"/>
    <n v="0"/>
    <x v="1"/>
    <x v="1"/>
    <x v="0"/>
    <n v="-59"/>
    <n v="0"/>
    <n v="59"/>
    <n v="0"/>
    <n v="0"/>
    <n v="0"/>
    <n v="0"/>
    <n v="0"/>
    <n v="0"/>
    <n v="0"/>
    <n v="0"/>
    <n v="0"/>
    <m/>
    <n v="0"/>
    <n v="0"/>
    <n v="0"/>
    <n v="0"/>
    <s v="-"/>
    <s v="-"/>
    <s v="Café"/>
    <s v="-"/>
    <s v="-"/>
    <s v="-"/>
    <s v="-"/>
    <s v="-"/>
    <s v="-"/>
    <s v="-"/>
    <s v="-"/>
    <s v="-"/>
    <s v="-"/>
    <s v="Vacant"/>
    <s v="-"/>
    <s v="-"/>
    <s v="-"/>
    <s v="-"/>
    <s v="-"/>
    <s v="-"/>
    <s v="-"/>
    <s v="-"/>
    <s v="-"/>
    <s v="-"/>
    <s v="-"/>
    <s v="-"/>
    <m/>
    <n v="59"/>
    <n v="59"/>
    <n v="0"/>
    <m/>
    <m/>
    <m/>
    <m/>
    <m/>
    <m/>
    <m/>
    <m/>
    <m/>
    <m/>
    <m/>
    <m/>
    <n v="0"/>
    <n v="0"/>
    <n v="0"/>
    <m/>
    <s v="Y"/>
  </r>
  <r>
    <x v="0"/>
    <x v="0"/>
    <x v="0"/>
    <n v="6712"/>
    <x v="22"/>
    <x v="5"/>
    <n v="0.21500000357627899"/>
    <n v="526787"/>
    <n v="171180"/>
    <m/>
    <x v="24"/>
    <s v="PF"/>
    <d v="2017-07-28T00:00:00"/>
    <x v="6"/>
    <m/>
    <m/>
    <s v="Nil"/>
    <m/>
    <m/>
    <s v="Erection of 2no. temporary (five year period) modular buildings comprising (1) a 3 storey modular office building (Use Class C2), measuring 1,598.7sq m (GEA), providing a temporary ancillary office function, and (2) a single storey modular building, measuring 758 sq m (GEA), providing replacement clinical outpatient facilities (Use Class C2) (Retrospective application)"/>
    <s v="EXT"/>
    <s v="COU"/>
    <s v="OC"/>
    <m/>
    <d v="2017-03-03T00:00:00"/>
    <d v="2017-05-12T00:00:00"/>
    <d v="2017-05-12T00:00:00"/>
    <s v="C"/>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0"/>
    <n v="1500"/>
    <n v="-1500"/>
    <m/>
    <m/>
    <m/>
    <m/>
    <m/>
    <m/>
    <m/>
    <m/>
    <m/>
    <m/>
    <m/>
    <m/>
    <n v="0"/>
    <n v="0"/>
    <n v="0"/>
    <m/>
    <s v="Y"/>
  </r>
  <r>
    <x v="3"/>
    <x v="0"/>
    <x v="0"/>
    <n v="6816"/>
    <x v="23"/>
    <x v="1"/>
    <n v="8.0000003799796104E-3"/>
    <n v="528717"/>
    <n v="176891"/>
    <s v="2.1.30"/>
    <x v="25"/>
    <s v="AF"/>
    <d v="2018-02-16T00:00:00"/>
    <x v="4"/>
    <m/>
    <m/>
    <s v="Nil"/>
    <m/>
    <m/>
    <s v="Erection of a sales and marketing suite for a temporary period of two years on land adjacent to 177 Battersea Park Road."/>
    <s v="NB"/>
    <s v="NB"/>
    <s v="NSO"/>
    <m/>
    <m/>
    <m/>
    <m/>
    <s v="P"/>
    <s v="BF"/>
    <x v="0"/>
    <m/>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41"/>
    <n v="41"/>
    <n v="0"/>
    <m/>
    <m/>
    <m/>
    <m/>
    <m/>
    <m/>
    <m/>
    <s v="Y"/>
    <m/>
    <m/>
    <m/>
    <m/>
    <n v="0"/>
    <n v="0"/>
    <n v="0"/>
    <m/>
    <s v="Y"/>
  </r>
  <r>
    <x v="1"/>
    <x v="0"/>
    <x v="0"/>
    <n v="7065"/>
    <x v="24"/>
    <x v="7"/>
    <n v="0.10000000149011599"/>
    <n v="528737"/>
    <n v="177686"/>
    <m/>
    <x v="26"/>
    <s v="S96A"/>
    <d v="2016-10-19T00:00:00"/>
    <x v="18"/>
    <m/>
    <m/>
    <s v="Nil"/>
    <m/>
    <m/>
    <s v="Application under Section 96a of the Town and Country Planning Act for non-material amendments to planning permission dated 08/02/2016 (ref. 2015/6218) for the provision of hard landscaping and associated works, and planning permission for a period of 7 years only for the erection of temporary structures within six zones comprising upto 119sqm of flexible Class A1/A3/A4 floorspace; upto 117sqm of flexible Class A1/A5/D2 floorspace; upto 115sqm of flexible Class A1/A5/D2 floorspace; upto 34sqm of sui generis (public welfare facilities) floorspace; upto 29sqm of Class B8 floorspace and upto 86sqm of Class B1 floorspace; and other works incidental to the application. (the amendments related to the provision of 27 TfL cycle docking stations, amendments to the 6 designated zones and the accommodation of the Grade II listed K2 telephone kiosk)."/>
    <s v="NB"/>
    <s v="NB"/>
    <s v="NSO"/>
    <m/>
    <m/>
    <m/>
    <m/>
    <s v="C"/>
    <s v="BF"/>
    <x v="1"/>
    <s v="C"/>
    <m/>
    <m/>
    <n v="0"/>
    <n v="0"/>
    <n v="0"/>
    <n v="0"/>
    <n v="0"/>
    <n v="0"/>
    <n v="0"/>
    <n v="0"/>
    <n v="0"/>
    <n v="0"/>
    <n v="22"/>
    <n v="22"/>
    <n v="0"/>
    <n v="0"/>
    <n v="0"/>
    <n v="0"/>
    <n v="0"/>
    <n v="0"/>
    <n v="0"/>
    <n v="0"/>
    <n v="0"/>
    <n v="0"/>
    <n v="0"/>
    <n v="0"/>
    <n v="0"/>
    <n v="0"/>
    <n v="0"/>
    <n v="0"/>
    <n v="0"/>
    <n v="0"/>
    <n v="0"/>
    <n v="0"/>
    <x v="0"/>
    <x v="0"/>
    <x v="0"/>
    <n v="0"/>
    <n v="0"/>
    <n v="0"/>
    <n v="0"/>
    <n v="0"/>
    <n v="0"/>
    <n v="0"/>
    <n v="0"/>
    <n v="0"/>
    <n v="0"/>
    <n v="22"/>
    <n v="22"/>
    <m/>
    <n v="0"/>
    <n v="0"/>
    <n v="0"/>
    <n v="0"/>
    <s v="-"/>
    <s v="-"/>
    <s v="-"/>
    <s v="-"/>
    <s v="-"/>
    <s v="-"/>
    <s v="-"/>
    <s v="-"/>
    <s v="-"/>
    <s v="Storage"/>
    <s v="-"/>
    <s v="-"/>
    <s v="-"/>
    <s v="-"/>
    <s v="-"/>
    <s v="-"/>
    <s v="-"/>
    <s v="-"/>
    <s v="-"/>
    <s v="-"/>
    <s v="-"/>
    <s v="-"/>
    <s v="-"/>
    <s v="-"/>
    <s v="-"/>
    <s v="-"/>
    <m/>
    <n v="22"/>
    <n v="0"/>
    <n v="22"/>
    <s v="Y"/>
    <m/>
    <m/>
    <m/>
    <m/>
    <m/>
    <m/>
    <s v="Y"/>
    <m/>
    <m/>
    <m/>
    <m/>
    <n v="0"/>
    <n v="0"/>
    <n v="0"/>
    <m/>
    <s v="Y"/>
  </r>
  <r>
    <x v="1"/>
    <x v="0"/>
    <x v="0"/>
    <n v="7065"/>
    <x v="24"/>
    <x v="7"/>
    <n v="0.10000000149011599"/>
    <n v="528737"/>
    <n v="177686"/>
    <m/>
    <x v="26"/>
    <s v="S96A"/>
    <d v="2016-10-19T00:00:00"/>
    <x v="18"/>
    <m/>
    <m/>
    <s v="Nil"/>
    <m/>
    <m/>
    <s v="Application under Section 96a of the Town and Country Planning Act for non-material amendments to planning permission dated 08/02/2016 (ref. 2015/6218) for the provision of hard landscaping and associated works, and planning permission for a period of 7 years only for the erection of temporary structures within six zones comprising upto 119sqm of flexible Class A1/A3/A4 floorspace; upto 117sqm of flexible Class A1/A5/D2 floorspace; upto 115sqm of flexible Class A1/A5/D2 floorspace; upto 34sqm of sui generis (public welfare facilities) floorspace; upto 29sqm of Class B8 floorspace and upto 86sqm of Class B1 floorspace; and other works incidental to the application. (the amendments related to the provision of 27 TfL cycle docking stations, amendments to the 6 designated zones and the accommodation of the Grade II listed K2 telephone kiosk)."/>
    <s v="NB"/>
    <s v="NB"/>
    <s v="NSO"/>
    <m/>
    <m/>
    <m/>
    <m/>
    <s v="C"/>
    <s v="BF"/>
    <x v="2"/>
    <s v="C"/>
    <m/>
    <m/>
    <n v="0"/>
    <n v="0"/>
    <n v="0"/>
    <n v="0"/>
    <n v="0"/>
    <n v="0"/>
    <n v="0"/>
    <n v="0"/>
    <n v="0"/>
    <n v="0"/>
    <n v="0"/>
    <n v="0"/>
    <n v="0"/>
    <n v="0"/>
    <n v="0"/>
    <n v="0"/>
    <n v="0"/>
    <n v="0"/>
    <n v="0"/>
    <n v="0"/>
    <n v="0"/>
    <n v="0"/>
    <n v="0"/>
    <n v="0"/>
    <n v="0"/>
    <n v="0"/>
    <n v="0"/>
    <n v="0"/>
    <n v="0"/>
    <n v="0"/>
    <n v="0"/>
    <n v="0"/>
    <x v="0"/>
    <x v="1"/>
    <x v="0"/>
    <n v="0"/>
    <n v="0"/>
    <n v="0"/>
    <n v="0"/>
    <n v="0"/>
    <n v="0"/>
    <n v="0"/>
    <n v="0"/>
    <n v="0"/>
    <n v="0"/>
    <n v="0"/>
    <n v="0"/>
    <m/>
    <n v="0"/>
    <n v="0"/>
    <n v="0"/>
    <n v="0"/>
    <s v="-"/>
    <s v="-"/>
    <s v="-"/>
    <s v="-"/>
    <s v="-"/>
    <s v="-"/>
    <s v="-"/>
    <s v="-"/>
    <s v="-"/>
    <s v="-"/>
    <s v="-"/>
    <s v="-"/>
    <s v="-"/>
    <s v="-"/>
    <s v="-"/>
    <s v="-"/>
    <s v="-"/>
    <s v="-"/>
    <s v="-"/>
    <s v="-"/>
    <s v="-"/>
    <s v="-"/>
    <s v="-"/>
    <s v="-"/>
    <s v="-"/>
    <s v="-"/>
    <m/>
    <n v="38"/>
    <n v="0"/>
    <n v="38"/>
    <s v="Y"/>
    <m/>
    <m/>
    <m/>
    <m/>
    <m/>
    <m/>
    <s v="Y"/>
    <m/>
    <m/>
    <m/>
    <m/>
    <n v="0"/>
    <n v="0"/>
    <n v="0"/>
    <m/>
    <s v="Y"/>
  </r>
  <r>
    <x v="1"/>
    <x v="0"/>
    <x v="0"/>
    <n v="7065"/>
    <x v="24"/>
    <x v="7"/>
    <n v="0.10000000149011599"/>
    <n v="528737"/>
    <n v="177686"/>
    <m/>
    <x v="26"/>
    <s v="S96A"/>
    <d v="2016-10-19T00:00:00"/>
    <x v="18"/>
    <m/>
    <m/>
    <s v="Nil"/>
    <m/>
    <m/>
    <s v="Application under Section 96a of the Town and Country Planning Act for non-material amendments to planning permission dated 08/02/2016 (ref. 2015/6218) for the provision of hard landscaping and associated works, and planning permission for a period of 7 years only for the erection of temporary structures within six zones comprising upto 119sqm of flexible Class A1/A3/A4 floorspace; upto 117sqm of flexible Class A1/A5/D2 floorspace; upto 115sqm of flexible Class A1/A5/D2 floorspace; upto 34sqm of sui generis (public welfare facilities) floorspace; upto 29sqm of Class B8 floorspace and upto 86sqm of Class B1 floorspace; and other works incidental to the application. (the amendments related to the provision of 27 TfL cycle docking stations, amendments to the 6 designated zones and the accommodation of the Grade II listed K2 telephone kiosk)."/>
    <s v="NB"/>
    <s v="NB"/>
    <s v="NSO"/>
    <m/>
    <m/>
    <m/>
    <m/>
    <s v="C"/>
    <s v="BF"/>
    <x v="3"/>
    <s v="C"/>
    <m/>
    <m/>
    <n v="0"/>
    <n v="0"/>
    <n v="0"/>
    <n v="0"/>
    <n v="0"/>
    <n v="0"/>
    <n v="74"/>
    <n v="0"/>
    <n v="0"/>
    <n v="0"/>
    <n v="0"/>
    <n v="74"/>
    <n v="0"/>
    <n v="0"/>
    <n v="0"/>
    <n v="0"/>
    <n v="0"/>
    <n v="0"/>
    <n v="0"/>
    <n v="0"/>
    <n v="0"/>
    <n v="0"/>
    <n v="0"/>
    <n v="0"/>
    <n v="0"/>
    <n v="0"/>
    <n v="0"/>
    <n v="0"/>
    <n v="0"/>
    <n v="0"/>
    <n v="0"/>
    <n v="0"/>
    <x v="0"/>
    <x v="0"/>
    <x v="0"/>
    <n v="0"/>
    <n v="0"/>
    <n v="0"/>
    <n v="0"/>
    <n v="0"/>
    <n v="0"/>
    <n v="74"/>
    <n v="0"/>
    <n v="0"/>
    <n v="0"/>
    <n v="0"/>
    <n v="74"/>
    <m/>
    <n v="0"/>
    <n v="0"/>
    <n v="0"/>
    <n v="0"/>
    <s v="-"/>
    <s v="-"/>
    <s v="-"/>
    <s v="-"/>
    <s v="-"/>
    <s v="Not Known"/>
    <s v="-"/>
    <s v="-"/>
    <s v="-"/>
    <s v="-"/>
    <s v="-"/>
    <s v="-"/>
    <s v="-"/>
    <s v="-"/>
    <s v="-"/>
    <s v="-"/>
    <s v="-"/>
    <s v="-"/>
    <s v="-"/>
    <s v="-"/>
    <s v="-"/>
    <s v="-"/>
    <s v="-"/>
    <s v="-"/>
    <s v="-"/>
    <s v="-"/>
    <m/>
    <n v="74"/>
    <n v="0"/>
    <n v="74"/>
    <s v="Y"/>
    <m/>
    <m/>
    <m/>
    <m/>
    <m/>
    <m/>
    <s v="Y"/>
    <m/>
    <m/>
    <m/>
    <m/>
    <n v="0"/>
    <n v="0"/>
    <n v="0"/>
    <m/>
    <s v="Y"/>
  </r>
  <r>
    <x v="1"/>
    <x v="0"/>
    <x v="0"/>
    <n v="7065"/>
    <x v="24"/>
    <x v="7"/>
    <n v="0.10000000149011599"/>
    <n v="528737"/>
    <n v="177686"/>
    <m/>
    <x v="26"/>
    <s v="S96A"/>
    <d v="2016-10-19T00:00:00"/>
    <x v="18"/>
    <m/>
    <m/>
    <s v="Nil"/>
    <m/>
    <m/>
    <s v="Application under Section 96a of the Town and Country Planning Act for non-material amendments to planning permission dated 08/02/2016 (ref. 2015/6218) for the provision of hard landscaping and associated works, and planning permission for a period of 7 years only for the erection of temporary structures within six zones comprising upto 119sqm of flexible Class A1/A3/A4 floorspace; upto 117sqm of flexible Class A1/A5/D2 floorspace; upto 115sqm of flexible Class A1/A5/D2 floorspace; upto 34sqm of sui generis (public welfare facilities) floorspace; upto 29sqm of Class B8 floorspace and upto 86sqm of Class B1 floorspace; and other works incidental to the application. (the amendments related to the provision of 27 TfL cycle docking stations, amendments to the 6 designated zones and the accommodation of the Grade II listed K2 telephone kiosk)."/>
    <s v="NB"/>
    <s v="NB"/>
    <s v="NSO"/>
    <m/>
    <m/>
    <m/>
    <m/>
    <s v="C"/>
    <s v="BF"/>
    <x v="4"/>
    <s v="C"/>
    <m/>
    <m/>
    <n v="28"/>
    <n v="0"/>
    <n v="0"/>
    <n v="0"/>
    <n v="28"/>
    <n v="56"/>
    <n v="0"/>
    <n v="0"/>
    <n v="0"/>
    <n v="0"/>
    <n v="0"/>
    <n v="0"/>
    <n v="0"/>
    <n v="0"/>
    <n v="28"/>
    <n v="28"/>
    <n v="0"/>
    <n v="0"/>
    <n v="0"/>
    <n v="0"/>
    <n v="0"/>
    <n v="0"/>
    <n v="0"/>
    <n v="0"/>
    <n v="0"/>
    <n v="0"/>
    <n v="0"/>
    <n v="0"/>
    <n v="0"/>
    <n v="0"/>
    <n v="0"/>
    <n v="0"/>
    <x v="1"/>
    <x v="1"/>
    <x v="1"/>
    <n v="28"/>
    <n v="0"/>
    <n v="0"/>
    <n v="0"/>
    <n v="28"/>
    <n v="56"/>
    <n v="0"/>
    <n v="0"/>
    <n v="0"/>
    <n v="0"/>
    <n v="0"/>
    <n v="0"/>
    <m/>
    <n v="0"/>
    <n v="0"/>
    <n v="28"/>
    <n v="28"/>
    <s v="Not Known"/>
    <s v="-"/>
    <s v="-"/>
    <s v="-"/>
    <s v="Not Known"/>
    <s v="-"/>
    <s v="-"/>
    <s v="-"/>
    <s v="-"/>
    <s v="-"/>
    <s v="-"/>
    <s v="-"/>
    <s v="Not Known"/>
    <s v="-"/>
    <s v="-"/>
    <s v="-"/>
    <s v="-"/>
    <s v="-"/>
    <s v="-"/>
    <s v="-"/>
    <s v="-"/>
    <s v="-"/>
    <s v="-"/>
    <s v="-"/>
    <s v="-"/>
    <s v="-"/>
    <m/>
    <n v="84"/>
    <n v="0"/>
    <n v="84"/>
    <s v="Y"/>
    <m/>
    <m/>
    <m/>
    <m/>
    <m/>
    <m/>
    <s v="Y"/>
    <m/>
    <m/>
    <m/>
    <m/>
    <n v="0"/>
    <n v="0"/>
    <n v="0"/>
    <m/>
    <s v="Y"/>
  </r>
  <r>
    <x v="1"/>
    <x v="0"/>
    <x v="0"/>
    <n v="7065"/>
    <x v="24"/>
    <x v="7"/>
    <n v="0.10000000149011599"/>
    <n v="528737"/>
    <n v="177686"/>
    <m/>
    <x v="26"/>
    <s v="S96A"/>
    <d v="2016-10-19T00:00:00"/>
    <x v="18"/>
    <m/>
    <m/>
    <s v="Nil"/>
    <m/>
    <m/>
    <s v="Application under Section 96a of the Town and Country Planning Act for non-material amendments to planning permission dated 08/02/2016 (ref. 2015/6218) for the provision of hard landscaping and associated works, and planning permission for a period of 7 years only for the erection of temporary structures within six zones comprising upto 119sqm of flexible Class A1/A3/A4 floorspace; upto 117sqm of flexible Class A1/A5/D2 floorspace; upto 115sqm of flexible Class A1/A5/D2 floorspace; upto 34sqm of sui generis (public welfare facilities) floorspace; upto 29sqm of Class B8 floorspace and upto 86sqm of Class B1 floorspace; and other works incidental to the application. (the amendments related to the provision of 27 TfL cycle docking stations, amendments to the 6 designated zones and the accommodation of the Grade II listed K2 telephone kiosk)."/>
    <s v="NB"/>
    <s v="NB"/>
    <s v="NSO"/>
    <m/>
    <m/>
    <m/>
    <m/>
    <s v="C"/>
    <s v="BF"/>
    <x v="5"/>
    <s v="C"/>
    <m/>
    <m/>
    <n v="37"/>
    <n v="0"/>
    <n v="37"/>
    <n v="36"/>
    <n v="0"/>
    <n v="110"/>
    <n v="0"/>
    <n v="0"/>
    <n v="0"/>
    <n v="0"/>
    <n v="0"/>
    <n v="0"/>
    <n v="0"/>
    <n v="0"/>
    <n v="0"/>
    <n v="0"/>
    <n v="0"/>
    <n v="0"/>
    <n v="0"/>
    <n v="0"/>
    <n v="0"/>
    <n v="0"/>
    <n v="0"/>
    <n v="0"/>
    <n v="0"/>
    <n v="0"/>
    <n v="0"/>
    <n v="0"/>
    <n v="0"/>
    <n v="0"/>
    <n v="0"/>
    <n v="0"/>
    <x v="1"/>
    <x v="1"/>
    <x v="0"/>
    <n v="37"/>
    <n v="0"/>
    <n v="37"/>
    <n v="36"/>
    <n v="0"/>
    <n v="110"/>
    <n v="0"/>
    <n v="0"/>
    <n v="0"/>
    <n v="0"/>
    <n v="0"/>
    <n v="0"/>
    <m/>
    <n v="0"/>
    <n v="0"/>
    <n v="0"/>
    <n v="0"/>
    <s v="Not Known"/>
    <s v="-"/>
    <s v="Not Known"/>
    <s v="Not Known"/>
    <s v="-"/>
    <s v="-"/>
    <s v="-"/>
    <s v="-"/>
    <s v="-"/>
    <s v="-"/>
    <s v="-"/>
    <s v="-"/>
    <s v="-"/>
    <s v="-"/>
    <s v="-"/>
    <s v="-"/>
    <s v="-"/>
    <s v="-"/>
    <s v="-"/>
    <s v="-"/>
    <s v="-"/>
    <s v="-"/>
    <s v="-"/>
    <s v="-"/>
    <s v="-"/>
    <s v="-"/>
    <m/>
    <n v="110"/>
    <n v="0"/>
    <n v="110"/>
    <s v="Y"/>
    <m/>
    <m/>
    <m/>
    <m/>
    <m/>
    <m/>
    <s v="Y"/>
    <m/>
    <m/>
    <m/>
    <m/>
    <n v="0"/>
    <n v="0"/>
    <n v="0"/>
    <m/>
    <s v="Y"/>
  </r>
  <r>
    <x v="1"/>
    <x v="0"/>
    <x v="0"/>
    <n v="7065"/>
    <x v="24"/>
    <x v="7"/>
    <n v="0.10000000149011599"/>
    <n v="528737"/>
    <n v="177686"/>
    <m/>
    <x v="27"/>
    <s v="S96A"/>
    <d v="2017-09-01T00:00:00"/>
    <x v="19"/>
    <m/>
    <m/>
    <s v="Nil"/>
    <m/>
    <m/>
    <s v="Application under Section 96a of the Town and Country Planning Act for non-material amendments to planning permission 2015/6218, dated 08/02/2016 for the provision of hard landscaping and associated works, and planning permission for a period of 7 years only for the erection of temporary structures within six zones comprising flexible Class A1/A3/A4 floorspace; flexible Class A1/A4/A5/D2 floorspace; flexible Class A1/A5/D2 floorspace; Sui Generis (public welfare facilities) floorspace; Class B8 floorspace and Class B1 floorspace; and other works incidental to the application. (The amendments seek flexible Class A4 floorspace to be permitted in Zone 3 along with associated amendments to the wording of the description of development and to the wording of condition 2)."/>
    <s v="NB"/>
    <s v="NB"/>
    <s v="NSO"/>
    <m/>
    <m/>
    <m/>
    <m/>
    <s v="C"/>
    <s v="BF"/>
    <x v="6"/>
    <s v="C"/>
    <m/>
    <m/>
    <n v="24"/>
    <n v="0"/>
    <n v="0"/>
    <n v="25"/>
    <n v="24"/>
    <n v="73"/>
    <n v="0"/>
    <n v="0"/>
    <n v="0"/>
    <n v="0"/>
    <n v="0"/>
    <n v="0"/>
    <n v="0"/>
    <n v="0"/>
    <n v="25"/>
    <n v="25"/>
    <n v="0"/>
    <n v="0"/>
    <n v="0"/>
    <n v="0"/>
    <n v="0"/>
    <n v="0"/>
    <n v="0"/>
    <n v="0"/>
    <n v="0"/>
    <n v="0"/>
    <n v="0"/>
    <n v="0"/>
    <n v="0"/>
    <n v="0"/>
    <n v="0"/>
    <n v="0"/>
    <x v="1"/>
    <x v="1"/>
    <x v="1"/>
    <n v="24"/>
    <n v="0"/>
    <n v="0"/>
    <n v="25"/>
    <n v="24"/>
    <n v="73"/>
    <n v="0"/>
    <n v="0"/>
    <n v="0"/>
    <n v="0"/>
    <n v="0"/>
    <n v="0"/>
    <m/>
    <n v="0"/>
    <n v="0"/>
    <n v="25"/>
    <n v="25"/>
    <s v="Not Known"/>
    <s v="-"/>
    <s v="-"/>
    <s v="Not Known"/>
    <s v="Not Known"/>
    <s v="-"/>
    <s v="-"/>
    <s v="-"/>
    <s v="-"/>
    <s v="-"/>
    <s v="-"/>
    <s v="-"/>
    <s v="Not Known"/>
    <s v="-"/>
    <s v="-"/>
    <s v="-"/>
    <s v="-"/>
    <s v="-"/>
    <s v="-"/>
    <s v="-"/>
    <s v="-"/>
    <s v="-"/>
    <s v="-"/>
    <s v="-"/>
    <s v="-"/>
    <s v="-"/>
    <m/>
    <n v="98"/>
    <n v="0"/>
    <n v="98"/>
    <s v="Y"/>
    <m/>
    <m/>
    <m/>
    <m/>
    <m/>
    <m/>
    <s v="Y"/>
    <m/>
    <m/>
    <m/>
    <m/>
    <n v="0"/>
    <n v="0"/>
    <n v="0"/>
    <m/>
    <s v="Y"/>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6">
  <r>
    <x v="0"/>
    <x v="0"/>
    <x v="0"/>
    <x v="0"/>
    <n v="9"/>
    <x v="0"/>
    <x v="0"/>
    <n v="0.31999999284744302"/>
    <n v="524288"/>
    <n v="173076"/>
    <m/>
    <x v="0"/>
    <s v="PF"/>
    <d v="2016-01-11T00:00:00"/>
    <x v="0"/>
    <m/>
    <m/>
    <s v="Nil"/>
    <m/>
    <m/>
    <s v="Erection of a two-storey building."/>
    <x v="0"/>
    <s v="NB"/>
    <x v="0"/>
    <s v="OC"/>
    <m/>
    <d v="2017-03-31T00:00:00"/>
    <d v="2017-11-21T00:00:00"/>
    <d v="2017-11-21T00:00:00"/>
    <s v="C"/>
    <s v="GF"/>
    <x v="0"/>
    <m/>
    <d v="2017-03-31T00:00:00"/>
    <d v="2017-11-21T00:00:00"/>
    <m/>
    <m/>
    <m/>
    <m/>
    <m/>
    <m/>
    <m/>
    <m/>
    <m/>
    <m/>
    <m/>
    <m/>
    <m/>
    <n v="549"/>
    <m/>
    <n v="549"/>
    <m/>
    <m/>
    <m/>
    <m/>
    <m/>
    <m/>
    <m/>
    <m/>
    <m/>
    <m/>
    <m/>
    <m/>
    <m/>
    <m/>
    <m/>
    <x v="0"/>
    <x v="0"/>
    <x v="0"/>
    <m/>
    <m/>
    <m/>
    <m/>
    <m/>
    <m/>
    <m/>
    <x v="0"/>
    <m/>
    <m/>
    <m/>
    <m/>
    <m/>
    <x v="0"/>
    <m/>
    <n v="549"/>
    <m/>
    <n v="549"/>
    <s v="-"/>
    <s v="-"/>
    <s v="-"/>
    <s v="-"/>
    <s v="-"/>
    <s v="-"/>
    <s v="-"/>
    <s v="-"/>
    <s v="-"/>
    <s v="-"/>
    <s v="-"/>
    <x v="0"/>
    <x v="0"/>
    <s v="-"/>
    <s v="-"/>
    <s v="-"/>
    <s v="-"/>
    <s v="-"/>
    <s v="-"/>
    <s v="-"/>
    <s v="-"/>
    <s v="-"/>
    <s v="-"/>
    <s v="-"/>
    <x v="0"/>
    <x v="0"/>
    <n v="0.31999999284744302"/>
    <n v="549"/>
    <n v="0"/>
    <n v="549"/>
    <x v="0"/>
    <x v="0"/>
    <m/>
    <x v="0"/>
    <m/>
    <x v="0"/>
    <m/>
    <x v="0"/>
    <x v="0"/>
    <x v="0"/>
    <x v="0"/>
    <m/>
    <n v="0"/>
    <n v="0"/>
    <n v="0"/>
    <x v="0"/>
    <m/>
  </r>
  <r>
    <x v="1"/>
    <x v="0"/>
    <x v="0"/>
    <x v="1"/>
    <n v="12"/>
    <x v="1"/>
    <x v="1"/>
    <n v="0.60699999332428001"/>
    <n v="522148"/>
    <n v="174623"/>
    <s v="8.1.2"/>
    <x v="1"/>
    <s v="AF"/>
    <d v="2018-02-22T00:00:00"/>
    <x v="1"/>
    <m/>
    <m/>
    <s v="Nil"/>
    <m/>
    <m/>
    <s v="Erection of single storey security gatehouse at entrance from Roehampton Lane."/>
    <x v="1"/>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60699999332428001"/>
    <n v="18"/>
    <n v="0"/>
    <n v="18"/>
    <x v="0"/>
    <x v="0"/>
    <m/>
    <x v="0"/>
    <m/>
    <x v="0"/>
    <m/>
    <x v="0"/>
    <x v="0"/>
    <x v="0"/>
    <x v="0"/>
    <m/>
    <n v="0"/>
    <n v="0"/>
    <n v="0"/>
    <x v="0"/>
    <m/>
  </r>
  <r>
    <x v="1"/>
    <x v="1"/>
    <x v="1"/>
    <x v="1"/>
    <n v="13"/>
    <x v="2"/>
    <x v="2"/>
    <n v="0.210999995470047"/>
    <n v="527592"/>
    <n v="172887"/>
    <m/>
    <x v="2"/>
    <s v="RP"/>
    <d v="2017-10-19T00:00:00"/>
    <x v="2"/>
    <s v="Y"/>
    <m/>
    <s v="APP"/>
    <d v="2018-03-21T00:00:00"/>
    <m/>
    <s v="Erection of single storey (plus habitable roofspace) detached 10-bedroom residential building ancillary to Trinity Court Nursing Home."/>
    <x v="2"/>
    <s v="NB"/>
    <x v="0"/>
    <s v="NSO"/>
    <m/>
    <m/>
    <m/>
    <m/>
    <s v="C"/>
    <s v="Gdn"/>
    <x v="0"/>
    <m/>
    <m/>
    <m/>
    <m/>
    <m/>
    <m/>
    <m/>
    <m/>
    <m/>
    <m/>
    <m/>
    <m/>
    <m/>
    <m/>
    <m/>
    <m/>
    <m/>
    <m/>
    <m/>
    <m/>
    <m/>
    <m/>
    <m/>
    <m/>
    <m/>
    <m/>
    <m/>
    <m/>
    <m/>
    <m/>
    <m/>
    <m/>
    <m/>
    <m/>
    <x v="0"/>
    <x v="0"/>
    <x v="1"/>
    <m/>
    <m/>
    <m/>
    <m/>
    <m/>
    <m/>
    <m/>
    <x v="0"/>
    <m/>
    <m/>
    <m/>
    <m/>
    <m/>
    <x v="0"/>
    <m/>
    <m/>
    <m/>
    <m/>
    <s v="-"/>
    <s v="-"/>
    <s v="-"/>
    <s v="-"/>
    <s v="-"/>
    <s v="-"/>
    <s v="-"/>
    <s v="-"/>
    <s v="-"/>
    <s v="-"/>
    <s v="-"/>
    <x v="1"/>
    <x v="0"/>
    <s v="-"/>
    <s v="-"/>
    <s v="-"/>
    <s v="-"/>
    <s v="-"/>
    <s v="-"/>
    <s v="-"/>
    <s v="-"/>
    <s v="-"/>
    <s v="-"/>
    <s v="-"/>
    <x v="0"/>
    <x v="0"/>
    <n v="0.210999995470047"/>
    <n v="0"/>
    <n v="296"/>
    <n v="-296"/>
    <x v="0"/>
    <x v="0"/>
    <m/>
    <x v="0"/>
    <m/>
    <x v="0"/>
    <m/>
    <x v="0"/>
    <x v="0"/>
    <x v="0"/>
    <x v="0"/>
    <m/>
    <n v="0"/>
    <n v="0"/>
    <n v="0"/>
    <x v="0"/>
    <m/>
  </r>
  <r>
    <x v="2"/>
    <x v="0"/>
    <x v="0"/>
    <x v="1"/>
    <n v="35"/>
    <x v="3"/>
    <x v="3"/>
    <n v="6.0000000521540598E-3"/>
    <n v="527443"/>
    <n v="175002"/>
    <m/>
    <x v="3"/>
    <s v="PF"/>
    <d v="2016-07-27T00:00:00"/>
    <x v="3"/>
    <m/>
    <m/>
    <s v="Nil"/>
    <m/>
    <m/>
    <s v="Erection of a four-storey building to provide 2 x 2-bedroom flats and formation of roof terrace to rear."/>
    <x v="3"/>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
    <n v="0"/>
    <n v="73"/>
    <n v="-73"/>
    <x v="0"/>
    <x v="0"/>
    <m/>
    <x v="0"/>
    <m/>
    <x v="0"/>
    <m/>
    <x v="0"/>
    <x v="1"/>
    <x v="1"/>
    <x v="0"/>
    <m/>
    <n v="131"/>
    <n v="0"/>
    <n v="131"/>
    <x v="1"/>
    <m/>
  </r>
  <r>
    <x v="2"/>
    <x v="0"/>
    <x v="0"/>
    <x v="1"/>
    <n v="54"/>
    <x v="4"/>
    <x v="4"/>
    <n v="0.14300000667571999"/>
    <n v="527320"/>
    <n v="177144"/>
    <m/>
    <x v="4"/>
    <s v="PF"/>
    <d v="2017-01-30T00:00:00"/>
    <x v="4"/>
    <s v="Y"/>
    <m/>
    <s v="Nil"/>
    <m/>
    <m/>
    <s v="Erection of five two-storey flats with roof terraces above the existing business units of the Ransomes Dock Business Centre at third floor level."/>
    <x v="4"/>
    <s v="EXT"/>
    <x v="1"/>
    <s v="NSO"/>
    <m/>
    <m/>
    <m/>
    <m/>
    <s v="C"/>
    <s v="BF"/>
    <x v="0"/>
    <m/>
    <m/>
    <m/>
    <m/>
    <m/>
    <m/>
    <m/>
    <m/>
    <m/>
    <m/>
    <m/>
    <m/>
    <m/>
    <m/>
    <m/>
    <m/>
    <m/>
    <m/>
    <m/>
    <m/>
    <m/>
    <m/>
    <m/>
    <m/>
    <m/>
    <n v="354"/>
    <m/>
    <m/>
    <m/>
    <m/>
    <n v="354"/>
    <m/>
    <m/>
    <m/>
    <x v="0"/>
    <x v="1"/>
    <x v="1"/>
    <m/>
    <m/>
    <m/>
    <m/>
    <m/>
    <m/>
    <n v="-354"/>
    <x v="1"/>
    <m/>
    <m/>
    <m/>
    <m/>
    <n v="-354"/>
    <x v="1"/>
    <m/>
    <m/>
    <m/>
    <m/>
    <s v="-"/>
    <s v="-"/>
    <s v="-"/>
    <s v="-"/>
    <s v="-"/>
    <s v="-"/>
    <s v="-"/>
    <s v="-"/>
    <s v="-"/>
    <s v="-"/>
    <s v="-"/>
    <x v="1"/>
    <x v="0"/>
    <s v="-"/>
    <s v="-"/>
    <s v="-"/>
    <s v="-"/>
    <s v="-"/>
    <s v="Other"/>
    <s v="-"/>
    <s v="-"/>
    <s v="-"/>
    <s v="-"/>
    <s v="-"/>
    <x v="0"/>
    <x v="0"/>
    <n v="0.11600000597536539"/>
    <n v="0"/>
    <n v="354"/>
    <n v="-354"/>
    <x v="1"/>
    <x v="0"/>
    <m/>
    <x v="0"/>
    <m/>
    <x v="0"/>
    <m/>
    <x v="0"/>
    <x v="0"/>
    <x v="0"/>
    <x v="0"/>
    <m/>
    <n v="493"/>
    <n v="0"/>
    <n v="493"/>
    <x v="1"/>
    <m/>
  </r>
  <r>
    <x v="3"/>
    <x v="0"/>
    <x v="0"/>
    <x v="1"/>
    <n v="68"/>
    <x v="5"/>
    <x v="5"/>
    <n v="3.7999998778104803E-2"/>
    <n v="526960"/>
    <n v="175223"/>
    <m/>
    <x v="5"/>
    <s v="PF"/>
    <d v="2014-03-04T00:00:00"/>
    <x v="5"/>
    <m/>
    <m/>
    <s v="Nil"/>
    <m/>
    <m/>
    <s v="Erection of four-storey plus basement building to provide Class A1 shops at ground floor with 8 flats above including a first floor roof garden."/>
    <x v="5"/>
    <s v="NB"/>
    <x v="0"/>
    <s v="UC"/>
    <m/>
    <d v="2017-03-31T00:00:00"/>
    <m/>
    <m/>
    <s v="C"/>
    <s v="BF"/>
    <x v="0"/>
    <m/>
    <d v="2017-03-31T00:00:00"/>
    <m/>
    <n v="263"/>
    <m/>
    <m/>
    <m/>
    <m/>
    <n v="263"/>
    <m/>
    <m/>
    <m/>
    <m/>
    <m/>
    <m/>
    <m/>
    <m/>
    <m/>
    <m/>
    <m/>
    <m/>
    <m/>
    <m/>
    <m/>
    <m/>
    <m/>
    <m/>
    <m/>
    <m/>
    <m/>
    <m/>
    <m/>
    <m/>
    <m/>
    <x v="1"/>
    <x v="0"/>
    <x v="1"/>
    <n v="263"/>
    <m/>
    <m/>
    <m/>
    <m/>
    <n v="263"/>
    <m/>
    <x v="0"/>
    <m/>
    <m/>
    <m/>
    <m/>
    <m/>
    <x v="0"/>
    <m/>
    <m/>
    <m/>
    <m/>
    <s v="Not Known"/>
    <s v="-"/>
    <s v="-"/>
    <s v="-"/>
    <s v="-"/>
    <s v="-"/>
    <s v="-"/>
    <s v="-"/>
    <s v="-"/>
    <s v="-"/>
    <s v="-"/>
    <x v="1"/>
    <x v="0"/>
    <s v="-"/>
    <s v="-"/>
    <s v="-"/>
    <s v="-"/>
    <s v="-"/>
    <s v="-"/>
    <s v="-"/>
    <s v="-"/>
    <s v="-"/>
    <s v="-"/>
    <s v="-"/>
    <x v="0"/>
    <x v="0"/>
    <n v="8.999999612569802E-3"/>
    <n v="263"/>
    <n v="0"/>
    <n v="263"/>
    <x v="0"/>
    <x v="0"/>
    <m/>
    <x v="0"/>
    <m/>
    <x v="0"/>
    <m/>
    <x v="0"/>
    <x v="0"/>
    <x v="0"/>
    <x v="0"/>
    <m/>
    <n v="797"/>
    <n v="0"/>
    <n v="797"/>
    <x v="1"/>
    <m/>
  </r>
  <r>
    <x v="3"/>
    <x v="0"/>
    <x v="0"/>
    <x v="1"/>
    <n v="87"/>
    <x v="6"/>
    <x v="4"/>
    <n v="5.3210000991821298"/>
    <n v="526241"/>
    <n v="175489"/>
    <m/>
    <x v="6"/>
    <s v="PF"/>
    <d v="2010-11-12T00:00:00"/>
    <x v="6"/>
    <m/>
    <m/>
    <s v="Nil"/>
    <m/>
    <m/>
    <s v="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
    <x v="6"/>
    <s v="NB"/>
    <x v="0"/>
    <s v="UC"/>
    <m/>
    <d v="2012-03-31T00:00:00"/>
    <m/>
    <m/>
    <s v="C"/>
    <s v="BF"/>
    <x v="0"/>
    <m/>
    <d v="2012-03-31T00:00:00"/>
    <m/>
    <n v="110"/>
    <n v="110"/>
    <n v="109"/>
    <n v="109"/>
    <m/>
    <n v="438"/>
    <n v="109"/>
    <m/>
    <m/>
    <n v="109"/>
    <m/>
    <m/>
    <n v="109"/>
    <m/>
    <m/>
    <m/>
    <m/>
    <m/>
    <m/>
    <m/>
    <m/>
    <m/>
    <m/>
    <m/>
    <m/>
    <m/>
    <m/>
    <m/>
    <m/>
    <m/>
    <m/>
    <x v="1"/>
    <x v="1"/>
    <x v="1"/>
    <n v="110"/>
    <n v="110"/>
    <n v="109"/>
    <n v="109"/>
    <m/>
    <n v="438"/>
    <n v="109"/>
    <x v="0"/>
    <m/>
    <m/>
    <m/>
    <m/>
    <n v="109"/>
    <x v="0"/>
    <m/>
    <m/>
    <m/>
    <m/>
    <s v="Not Known"/>
    <s v="Not Known"/>
    <s v="Not Known"/>
    <s v="Not Known"/>
    <s v="-"/>
    <s v="Not Known"/>
    <s v="-"/>
    <s v="-"/>
    <s v="-"/>
    <s v="-"/>
    <s v="-"/>
    <x v="1"/>
    <x v="0"/>
    <s v="-"/>
    <s v="-"/>
    <s v="-"/>
    <s v="-"/>
    <s v="-"/>
    <s v="-"/>
    <s v="-"/>
    <s v="-"/>
    <s v="-"/>
    <s v="-"/>
    <s v="-"/>
    <x v="0"/>
    <x v="0"/>
    <n v="4.3450001031160372"/>
    <n v="547"/>
    <n v="0"/>
    <n v="547"/>
    <x v="1"/>
    <x v="0"/>
    <m/>
    <x v="0"/>
    <m/>
    <x v="0"/>
    <m/>
    <x v="0"/>
    <x v="0"/>
    <x v="0"/>
    <x v="0"/>
    <m/>
    <n v="0"/>
    <n v="0"/>
    <n v="0"/>
    <x v="0"/>
    <m/>
  </r>
  <r>
    <x v="3"/>
    <x v="2"/>
    <x v="2"/>
    <x v="1"/>
    <n v="90"/>
    <x v="7"/>
    <x v="6"/>
    <n v="8.0000003799796104E-3"/>
    <n v="528415"/>
    <n v="175709"/>
    <m/>
    <x v="7"/>
    <s v="PANR"/>
    <d v="2015-07-15T00:00:00"/>
    <x v="7"/>
    <m/>
    <m/>
    <s v="Nil"/>
    <m/>
    <m/>
    <s v="Determination as to whether prior approval is required for the change of use of ground floor from office (Class B1a) to residential (Class C3) to provide a two-bedroom flat."/>
    <x v="7"/>
    <s v="COU"/>
    <x v="2"/>
    <s v="UC"/>
    <m/>
    <d v="2016-03-31T00:00:00"/>
    <m/>
    <m/>
    <s v="C"/>
    <s v="BF"/>
    <x v="0"/>
    <m/>
    <d v="2016-03-31T00:00:00"/>
    <m/>
    <m/>
    <m/>
    <m/>
    <m/>
    <m/>
    <m/>
    <m/>
    <m/>
    <m/>
    <m/>
    <m/>
    <m/>
    <m/>
    <m/>
    <m/>
    <m/>
    <m/>
    <m/>
    <m/>
    <m/>
    <m/>
    <m/>
    <n v="63"/>
    <m/>
    <m/>
    <m/>
    <m/>
    <n v="63"/>
    <m/>
    <m/>
    <m/>
    <x v="0"/>
    <x v="1"/>
    <x v="1"/>
    <m/>
    <m/>
    <m/>
    <m/>
    <m/>
    <m/>
    <n v="-63"/>
    <x v="1"/>
    <m/>
    <m/>
    <m/>
    <m/>
    <n v="-63"/>
    <x v="1"/>
    <m/>
    <m/>
    <m/>
    <m/>
    <s v="-"/>
    <s v="-"/>
    <s v="-"/>
    <s v="-"/>
    <s v="-"/>
    <s v="-"/>
    <s v="-"/>
    <s v="-"/>
    <s v="-"/>
    <s v="-"/>
    <s v="-"/>
    <x v="1"/>
    <x v="0"/>
    <s v="-"/>
    <s v="-"/>
    <s v="-"/>
    <s v="-"/>
    <s v="-"/>
    <s v="Not Known"/>
    <s v="-"/>
    <s v="-"/>
    <s v="-"/>
    <s v="-"/>
    <s v="-"/>
    <x v="0"/>
    <x v="0"/>
    <n v="2.0000003278255506E-3"/>
    <n v="0"/>
    <n v="63"/>
    <n v="-63"/>
    <x v="0"/>
    <x v="0"/>
    <m/>
    <x v="0"/>
    <m/>
    <x v="0"/>
    <m/>
    <x v="0"/>
    <x v="0"/>
    <x v="0"/>
    <x v="0"/>
    <m/>
    <n v="63"/>
    <n v="0"/>
    <n v="63"/>
    <x v="1"/>
    <m/>
  </r>
  <r>
    <x v="0"/>
    <x v="0"/>
    <x v="0"/>
    <x v="0"/>
    <n v="101"/>
    <x v="8"/>
    <x v="5"/>
    <n v="9.9999997764825804E-3"/>
    <n v="525852"/>
    <n v="174974"/>
    <m/>
    <x v="8"/>
    <s v="PF"/>
    <d v="2012-03-29T00:00:00"/>
    <x v="8"/>
    <m/>
    <m/>
    <s v="Nil"/>
    <m/>
    <m/>
    <s v="Erection of three-storey building plus basement and rear lightwell to provide retail (Class A1) unit in front part of ground and lower ground floors, a one-bedroom maisonette on the ground and lower ground floors, and two 2-bedroom flats on the upper floors with rear balconies."/>
    <x v="8"/>
    <s v="NB"/>
    <x v="0"/>
    <s v="OC"/>
    <m/>
    <d v="2014-06-30T00:00:00"/>
    <d v="2017-05-04T00:00:00"/>
    <d v="2018-03-31T00:00:00"/>
    <s v="C"/>
    <s v="BF"/>
    <x v="0"/>
    <m/>
    <d v="2014-06-30T00:00:00"/>
    <d v="2017-05-04T00:00:00"/>
    <n v="64"/>
    <m/>
    <m/>
    <m/>
    <m/>
    <n v="64"/>
    <m/>
    <m/>
    <m/>
    <m/>
    <m/>
    <m/>
    <m/>
    <m/>
    <m/>
    <m/>
    <m/>
    <m/>
    <m/>
    <m/>
    <m/>
    <m/>
    <m/>
    <m/>
    <m/>
    <m/>
    <n v="93"/>
    <n v="93"/>
    <m/>
    <m/>
    <m/>
    <x v="1"/>
    <x v="1"/>
    <x v="1"/>
    <n v="64"/>
    <m/>
    <m/>
    <m/>
    <m/>
    <n v="64"/>
    <m/>
    <x v="0"/>
    <m/>
    <m/>
    <m/>
    <n v="-93"/>
    <n v="-93"/>
    <x v="1"/>
    <m/>
    <m/>
    <m/>
    <m/>
    <s v="Not Known"/>
    <s v="-"/>
    <s v="-"/>
    <s v="-"/>
    <s v="-"/>
    <s v="-"/>
    <s v="-"/>
    <s v="-"/>
    <s v="-"/>
    <s v="-"/>
    <s v="-"/>
    <x v="1"/>
    <x v="0"/>
    <s v="-"/>
    <s v="-"/>
    <s v="-"/>
    <s v="-"/>
    <s v="-"/>
    <s v="-"/>
    <s v="-"/>
    <s v="-"/>
    <s v="-"/>
    <s v="-"/>
    <s v="-"/>
    <x v="0"/>
    <x v="0"/>
    <n v="2.9999995604157404E-3"/>
    <n v="64"/>
    <n v="93"/>
    <n v="-29"/>
    <x v="0"/>
    <x v="0"/>
    <m/>
    <x v="0"/>
    <m/>
    <x v="0"/>
    <m/>
    <x v="0"/>
    <x v="0"/>
    <x v="0"/>
    <x v="0"/>
    <m/>
    <n v="214"/>
    <n v="0"/>
    <n v="214"/>
    <x v="1"/>
    <m/>
  </r>
  <r>
    <x v="0"/>
    <x v="0"/>
    <x v="0"/>
    <x v="0"/>
    <n v="101"/>
    <x v="8"/>
    <x v="5"/>
    <n v="9.9999997764825804E-3"/>
    <n v="525852"/>
    <n v="174974"/>
    <m/>
    <x v="9"/>
    <s v="PF"/>
    <d v="2016-12-09T00:00:00"/>
    <x v="9"/>
    <m/>
    <m/>
    <s v="Nil"/>
    <m/>
    <m/>
    <s v="Change of use of ground floor from retail (Use Class A1) to financial and professional services (Use Class A2)."/>
    <x v="9"/>
    <s v="COU"/>
    <x v="2"/>
    <s v="OC"/>
    <m/>
    <d v="2015-05-01T00:00:00"/>
    <d v="2017-05-01T00:00:00"/>
    <d v="2017-08-01T00:00:00"/>
    <s v="C"/>
    <s v="BF"/>
    <x v="0"/>
    <m/>
    <d v="2015-05-01T00:00:00"/>
    <d v="2017-05-01T00:00:00"/>
    <m/>
    <n v="32"/>
    <m/>
    <m/>
    <m/>
    <n v="32"/>
    <m/>
    <m/>
    <m/>
    <m/>
    <m/>
    <m/>
    <m/>
    <m/>
    <m/>
    <m/>
    <n v="32"/>
    <m/>
    <m/>
    <m/>
    <m/>
    <n v="32"/>
    <m/>
    <m/>
    <m/>
    <m/>
    <m/>
    <m/>
    <m/>
    <m/>
    <m/>
    <x v="1"/>
    <x v="0"/>
    <x v="1"/>
    <n v="-32"/>
    <n v="32"/>
    <m/>
    <m/>
    <m/>
    <m/>
    <m/>
    <x v="0"/>
    <m/>
    <m/>
    <m/>
    <m/>
    <m/>
    <x v="0"/>
    <m/>
    <m/>
    <m/>
    <m/>
    <s v="-"/>
    <s v="Estate Agent"/>
    <s v="-"/>
    <s v="-"/>
    <s v="-"/>
    <s v="-"/>
    <s v="-"/>
    <s v="-"/>
    <s v="-"/>
    <s v="-"/>
    <s v="-"/>
    <x v="1"/>
    <x v="0"/>
    <s v="Vacant"/>
    <s v="-"/>
    <s v="-"/>
    <s v="-"/>
    <s v="-"/>
    <s v="-"/>
    <s v="-"/>
    <s v="-"/>
    <s v="-"/>
    <s v="-"/>
    <s v="-"/>
    <x v="0"/>
    <x v="0"/>
    <n v="9.9999997764825804E-3"/>
    <n v="32"/>
    <n v="32"/>
    <n v="0"/>
    <x v="0"/>
    <x v="0"/>
    <m/>
    <x v="0"/>
    <m/>
    <x v="0"/>
    <m/>
    <x v="0"/>
    <x v="0"/>
    <x v="0"/>
    <x v="0"/>
    <m/>
    <n v="0"/>
    <n v="0"/>
    <n v="0"/>
    <x v="0"/>
    <m/>
  </r>
  <r>
    <x v="3"/>
    <x v="0"/>
    <x v="0"/>
    <x v="1"/>
    <n v="116"/>
    <x v="9"/>
    <x v="7"/>
    <n v="4.1000001132488299E-2"/>
    <n v="524382"/>
    <n v="175284"/>
    <m/>
    <x v="10"/>
    <s v="PF"/>
    <d v="2017-09-05T00:00:00"/>
    <x v="10"/>
    <s v="Y"/>
    <m/>
    <s v="Nil"/>
    <m/>
    <m/>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x v="10"/>
    <s v="MIX"/>
    <x v="0"/>
    <s v="UC"/>
    <m/>
    <d v="2018-03-31T00:00:00"/>
    <m/>
    <m/>
    <s v="C"/>
    <s v="BF"/>
    <x v="0"/>
    <m/>
    <d v="2018-03-31T00:00:00"/>
    <m/>
    <m/>
    <m/>
    <m/>
    <m/>
    <m/>
    <m/>
    <m/>
    <m/>
    <m/>
    <m/>
    <m/>
    <m/>
    <m/>
    <m/>
    <m/>
    <m/>
    <m/>
    <m/>
    <n v="91"/>
    <m/>
    <m/>
    <n v="91"/>
    <m/>
    <m/>
    <n v="259"/>
    <m/>
    <m/>
    <n v="259"/>
    <m/>
    <m/>
    <m/>
    <x v="1"/>
    <x v="1"/>
    <x v="1"/>
    <m/>
    <m/>
    <n v="-91"/>
    <m/>
    <m/>
    <n v="-91"/>
    <m/>
    <x v="0"/>
    <m/>
    <n v="-259"/>
    <m/>
    <m/>
    <n v="-259"/>
    <x v="1"/>
    <m/>
    <m/>
    <m/>
    <m/>
    <s v="-"/>
    <s v="-"/>
    <s v="-"/>
    <s v="-"/>
    <s v="-"/>
    <s v="-"/>
    <s v="-"/>
    <s v="-"/>
    <s v="-"/>
    <s v="-"/>
    <s v="-"/>
    <x v="1"/>
    <x v="0"/>
    <s v="-"/>
    <s v="-"/>
    <s v="Restaurant"/>
    <s v="-"/>
    <s v="-"/>
    <s v="-"/>
    <s v="-"/>
    <s v="Light Industrial"/>
    <s v="-"/>
    <s v="-"/>
    <s v="-"/>
    <x v="0"/>
    <x v="0"/>
    <n v="2.0000003278256018E-3"/>
    <n v="0"/>
    <n v="350"/>
    <n v="-350"/>
    <x v="0"/>
    <x v="0"/>
    <m/>
    <x v="0"/>
    <m/>
    <x v="0"/>
    <m/>
    <x v="0"/>
    <x v="0"/>
    <x v="0"/>
    <x v="0"/>
    <m/>
    <n v="502"/>
    <n v="111"/>
    <n v="391"/>
    <x v="1"/>
    <m/>
  </r>
  <r>
    <x v="0"/>
    <x v="0"/>
    <x v="0"/>
    <x v="0"/>
    <n v="167"/>
    <x v="10"/>
    <x v="4"/>
    <n v="0.230000004172325"/>
    <n v="526673"/>
    <n v="176397"/>
    <s v="10.5"/>
    <x v="11"/>
    <s v="PFLA"/>
    <d v="2014-12-02T00:00:00"/>
    <x v="11"/>
    <m/>
    <d v="2015-03-18T00:00:00"/>
    <s v="Nil"/>
    <m/>
    <m/>
    <s v="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x v="11"/>
    <s v="NB"/>
    <x v="0"/>
    <s v="OC"/>
    <m/>
    <d v="2016-01-20T00:00:00"/>
    <d v="2018-03-06T00:00:00"/>
    <d v="2018-03-06T00:00:00"/>
    <s v="C"/>
    <s v="BF"/>
    <x v="0"/>
    <m/>
    <d v="2016-01-20T00:00:00"/>
    <d v="2018-03-06T00:00:00"/>
    <m/>
    <m/>
    <n v="300"/>
    <n v="420"/>
    <m/>
    <n v="720"/>
    <m/>
    <m/>
    <m/>
    <m/>
    <m/>
    <m/>
    <m/>
    <m/>
    <n v="194"/>
    <n v="194"/>
    <m/>
    <m/>
    <m/>
    <m/>
    <m/>
    <m/>
    <n v="1876"/>
    <m/>
    <m/>
    <m/>
    <m/>
    <n v="1876"/>
    <m/>
    <m/>
    <m/>
    <x v="1"/>
    <x v="1"/>
    <x v="0"/>
    <m/>
    <m/>
    <n v="300"/>
    <n v="420"/>
    <m/>
    <n v="720"/>
    <n v="-1876"/>
    <x v="1"/>
    <m/>
    <m/>
    <m/>
    <m/>
    <n v="-1876"/>
    <x v="1"/>
    <m/>
    <m/>
    <n v="194"/>
    <n v="194"/>
    <s v="-"/>
    <s v="-"/>
    <s v="Restaurant"/>
    <s v="Public House"/>
    <s v="-"/>
    <s v="-"/>
    <s v="-"/>
    <s v="-"/>
    <s v="-"/>
    <s v="-"/>
    <s v="-"/>
    <x v="1"/>
    <x v="1"/>
    <s v="-"/>
    <s v="-"/>
    <s v="-"/>
    <s v="-"/>
    <s v="-"/>
    <s v="Vacant"/>
    <s v="-"/>
    <s v="-"/>
    <s v="-"/>
    <s v="-"/>
    <s v="-"/>
    <x v="0"/>
    <x v="0"/>
    <n v="4.0000000000000001E-3"/>
    <n v="914"/>
    <n v="1876"/>
    <n v="-962"/>
    <x v="1"/>
    <x v="0"/>
    <m/>
    <x v="0"/>
    <m/>
    <x v="0"/>
    <m/>
    <x v="0"/>
    <x v="0"/>
    <x v="0"/>
    <x v="0"/>
    <m/>
    <n v="15420"/>
    <n v="0"/>
    <n v="15420"/>
    <x v="1"/>
    <m/>
  </r>
  <r>
    <x v="2"/>
    <x v="0"/>
    <x v="0"/>
    <x v="1"/>
    <n v="167"/>
    <x v="10"/>
    <x v="4"/>
    <n v="0.230000004172325"/>
    <n v="526673"/>
    <n v="176397"/>
    <s v="10.5"/>
    <x v="12"/>
    <s v="S73"/>
    <d v="2017-05-09T00:00:00"/>
    <x v="12"/>
    <s v="Y"/>
    <d v="2017-07-20T00:00:00"/>
    <s v="Nil"/>
    <m/>
    <m/>
    <s v="Variation of conditions 2 (compliance with approved drawings) and 3 (ground and mezzanine floors - A3 and A4 uses only) pursuant to planning permission dated 12/06/2015 ref. 2014/6909 (Demolition of part-retained building on site. Erection of a 28 storey building comprising 135 residential units and ancillary floorspace (Use Class C3); commercial floorspace at ground floor and mezzanine levels (Use Classes A3-A4 (restaurants and cafes and drinking establishments); 30 car parking spaces, cycle parking and waste storage within a basement; infrastructure groundworks; on-site CHP and substation; public realm works; works to river wall; and access to two car lifts off Lombard Road.) to allow the use of part of the mezzanine floor for office (class B1a) use and the use of part of the ground floor to provide a separate access and core for the proposed office space."/>
    <x v="12"/>
    <s v="COU"/>
    <x v="2"/>
    <s v="NSO"/>
    <m/>
    <m/>
    <m/>
    <m/>
    <s v="C"/>
    <s v="BF"/>
    <x v="0"/>
    <m/>
    <m/>
    <m/>
    <m/>
    <m/>
    <n v="146"/>
    <n v="145"/>
    <m/>
    <n v="291"/>
    <n v="334"/>
    <m/>
    <m/>
    <n v="334"/>
    <m/>
    <m/>
    <n v="334"/>
    <m/>
    <m/>
    <m/>
    <m/>
    <m/>
    <n v="385"/>
    <n v="295"/>
    <m/>
    <n v="680"/>
    <m/>
    <m/>
    <m/>
    <m/>
    <m/>
    <m/>
    <m/>
    <m/>
    <m/>
    <x v="1"/>
    <x v="1"/>
    <x v="1"/>
    <m/>
    <m/>
    <n v="-239"/>
    <n v="-150"/>
    <m/>
    <n v="-389"/>
    <n v="334"/>
    <x v="0"/>
    <m/>
    <m/>
    <m/>
    <m/>
    <n v="334"/>
    <x v="0"/>
    <m/>
    <m/>
    <m/>
    <m/>
    <s v="-"/>
    <s v="-"/>
    <s v="Café"/>
    <s v="Bar"/>
    <s v="-"/>
    <s v="Not Known"/>
    <s v="-"/>
    <s v="-"/>
    <s v="-"/>
    <s v="-"/>
    <s v="-"/>
    <x v="1"/>
    <x v="0"/>
    <s v="-"/>
    <s v="-"/>
    <s v="Café"/>
    <s v="Bar"/>
    <s v="-"/>
    <s v="-"/>
    <s v="-"/>
    <s v="-"/>
    <s v="-"/>
    <s v="-"/>
    <s v="-"/>
    <x v="0"/>
    <x v="0"/>
    <n v="0"/>
    <n v="625"/>
    <n v="680"/>
    <n v="-55"/>
    <x v="1"/>
    <x v="0"/>
    <m/>
    <x v="0"/>
    <m/>
    <x v="0"/>
    <m/>
    <x v="0"/>
    <x v="0"/>
    <x v="0"/>
    <x v="0"/>
    <m/>
    <n v="0"/>
    <n v="0"/>
    <n v="0"/>
    <x v="0"/>
    <m/>
  </r>
  <r>
    <x v="2"/>
    <x v="0"/>
    <x v="0"/>
    <x v="1"/>
    <n v="170"/>
    <x v="11"/>
    <x v="8"/>
    <n v="1.60000007599592E-2"/>
    <n v="528164"/>
    <n v="176634"/>
    <m/>
    <x v="13"/>
    <s v="PF"/>
    <d v="2015-04-27T00:00:00"/>
    <x v="13"/>
    <m/>
    <m/>
    <s v="Nil"/>
    <m/>
    <m/>
    <s v="Demolition of upper floors of existing (B1a Use Class) building and erection of three additional storeys to provide five self contained (C3 Use Class) flats (4 x 2 bedroom, 1 x 3 bedroom), including roof terraces, cycle and refuse storage."/>
    <x v="13"/>
    <s v="MIX"/>
    <x v="0"/>
    <s v="NSO"/>
    <m/>
    <m/>
    <m/>
    <m/>
    <s v="C"/>
    <s v="BF"/>
    <x v="0"/>
    <m/>
    <m/>
    <m/>
    <m/>
    <n v="133"/>
    <m/>
    <m/>
    <m/>
    <n v="133"/>
    <m/>
    <m/>
    <m/>
    <m/>
    <m/>
    <m/>
    <m/>
    <m/>
    <m/>
    <m/>
    <m/>
    <n v="146"/>
    <m/>
    <m/>
    <m/>
    <n v="146"/>
    <n v="239"/>
    <m/>
    <m/>
    <m/>
    <m/>
    <n v="239"/>
    <m/>
    <m/>
    <m/>
    <x v="1"/>
    <x v="1"/>
    <x v="1"/>
    <m/>
    <n v="-13"/>
    <m/>
    <m/>
    <m/>
    <n v="-13"/>
    <n v="-239"/>
    <x v="1"/>
    <m/>
    <m/>
    <m/>
    <m/>
    <n v="-239"/>
    <x v="1"/>
    <m/>
    <m/>
    <m/>
    <m/>
    <s v="-"/>
    <s v="Betting Shop"/>
    <s v="-"/>
    <s v="-"/>
    <s v="-"/>
    <s v="-"/>
    <s v="-"/>
    <s v="-"/>
    <s v="-"/>
    <s v="-"/>
    <s v="-"/>
    <x v="1"/>
    <x v="0"/>
    <s v="-"/>
    <s v="Betting Shop"/>
    <s v="-"/>
    <s v="-"/>
    <s v="-"/>
    <s v="Not Known"/>
    <s v="-"/>
    <s v="-"/>
    <s v="-"/>
    <s v="-"/>
    <s v="-"/>
    <x v="0"/>
    <x v="0"/>
    <n v="4.0000006556510995E-3"/>
    <n v="133"/>
    <n v="385"/>
    <n v="-252"/>
    <x v="0"/>
    <x v="0"/>
    <m/>
    <x v="0"/>
    <m/>
    <x v="0"/>
    <m/>
    <x v="0"/>
    <x v="0"/>
    <x v="0"/>
    <x v="0"/>
    <m/>
    <n v="413"/>
    <n v="0"/>
    <n v="413"/>
    <x v="1"/>
    <m/>
  </r>
  <r>
    <x v="2"/>
    <x v="0"/>
    <x v="0"/>
    <x v="1"/>
    <n v="178"/>
    <x v="12"/>
    <x v="5"/>
    <n v="2.4200000762939502"/>
    <n v="525800"/>
    <n v="175285"/>
    <m/>
    <x v="14"/>
    <s v="PF"/>
    <d v="2015-10-26T00:00:00"/>
    <x v="14"/>
    <m/>
    <m/>
    <s v="Nil"/>
    <m/>
    <m/>
    <s v="Alterations to car parking provision to create 1472sqm of secure storage space for rent and retention of 439 car parking spaces."/>
    <x v="14"/>
    <s v="COU"/>
    <x v="2"/>
    <s v="NSO"/>
    <m/>
    <m/>
    <m/>
    <m/>
    <s v="C"/>
    <s v="BF"/>
    <x v="0"/>
    <m/>
    <m/>
    <m/>
    <m/>
    <m/>
    <m/>
    <m/>
    <m/>
    <m/>
    <m/>
    <m/>
    <m/>
    <m/>
    <m/>
    <n v="1472"/>
    <n v="1472"/>
    <m/>
    <m/>
    <m/>
    <m/>
    <m/>
    <m/>
    <m/>
    <m/>
    <m/>
    <m/>
    <m/>
    <m/>
    <m/>
    <m/>
    <m/>
    <m/>
    <m/>
    <m/>
    <x v="0"/>
    <x v="1"/>
    <x v="1"/>
    <m/>
    <m/>
    <m/>
    <m/>
    <m/>
    <m/>
    <m/>
    <x v="0"/>
    <m/>
    <m/>
    <m/>
    <n v="1472"/>
    <n v="1472"/>
    <x v="0"/>
    <m/>
    <m/>
    <m/>
    <m/>
    <s v="-"/>
    <s v="-"/>
    <s v="-"/>
    <s v="-"/>
    <s v="-"/>
    <s v="-"/>
    <s v="-"/>
    <s v="-"/>
    <s v="-"/>
    <s v="Storage"/>
    <s v="-"/>
    <x v="1"/>
    <x v="0"/>
    <s v="-"/>
    <s v="-"/>
    <s v="-"/>
    <s v="-"/>
    <s v="-"/>
    <s v="-"/>
    <s v="-"/>
    <s v="-"/>
    <s v="-"/>
    <s v="-"/>
    <s v="-"/>
    <x v="0"/>
    <x v="0"/>
    <n v="2.4200000762939502"/>
    <n v="1472"/>
    <n v="1472"/>
    <n v="0"/>
    <x v="1"/>
    <x v="0"/>
    <m/>
    <x v="0"/>
    <m/>
    <x v="0"/>
    <m/>
    <x v="0"/>
    <x v="0"/>
    <x v="0"/>
    <x v="0"/>
    <m/>
    <n v="0"/>
    <n v="0"/>
    <n v="0"/>
    <x v="0"/>
    <m/>
  </r>
  <r>
    <x v="2"/>
    <x v="0"/>
    <x v="0"/>
    <x v="1"/>
    <n v="180"/>
    <x v="13"/>
    <x v="9"/>
    <n v="1.8990000486373899"/>
    <n v="527950"/>
    <n v="176519"/>
    <m/>
    <x v="15"/>
    <s v="PFLA"/>
    <d v="2016-08-01T00:00:00"/>
    <x v="15"/>
    <s v="Y"/>
    <d v="2016-12-14T00:00:00"/>
    <s v="Nil"/>
    <m/>
    <m/>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x v="15"/>
    <s v="NB"/>
    <x v="0"/>
    <s v="NSO"/>
    <m/>
    <m/>
    <m/>
    <m/>
    <s v="C"/>
    <s v="BF"/>
    <x v="0"/>
    <m/>
    <m/>
    <m/>
    <m/>
    <m/>
    <m/>
    <m/>
    <m/>
    <m/>
    <n v="1248"/>
    <m/>
    <m/>
    <n v="1248"/>
    <m/>
    <m/>
    <n v="1248"/>
    <n v="1402"/>
    <m/>
    <n v="1402"/>
    <m/>
    <m/>
    <m/>
    <m/>
    <m/>
    <m/>
    <m/>
    <m/>
    <m/>
    <m/>
    <m/>
    <m/>
    <m/>
    <m/>
    <m/>
    <x v="0"/>
    <x v="1"/>
    <x v="0"/>
    <m/>
    <m/>
    <m/>
    <m/>
    <m/>
    <m/>
    <n v="1248"/>
    <x v="0"/>
    <m/>
    <m/>
    <m/>
    <m/>
    <n v="1248"/>
    <x v="0"/>
    <m/>
    <n v="1402"/>
    <m/>
    <n v="1402"/>
    <s v="-"/>
    <s v="-"/>
    <s v="-"/>
    <s v="-"/>
    <s v="-"/>
    <s v="Not Known"/>
    <s v="-"/>
    <s v="-"/>
    <s v="-"/>
    <s v="-"/>
    <s v="-"/>
    <x v="2"/>
    <x v="0"/>
    <s v="-"/>
    <s v="-"/>
    <s v="-"/>
    <s v="-"/>
    <s v="-"/>
    <s v="-"/>
    <s v="-"/>
    <s v="-"/>
    <s v="-"/>
    <s v="-"/>
    <s v="-"/>
    <x v="0"/>
    <x v="0"/>
    <n v="1.7480000462383025"/>
    <n v="2650"/>
    <n v="0"/>
    <n v="2650"/>
    <x v="0"/>
    <x v="0"/>
    <m/>
    <x v="0"/>
    <m/>
    <x v="0"/>
    <m/>
    <x v="0"/>
    <x v="0"/>
    <x v="0"/>
    <x v="0"/>
    <m/>
    <n v="4700"/>
    <n v="105"/>
    <n v="4595"/>
    <x v="1"/>
    <m/>
  </r>
  <r>
    <x v="2"/>
    <x v="0"/>
    <x v="0"/>
    <x v="1"/>
    <n v="213"/>
    <x v="14"/>
    <x v="10"/>
    <n v="0.111000001430511"/>
    <n v="523620"/>
    <n v="175154"/>
    <m/>
    <x v="16"/>
    <s v="PF"/>
    <d v="2017-05-17T00:00:00"/>
    <x v="16"/>
    <s v="Y"/>
    <m/>
    <s v="Nil"/>
    <m/>
    <m/>
    <s v="Conversion of storage area at first floor level into a 2-bedroom self contained flat."/>
    <x v="16"/>
    <s v="COU"/>
    <x v="2"/>
    <s v="NSO"/>
    <m/>
    <m/>
    <m/>
    <m/>
    <s v="C"/>
    <s v="BF"/>
    <x v="0"/>
    <m/>
    <m/>
    <m/>
    <m/>
    <m/>
    <m/>
    <m/>
    <m/>
    <m/>
    <m/>
    <m/>
    <m/>
    <m/>
    <m/>
    <m/>
    <m/>
    <m/>
    <m/>
    <m/>
    <m/>
    <m/>
    <m/>
    <m/>
    <m/>
    <m/>
    <m/>
    <m/>
    <m/>
    <m/>
    <n v="69"/>
    <n v="69"/>
    <m/>
    <m/>
    <m/>
    <x v="0"/>
    <x v="1"/>
    <x v="1"/>
    <m/>
    <m/>
    <m/>
    <m/>
    <m/>
    <m/>
    <m/>
    <x v="0"/>
    <m/>
    <m/>
    <m/>
    <n v="-69"/>
    <n v="-69"/>
    <x v="1"/>
    <m/>
    <m/>
    <m/>
    <m/>
    <s v="-"/>
    <s v="-"/>
    <s v="-"/>
    <s v="-"/>
    <s v="-"/>
    <s v="-"/>
    <s v="-"/>
    <s v="-"/>
    <s v="-"/>
    <s v="-"/>
    <s v="-"/>
    <x v="1"/>
    <x v="0"/>
    <s v="-"/>
    <s v="-"/>
    <s v="-"/>
    <s v="-"/>
    <s v="-"/>
    <s v="-"/>
    <s v="-"/>
    <s v="-"/>
    <s v="-"/>
    <s v="Storage"/>
    <s v="-"/>
    <x v="0"/>
    <x v="0"/>
    <n v="8.3000000566243709E-2"/>
    <n v="0"/>
    <n v="69"/>
    <n v="-69"/>
    <x v="0"/>
    <x v="0"/>
    <m/>
    <x v="0"/>
    <m/>
    <x v="0"/>
    <m/>
    <x v="0"/>
    <x v="1"/>
    <x v="2"/>
    <x v="0"/>
    <m/>
    <n v="69"/>
    <n v="0"/>
    <n v="69"/>
    <x v="1"/>
    <m/>
  </r>
  <r>
    <x v="3"/>
    <x v="0"/>
    <x v="0"/>
    <x v="1"/>
    <n v="215"/>
    <x v="15"/>
    <x v="11"/>
    <n v="0.10000000149011599"/>
    <n v="528736"/>
    <n v="174223"/>
    <m/>
    <x v="17"/>
    <s v="PFLA"/>
    <d v="2015-05-06T00:00:00"/>
    <x v="17"/>
    <m/>
    <d v="2015-09-16T00:00:00"/>
    <s v="Nil"/>
    <m/>
    <m/>
    <s v="Demolition of the existing building (Class B1 Use) and redevelopment of the site to provide a 4 -7 storey care facility (Class C2 Use) comprising 102 units, together with ancillary retail, cafe, day centre and accessible swimming pool; access, parking and associated landscaping."/>
    <x v="17"/>
    <s v="NB"/>
    <x v="0"/>
    <s v="UC"/>
    <m/>
    <d v="2018-03-31T00:00:00"/>
    <m/>
    <m/>
    <s v="C"/>
    <s v="BF"/>
    <x v="0"/>
    <m/>
    <d v="2018-03-31T00:00:00"/>
    <m/>
    <m/>
    <m/>
    <m/>
    <m/>
    <m/>
    <m/>
    <m/>
    <m/>
    <m/>
    <m/>
    <m/>
    <m/>
    <m/>
    <m/>
    <m/>
    <m/>
    <m/>
    <m/>
    <m/>
    <m/>
    <m/>
    <m/>
    <n v="2365"/>
    <m/>
    <m/>
    <m/>
    <m/>
    <n v="2365"/>
    <m/>
    <m/>
    <m/>
    <x v="0"/>
    <x v="1"/>
    <x v="1"/>
    <m/>
    <m/>
    <m/>
    <m/>
    <m/>
    <m/>
    <n v="-2365"/>
    <x v="1"/>
    <m/>
    <m/>
    <m/>
    <m/>
    <n v="-2365"/>
    <x v="1"/>
    <m/>
    <m/>
    <m/>
    <m/>
    <s v="-"/>
    <s v="-"/>
    <s v="-"/>
    <s v="-"/>
    <s v="-"/>
    <s v="-"/>
    <s v="-"/>
    <s v="-"/>
    <s v="-"/>
    <s v="-"/>
    <s v="-"/>
    <x v="1"/>
    <x v="0"/>
    <s v="-"/>
    <s v="-"/>
    <s v="-"/>
    <s v="-"/>
    <s v="-"/>
    <s v="Financial or Professional Services"/>
    <s v="-"/>
    <s v="-"/>
    <s v="-"/>
    <s v="-"/>
    <s v="-"/>
    <x v="0"/>
    <x v="0"/>
    <n v="0"/>
    <n v="0"/>
    <n v="2365"/>
    <n v="-2365"/>
    <x v="0"/>
    <x v="0"/>
    <m/>
    <x v="0"/>
    <m/>
    <x v="0"/>
    <m/>
    <x v="0"/>
    <x v="0"/>
    <x v="0"/>
    <x v="0"/>
    <m/>
    <n v="14988"/>
    <n v="0"/>
    <n v="14988"/>
    <x v="1"/>
    <m/>
  </r>
  <r>
    <x v="2"/>
    <x v="2"/>
    <x v="2"/>
    <x v="1"/>
    <n v="244"/>
    <x v="16"/>
    <x v="4"/>
    <n v="4.5000001788139302E-2"/>
    <n v="526455"/>
    <n v="175748"/>
    <s v="10.15"/>
    <x v="18"/>
    <s v="PAG"/>
    <d v="2016-06-27T00:00:00"/>
    <x v="18"/>
    <m/>
    <m/>
    <s v="Nil"/>
    <m/>
    <m/>
    <s v="Determination as to whether prior approval is required for change of use from office (Class B1a) to 4 x 1-bedroom residential units (Class C3) at ground level"/>
    <x v="18"/>
    <s v="COU"/>
    <x v="2"/>
    <s v="NSO"/>
    <m/>
    <m/>
    <m/>
    <m/>
    <s v="C"/>
    <s v="BF"/>
    <x v="0"/>
    <m/>
    <m/>
    <m/>
    <m/>
    <m/>
    <m/>
    <m/>
    <m/>
    <m/>
    <m/>
    <m/>
    <m/>
    <m/>
    <m/>
    <m/>
    <m/>
    <m/>
    <m/>
    <m/>
    <m/>
    <m/>
    <m/>
    <m/>
    <m/>
    <m/>
    <n v="260"/>
    <m/>
    <m/>
    <m/>
    <m/>
    <n v="260"/>
    <m/>
    <m/>
    <m/>
    <x v="0"/>
    <x v="1"/>
    <x v="1"/>
    <m/>
    <m/>
    <m/>
    <m/>
    <m/>
    <m/>
    <n v="-260"/>
    <x v="1"/>
    <m/>
    <m/>
    <m/>
    <m/>
    <n v="-260"/>
    <x v="1"/>
    <m/>
    <m/>
    <m/>
    <m/>
    <s v="-"/>
    <s v="-"/>
    <s v="-"/>
    <s v="-"/>
    <s v="-"/>
    <s v="-"/>
    <s v="-"/>
    <s v="-"/>
    <s v="-"/>
    <s v="-"/>
    <s v="-"/>
    <x v="1"/>
    <x v="0"/>
    <s v="-"/>
    <s v="-"/>
    <s v="-"/>
    <s v="-"/>
    <s v="-"/>
    <s v="Not Known"/>
    <s v="-"/>
    <s v="-"/>
    <s v="-"/>
    <s v="-"/>
    <s v="-"/>
    <x v="0"/>
    <x v="0"/>
    <n v="3.0000002123415401E-2"/>
    <n v="0"/>
    <n v="260"/>
    <n v="-260"/>
    <x v="1"/>
    <x v="0"/>
    <m/>
    <x v="0"/>
    <m/>
    <x v="0"/>
    <m/>
    <x v="0"/>
    <x v="0"/>
    <x v="0"/>
    <x v="0"/>
    <m/>
    <n v="260"/>
    <n v="0"/>
    <n v="260"/>
    <x v="1"/>
    <m/>
  </r>
  <r>
    <x v="0"/>
    <x v="0"/>
    <x v="0"/>
    <x v="0"/>
    <n v="253"/>
    <x v="17"/>
    <x v="8"/>
    <n v="2.93700003623962"/>
    <n v="529777"/>
    <n v="177618"/>
    <s v="2.1.15"/>
    <x v="19"/>
    <s v="POLA"/>
    <d v="2009-05-15T00:00:00"/>
    <x v="19"/>
    <m/>
    <d v="2009-09-16T00:00:00"/>
    <s v="Nil"/>
    <m/>
    <m/>
    <s v="Redevelopment of an area of 2.15 hectares to provide a new United States Embassy, to a maximum possible height of 97m, associated buildings, and new access road from Nine Elms Lane.  (Outline application)"/>
    <x v="19"/>
    <s v="NB"/>
    <x v="0"/>
    <s v="OC"/>
    <m/>
    <d v="2013-03-31T00:00:00"/>
    <d v="2018-01-16T00:00:00"/>
    <d v="2018-01-16T00:00:00"/>
    <s v="C"/>
    <s v="BF"/>
    <x v="0"/>
    <m/>
    <d v="2013-03-31T00:00:00"/>
    <d v="2018-01-16T00:00:00"/>
    <m/>
    <m/>
    <m/>
    <m/>
    <m/>
    <m/>
    <m/>
    <m/>
    <m/>
    <m/>
    <m/>
    <m/>
    <m/>
    <m/>
    <m/>
    <m/>
    <m/>
    <m/>
    <m/>
    <m/>
    <m/>
    <m/>
    <n v="4728"/>
    <n v="4728"/>
    <n v="4728"/>
    <n v="4728"/>
    <n v="4729"/>
    <n v="23641"/>
    <m/>
    <m/>
    <m/>
    <x v="0"/>
    <x v="1"/>
    <x v="1"/>
    <m/>
    <m/>
    <m/>
    <m/>
    <m/>
    <m/>
    <n v="-4728"/>
    <x v="1"/>
    <n v="-4728"/>
    <n v="-4728"/>
    <n v="-4728"/>
    <n v="-4729"/>
    <n v="-23641"/>
    <x v="1"/>
    <m/>
    <m/>
    <m/>
    <m/>
    <s v="-"/>
    <s v="-"/>
    <s v="-"/>
    <s v="-"/>
    <s v="-"/>
    <s v="-"/>
    <s v="-"/>
    <s v="-"/>
    <s v="-"/>
    <s v="-"/>
    <s v="-"/>
    <x v="1"/>
    <x v="0"/>
    <s v="-"/>
    <s v="-"/>
    <s v="-"/>
    <s v="-"/>
    <s v="-"/>
    <s v="Other"/>
    <s v="Research and Development"/>
    <s v="Light Industrial"/>
    <s v="General Industry"/>
    <s v="Other"/>
    <s v="-"/>
    <x v="0"/>
    <x v="0"/>
    <n v="2.93700003623962"/>
    <n v="51350"/>
    <n v="23641"/>
    <n v="27709"/>
    <x v="0"/>
    <x v="0"/>
    <m/>
    <x v="0"/>
    <m/>
    <x v="0"/>
    <m/>
    <x v="1"/>
    <x v="0"/>
    <x v="0"/>
    <x v="0"/>
    <m/>
    <n v="0"/>
    <n v="0"/>
    <n v="0"/>
    <x v="0"/>
    <m/>
  </r>
  <r>
    <x v="3"/>
    <x v="0"/>
    <x v="0"/>
    <x v="1"/>
    <n v="257"/>
    <x v="18"/>
    <x v="8"/>
    <n v="9.3999996781349196E-2"/>
    <n v="529138"/>
    <n v="176855"/>
    <m/>
    <x v="20"/>
    <s v="PF"/>
    <d v="2016-11-08T00:00:00"/>
    <x v="20"/>
    <m/>
    <m/>
    <s v="Nil"/>
    <m/>
    <m/>
    <s v="Demolition of existing buildings and construction of an electricity substation"/>
    <x v="20"/>
    <s v="NB"/>
    <x v="0"/>
    <s v="UC"/>
    <m/>
    <d v="2018-03-31T00:00:00"/>
    <m/>
    <m/>
    <s v="C"/>
    <s v="BF"/>
    <x v="0"/>
    <m/>
    <d v="2018-03-31T00:00:00"/>
    <m/>
    <m/>
    <m/>
    <m/>
    <m/>
    <m/>
    <m/>
    <m/>
    <m/>
    <m/>
    <m/>
    <m/>
    <m/>
    <m/>
    <m/>
    <m/>
    <m/>
    <m/>
    <m/>
    <m/>
    <m/>
    <m/>
    <m/>
    <m/>
    <m/>
    <m/>
    <m/>
    <n v="360"/>
    <n v="360"/>
    <m/>
    <m/>
    <m/>
    <x v="0"/>
    <x v="1"/>
    <x v="1"/>
    <m/>
    <m/>
    <m/>
    <m/>
    <m/>
    <m/>
    <m/>
    <x v="0"/>
    <m/>
    <m/>
    <m/>
    <n v="-360"/>
    <n v="-360"/>
    <x v="1"/>
    <m/>
    <m/>
    <m/>
    <m/>
    <s v="-"/>
    <s v="-"/>
    <s v="-"/>
    <s v="-"/>
    <s v="-"/>
    <s v="-"/>
    <s v="-"/>
    <s v="-"/>
    <s v="-"/>
    <s v="-"/>
    <s v="-"/>
    <x v="1"/>
    <x v="0"/>
    <s v="-"/>
    <s v="-"/>
    <s v="-"/>
    <s v="-"/>
    <s v="-"/>
    <s v="-"/>
    <s v="-"/>
    <s v="-"/>
    <s v="-"/>
    <s v="Storage"/>
    <s v="-"/>
    <x v="0"/>
    <x v="0"/>
    <n v="9.3999996781349196E-2"/>
    <n v="742"/>
    <n v="360"/>
    <n v="382"/>
    <x v="0"/>
    <x v="1"/>
    <s v="Queenstown Road"/>
    <x v="0"/>
    <m/>
    <x v="0"/>
    <m/>
    <x v="1"/>
    <x v="0"/>
    <x v="0"/>
    <x v="0"/>
    <m/>
    <n v="0"/>
    <n v="0"/>
    <n v="0"/>
    <x v="0"/>
    <m/>
  </r>
  <r>
    <x v="0"/>
    <x v="0"/>
    <x v="0"/>
    <x v="0"/>
    <n v="261"/>
    <x v="19"/>
    <x v="3"/>
    <n v="8.9999996125698107E-3"/>
    <n v="527765"/>
    <n v="174511"/>
    <m/>
    <x v="21"/>
    <s v="PF"/>
    <d v="2016-12-06T00:00:00"/>
    <x v="21"/>
    <m/>
    <m/>
    <s v="Nil"/>
    <m/>
    <m/>
    <s v="Change of use from retail (Use Class A1) to mixed use retail (Use Class A1) and children's party venue (Sui Generis)."/>
    <x v="21"/>
    <s v="COU"/>
    <x v="2"/>
    <s v="OC"/>
    <m/>
    <d v="2017-04-01T00:00:00"/>
    <d v="2017-04-30T00:00:00"/>
    <d v="2017-04-30T00:00:00"/>
    <s v="C"/>
    <s v="BF"/>
    <x v="0"/>
    <m/>
    <d v="2017-04-01T00:00:00"/>
    <d v="2017-04-30T00:00:00"/>
    <n v="40"/>
    <m/>
    <m/>
    <m/>
    <m/>
    <n v="40"/>
    <m/>
    <m/>
    <m/>
    <m/>
    <m/>
    <m/>
    <m/>
    <m/>
    <m/>
    <m/>
    <n v="81"/>
    <m/>
    <m/>
    <m/>
    <m/>
    <n v="81"/>
    <m/>
    <m/>
    <m/>
    <m/>
    <m/>
    <m/>
    <m/>
    <m/>
    <m/>
    <x v="1"/>
    <x v="0"/>
    <x v="1"/>
    <n v="-41"/>
    <m/>
    <m/>
    <m/>
    <m/>
    <n v="-41"/>
    <m/>
    <x v="0"/>
    <m/>
    <m/>
    <m/>
    <m/>
    <m/>
    <x v="0"/>
    <m/>
    <m/>
    <m/>
    <m/>
    <s v="-"/>
    <s v="-"/>
    <s v="-"/>
    <s v="-"/>
    <s v="-"/>
    <s v="-"/>
    <s v="-"/>
    <s v="-"/>
    <s v="-"/>
    <s v="-"/>
    <s v="-"/>
    <x v="1"/>
    <x v="0"/>
    <s v="Services"/>
    <s v="-"/>
    <s v="-"/>
    <s v="-"/>
    <s v="-"/>
    <s v="-"/>
    <s v="-"/>
    <s v="-"/>
    <s v="-"/>
    <s v="-"/>
    <s v="-"/>
    <x v="0"/>
    <x v="0"/>
    <n v="8.9999996125698107E-3"/>
    <n v="81"/>
    <n v="81"/>
    <n v="0"/>
    <x v="0"/>
    <x v="0"/>
    <m/>
    <x v="0"/>
    <m/>
    <x v="0"/>
    <m/>
    <x v="0"/>
    <x v="0"/>
    <x v="0"/>
    <x v="0"/>
    <m/>
    <n v="0"/>
    <n v="0"/>
    <n v="0"/>
    <x v="0"/>
    <m/>
  </r>
  <r>
    <x v="0"/>
    <x v="0"/>
    <x v="0"/>
    <x v="0"/>
    <n v="268"/>
    <x v="20"/>
    <x v="9"/>
    <n v="2.4000000208616298E-2"/>
    <n v="527137"/>
    <n v="175948"/>
    <m/>
    <x v="22"/>
    <s v="PF"/>
    <d v="2017-03-01T00:00:00"/>
    <x v="22"/>
    <s v="Y"/>
    <m/>
    <s v="Nil"/>
    <m/>
    <m/>
    <s v="Alterations in connection with change of use from Office (Class B1) to Yoga Studio (Class D2)."/>
    <x v="22"/>
    <s v="COU"/>
    <x v="2"/>
    <s v="OC"/>
    <m/>
    <d v="2017-04-25T00:00:00"/>
    <d v="2018-03-31T00:00:00"/>
    <d v="2018-03-31T00:00:00"/>
    <s v="C"/>
    <s v="BF"/>
    <x v="0"/>
    <m/>
    <d v="2017-04-25T00:00:00"/>
    <d v="2018-03-31T00:00:00"/>
    <m/>
    <m/>
    <m/>
    <m/>
    <m/>
    <m/>
    <m/>
    <m/>
    <m/>
    <m/>
    <m/>
    <m/>
    <m/>
    <m/>
    <n v="90"/>
    <n v="90"/>
    <m/>
    <m/>
    <m/>
    <m/>
    <m/>
    <m/>
    <n v="59"/>
    <m/>
    <m/>
    <m/>
    <m/>
    <n v="59"/>
    <m/>
    <m/>
    <m/>
    <x v="0"/>
    <x v="1"/>
    <x v="0"/>
    <m/>
    <m/>
    <m/>
    <m/>
    <m/>
    <m/>
    <n v="-59"/>
    <x v="1"/>
    <m/>
    <m/>
    <m/>
    <m/>
    <n v="-59"/>
    <x v="1"/>
    <m/>
    <m/>
    <n v="90"/>
    <n v="90"/>
    <s v="-"/>
    <s v="-"/>
    <s v="-"/>
    <s v="-"/>
    <s v="-"/>
    <s v="-"/>
    <s v="-"/>
    <s v="-"/>
    <s v="-"/>
    <s v="-"/>
    <s v="-"/>
    <x v="1"/>
    <x v="2"/>
    <s v="-"/>
    <s v="-"/>
    <s v="-"/>
    <s v="-"/>
    <s v="-"/>
    <s v="Vacant"/>
    <s v="-"/>
    <s v="-"/>
    <s v="-"/>
    <s v="-"/>
    <s v="-"/>
    <x v="0"/>
    <x v="0"/>
    <n v="2.4000000208616298E-2"/>
    <n v="90"/>
    <n v="59"/>
    <n v="31"/>
    <x v="0"/>
    <x v="0"/>
    <m/>
    <x v="0"/>
    <m/>
    <x v="0"/>
    <m/>
    <x v="0"/>
    <x v="0"/>
    <x v="0"/>
    <x v="0"/>
    <m/>
    <n v="0"/>
    <n v="0"/>
    <n v="0"/>
    <x v="0"/>
    <m/>
  </r>
  <r>
    <x v="2"/>
    <x v="0"/>
    <x v="0"/>
    <x v="1"/>
    <n v="271"/>
    <x v="21"/>
    <x v="12"/>
    <n v="8.0000003799796104E-3"/>
    <n v="525333"/>
    <n v="173427"/>
    <m/>
    <x v="23"/>
    <s v="PF"/>
    <d v="2017-11-29T00:00:00"/>
    <x v="23"/>
    <s v="Y"/>
    <m/>
    <s v="Nil"/>
    <m/>
    <m/>
    <s v="Alterations including erection of an additional floor in conjunction with a change of use from storage and distribution (B8) to workshop (B1(c)) and office (B1(a))."/>
    <x v="23"/>
    <s v="MIX"/>
    <x v="0"/>
    <s v="NSO"/>
    <m/>
    <m/>
    <m/>
    <m/>
    <s v="C"/>
    <s v="BF"/>
    <x v="0"/>
    <m/>
    <m/>
    <m/>
    <m/>
    <m/>
    <m/>
    <m/>
    <m/>
    <m/>
    <n v="40"/>
    <m/>
    <n v="59"/>
    <n v="99"/>
    <m/>
    <m/>
    <n v="99"/>
    <m/>
    <m/>
    <m/>
    <m/>
    <m/>
    <m/>
    <m/>
    <m/>
    <m/>
    <m/>
    <m/>
    <m/>
    <m/>
    <n v="59"/>
    <n v="59"/>
    <m/>
    <m/>
    <m/>
    <x v="0"/>
    <x v="1"/>
    <x v="1"/>
    <m/>
    <m/>
    <m/>
    <m/>
    <m/>
    <m/>
    <n v="40"/>
    <x v="0"/>
    <m/>
    <n v="59"/>
    <m/>
    <n v="-59"/>
    <n v="40"/>
    <x v="0"/>
    <m/>
    <m/>
    <m/>
    <m/>
    <s v="-"/>
    <s v="-"/>
    <s v="-"/>
    <s v="-"/>
    <s v="-"/>
    <s v="-"/>
    <s v="-"/>
    <s v="Light Industrial"/>
    <s v="-"/>
    <s v="-"/>
    <s v="-"/>
    <x v="1"/>
    <x v="0"/>
    <s v="-"/>
    <s v="-"/>
    <s v="-"/>
    <s v="-"/>
    <s v="-"/>
    <s v="-"/>
    <s v="-"/>
    <s v="-"/>
    <s v="-"/>
    <s v="Storage"/>
    <s v="-"/>
    <x v="0"/>
    <x v="0"/>
    <n v="8.0000003799796104E-3"/>
    <n v="99"/>
    <n v="59"/>
    <n v="40"/>
    <x v="0"/>
    <x v="0"/>
    <m/>
    <x v="1"/>
    <s v="Kimber Road"/>
    <x v="0"/>
    <m/>
    <x v="0"/>
    <x v="0"/>
    <x v="0"/>
    <x v="0"/>
    <m/>
    <n v="0"/>
    <n v="0"/>
    <n v="0"/>
    <x v="0"/>
    <m/>
  </r>
  <r>
    <x v="3"/>
    <x v="0"/>
    <x v="0"/>
    <x v="1"/>
    <n v="322"/>
    <x v="22"/>
    <x v="4"/>
    <n v="0.28700000047683699"/>
    <n v="527020"/>
    <n v="176330"/>
    <m/>
    <x v="24"/>
    <s v="S73"/>
    <d v="2017-02-13T00:00:00"/>
    <x v="24"/>
    <s v="Y"/>
    <m/>
    <s v="Nil"/>
    <m/>
    <m/>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x v="24"/>
    <s v="NB"/>
    <x v="0"/>
    <s v="UC"/>
    <m/>
    <d v="2018-03-31T00:00:00"/>
    <m/>
    <m/>
    <s v="C"/>
    <s v="BF"/>
    <x v="0"/>
    <m/>
    <d v="2018-03-31T00:00:00"/>
    <m/>
    <m/>
    <m/>
    <m/>
    <m/>
    <m/>
    <m/>
    <m/>
    <m/>
    <m/>
    <m/>
    <m/>
    <m/>
    <m/>
    <m/>
    <m/>
    <m/>
    <m/>
    <m/>
    <m/>
    <m/>
    <m/>
    <m/>
    <m/>
    <m/>
    <m/>
    <m/>
    <m/>
    <m/>
    <m/>
    <m/>
    <m/>
    <x v="0"/>
    <x v="0"/>
    <x v="1"/>
    <m/>
    <m/>
    <m/>
    <m/>
    <m/>
    <m/>
    <m/>
    <x v="0"/>
    <m/>
    <m/>
    <m/>
    <m/>
    <m/>
    <x v="0"/>
    <m/>
    <m/>
    <m/>
    <m/>
    <s v="-"/>
    <s v="-"/>
    <s v="-"/>
    <s v="-"/>
    <s v="-"/>
    <s v="-"/>
    <s v="-"/>
    <s v="-"/>
    <s v="-"/>
    <s v="-"/>
    <s v="-"/>
    <x v="1"/>
    <x v="0"/>
    <s v="-"/>
    <s v="-"/>
    <s v="-"/>
    <s v="-"/>
    <s v="-"/>
    <s v="-"/>
    <s v="-"/>
    <s v="-"/>
    <s v="-"/>
    <s v="-"/>
    <s v="-"/>
    <x v="0"/>
    <x v="0"/>
    <n v="4.9999997019767983E-2"/>
    <n v="0"/>
    <n v="1097"/>
    <n v="-1097"/>
    <x v="0"/>
    <x v="0"/>
    <m/>
    <x v="0"/>
    <m/>
    <x v="0"/>
    <m/>
    <x v="0"/>
    <x v="0"/>
    <x v="0"/>
    <x v="0"/>
    <m/>
    <n v="7623"/>
    <n v="0"/>
    <n v="7623"/>
    <x v="1"/>
    <m/>
  </r>
  <r>
    <x v="2"/>
    <x v="0"/>
    <x v="0"/>
    <x v="1"/>
    <n v="352"/>
    <x v="23"/>
    <x v="13"/>
    <n v="0.14200000464916199"/>
    <n v="526211"/>
    <n v="172125"/>
    <m/>
    <x v="25"/>
    <s v="PF"/>
    <d v="2016-11-08T00:00:00"/>
    <x v="25"/>
    <m/>
    <m/>
    <s v="Nil"/>
    <m/>
    <m/>
    <s v="Demolition of existing building and erection of a single storey office building to be used for car hire purposes (Use Class Sui Generis), with associated parking and including the creation of a car wash area with raised canopy over, cycle and bin store, and erection of sections of 1.2m high weld mesh boundary fencing and gates"/>
    <x v="25"/>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14200000464916199"/>
    <n v="70"/>
    <n v="658"/>
    <n v="-588"/>
    <x v="0"/>
    <x v="0"/>
    <m/>
    <x v="1"/>
    <s v="Summerstown"/>
    <x v="0"/>
    <m/>
    <x v="0"/>
    <x v="0"/>
    <x v="0"/>
    <x v="0"/>
    <m/>
    <n v="0"/>
    <n v="0"/>
    <n v="0"/>
    <x v="0"/>
    <m/>
  </r>
  <r>
    <x v="0"/>
    <x v="0"/>
    <x v="0"/>
    <x v="0"/>
    <n v="353"/>
    <x v="24"/>
    <x v="12"/>
    <n v="0.109999999403954"/>
    <n v="525369"/>
    <n v="173445"/>
    <m/>
    <x v="26"/>
    <s v="PF"/>
    <d v="2017-10-31T00:00:00"/>
    <x v="26"/>
    <s v="Y"/>
    <m/>
    <s v="Nil"/>
    <m/>
    <m/>
    <s v="Erection of first and second floor additions to provide class B1 business premises. (Renewal of planning permission dated 27 September 2013 Ref 2013/3855 )"/>
    <x v="26"/>
    <s v="EXT"/>
    <x v="1"/>
    <s v="OC"/>
    <m/>
    <d v="2018-01-02T00:00:00"/>
    <d v="2018-03-31T00:00:00"/>
    <d v="2018-03-31T00:00:00"/>
    <s v="C"/>
    <s v="BF"/>
    <x v="0"/>
    <m/>
    <d v="2018-01-02T00:00:00"/>
    <d v="2018-03-31T00:00:00"/>
    <m/>
    <m/>
    <m/>
    <m/>
    <m/>
    <m/>
    <n v="976"/>
    <m/>
    <m/>
    <n v="976"/>
    <m/>
    <m/>
    <n v="976"/>
    <m/>
    <m/>
    <m/>
    <m/>
    <m/>
    <m/>
    <m/>
    <m/>
    <m/>
    <m/>
    <m/>
    <m/>
    <m/>
    <m/>
    <m/>
    <m/>
    <m/>
    <m/>
    <x v="0"/>
    <x v="1"/>
    <x v="1"/>
    <m/>
    <m/>
    <m/>
    <m/>
    <m/>
    <m/>
    <n v="976"/>
    <x v="0"/>
    <m/>
    <m/>
    <m/>
    <m/>
    <n v="976"/>
    <x v="0"/>
    <m/>
    <m/>
    <m/>
    <m/>
    <s v="-"/>
    <s v="-"/>
    <s v="-"/>
    <s v="-"/>
    <s v="-"/>
    <s v="Other"/>
    <s v="-"/>
    <s v="-"/>
    <s v="-"/>
    <s v="-"/>
    <s v="-"/>
    <x v="1"/>
    <x v="0"/>
    <s v="-"/>
    <s v="-"/>
    <s v="-"/>
    <s v="-"/>
    <s v="-"/>
    <s v="-"/>
    <s v="-"/>
    <s v="-"/>
    <s v="-"/>
    <s v="-"/>
    <s v="-"/>
    <x v="0"/>
    <x v="0"/>
    <n v="0.109999999403954"/>
    <n v="976"/>
    <n v="0"/>
    <n v="976"/>
    <x v="0"/>
    <x v="0"/>
    <m/>
    <x v="1"/>
    <s v="Kimber Road"/>
    <x v="0"/>
    <m/>
    <x v="0"/>
    <x v="0"/>
    <x v="0"/>
    <x v="0"/>
    <m/>
    <n v="0"/>
    <n v="0"/>
    <n v="0"/>
    <x v="0"/>
    <m/>
  </r>
  <r>
    <x v="3"/>
    <x v="0"/>
    <x v="0"/>
    <x v="1"/>
    <n v="364"/>
    <x v="25"/>
    <x v="7"/>
    <n v="1.9999999552965199E-2"/>
    <n v="524358"/>
    <n v="175314"/>
    <m/>
    <x v="27"/>
    <s v="PF"/>
    <d v="2012-07-03T00:00:00"/>
    <x v="27"/>
    <m/>
    <m/>
    <s v="Nil"/>
    <m/>
    <m/>
    <s v="Demolition of existing rear addition. Excavation of basement and erection of ground floor rear extension in connection with the use of the rear of the property as a three-bedroom dwelling."/>
    <x v="27"/>
    <s v="NB"/>
    <x v="0"/>
    <s v="UC"/>
    <d v="2014-01-23T00:00:00"/>
    <d v="2014-05-06T00:00:00"/>
    <m/>
    <m/>
    <s v="C"/>
    <s v="BF"/>
    <x v="0"/>
    <m/>
    <d v="2014-05-06T00:00:00"/>
    <m/>
    <m/>
    <m/>
    <m/>
    <m/>
    <m/>
    <m/>
    <m/>
    <m/>
    <m/>
    <m/>
    <m/>
    <m/>
    <m/>
    <n v="86"/>
    <m/>
    <n v="86"/>
    <m/>
    <m/>
    <m/>
    <m/>
    <m/>
    <m/>
    <m/>
    <m/>
    <m/>
    <m/>
    <m/>
    <m/>
    <n v="136"/>
    <m/>
    <n v="136"/>
    <x v="0"/>
    <x v="0"/>
    <x v="0"/>
    <m/>
    <m/>
    <m/>
    <m/>
    <m/>
    <m/>
    <m/>
    <x v="0"/>
    <m/>
    <m/>
    <m/>
    <m/>
    <m/>
    <x v="0"/>
    <m/>
    <n v="-50"/>
    <m/>
    <n v="-50"/>
    <s v="-"/>
    <s v="-"/>
    <s v="-"/>
    <s v="-"/>
    <s v="-"/>
    <s v="-"/>
    <s v="-"/>
    <s v="-"/>
    <s v="-"/>
    <s v="-"/>
    <s v="-"/>
    <x v="3"/>
    <x v="0"/>
    <s v="-"/>
    <s v="-"/>
    <s v="-"/>
    <s v="-"/>
    <s v="-"/>
    <s v="-"/>
    <s v="-"/>
    <s v="-"/>
    <s v="-"/>
    <s v="-"/>
    <s v="-"/>
    <x v="1"/>
    <x v="0"/>
    <n v="6.9999992847442991E-3"/>
    <n v="86"/>
    <n v="136"/>
    <n v="-50"/>
    <x v="0"/>
    <x v="0"/>
    <m/>
    <x v="0"/>
    <m/>
    <x v="0"/>
    <m/>
    <x v="0"/>
    <x v="0"/>
    <x v="0"/>
    <x v="0"/>
    <m/>
    <n v="152"/>
    <n v="0"/>
    <n v="152"/>
    <x v="1"/>
    <m/>
  </r>
  <r>
    <x v="3"/>
    <x v="0"/>
    <x v="0"/>
    <x v="1"/>
    <n v="365"/>
    <x v="26"/>
    <x v="8"/>
    <n v="0.74000000953674305"/>
    <n v="530104"/>
    <n v="177808"/>
    <s v="2.1.12"/>
    <x v="28"/>
    <s v="S73"/>
    <d v="2014-02-21T00:00:00"/>
    <x v="28"/>
    <m/>
    <d v="2014-04-14T00:00:00"/>
    <s v="Nil"/>
    <m/>
    <m/>
    <s v="Minor-material amendments, under Section 73 of the Town and Country Planning Act, to pp 2012/0380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Minor amendments include: i. removal of office floorspace and enlargement of the hotel; ii. redistribution of residential and hotel uses.; iii. reduction in the height of  podium building.; iv. removal of the high level 'Skybridge' and reprovision of leisure facilities in podium building_x000d__x000a_v. re-articulation of the top of the towers and amendments to external facade.  _x000d__x000a_vi. redistribution of residential amenity areas vii. increase in size of basement level 2 from 11,331 sqm to 12,627 sqm. viii amendments to site access, servicing and drop-off arrangements. ix. changes to the landscaping strategy.x increase in car parking spaces from 109 to 124. An Environmental Statement has been submitted with the planning application under the Town and Country Planning (Environmental Impact Assessment) (England and Wales) Regulations 2011."/>
    <x v="28"/>
    <s v="NB"/>
    <x v="0"/>
    <s v="UC"/>
    <m/>
    <d v="2015-08-12T00:00:00"/>
    <m/>
    <m/>
    <s v="C"/>
    <s v="BF"/>
    <x v="0"/>
    <m/>
    <d v="2015-08-12T00:00:00"/>
    <m/>
    <n v="83"/>
    <n v="83"/>
    <n v="83"/>
    <n v="84"/>
    <m/>
    <n v="333"/>
    <m/>
    <m/>
    <m/>
    <m/>
    <m/>
    <m/>
    <m/>
    <m/>
    <m/>
    <m/>
    <m/>
    <n v="1736"/>
    <m/>
    <n v="470"/>
    <m/>
    <n v="2206"/>
    <n v="25389"/>
    <m/>
    <m/>
    <m/>
    <m/>
    <n v="25389"/>
    <m/>
    <m/>
    <m/>
    <x v="1"/>
    <x v="1"/>
    <x v="1"/>
    <n v="83"/>
    <n v="-1653"/>
    <n v="83"/>
    <n v="-386"/>
    <m/>
    <n v="-1873"/>
    <n v="-25389"/>
    <x v="1"/>
    <m/>
    <m/>
    <m/>
    <m/>
    <n v="-25389"/>
    <x v="1"/>
    <m/>
    <m/>
    <m/>
    <m/>
    <s v="Not Known"/>
    <s v="Not Known"/>
    <s v="Not Known"/>
    <s v="Not Known"/>
    <s v="-"/>
    <s v="-"/>
    <s v="-"/>
    <s v="-"/>
    <s v="-"/>
    <s v="-"/>
    <s v="Hotel"/>
    <x v="1"/>
    <x v="0"/>
    <s v="-"/>
    <s v="Not Known"/>
    <s v="-"/>
    <s v="Bar"/>
    <s v="-"/>
    <s v="Not Known"/>
    <s v="-"/>
    <s v="-"/>
    <s v="-"/>
    <s v="-"/>
    <s v="-"/>
    <x v="0"/>
    <x v="0"/>
    <n v="8.4000000000000005E-2"/>
    <n v="23116"/>
    <m/>
    <m/>
    <x v="0"/>
    <x v="0"/>
    <m/>
    <x v="0"/>
    <m/>
    <x v="0"/>
    <m/>
    <x v="1"/>
    <x v="0"/>
    <x v="0"/>
    <x v="0"/>
    <m/>
    <n v="77705"/>
    <m/>
    <m/>
    <x v="0"/>
    <m/>
  </r>
  <r>
    <x v="3"/>
    <x v="0"/>
    <x v="0"/>
    <x v="1"/>
    <n v="365"/>
    <x v="26"/>
    <x v="8"/>
    <n v="0.74000000953674305"/>
    <n v="530104"/>
    <n v="177808"/>
    <s v="2.1.12"/>
    <x v="29"/>
    <s v="S96A"/>
    <d v="2016-06-15T00:00:00"/>
    <x v="29"/>
    <m/>
    <m/>
    <s v="Nil"/>
    <m/>
    <m/>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x v="29"/>
    <s v="NB"/>
    <x v="0"/>
    <s v="UC"/>
    <m/>
    <d v="2015-08-12T00:00:00"/>
    <m/>
    <m/>
    <s v="C"/>
    <s v="BF"/>
    <x v="0"/>
    <m/>
    <d v="2015-08-12T00:00:00"/>
    <m/>
    <n v="109"/>
    <n v="109"/>
    <n v="109"/>
    <n v="110"/>
    <m/>
    <n v="437"/>
    <m/>
    <m/>
    <m/>
    <m/>
    <m/>
    <m/>
    <m/>
    <m/>
    <m/>
    <m/>
    <n v="83"/>
    <n v="83"/>
    <n v="83"/>
    <n v="84"/>
    <m/>
    <n v="333"/>
    <m/>
    <m/>
    <m/>
    <m/>
    <m/>
    <m/>
    <m/>
    <m/>
    <m/>
    <x v="1"/>
    <x v="0"/>
    <x v="1"/>
    <n v="26"/>
    <n v="26"/>
    <n v="26"/>
    <n v="26"/>
    <m/>
    <n v="104"/>
    <m/>
    <x v="0"/>
    <m/>
    <m/>
    <m/>
    <m/>
    <m/>
    <x v="0"/>
    <m/>
    <m/>
    <m/>
    <m/>
    <s v="Not Known"/>
    <s v="Not Known"/>
    <s v="Not Known"/>
    <s v="Not Known"/>
    <s v="-"/>
    <s v="-"/>
    <s v="-"/>
    <s v="-"/>
    <s v="-"/>
    <s v="-"/>
    <s v="-"/>
    <x v="1"/>
    <x v="0"/>
    <s v="Not Known"/>
    <s v="Not Known"/>
    <s v="Not Known"/>
    <s v="Not Known"/>
    <s v="-"/>
    <s v="-"/>
    <s v="-"/>
    <s v="-"/>
    <s v="-"/>
    <s v="-"/>
    <s v="-"/>
    <x v="0"/>
    <x v="0"/>
    <n v="0"/>
    <n v="437"/>
    <n v="333"/>
    <n v="104"/>
    <x v="0"/>
    <x v="0"/>
    <m/>
    <x v="0"/>
    <m/>
    <x v="0"/>
    <m/>
    <x v="1"/>
    <x v="0"/>
    <x v="0"/>
    <x v="0"/>
    <m/>
    <n v="0"/>
    <n v="0"/>
    <n v="0"/>
    <x v="0"/>
    <m/>
  </r>
  <r>
    <x v="0"/>
    <x v="3"/>
    <x v="3"/>
    <x v="0"/>
    <n v="371"/>
    <x v="27"/>
    <x v="13"/>
    <n v="0.104000002145767"/>
    <n v="526254"/>
    <n v="172053"/>
    <m/>
    <x v="30"/>
    <s v="LDC Exist"/>
    <d v="2017-08-14T00:00:00"/>
    <x v="30"/>
    <s v="Y"/>
    <m/>
    <s v="Nil"/>
    <m/>
    <m/>
    <s v="Continued use as vehicle repair workshop (Class B2)."/>
    <x v="30"/>
    <s v="COU"/>
    <x v="2"/>
    <s v="OC"/>
    <m/>
    <d v="2017-10-09T00:00:00"/>
    <d v="2017-10-09T00:00:00"/>
    <d v="2017-10-09T00:00:00"/>
    <s v="C"/>
    <s v="BF"/>
    <x v="0"/>
    <m/>
    <d v="2017-10-09T00:00:00"/>
    <d v="2017-10-09T00:00:00"/>
    <m/>
    <m/>
    <m/>
    <m/>
    <m/>
    <m/>
    <m/>
    <m/>
    <m/>
    <m/>
    <n v="43"/>
    <m/>
    <n v="43"/>
    <m/>
    <m/>
    <m/>
    <m/>
    <m/>
    <m/>
    <m/>
    <m/>
    <m/>
    <n v="43"/>
    <m/>
    <m/>
    <m/>
    <m/>
    <n v="43"/>
    <m/>
    <m/>
    <m/>
    <x v="0"/>
    <x v="1"/>
    <x v="1"/>
    <m/>
    <m/>
    <m/>
    <m/>
    <m/>
    <m/>
    <n v="-43"/>
    <x v="1"/>
    <m/>
    <m/>
    <n v="43"/>
    <m/>
    <m/>
    <x v="0"/>
    <m/>
    <m/>
    <m/>
    <m/>
    <s v="-"/>
    <s v="-"/>
    <s v="-"/>
    <s v="-"/>
    <s v="-"/>
    <s v="-"/>
    <s v="-"/>
    <s v="-"/>
    <s v="General Industry"/>
    <s v="-"/>
    <s v="-"/>
    <x v="1"/>
    <x v="0"/>
    <s v="-"/>
    <s v="-"/>
    <s v="-"/>
    <s v="-"/>
    <s v="-"/>
    <s v="Other"/>
    <s v="-"/>
    <s v="-"/>
    <s v="-"/>
    <s v="-"/>
    <s v="-"/>
    <x v="0"/>
    <x v="0"/>
    <n v="0.104000002145767"/>
    <n v="43"/>
    <n v="43"/>
    <n v="0"/>
    <x v="0"/>
    <x v="0"/>
    <m/>
    <x v="1"/>
    <s v="Summerstown"/>
    <x v="0"/>
    <m/>
    <x v="0"/>
    <x v="0"/>
    <x v="0"/>
    <x v="0"/>
    <m/>
    <n v="0"/>
    <n v="0"/>
    <n v="0"/>
    <x v="0"/>
    <m/>
  </r>
  <r>
    <x v="2"/>
    <x v="0"/>
    <x v="0"/>
    <x v="1"/>
    <n v="408"/>
    <x v="28"/>
    <x v="12"/>
    <n v="2.4000000208616298E-2"/>
    <n v="525290"/>
    <n v="173975"/>
    <m/>
    <x v="31"/>
    <s v="PF"/>
    <d v="2017-08-04T00:00:00"/>
    <x v="31"/>
    <s v="Y"/>
    <m/>
    <s v="Nil"/>
    <m/>
    <m/>
    <s v="The change of use of the lower ground floor from a non residential institution (Class D1) to a business use (Class B1)."/>
    <x v="31"/>
    <s v="COU"/>
    <x v="2"/>
    <s v="NSO"/>
    <m/>
    <m/>
    <m/>
    <m/>
    <s v="C"/>
    <s v="BF"/>
    <x v="0"/>
    <m/>
    <m/>
    <m/>
    <m/>
    <m/>
    <m/>
    <m/>
    <m/>
    <m/>
    <n v="63"/>
    <m/>
    <m/>
    <n v="63"/>
    <m/>
    <m/>
    <n v="63"/>
    <m/>
    <m/>
    <m/>
    <m/>
    <m/>
    <m/>
    <m/>
    <m/>
    <m/>
    <m/>
    <m/>
    <m/>
    <m/>
    <m/>
    <m/>
    <n v="63"/>
    <m/>
    <n v="63"/>
    <x v="0"/>
    <x v="1"/>
    <x v="0"/>
    <m/>
    <m/>
    <m/>
    <m/>
    <m/>
    <m/>
    <n v="63"/>
    <x v="0"/>
    <m/>
    <m/>
    <m/>
    <m/>
    <n v="63"/>
    <x v="0"/>
    <m/>
    <n v="-63"/>
    <m/>
    <n v="-63"/>
    <s v="-"/>
    <s v="-"/>
    <s v="-"/>
    <s v="-"/>
    <s v="-"/>
    <s v="Not Known"/>
    <s v="-"/>
    <s v="-"/>
    <s v="-"/>
    <s v="-"/>
    <s v="-"/>
    <x v="1"/>
    <x v="0"/>
    <s v="-"/>
    <s v="-"/>
    <s v="-"/>
    <s v="-"/>
    <s v="-"/>
    <s v="-"/>
    <s v="-"/>
    <s v="-"/>
    <s v="-"/>
    <s v="-"/>
    <s v="-"/>
    <x v="2"/>
    <x v="0"/>
    <n v="2.4000000208616298E-2"/>
    <n v="63"/>
    <n v="63"/>
    <n v="0"/>
    <x v="0"/>
    <x v="0"/>
    <m/>
    <x v="0"/>
    <m/>
    <x v="0"/>
    <m/>
    <x v="0"/>
    <x v="0"/>
    <x v="0"/>
    <x v="0"/>
    <m/>
    <n v="0"/>
    <n v="0"/>
    <n v="0"/>
    <x v="0"/>
    <m/>
  </r>
  <r>
    <x v="2"/>
    <x v="0"/>
    <x v="0"/>
    <x v="1"/>
    <n v="409"/>
    <x v="29"/>
    <x v="5"/>
    <n v="1.7000000923872001E-2"/>
    <n v="526720"/>
    <n v="175029"/>
    <m/>
    <x v="32"/>
    <s v="PF"/>
    <d v="2013-05-31T00:00:00"/>
    <x v="32"/>
    <m/>
    <m/>
    <s v="Nil"/>
    <m/>
    <m/>
    <s v="Construction of part single-storey and part two-storey rear extension, with roof terrace to the rear at first floor level, and erection of full mansard roof extension in connection with the enlargement of the existing 2 bedroom flat (C3 use class) at first and second floor levels and creation of an additional (B1 use class) unit at ground floor level."/>
    <x v="32"/>
    <s v="NB"/>
    <x v="0"/>
    <s v="NSO"/>
    <m/>
    <m/>
    <m/>
    <m/>
    <s v="C"/>
    <s v="BF"/>
    <x v="0"/>
    <m/>
    <m/>
    <m/>
    <n v="38"/>
    <m/>
    <m/>
    <m/>
    <m/>
    <n v="38"/>
    <n v="91"/>
    <m/>
    <m/>
    <n v="91"/>
    <m/>
    <m/>
    <n v="91"/>
    <m/>
    <m/>
    <m/>
    <n v="67"/>
    <m/>
    <m/>
    <m/>
    <m/>
    <n v="67"/>
    <m/>
    <m/>
    <m/>
    <m/>
    <m/>
    <m/>
    <m/>
    <m/>
    <m/>
    <x v="1"/>
    <x v="1"/>
    <x v="1"/>
    <n v="-29"/>
    <m/>
    <m/>
    <m/>
    <m/>
    <n v="-29"/>
    <n v="91"/>
    <x v="0"/>
    <m/>
    <m/>
    <m/>
    <m/>
    <n v="91"/>
    <x v="0"/>
    <m/>
    <m/>
    <m/>
    <m/>
    <s v="Not Known"/>
    <s v="-"/>
    <s v="-"/>
    <s v="-"/>
    <s v="-"/>
    <s v="Not Known"/>
    <s v="-"/>
    <s v="-"/>
    <s v="-"/>
    <s v="-"/>
    <s v="-"/>
    <x v="1"/>
    <x v="0"/>
    <s v="Not Known"/>
    <s v="-"/>
    <s v="-"/>
    <s v="-"/>
    <s v="-"/>
    <s v="-"/>
    <s v="-"/>
    <s v="-"/>
    <s v="-"/>
    <s v="-"/>
    <s v="-"/>
    <x v="0"/>
    <x v="0"/>
    <n v="1.7000000923872001E-2"/>
    <n v="129"/>
    <n v="67"/>
    <n v="62"/>
    <x v="0"/>
    <x v="0"/>
    <m/>
    <x v="0"/>
    <m/>
    <x v="0"/>
    <m/>
    <x v="0"/>
    <x v="0"/>
    <x v="0"/>
    <x v="0"/>
    <m/>
    <n v="56"/>
    <n v="0"/>
    <n v="56"/>
    <x v="1"/>
    <m/>
  </r>
  <r>
    <x v="2"/>
    <x v="2"/>
    <x v="2"/>
    <x v="1"/>
    <n v="411"/>
    <x v="30"/>
    <x v="8"/>
    <n v="7.9999998211860698E-2"/>
    <n v="528848"/>
    <n v="176719"/>
    <m/>
    <x v="33"/>
    <s v="PAG"/>
    <d v="2015-03-24T00:00:00"/>
    <x v="33"/>
    <m/>
    <m/>
    <s v="Nil"/>
    <m/>
    <m/>
    <s v="Application for prior approval for change of use of property from B1(a) offices to residential (use class C3)."/>
    <x v="33"/>
    <s v="COU"/>
    <x v="2"/>
    <s v="NSV"/>
    <m/>
    <m/>
    <m/>
    <m/>
    <s v="C"/>
    <s v="BF"/>
    <x v="0"/>
    <m/>
    <m/>
    <m/>
    <m/>
    <m/>
    <m/>
    <m/>
    <m/>
    <m/>
    <m/>
    <m/>
    <m/>
    <m/>
    <m/>
    <m/>
    <m/>
    <m/>
    <m/>
    <m/>
    <m/>
    <m/>
    <m/>
    <m/>
    <m/>
    <m/>
    <n v="356"/>
    <m/>
    <m/>
    <m/>
    <m/>
    <n v="356"/>
    <m/>
    <m/>
    <m/>
    <x v="0"/>
    <x v="1"/>
    <x v="1"/>
    <m/>
    <m/>
    <m/>
    <m/>
    <m/>
    <m/>
    <n v="-356"/>
    <x v="1"/>
    <m/>
    <m/>
    <m/>
    <m/>
    <n v="-356"/>
    <x v="1"/>
    <m/>
    <m/>
    <m/>
    <m/>
    <s v="-"/>
    <s v="-"/>
    <s v="-"/>
    <s v="-"/>
    <s v="-"/>
    <s v="-"/>
    <s v="-"/>
    <s v="-"/>
    <s v="-"/>
    <s v="-"/>
    <s v="-"/>
    <x v="1"/>
    <x v="0"/>
    <s v="-"/>
    <s v="-"/>
    <s v="-"/>
    <s v="-"/>
    <s v="-"/>
    <s v="Vacant"/>
    <s v="-"/>
    <s v="-"/>
    <s v="-"/>
    <s v="-"/>
    <s v="-"/>
    <x v="0"/>
    <x v="0"/>
    <n v="1.9999999552965199E-2"/>
    <n v="0"/>
    <n v="356"/>
    <n v="-356"/>
    <x v="0"/>
    <x v="1"/>
    <s v="Queenstown Road"/>
    <x v="0"/>
    <m/>
    <x v="0"/>
    <m/>
    <x v="1"/>
    <x v="0"/>
    <x v="0"/>
    <x v="0"/>
    <m/>
    <n v="356"/>
    <n v="0"/>
    <n v="356"/>
    <x v="1"/>
    <m/>
  </r>
  <r>
    <x v="2"/>
    <x v="0"/>
    <x v="0"/>
    <x v="1"/>
    <n v="419"/>
    <x v="31"/>
    <x v="14"/>
    <n v="2.9999999329447701E-2"/>
    <n v="527797"/>
    <n v="172208"/>
    <m/>
    <x v="34"/>
    <s v="PF"/>
    <d v="2017-09-05T00:00:00"/>
    <x v="4"/>
    <s v="Y"/>
    <m/>
    <s v="Nil"/>
    <m/>
    <m/>
    <s v="Demolition of existing building and erection of a three-storey building to provide 1 x 1-bedroom, 2 x 2-bedroom and 1 x 3-bedroom flats with private amenity area and the use of the ground floor as a community Class D1."/>
    <x v="34"/>
    <s v="NB"/>
    <x v="0"/>
    <s v="NSO"/>
    <m/>
    <m/>
    <m/>
    <m/>
    <s v="C"/>
    <s v="BF"/>
    <x v="0"/>
    <m/>
    <m/>
    <m/>
    <m/>
    <m/>
    <m/>
    <m/>
    <m/>
    <m/>
    <m/>
    <m/>
    <m/>
    <m/>
    <m/>
    <m/>
    <m/>
    <n v="241"/>
    <m/>
    <n v="241"/>
    <m/>
    <m/>
    <m/>
    <m/>
    <m/>
    <m/>
    <m/>
    <m/>
    <m/>
    <m/>
    <m/>
    <m/>
    <n v="237"/>
    <m/>
    <n v="237"/>
    <x v="0"/>
    <x v="0"/>
    <x v="0"/>
    <m/>
    <m/>
    <m/>
    <m/>
    <m/>
    <m/>
    <m/>
    <x v="0"/>
    <m/>
    <m/>
    <m/>
    <m/>
    <m/>
    <x v="0"/>
    <m/>
    <n v="4"/>
    <m/>
    <n v="4"/>
    <s v="-"/>
    <s v="-"/>
    <s v="-"/>
    <s v="-"/>
    <s v="-"/>
    <s v="-"/>
    <s v="-"/>
    <s v="-"/>
    <s v="-"/>
    <s v="-"/>
    <s v="-"/>
    <x v="4"/>
    <x v="0"/>
    <s v="-"/>
    <s v="-"/>
    <s v="-"/>
    <s v="-"/>
    <s v="-"/>
    <s v="-"/>
    <s v="-"/>
    <s v="-"/>
    <s v="-"/>
    <s v="-"/>
    <s v="-"/>
    <x v="3"/>
    <x v="0"/>
    <n v="6.9999992847442002E-3"/>
    <n v="241"/>
    <n v="237"/>
    <n v="4"/>
    <x v="0"/>
    <x v="0"/>
    <m/>
    <x v="0"/>
    <m/>
    <x v="0"/>
    <m/>
    <x v="0"/>
    <x v="0"/>
    <x v="0"/>
    <x v="0"/>
    <m/>
    <n v="388"/>
    <n v="0"/>
    <n v="388"/>
    <x v="1"/>
    <m/>
  </r>
  <r>
    <x v="0"/>
    <x v="0"/>
    <x v="0"/>
    <x v="0"/>
    <n v="436"/>
    <x v="32"/>
    <x v="13"/>
    <n v="7.4000000022351698E-3"/>
    <n v="525937"/>
    <n v="173377"/>
    <m/>
    <x v="35"/>
    <s v="PF"/>
    <d v="2014-03-03T00:00:00"/>
    <x v="34"/>
    <m/>
    <m/>
    <s v="Nil"/>
    <m/>
    <m/>
    <s v="Change of use of ground floor office/shop as extension to existing self-contained flat and alterations to front elevation (re-submission)"/>
    <x v="35"/>
    <s v="COU"/>
    <x v="2"/>
    <s v="OC"/>
    <m/>
    <d v="2017-03-23T00:00:00"/>
    <d v="2017-10-04T00:00:00"/>
    <d v="2017-10-04T00:00:00"/>
    <s v="C"/>
    <s v="BF"/>
    <x v="0"/>
    <m/>
    <d v="2017-03-23T00:00:00"/>
    <d v="2017-10-04T00:00:00"/>
    <m/>
    <m/>
    <m/>
    <m/>
    <m/>
    <m/>
    <m/>
    <m/>
    <m/>
    <m/>
    <m/>
    <m/>
    <m/>
    <m/>
    <m/>
    <m/>
    <n v="15"/>
    <m/>
    <m/>
    <m/>
    <m/>
    <n v="15"/>
    <m/>
    <m/>
    <m/>
    <m/>
    <m/>
    <m/>
    <m/>
    <m/>
    <m/>
    <x v="1"/>
    <x v="0"/>
    <x v="1"/>
    <n v="-15"/>
    <m/>
    <m/>
    <m/>
    <m/>
    <n v="-15"/>
    <m/>
    <x v="0"/>
    <m/>
    <m/>
    <m/>
    <m/>
    <m/>
    <x v="0"/>
    <m/>
    <m/>
    <m/>
    <m/>
    <s v="-"/>
    <s v="-"/>
    <s v="-"/>
    <s v="-"/>
    <s v="-"/>
    <s v="-"/>
    <s v="-"/>
    <s v="-"/>
    <s v="-"/>
    <s v="-"/>
    <s v="-"/>
    <x v="1"/>
    <x v="0"/>
    <s v="Other"/>
    <s v="-"/>
    <s v="-"/>
    <s v="-"/>
    <s v="-"/>
    <s v="-"/>
    <s v="-"/>
    <s v="-"/>
    <s v="-"/>
    <s v="-"/>
    <s v="-"/>
    <x v="0"/>
    <x v="0"/>
    <n v="7.4000000022351698E-3"/>
    <n v="0"/>
    <n v="15"/>
    <n v="-15"/>
    <x v="0"/>
    <x v="0"/>
    <m/>
    <x v="0"/>
    <m/>
    <x v="0"/>
    <m/>
    <x v="0"/>
    <x v="0"/>
    <x v="0"/>
    <x v="0"/>
    <m/>
    <n v="15"/>
    <n v="0"/>
    <n v="15"/>
    <x v="1"/>
    <m/>
  </r>
  <r>
    <x v="1"/>
    <x v="2"/>
    <x v="2"/>
    <x v="1"/>
    <n v="441"/>
    <x v="33"/>
    <x v="4"/>
    <n v="2.0999999716877899E-2"/>
    <n v="527142"/>
    <n v="177106"/>
    <m/>
    <x v="36"/>
    <s v="NPA"/>
    <d v="2018-03-29T00:00:00"/>
    <x v="1"/>
    <m/>
    <m/>
    <s v="Nil"/>
    <m/>
    <m/>
    <s v="Determination as to whether prior approval is required for change of use from retail (Class A1) to restaurant (Class A3)"/>
    <x v="36"/>
    <s v="COU"/>
    <x v="2"/>
    <s v="NSO"/>
    <m/>
    <m/>
    <m/>
    <m/>
    <s v="P"/>
    <s v="BF"/>
    <x v="0"/>
    <m/>
    <m/>
    <m/>
    <m/>
    <m/>
    <n v="30"/>
    <m/>
    <m/>
    <n v="30"/>
    <m/>
    <m/>
    <m/>
    <m/>
    <m/>
    <m/>
    <m/>
    <m/>
    <m/>
    <m/>
    <n v="30"/>
    <m/>
    <m/>
    <m/>
    <m/>
    <n v="30"/>
    <m/>
    <m/>
    <m/>
    <m/>
    <m/>
    <m/>
    <m/>
    <m/>
    <m/>
    <x v="1"/>
    <x v="0"/>
    <x v="1"/>
    <n v="-30"/>
    <m/>
    <n v="30"/>
    <m/>
    <m/>
    <m/>
    <m/>
    <x v="0"/>
    <m/>
    <m/>
    <m/>
    <m/>
    <m/>
    <x v="0"/>
    <m/>
    <m/>
    <m/>
    <m/>
    <s v="-"/>
    <s v="-"/>
    <s v="Restaurant"/>
    <s v="-"/>
    <s v="-"/>
    <s v="-"/>
    <s v="-"/>
    <s v="-"/>
    <s v="-"/>
    <s v="-"/>
    <s v="-"/>
    <x v="1"/>
    <x v="0"/>
    <s v="Not Known"/>
    <s v="-"/>
    <s v="-"/>
    <s v="-"/>
    <s v="-"/>
    <s v="-"/>
    <s v="-"/>
    <s v="-"/>
    <s v="-"/>
    <s v="-"/>
    <s v="-"/>
    <x v="0"/>
    <x v="0"/>
    <n v="2.0999999716877899E-2"/>
    <n v="30"/>
    <n v="30"/>
    <n v="0"/>
    <x v="0"/>
    <x v="0"/>
    <m/>
    <x v="0"/>
    <m/>
    <x v="0"/>
    <m/>
    <x v="0"/>
    <x v="0"/>
    <x v="0"/>
    <x v="0"/>
    <m/>
    <n v="0"/>
    <n v="0"/>
    <n v="0"/>
    <x v="0"/>
    <m/>
  </r>
  <r>
    <x v="2"/>
    <x v="0"/>
    <x v="0"/>
    <x v="1"/>
    <n v="457"/>
    <x v="34"/>
    <x v="15"/>
    <n v="1.60000007599592E-2"/>
    <n v="529185"/>
    <n v="170570"/>
    <m/>
    <x v="37"/>
    <s v="PF"/>
    <d v="2017-06-14T00:00:00"/>
    <x v="35"/>
    <s v="Y"/>
    <m/>
    <s v="Nil"/>
    <m/>
    <m/>
    <s v="Demolition of existing workshop building and erection of a two-storey 1-bedroom house (fronting Fallsbrook Road) with associated landscaping, cycle and refuse storage."/>
    <x v="37"/>
    <s v="NB"/>
    <x v="0"/>
    <s v="NSO"/>
    <m/>
    <m/>
    <m/>
    <m/>
    <s v="C"/>
    <s v="BF"/>
    <x v="0"/>
    <m/>
    <m/>
    <m/>
    <m/>
    <m/>
    <m/>
    <m/>
    <m/>
    <m/>
    <m/>
    <m/>
    <m/>
    <m/>
    <m/>
    <m/>
    <m/>
    <m/>
    <m/>
    <m/>
    <m/>
    <m/>
    <m/>
    <m/>
    <m/>
    <m/>
    <m/>
    <m/>
    <m/>
    <n v="21"/>
    <m/>
    <n v="21"/>
    <m/>
    <m/>
    <m/>
    <x v="0"/>
    <x v="1"/>
    <x v="1"/>
    <m/>
    <m/>
    <m/>
    <m/>
    <m/>
    <m/>
    <m/>
    <x v="0"/>
    <m/>
    <m/>
    <n v="-21"/>
    <m/>
    <n v="-21"/>
    <x v="1"/>
    <m/>
    <m/>
    <m/>
    <m/>
    <s v="-"/>
    <s v="-"/>
    <s v="-"/>
    <s v="-"/>
    <s v="-"/>
    <s v="-"/>
    <s v="-"/>
    <s v="-"/>
    <s v="-"/>
    <s v="-"/>
    <s v="-"/>
    <x v="1"/>
    <x v="0"/>
    <s v="-"/>
    <s v="-"/>
    <s v="-"/>
    <s v="-"/>
    <s v="-"/>
    <s v="-"/>
    <s v="-"/>
    <s v="-"/>
    <s v="Vacant"/>
    <s v="-"/>
    <s v="-"/>
    <x v="0"/>
    <x v="0"/>
    <n v="0"/>
    <n v="0"/>
    <n v="21"/>
    <n v="-21"/>
    <x v="0"/>
    <x v="0"/>
    <m/>
    <x v="0"/>
    <m/>
    <x v="0"/>
    <m/>
    <x v="0"/>
    <x v="0"/>
    <x v="0"/>
    <x v="0"/>
    <m/>
    <n v="58"/>
    <n v="0"/>
    <n v="58"/>
    <x v="1"/>
    <m/>
  </r>
  <r>
    <x v="0"/>
    <x v="0"/>
    <x v="0"/>
    <x v="0"/>
    <n v="459"/>
    <x v="35"/>
    <x v="12"/>
    <n v="1.2500000186264499E-2"/>
    <n v="525240"/>
    <n v="173560"/>
    <m/>
    <x v="38"/>
    <s v="PF"/>
    <d v="2016-09-06T00:00:00"/>
    <x v="36"/>
    <m/>
    <m/>
    <s v="Nil"/>
    <m/>
    <m/>
    <s v="Erection of a single-storey rear/side extension."/>
    <x v="38"/>
    <s v="EXT"/>
    <x v="1"/>
    <s v="OC"/>
    <m/>
    <d v="2017-03-06T00:00:00"/>
    <d v="2017-11-29T00:00:00"/>
    <d v="2017-11-29T00:00:00"/>
    <s v="C"/>
    <s v="BF"/>
    <x v="0"/>
    <m/>
    <d v="2017-03-06T00:00:00"/>
    <d v="2017-11-29T00:00:00"/>
    <m/>
    <n v="28"/>
    <m/>
    <m/>
    <m/>
    <n v="28"/>
    <m/>
    <m/>
    <m/>
    <m/>
    <m/>
    <m/>
    <m/>
    <m/>
    <m/>
    <m/>
    <m/>
    <m/>
    <m/>
    <m/>
    <m/>
    <m/>
    <m/>
    <m/>
    <m/>
    <m/>
    <m/>
    <m/>
    <m/>
    <m/>
    <m/>
    <x v="1"/>
    <x v="0"/>
    <x v="1"/>
    <m/>
    <n v="28"/>
    <m/>
    <m/>
    <m/>
    <n v="28"/>
    <m/>
    <x v="0"/>
    <m/>
    <m/>
    <m/>
    <m/>
    <m/>
    <x v="0"/>
    <m/>
    <m/>
    <m/>
    <m/>
    <s v="-"/>
    <s v="Not Known"/>
    <s v="-"/>
    <s v="-"/>
    <s v="-"/>
    <s v="-"/>
    <s v="-"/>
    <s v="-"/>
    <s v="-"/>
    <s v="-"/>
    <s v="-"/>
    <x v="1"/>
    <x v="0"/>
    <s v="-"/>
    <s v="-"/>
    <s v="-"/>
    <s v="-"/>
    <s v="-"/>
    <s v="-"/>
    <s v="-"/>
    <s v="-"/>
    <s v="-"/>
    <s v="-"/>
    <s v="-"/>
    <x v="0"/>
    <x v="0"/>
    <n v="1.2500000186264499E-2"/>
    <n v="28"/>
    <n v="0"/>
    <n v="28"/>
    <x v="0"/>
    <x v="0"/>
    <m/>
    <x v="0"/>
    <m/>
    <x v="0"/>
    <m/>
    <x v="0"/>
    <x v="0"/>
    <x v="0"/>
    <x v="0"/>
    <m/>
    <n v="0"/>
    <n v="0"/>
    <n v="0"/>
    <x v="0"/>
    <m/>
  </r>
  <r>
    <x v="2"/>
    <x v="0"/>
    <x v="0"/>
    <x v="1"/>
    <n v="463"/>
    <x v="36"/>
    <x v="4"/>
    <n v="3.7999998778104803E-2"/>
    <n v="527418"/>
    <n v="176670"/>
    <m/>
    <x v="39"/>
    <s v="PF"/>
    <d v="2017-06-16T00:00:00"/>
    <x v="37"/>
    <s v="Y"/>
    <m/>
    <s v="Nil"/>
    <m/>
    <m/>
    <s v="Change of use of ground and lower ground floors from a public house (Use Class A4) to retail store (Use Class A1)."/>
    <x v="39"/>
    <s v="COU"/>
    <x v="2"/>
    <s v="NSV"/>
    <m/>
    <m/>
    <m/>
    <m/>
    <s v="C"/>
    <s v="BF"/>
    <x v="0"/>
    <m/>
    <m/>
    <m/>
    <n v="330"/>
    <m/>
    <m/>
    <m/>
    <m/>
    <n v="330"/>
    <m/>
    <m/>
    <m/>
    <m/>
    <m/>
    <m/>
    <m/>
    <m/>
    <m/>
    <m/>
    <m/>
    <m/>
    <m/>
    <n v="330"/>
    <m/>
    <n v="330"/>
    <m/>
    <m/>
    <m/>
    <m/>
    <m/>
    <m/>
    <m/>
    <m/>
    <m/>
    <x v="1"/>
    <x v="0"/>
    <x v="1"/>
    <n v="330"/>
    <m/>
    <m/>
    <n v="-330"/>
    <m/>
    <m/>
    <m/>
    <x v="0"/>
    <m/>
    <m/>
    <m/>
    <m/>
    <m/>
    <x v="0"/>
    <m/>
    <m/>
    <m/>
    <m/>
    <s v="Consumables"/>
    <s v="-"/>
    <s v="-"/>
    <s v="-"/>
    <s v="-"/>
    <s v="-"/>
    <s v="-"/>
    <s v="-"/>
    <s v="-"/>
    <s v="-"/>
    <s v="-"/>
    <x v="1"/>
    <x v="0"/>
    <s v="-"/>
    <s v="-"/>
    <s v="-"/>
    <s v="Vacant"/>
    <s v="-"/>
    <s v="-"/>
    <s v="-"/>
    <s v="-"/>
    <s v="-"/>
    <s v="-"/>
    <s v="-"/>
    <x v="0"/>
    <x v="0"/>
    <n v="3.7999998778104803E-2"/>
    <n v="330"/>
    <n v="330"/>
    <n v="0"/>
    <x v="0"/>
    <x v="0"/>
    <m/>
    <x v="0"/>
    <m/>
    <x v="0"/>
    <m/>
    <x v="0"/>
    <x v="0"/>
    <x v="0"/>
    <x v="0"/>
    <m/>
    <n v="0"/>
    <n v="0"/>
    <n v="0"/>
    <x v="0"/>
    <m/>
  </r>
  <r>
    <x v="1"/>
    <x v="4"/>
    <x v="4"/>
    <x v="1"/>
    <n v="464"/>
    <x v="37"/>
    <x v="8"/>
    <n v="0.31999999284744302"/>
    <n v="529375"/>
    <n v="177215"/>
    <s v="2.1.13"/>
    <x v="40"/>
    <s v="SLA"/>
    <d v="2015-11-30T00:00:00"/>
    <x v="1"/>
    <m/>
    <d v="2016-10-19T00:00:00"/>
    <s v="Nil"/>
    <m/>
    <m/>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x v="40"/>
    <s v="NB"/>
    <x v="0"/>
    <s v="NSO"/>
    <m/>
    <m/>
    <m/>
    <m/>
    <s v="P"/>
    <s v="BF"/>
    <x v="0"/>
    <m/>
    <m/>
    <m/>
    <m/>
    <m/>
    <n v="557"/>
    <m/>
    <m/>
    <n v="557"/>
    <n v="1104"/>
    <m/>
    <m/>
    <n v="1104"/>
    <m/>
    <m/>
    <n v="1104"/>
    <m/>
    <m/>
    <m/>
    <m/>
    <m/>
    <m/>
    <m/>
    <m/>
    <m/>
    <m/>
    <m/>
    <m/>
    <m/>
    <m/>
    <m/>
    <m/>
    <m/>
    <m/>
    <x v="1"/>
    <x v="1"/>
    <x v="1"/>
    <m/>
    <m/>
    <n v="557"/>
    <m/>
    <m/>
    <n v="557"/>
    <n v="1104"/>
    <x v="0"/>
    <m/>
    <m/>
    <m/>
    <m/>
    <n v="1104"/>
    <x v="0"/>
    <m/>
    <m/>
    <m/>
    <m/>
    <s v="-"/>
    <s v="-"/>
    <s v="Café"/>
    <s v="-"/>
    <s v="-"/>
    <s v="Not Known"/>
    <s v="-"/>
    <s v="-"/>
    <s v="-"/>
    <s v="-"/>
    <s v="-"/>
    <x v="1"/>
    <x v="0"/>
    <s v="-"/>
    <s v="-"/>
    <s v="-"/>
    <s v="-"/>
    <s v="-"/>
    <s v="-"/>
    <s v="-"/>
    <s v="-"/>
    <s v="-"/>
    <s v="-"/>
    <s v="-"/>
    <x v="0"/>
    <x v="0"/>
    <n v="0.31999999284744302"/>
    <n v="3613"/>
    <n v="4433"/>
    <n v="-820"/>
    <x v="0"/>
    <x v="0"/>
    <m/>
    <x v="0"/>
    <m/>
    <x v="0"/>
    <m/>
    <x v="1"/>
    <x v="0"/>
    <x v="0"/>
    <x v="0"/>
    <m/>
    <n v="31236"/>
    <n v="0"/>
    <n v="31236"/>
    <x v="1"/>
    <m/>
  </r>
  <r>
    <x v="2"/>
    <x v="0"/>
    <x v="0"/>
    <x v="1"/>
    <n v="470"/>
    <x v="38"/>
    <x v="14"/>
    <n v="5.4999999701976802E-3"/>
    <n v="527370"/>
    <n v="171395"/>
    <m/>
    <x v="41"/>
    <s v="PF"/>
    <d v="2017-11-02T00:00:00"/>
    <x v="38"/>
    <s v="Y"/>
    <m/>
    <s v="Nil"/>
    <m/>
    <m/>
    <s v="Demolition of existing garages and erection of a 2-storey, 3-bedroom dwellinghouse with basement and habitable roofspace including a rear mansard roof."/>
    <x v="41"/>
    <s v="NB"/>
    <x v="0"/>
    <s v="NSO"/>
    <m/>
    <m/>
    <m/>
    <m/>
    <s v="C"/>
    <s v="BF"/>
    <x v="0"/>
    <m/>
    <m/>
    <m/>
    <m/>
    <m/>
    <m/>
    <m/>
    <m/>
    <m/>
    <m/>
    <m/>
    <m/>
    <m/>
    <m/>
    <m/>
    <m/>
    <m/>
    <m/>
    <m/>
    <m/>
    <m/>
    <m/>
    <m/>
    <m/>
    <m/>
    <m/>
    <m/>
    <m/>
    <m/>
    <m/>
    <m/>
    <m/>
    <m/>
    <m/>
    <x v="0"/>
    <x v="0"/>
    <x v="1"/>
    <m/>
    <m/>
    <m/>
    <m/>
    <m/>
    <m/>
    <m/>
    <x v="0"/>
    <m/>
    <m/>
    <m/>
    <m/>
    <m/>
    <x v="0"/>
    <m/>
    <m/>
    <m/>
    <m/>
    <s v="-"/>
    <s v="-"/>
    <s v="-"/>
    <s v="-"/>
    <s v="-"/>
    <s v="-"/>
    <s v="-"/>
    <s v="-"/>
    <s v="-"/>
    <s v="-"/>
    <s v="-"/>
    <x v="1"/>
    <x v="0"/>
    <s v="-"/>
    <s v="-"/>
    <s v="-"/>
    <s v="-"/>
    <s v="-"/>
    <s v="-"/>
    <s v="-"/>
    <s v="-"/>
    <s v="-"/>
    <s v="-"/>
    <s v="-"/>
    <x v="0"/>
    <x v="0"/>
    <n v="5.0000008195639004E-4"/>
    <n v="0"/>
    <n v="54"/>
    <n v="-54"/>
    <x v="0"/>
    <x v="0"/>
    <m/>
    <x v="0"/>
    <m/>
    <x v="0"/>
    <m/>
    <x v="0"/>
    <x v="1"/>
    <x v="3"/>
    <x v="0"/>
    <m/>
    <n v="131"/>
    <n v="0"/>
    <n v="131"/>
    <x v="1"/>
    <m/>
  </r>
  <r>
    <x v="3"/>
    <x v="0"/>
    <x v="0"/>
    <x v="1"/>
    <n v="494"/>
    <x v="39"/>
    <x v="10"/>
    <n v="3.9999999105930301E-2"/>
    <n v="524885"/>
    <n v="174590"/>
    <m/>
    <x v="42"/>
    <s v="PF"/>
    <d v="2014-08-13T00:00:00"/>
    <x v="39"/>
    <m/>
    <m/>
    <s v="Nil"/>
    <m/>
    <m/>
    <s v="Demolition of existing buildings. Erection of part two/ part three-storey building with accommodation in roof level, to provide 8 residential units together with cycle storage, roof terraces/balconies, communal gardens and landscaping."/>
    <x v="42"/>
    <s v="MIX"/>
    <x v="0"/>
    <s v="UC"/>
    <d v="2017-07-21T00:00:00"/>
    <d v="2017-04-05T00:00:00"/>
    <m/>
    <m/>
    <s v="C"/>
    <s v="BF"/>
    <x v="0"/>
    <m/>
    <d v="2017-04-05T00:00:00"/>
    <m/>
    <m/>
    <m/>
    <m/>
    <m/>
    <m/>
    <m/>
    <m/>
    <m/>
    <m/>
    <m/>
    <m/>
    <m/>
    <m/>
    <m/>
    <m/>
    <m/>
    <m/>
    <m/>
    <m/>
    <m/>
    <m/>
    <m/>
    <m/>
    <m/>
    <m/>
    <m/>
    <m/>
    <m/>
    <m/>
    <m/>
    <m/>
    <x v="0"/>
    <x v="0"/>
    <x v="1"/>
    <m/>
    <m/>
    <m/>
    <m/>
    <m/>
    <m/>
    <m/>
    <x v="0"/>
    <m/>
    <m/>
    <m/>
    <m/>
    <m/>
    <x v="0"/>
    <m/>
    <m/>
    <m/>
    <m/>
    <s v="-"/>
    <s v="-"/>
    <s v="-"/>
    <s v="-"/>
    <s v="-"/>
    <s v="-"/>
    <s v="-"/>
    <s v="-"/>
    <s v="-"/>
    <s v="-"/>
    <s v="-"/>
    <x v="1"/>
    <x v="0"/>
    <s v="-"/>
    <s v="-"/>
    <s v="-"/>
    <s v="-"/>
    <s v="-"/>
    <s v="-"/>
    <s v="-"/>
    <s v="-"/>
    <s v="-"/>
    <s v="-"/>
    <s v="-"/>
    <x v="0"/>
    <x v="0"/>
    <n v="0"/>
    <n v="0"/>
    <n v="524"/>
    <n v="-524"/>
    <x v="0"/>
    <x v="0"/>
    <m/>
    <x v="0"/>
    <m/>
    <x v="0"/>
    <m/>
    <x v="0"/>
    <x v="0"/>
    <x v="0"/>
    <x v="0"/>
    <m/>
    <n v="959"/>
    <n v="0"/>
    <n v="959"/>
    <x v="1"/>
    <m/>
  </r>
  <r>
    <x v="2"/>
    <x v="0"/>
    <x v="0"/>
    <x v="1"/>
    <n v="501"/>
    <x v="40"/>
    <x v="7"/>
    <n v="1.4000000432133701E-2"/>
    <n v="523779"/>
    <n v="175125"/>
    <m/>
    <x v="43"/>
    <s v="PF"/>
    <d v="2017-06-15T00:00:00"/>
    <x v="40"/>
    <s v="Y"/>
    <m/>
    <s v="Nil"/>
    <m/>
    <m/>
    <s v="Alterations to the rear elevation to allow change of part of the ground and basement levels from a shop (Class A1) to a 1 x 2-bedroom flat (Class C3) with rear terrace and external steps."/>
    <x v="43"/>
    <s v="COU"/>
    <x v="2"/>
    <s v="NSO"/>
    <m/>
    <m/>
    <m/>
    <m/>
    <s v="C"/>
    <s v="BF"/>
    <x v="0"/>
    <m/>
    <m/>
    <m/>
    <n v="85"/>
    <m/>
    <m/>
    <m/>
    <m/>
    <n v="85"/>
    <m/>
    <m/>
    <m/>
    <m/>
    <m/>
    <m/>
    <m/>
    <m/>
    <m/>
    <m/>
    <n v="184"/>
    <m/>
    <m/>
    <m/>
    <m/>
    <n v="184"/>
    <m/>
    <m/>
    <m/>
    <m/>
    <m/>
    <m/>
    <m/>
    <m/>
    <m/>
    <x v="1"/>
    <x v="0"/>
    <x v="1"/>
    <n v="-99"/>
    <m/>
    <m/>
    <m/>
    <m/>
    <n v="-99"/>
    <m/>
    <x v="0"/>
    <m/>
    <m/>
    <m/>
    <m/>
    <m/>
    <x v="0"/>
    <m/>
    <m/>
    <m/>
    <m/>
    <s v="Not Known"/>
    <s v="-"/>
    <s v="-"/>
    <s v="-"/>
    <s v="-"/>
    <s v="-"/>
    <s v="-"/>
    <s v="-"/>
    <s v="-"/>
    <s v="-"/>
    <s v="-"/>
    <x v="1"/>
    <x v="0"/>
    <s v="Not Known"/>
    <s v="-"/>
    <s v="-"/>
    <s v="-"/>
    <s v="-"/>
    <s v="-"/>
    <s v="-"/>
    <s v="-"/>
    <s v="-"/>
    <s v="-"/>
    <s v="-"/>
    <x v="0"/>
    <x v="0"/>
    <n v="5.0000008195638899E-3"/>
    <n v="85"/>
    <n v="184"/>
    <n v="-99"/>
    <x v="0"/>
    <x v="0"/>
    <m/>
    <x v="0"/>
    <m/>
    <x v="0"/>
    <m/>
    <x v="0"/>
    <x v="1"/>
    <x v="2"/>
    <x v="0"/>
    <m/>
    <n v="99"/>
    <n v="0"/>
    <n v="99"/>
    <x v="1"/>
    <m/>
  </r>
  <r>
    <x v="2"/>
    <x v="0"/>
    <x v="0"/>
    <x v="1"/>
    <n v="518"/>
    <x v="41"/>
    <x v="16"/>
    <n v="2.9999999329447701E-2"/>
    <n v="527485"/>
    <n v="171424"/>
    <m/>
    <x v="44"/>
    <s v="PF"/>
    <d v="2015-05-11T00:00:00"/>
    <x v="41"/>
    <m/>
    <m/>
    <s v="Nil"/>
    <m/>
    <m/>
    <s v="Extension of the ground floor area for retail use. Extension of existing residential block of 4 dwelling units at the front of the site to create additional storey (for 1 x 3-bedroom flat), with alterations to frontage and replacement shopfront.  Construction of 4 x 2-bedroom flats to the rear of the site in a two storey extension set above the extended ground floor retail unit, with associated roof terraces/balconies, communal courtyard, cycle storage and refuse storage."/>
    <x v="44"/>
    <s v="MIX"/>
    <x v="0"/>
    <s v="NSO"/>
    <m/>
    <m/>
    <m/>
    <m/>
    <s v="C"/>
    <s v="BF"/>
    <x v="0"/>
    <m/>
    <m/>
    <m/>
    <n v="225"/>
    <m/>
    <m/>
    <m/>
    <m/>
    <n v="225"/>
    <m/>
    <m/>
    <m/>
    <m/>
    <m/>
    <m/>
    <m/>
    <m/>
    <m/>
    <m/>
    <m/>
    <m/>
    <m/>
    <m/>
    <m/>
    <m/>
    <m/>
    <m/>
    <m/>
    <m/>
    <m/>
    <m/>
    <m/>
    <m/>
    <m/>
    <x v="1"/>
    <x v="0"/>
    <x v="1"/>
    <n v="225"/>
    <m/>
    <m/>
    <m/>
    <m/>
    <n v="225"/>
    <m/>
    <x v="0"/>
    <m/>
    <m/>
    <m/>
    <m/>
    <m/>
    <x v="0"/>
    <m/>
    <m/>
    <m/>
    <m/>
    <s v="Not Known"/>
    <s v="-"/>
    <s v="-"/>
    <s v="-"/>
    <s v="-"/>
    <s v="-"/>
    <s v="-"/>
    <s v="-"/>
    <s v="-"/>
    <s v="-"/>
    <s v="-"/>
    <x v="1"/>
    <x v="0"/>
    <s v="-"/>
    <s v="-"/>
    <s v="-"/>
    <s v="-"/>
    <s v="-"/>
    <s v="-"/>
    <s v="-"/>
    <s v="-"/>
    <s v="-"/>
    <s v="-"/>
    <s v="-"/>
    <x v="0"/>
    <x v="0"/>
    <n v="9.9999997764825023E-3"/>
    <n v="225"/>
    <n v="0"/>
    <n v="225"/>
    <x v="0"/>
    <x v="0"/>
    <m/>
    <x v="0"/>
    <m/>
    <x v="0"/>
    <m/>
    <x v="0"/>
    <x v="1"/>
    <x v="3"/>
    <x v="0"/>
    <m/>
    <n v="339"/>
    <n v="0"/>
    <n v="339"/>
    <x v="1"/>
    <m/>
  </r>
  <r>
    <x v="2"/>
    <x v="2"/>
    <x v="2"/>
    <x v="1"/>
    <n v="536"/>
    <x v="42"/>
    <x v="5"/>
    <n v="5.0000000745058101E-2"/>
    <n v="525441"/>
    <n v="174750"/>
    <m/>
    <x v="45"/>
    <s v="PAG"/>
    <d v="2016-06-24T00:00:00"/>
    <x v="42"/>
    <m/>
    <m/>
    <s v="Nil"/>
    <m/>
    <m/>
    <s v="Determination as to whether prior approval is required for change of use from office use (Class B1a) to residential use (Class C3) to provide 10 residential units."/>
    <x v="45"/>
    <s v="COU"/>
    <x v="2"/>
    <s v="NSO"/>
    <m/>
    <m/>
    <m/>
    <m/>
    <s v="C"/>
    <s v="BF"/>
    <x v="0"/>
    <m/>
    <m/>
    <m/>
    <m/>
    <m/>
    <m/>
    <m/>
    <m/>
    <m/>
    <m/>
    <m/>
    <m/>
    <m/>
    <m/>
    <m/>
    <m/>
    <m/>
    <m/>
    <m/>
    <m/>
    <m/>
    <m/>
    <m/>
    <m/>
    <m/>
    <n v="620"/>
    <m/>
    <m/>
    <m/>
    <m/>
    <n v="620"/>
    <m/>
    <m/>
    <m/>
    <x v="0"/>
    <x v="1"/>
    <x v="1"/>
    <m/>
    <m/>
    <m/>
    <m/>
    <m/>
    <m/>
    <n v="-620"/>
    <x v="1"/>
    <m/>
    <m/>
    <m/>
    <m/>
    <n v="-620"/>
    <x v="1"/>
    <m/>
    <m/>
    <m/>
    <m/>
    <s v="-"/>
    <s v="-"/>
    <s v="-"/>
    <s v="-"/>
    <s v="-"/>
    <s v="-"/>
    <s v="-"/>
    <s v="-"/>
    <s v="-"/>
    <s v="-"/>
    <s v="-"/>
    <x v="1"/>
    <x v="0"/>
    <s v="-"/>
    <s v="-"/>
    <s v="-"/>
    <s v="-"/>
    <s v="-"/>
    <s v="Other"/>
    <s v="-"/>
    <s v="-"/>
    <s v="-"/>
    <s v="-"/>
    <s v="-"/>
    <x v="0"/>
    <x v="0"/>
    <n v="0"/>
    <n v="0"/>
    <n v="620"/>
    <n v="-620"/>
    <x v="0"/>
    <x v="0"/>
    <m/>
    <x v="0"/>
    <m/>
    <x v="0"/>
    <m/>
    <x v="0"/>
    <x v="1"/>
    <x v="4"/>
    <x v="0"/>
    <m/>
    <n v="620"/>
    <n v="0"/>
    <n v="620"/>
    <x v="1"/>
    <m/>
  </r>
  <r>
    <x v="1"/>
    <x v="0"/>
    <x v="0"/>
    <x v="1"/>
    <n v="536"/>
    <x v="42"/>
    <x v="5"/>
    <n v="5.0000000745058101E-2"/>
    <n v="525441"/>
    <n v="174750"/>
    <m/>
    <x v="46"/>
    <s v="AF"/>
    <d v="2017-01-26T00:00:00"/>
    <x v="1"/>
    <m/>
    <m/>
    <s v="Nil"/>
    <m/>
    <m/>
    <s v="Demolition of existing building and erection of a part 5/part 6 storey building to provide 22 residential units and 106 sqm B1(a) office floorspace, with communal external amenity space at fifth floor level."/>
    <x v="46"/>
    <s v="NB"/>
    <x v="0"/>
    <s v="NSO"/>
    <m/>
    <m/>
    <m/>
    <m/>
    <s v="P"/>
    <s v="BF"/>
    <x v="0"/>
    <m/>
    <m/>
    <m/>
    <m/>
    <m/>
    <m/>
    <m/>
    <m/>
    <m/>
    <n v="106"/>
    <m/>
    <m/>
    <n v="106"/>
    <m/>
    <m/>
    <n v="106"/>
    <m/>
    <m/>
    <m/>
    <m/>
    <m/>
    <m/>
    <m/>
    <m/>
    <m/>
    <n v="821"/>
    <m/>
    <m/>
    <m/>
    <m/>
    <n v="821"/>
    <m/>
    <m/>
    <m/>
    <x v="0"/>
    <x v="1"/>
    <x v="1"/>
    <m/>
    <m/>
    <m/>
    <m/>
    <m/>
    <m/>
    <n v="-715"/>
    <x v="1"/>
    <m/>
    <m/>
    <m/>
    <m/>
    <n v="-715"/>
    <x v="1"/>
    <m/>
    <m/>
    <m/>
    <m/>
    <s v="-"/>
    <s v="-"/>
    <s v="-"/>
    <s v="-"/>
    <s v="-"/>
    <s v="Not Known"/>
    <s v="-"/>
    <s v="-"/>
    <s v="-"/>
    <s v="-"/>
    <s v="-"/>
    <x v="1"/>
    <x v="0"/>
    <s v="-"/>
    <s v="-"/>
    <s v="-"/>
    <s v="-"/>
    <s v="-"/>
    <s v="Not Known"/>
    <s v="-"/>
    <s v="-"/>
    <s v="-"/>
    <s v="-"/>
    <s v="-"/>
    <x v="0"/>
    <x v="0"/>
    <n v="0"/>
    <n v="106"/>
    <n v="821"/>
    <n v="-715"/>
    <x v="0"/>
    <x v="0"/>
    <m/>
    <x v="0"/>
    <m/>
    <x v="0"/>
    <m/>
    <x v="0"/>
    <x v="1"/>
    <x v="4"/>
    <x v="0"/>
    <m/>
    <n v="2028"/>
    <n v="297"/>
    <n v="1731"/>
    <x v="1"/>
    <m/>
  </r>
  <r>
    <x v="3"/>
    <x v="0"/>
    <x v="0"/>
    <x v="1"/>
    <n v="578"/>
    <x v="43"/>
    <x v="6"/>
    <n v="2.0999999716877899E-2"/>
    <n v="527681"/>
    <n v="175497"/>
    <m/>
    <x v="47"/>
    <s v="PF"/>
    <d v="2015-07-31T00:00:00"/>
    <x v="43"/>
    <m/>
    <m/>
    <s v="Nil"/>
    <m/>
    <m/>
    <s v="Demolition of existing part one, part two-storey commercial unit (Use Class B1) and erection of replacement part one, part two-storey plus basement commercial unit (Use Class B1) and associated works."/>
    <x v="47"/>
    <s v="NB"/>
    <x v="0"/>
    <s v="UC"/>
    <m/>
    <d v="2018-03-31T00:00:00"/>
    <m/>
    <m/>
    <s v="C"/>
    <s v="BF"/>
    <x v="0"/>
    <m/>
    <d v="2018-03-31T00:00:00"/>
    <m/>
    <m/>
    <m/>
    <m/>
    <m/>
    <m/>
    <m/>
    <n v="336"/>
    <m/>
    <m/>
    <n v="336"/>
    <m/>
    <m/>
    <n v="336"/>
    <m/>
    <m/>
    <m/>
    <m/>
    <m/>
    <m/>
    <m/>
    <m/>
    <m/>
    <n v="56"/>
    <m/>
    <m/>
    <m/>
    <m/>
    <n v="56"/>
    <m/>
    <m/>
    <m/>
    <x v="0"/>
    <x v="1"/>
    <x v="1"/>
    <m/>
    <m/>
    <m/>
    <m/>
    <m/>
    <m/>
    <n v="280"/>
    <x v="0"/>
    <m/>
    <m/>
    <m/>
    <m/>
    <n v="280"/>
    <x v="0"/>
    <m/>
    <m/>
    <m/>
    <m/>
    <s v="-"/>
    <s v="-"/>
    <s v="-"/>
    <s v="-"/>
    <s v="-"/>
    <s v="Not Known"/>
    <s v="-"/>
    <s v="-"/>
    <s v="-"/>
    <s v="-"/>
    <s v="-"/>
    <x v="1"/>
    <x v="0"/>
    <s v="-"/>
    <s v="-"/>
    <s v="-"/>
    <s v="-"/>
    <s v="-"/>
    <s v="Not Known"/>
    <s v="-"/>
    <s v="-"/>
    <s v="-"/>
    <s v="-"/>
    <s v="-"/>
    <x v="0"/>
    <x v="0"/>
    <n v="2.0999999716877899E-2"/>
    <n v="336"/>
    <n v="56"/>
    <n v="280"/>
    <x v="0"/>
    <x v="0"/>
    <m/>
    <x v="0"/>
    <m/>
    <x v="0"/>
    <m/>
    <x v="0"/>
    <x v="1"/>
    <x v="1"/>
    <x v="0"/>
    <m/>
    <n v="0"/>
    <n v="0"/>
    <n v="0"/>
    <x v="0"/>
    <m/>
  </r>
  <r>
    <x v="3"/>
    <x v="2"/>
    <x v="2"/>
    <x v="1"/>
    <n v="578"/>
    <x v="43"/>
    <x v="6"/>
    <n v="2.0999999716877899E-2"/>
    <n v="527681"/>
    <n v="175497"/>
    <m/>
    <x v="48"/>
    <s v="PAG"/>
    <d v="2016-06-29T00:00:00"/>
    <x v="44"/>
    <m/>
    <m/>
    <s v="Nil"/>
    <m/>
    <m/>
    <s v="Determination as to whether prior approval is required for change of use of office at first floor (front), second and third floor levels from (Class B1a) to residential (Class C3) to provide 3 x 2-bedroom flats"/>
    <x v="48"/>
    <s v="COU"/>
    <x v="2"/>
    <s v="UC"/>
    <m/>
    <d v="2016-10-12T00:00:00"/>
    <m/>
    <m/>
    <s v="C"/>
    <s v="BF"/>
    <x v="0"/>
    <m/>
    <d v="2016-10-12T00:00:00"/>
    <m/>
    <m/>
    <m/>
    <m/>
    <m/>
    <m/>
    <m/>
    <m/>
    <m/>
    <m/>
    <m/>
    <m/>
    <m/>
    <m/>
    <m/>
    <m/>
    <m/>
    <m/>
    <m/>
    <m/>
    <m/>
    <m/>
    <m/>
    <n v="180"/>
    <m/>
    <m/>
    <m/>
    <m/>
    <n v="180"/>
    <m/>
    <m/>
    <m/>
    <x v="0"/>
    <x v="1"/>
    <x v="1"/>
    <m/>
    <m/>
    <m/>
    <m/>
    <m/>
    <m/>
    <n v="-180"/>
    <x v="1"/>
    <m/>
    <m/>
    <m/>
    <m/>
    <n v="-180"/>
    <x v="1"/>
    <m/>
    <m/>
    <m/>
    <m/>
    <s v="-"/>
    <s v="-"/>
    <s v="-"/>
    <s v="-"/>
    <s v="-"/>
    <s v="-"/>
    <s v="-"/>
    <s v="-"/>
    <s v="-"/>
    <s v="-"/>
    <s v="-"/>
    <x v="1"/>
    <x v="0"/>
    <s v="-"/>
    <s v="-"/>
    <s v="-"/>
    <s v="-"/>
    <s v="-"/>
    <s v="Not Known"/>
    <s v="-"/>
    <s v="-"/>
    <s v="-"/>
    <s v="-"/>
    <s v="-"/>
    <x v="0"/>
    <x v="0"/>
    <n v="7.9999994486569994E-3"/>
    <n v="0"/>
    <n v="180"/>
    <n v="-180"/>
    <x v="0"/>
    <x v="0"/>
    <m/>
    <x v="0"/>
    <m/>
    <x v="0"/>
    <m/>
    <x v="0"/>
    <x v="1"/>
    <x v="1"/>
    <x v="0"/>
    <m/>
    <n v="180"/>
    <n v="0"/>
    <n v="180"/>
    <x v="1"/>
    <m/>
  </r>
  <r>
    <x v="2"/>
    <x v="0"/>
    <x v="0"/>
    <x v="1"/>
    <n v="646"/>
    <x v="44"/>
    <x v="17"/>
    <n v="0.18899999558925601"/>
    <n v="528118"/>
    <n v="172415"/>
    <m/>
    <x v="49"/>
    <s v="PF"/>
    <d v="2014-10-08T00:00:00"/>
    <x v="45"/>
    <m/>
    <m/>
    <s v="Nil"/>
    <m/>
    <m/>
    <s v="Change of part of ground floor use from existing Car Repair Workshop (Use Class B2) to flexible permission for retail (Use Class A1), or restaurant (Use Class A3) use with associated new shop front."/>
    <x v="49"/>
    <s v="COU"/>
    <x v="2"/>
    <s v="NSO"/>
    <m/>
    <m/>
    <m/>
    <m/>
    <s v="C"/>
    <s v="BF"/>
    <x v="0"/>
    <m/>
    <m/>
    <m/>
    <n v="239"/>
    <n v="238"/>
    <n v="238"/>
    <m/>
    <m/>
    <n v="715"/>
    <m/>
    <m/>
    <m/>
    <m/>
    <m/>
    <m/>
    <m/>
    <m/>
    <m/>
    <m/>
    <m/>
    <m/>
    <m/>
    <m/>
    <m/>
    <m/>
    <m/>
    <m/>
    <m/>
    <n v="715"/>
    <m/>
    <n v="715"/>
    <m/>
    <m/>
    <m/>
    <x v="1"/>
    <x v="1"/>
    <x v="1"/>
    <n v="239"/>
    <n v="238"/>
    <n v="238"/>
    <m/>
    <m/>
    <n v="715"/>
    <m/>
    <x v="0"/>
    <m/>
    <m/>
    <n v="-715"/>
    <m/>
    <n v="-715"/>
    <x v="1"/>
    <m/>
    <m/>
    <m/>
    <m/>
    <s v="Not Known"/>
    <s v="Not Known"/>
    <s v="Restaurant"/>
    <s v="-"/>
    <s v="-"/>
    <s v="-"/>
    <s v="-"/>
    <s v="-"/>
    <s v="-"/>
    <s v="-"/>
    <s v="-"/>
    <x v="1"/>
    <x v="0"/>
    <s v="-"/>
    <s v="-"/>
    <s v="-"/>
    <s v="-"/>
    <s v="-"/>
    <s v="-"/>
    <s v="-"/>
    <s v="-"/>
    <s v="General Industry"/>
    <s v="-"/>
    <s v="-"/>
    <x v="0"/>
    <x v="0"/>
    <n v="0.18899999558925601"/>
    <n v="715"/>
    <n v="715"/>
    <n v="0"/>
    <x v="0"/>
    <x v="0"/>
    <m/>
    <x v="0"/>
    <m/>
    <x v="0"/>
    <m/>
    <x v="0"/>
    <x v="0"/>
    <x v="0"/>
    <x v="0"/>
    <m/>
    <n v="0"/>
    <n v="0"/>
    <n v="0"/>
    <x v="0"/>
    <m/>
  </r>
  <r>
    <x v="3"/>
    <x v="0"/>
    <x v="0"/>
    <x v="1"/>
    <n v="687"/>
    <x v="45"/>
    <x v="5"/>
    <n v="9.9999997764825804E-3"/>
    <n v="525881"/>
    <n v="174991"/>
    <m/>
    <x v="50"/>
    <s v="PF"/>
    <d v="2017-10-27T00:00:00"/>
    <x v="46"/>
    <s v="Y"/>
    <m/>
    <s v="Nil"/>
    <m/>
    <m/>
    <s v="Alterations including erection of first floor rear extension with roof terrace above in connection with conversion of upper flat into two studio flats."/>
    <x v="50"/>
    <s v="MIX"/>
    <x v="0"/>
    <s v="UC"/>
    <m/>
    <d v="2018-02-05T00:00:00"/>
    <m/>
    <m/>
    <s v="C"/>
    <s v="BF"/>
    <x v="0"/>
    <m/>
    <d v="2018-02-05T00:00:00"/>
    <m/>
    <m/>
    <m/>
    <n v="236"/>
    <m/>
    <m/>
    <n v="236"/>
    <m/>
    <m/>
    <m/>
    <m/>
    <m/>
    <m/>
    <m/>
    <m/>
    <m/>
    <m/>
    <m/>
    <m/>
    <n v="238"/>
    <m/>
    <m/>
    <n v="238"/>
    <m/>
    <m/>
    <m/>
    <m/>
    <m/>
    <m/>
    <m/>
    <m/>
    <m/>
    <x v="1"/>
    <x v="0"/>
    <x v="1"/>
    <m/>
    <m/>
    <n v="-2"/>
    <m/>
    <m/>
    <n v="-2"/>
    <m/>
    <x v="0"/>
    <m/>
    <m/>
    <m/>
    <m/>
    <m/>
    <x v="0"/>
    <m/>
    <m/>
    <m/>
    <m/>
    <s v="-"/>
    <s v="-"/>
    <s v="Restaurant"/>
    <s v="-"/>
    <s v="-"/>
    <s v="-"/>
    <s v="-"/>
    <s v="-"/>
    <s v="-"/>
    <s v="-"/>
    <s v="-"/>
    <x v="1"/>
    <x v="0"/>
    <s v="-"/>
    <s v="-"/>
    <s v="Vacant"/>
    <s v="-"/>
    <s v="-"/>
    <s v="-"/>
    <s v="-"/>
    <s v="-"/>
    <s v="-"/>
    <s v="-"/>
    <s v="-"/>
    <x v="0"/>
    <x v="0"/>
    <n v="5.9999995864927699E-3"/>
    <n v="236"/>
    <n v="238"/>
    <n v="-2"/>
    <x v="0"/>
    <x v="0"/>
    <m/>
    <x v="0"/>
    <m/>
    <x v="0"/>
    <m/>
    <x v="0"/>
    <x v="0"/>
    <x v="0"/>
    <x v="0"/>
    <m/>
    <n v="86"/>
    <n v="96"/>
    <n v="-10"/>
    <x v="0"/>
    <m/>
  </r>
  <r>
    <x v="2"/>
    <x v="0"/>
    <x v="0"/>
    <x v="1"/>
    <n v="730"/>
    <x v="46"/>
    <x v="3"/>
    <n v="1.4000000432133701E-2"/>
    <n v="527663"/>
    <n v="174345"/>
    <m/>
    <x v="51"/>
    <s v="PF"/>
    <d v="2014-12-15T00:00:00"/>
    <x v="47"/>
    <m/>
    <m/>
    <s v="Nil"/>
    <m/>
    <m/>
    <s v="Change of use of existing warehouse (Use Class B8) including partial demolition of existing structure and replacement of existing flat roof with a multi pitched roof to create a 1 bedroom dwelling (Use Class C3) with associated excavation and external changes."/>
    <x v="51"/>
    <s v="MIX"/>
    <x v="0"/>
    <s v="NSO"/>
    <m/>
    <m/>
    <m/>
    <m/>
    <s v="C"/>
    <s v="BF"/>
    <x v="0"/>
    <m/>
    <m/>
    <m/>
    <m/>
    <m/>
    <m/>
    <m/>
    <m/>
    <m/>
    <m/>
    <m/>
    <m/>
    <m/>
    <m/>
    <m/>
    <m/>
    <m/>
    <m/>
    <m/>
    <m/>
    <m/>
    <m/>
    <m/>
    <m/>
    <m/>
    <m/>
    <m/>
    <m/>
    <m/>
    <n v="48"/>
    <n v="48"/>
    <m/>
    <m/>
    <m/>
    <x v="0"/>
    <x v="1"/>
    <x v="1"/>
    <m/>
    <m/>
    <m/>
    <m/>
    <m/>
    <m/>
    <m/>
    <x v="0"/>
    <m/>
    <m/>
    <m/>
    <n v="-48"/>
    <n v="-48"/>
    <x v="1"/>
    <m/>
    <m/>
    <m/>
    <m/>
    <s v="-"/>
    <s v="-"/>
    <s v="-"/>
    <s v="-"/>
    <s v="-"/>
    <s v="-"/>
    <s v="-"/>
    <s v="-"/>
    <s v="-"/>
    <s v="-"/>
    <s v="-"/>
    <x v="1"/>
    <x v="0"/>
    <s v="-"/>
    <s v="-"/>
    <s v="-"/>
    <s v="-"/>
    <s v="-"/>
    <s v="-"/>
    <s v="-"/>
    <s v="-"/>
    <s v="-"/>
    <s v="Other"/>
    <s v="-"/>
    <x v="0"/>
    <x v="0"/>
    <n v="7.0000002160668607E-3"/>
    <n v="0"/>
    <n v="48"/>
    <n v="-48"/>
    <x v="0"/>
    <x v="0"/>
    <m/>
    <x v="0"/>
    <m/>
    <x v="0"/>
    <m/>
    <x v="0"/>
    <x v="0"/>
    <x v="0"/>
    <x v="0"/>
    <m/>
    <n v="64"/>
    <n v="0"/>
    <n v="64"/>
    <x v="1"/>
    <m/>
  </r>
  <r>
    <x v="2"/>
    <x v="0"/>
    <x v="0"/>
    <x v="1"/>
    <n v="805"/>
    <x v="47"/>
    <x v="7"/>
    <n v="2.5000000372528999E-2"/>
    <n v="524046"/>
    <n v="175290"/>
    <m/>
    <x v="52"/>
    <s v="PF"/>
    <d v="2017-08-11T00:00:00"/>
    <x v="48"/>
    <s v="Y"/>
    <m/>
    <s v="Nil"/>
    <m/>
    <m/>
    <s v="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
    <x v="52"/>
    <s v="MIX"/>
    <x v="0"/>
    <s v="NSO"/>
    <m/>
    <m/>
    <m/>
    <m/>
    <s v="C"/>
    <s v="BF"/>
    <x v="0"/>
    <m/>
    <m/>
    <m/>
    <n v="143"/>
    <m/>
    <m/>
    <m/>
    <m/>
    <n v="143"/>
    <m/>
    <m/>
    <m/>
    <m/>
    <m/>
    <m/>
    <m/>
    <m/>
    <m/>
    <m/>
    <n v="640"/>
    <m/>
    <m/>
    <m/>
    <m/>
    <n v="640"/>
    <m/>
    <m/>
    <m/>
    <m/>
    <m/>
    <m/>
    <m/>
    <m/>
    <m/>
    <x v="1"/>
    <x v="0"/>
    <x v="1"/>
    <n v="-497"/>
    <m/>
    <m/>
    <m/>
    <m/>
    <n v="-497"/>
    <m/>
    <x v="0"/>
    <m/>
    <m/>
    <m/>
    <m/>
    <m/>
    <x v="0"/>
    <m/>
    <m/>
    <m/>
    <m/>
    <s v="Durables"/>
    <s v="-"/>
    <s v="-"/>
    <s v="-"/>
    <s v="-"/>
    <s v="-"/>
    <s v="-"/>
    <s v="-"/>
    <s v="-"/>
    <s v="-"/>
    <s v="-"/>
    <x v="1"/>
    <x v="0"/>
    <s v="Vacant"/>
    <s v="-"/>
    <s v="-"/>
    <s v="-"/>
    <s v="-"/>
    <s v="-"/>
    <s v="-"/>
    <s v="-"/>
    <s v="-"/>
    <s v="-"/>
    <s v="-"/>
    <x v="0"/>
    <x v="0"/>
    <n v="6.999999750405498E-3"/>
    <n v="143"/>
    <n v="640"/>
    <n v="-497"/>
    <x v="0"/>
    <x v="0"/>
    <m/>
    <x v="0"/>
    <m/>
    <x v="0"/>
    <m/>
    <x v="0"/>
    <x v="1"/>
    <x v="2"/>
    <x v="0"/>
    <m/>
    <n v="370"/>
    <n v="0"/>
    <n v="370"/>
    <x v="1"/>
    <m/>
  </r>
  <r>
    <x v="2"/>
    <x v="0"/>
    <x v="0"/>
    <x v="1"/>
    <n v="854"/>
    <x v="48"/>
    <x v="18"/>
    <n v="0"/>
    <n v="526975"/>
    <n v="174306"/>
    <m/>
    <x v="53"/>
    <s v="PF"/>
    <d v="2017-08-07T00:00:00"/>
    <x v="49"/>
    <s v="Y"/>
    <m/>
    <s v="Nil"/>
    <m/>
    <m/>
    <s v="Change of use from Offices (Class B1) to a mixed use art studio, offices, workshop, gallery and showroom (sui generis) including internal and external alterations."/>
    <x v="53"/>
    <s v="COU"/>
    <x v="2"/>
    <s v="NSO"/>
    <m/>
    <m/>
    <m/>
    <m/>
    <s v="C"/>
    <s v="BF"/>
    <x v="0"/>
    <m/>
    <m/>
    <m/>
    <m/>
    <m/>
    <m/>
    <m/>
    <m/>
    <m/>
    <m/>
    <m/>
    <m/>
    <m/>
    <m/>
    <m/>
    <m/>
    <m/>
    <m/>
    <m/>
    <m/>
    <m/>
    <m/>
    <m/>
    <m/>
    <m/>
    <n v="862"/>
    <m/>
    <m/>
    <m/>
    <m/>
    <n v="862"/>
    <m/>
    <m/>
    <m/>
    <x v="0"/>
    <x v="1"/>
    <x v="1"/>
    <m/>
    <m/>
    <m/>
    <m/>
    <m/>
    <m/>
    <n v="-862"/>
    <x v="1"/>
    <m/>
    <m/>
    <m/>
    <m/>
    <n v="-862"/>
    <x v="1"/>
    <m/>
    <m/>
    <m/>
    <m/>
    <s v="-"/>
    <s v="-"/>
    <s v="-"/>
    <s v="-"/>
    <s v="-"/>
    <s v="-"/>
    <s v="-"/>
    <s v="-"/>
    <s v="-"/>
    <s v="-"/>
    <s v="-"/>
    <x v="1"/>
    <x v="0"/>
    <s v="-"/>
    <s v="-"/>
    <s v="-"/>
    <s v="-"/>
    <s v="-"/>
    <s v="Vacant"/>
    <s v="-"/>
    <s v="-"/>
    <s v="-"/>
    <s v="-"/>
    <s v="-"/>
    <x v="0"/>
    <x v="0"/>
    <n v="0"/>
    <n v="836"/>
    <n v="862"/>
    <n v="-26"/>
    <x v="0"/>
    <x v="0"/>
    <m/>
    <x v="0"/>
    <m/>
    <x v="0"/>
    <m/>
    <x v="0"/>
    <x v="0"/>
    <x v="0"/>
    <x v="0"/>
    <m/>
    <n v="0"/>
    <n v="0"/>
    <n v="0"/>
    <x v="0"/>
    <m/>
  </r>
  <r>
    <x v="1"/>
    <x v="0"/>
    <x v="0"/>
    <x v="1"/>
    <n v="921"/>
    <x v="49"/>
    <x v="12"/>
    <n v="1.9999999552965199E-2"/>
    <n v="525532"/>
    <n v="174658"/>
    <m/>
    <x v="54"/>
    <s v="AF"/>
    <d v="2017-11-06T00:00:00"/>
    <x v="1"/>
    <m/>
    <m/>
    <s v="Nil"/>
    <m/>
    <m/>
    <s v="Erection of a single-storey rear extension (to enclose courtyard) including a shop front, to provide a shop (Class A1) unit fronting Buckhold Road."/>
    <x v="54"/>
    <s v="NB"/>
    <x v="0"/>
    <s v="NSO"/>
    <m/>
    <m/>
    <m/>
    <m/>
    <s v="P"/>
    <s v="BF"/>
    <x v="0"/>
    <m/>
    <m/>
    <m/>
    <n v="168"/>
    <m/>
    <m/>
    <m/>
    <m/>
    <n v="168"/>
    <m/>
    <m/>
    <m/>
    <m/>
    <m/>
    <m/>
    <m/>
    <m/>
    <m/>
    <m/>
    <m/>
    <m/>
    <m/>
    <m/>
    <m/>
    <m/>
    <m/>
    <m/>
    <m/>
    <m/>
    <m/>
    <m/>
    <m/>
    <m/>
    <m/>
    <x v="1"/>
    <x v="0"/>
    <x v="1"/>
    <n v="168"/>
    <m/>
    <m/>
    <m/>
    <m/>
    <n v="168"/>
    <m/>
    <x v="0"/>
    <m/>
    <m/>
    <m/>
    <m/>
    <m/>
    <x v="0"/>
    <m/>
    <m/>
    <m/>
    <m/>
    <s v="Not Known"/>
    <s v="-"/>
    <s v="-"/>
    <s v="-"/>
    <s v="-"/>
    <s v="-"/>
    <s v="-"/>
    <s v="-"/>
    <s v="-"/>
    <s v="-"/>
    <s v="-"/>
    <x v="1"/>
    <x v="0"/>
    <s v="-"/>
    <s v="-"/>
    <s v="-"/>
    <s v="-"/>
    <s v="-"/>
    <s v="-"/>
    <s v="-"/>
    <s v="-"/>
    <s v="-"/>
    <s v="-"/>
    <s v="-"/>
    <x v="0"/>
    <x v="0"/>
    <n v="1.9999999552965199E-2"/>
    <n v="168"/>
    <n v="129"/>
    <n v="39"/>
    <x v="0"/>
    <x v="0"/>
    <m/>
    <x v="0"/>
    <m/>
    <x v="0"/>
    <m/>
    <x v="0"/>
    <x v="1"/>
    <x v="4"/>
    <x v="0"/>
    <m/>
    <n v="0"/>
    <n v="0"/>
    <n v="0"/>
    <x v="0"/>
    <m/>
  </r>
  <r>
    <x v="3"/>
    <x v="0"/>
    <x v="0"/>
    <x v="1"/>
    <n v="976"/>
    <x v="50"/>
    <x v="3"/>
    <n v="1.2000000104308101E-2"/>
    <n v="527276"/>
    <n v="174754"/>
    <m/>
    <x v="55"/>
    <s v="PF"/>
    <d v="2017-09-13T00:00:00"/>
    <x v="50"/>
    <s v="Y"/>
    <m/>
    <s v="Nil"/>
    <m/>
    <m/>
    <s v="Demolition of existing garage and erection of a new four-storey building plus basement and rear amenity areas to create 1 x 3-bedroom  and 2 x 1-bedrom flats."/>
    <x v="55"/>
    <s v="NB"/>
    <x v="0"/>
    <s v="UC"/>
    <d v="2017-01-26T00:00:00"/>
    <d v="2017-10-23T00:00:00"/>
    <m/>
    <m/>
    <s v="C"/>
    <s v="BF"/>
    <x v="0"/>
    <m/>
    <d v="2017-10-23T00:00:00"/>
    <m/>
    <m/>
    <m/>
    <m/>
    <m/>
    <m/>
    <m/>
    <m/>
    <m/>
    <m/>
    <m/>
    <m/>
    <m/>
    <m/>
    <m/>
    <m/>
    <m/>
    <m/>
    <m/>
    <m/>
    <m/>
    <m/>
    <m/>
    <m/>
    <m/>
    <n v="120"/>
    <m/>
    <m/>
    <n v="120"/>
    <m/>
    <m/>
    <m/>
    <x v="0"/>
    <x v="1"/>
    <x v="1"/>
    <m/>
    <m/>
    <m/>
    <m/>
    <m/>
    <m/>
    <m/>
    <x v="0"/>
    <m/>
    <n v="-120"/>
    <m/>
    <m/>
    <n v="-120"/>
    <x v="1"/>
    <m/>
    <m/>
    <m/>
    <m/>
    <s v="-"/>
    <s v="-"/>
    <s v="-"/>
    <s v="-"/>
    <s v="-"/>
    <s v="-"/>
    <s v="-"/>
    <s v="-"/>
    <s v="-"/>
    <s v="-"/>
    <s v="-"/>
    <x v="1"/>
    <x v="0"/>
    <s v="-"/>
    <s v="-"/>
    <s v="-"/>
    <s v="-"/>
    <s v="-"/>
    <s v="-"/>
    <s v="-"/>
    <s v="Vacant"/>
    <s v="-"/>
    <s v="-"/>
    <s v="-"/>
    <x v="0"/>
    <x v="0"/>
    <n v="0"/>
    <n v="0"/>
    <n v="120"/>
    <n v="-120"/>
    <x v="0"/>
    <x v="0"/>
    <m/>
    <x v="0"/>
    <m/>
    <x v="0"/>
    <m/>
    <x v="0"/>
    <x v="0"/>
    <x v="0"/>
    <x v="0"/>
    <m/>
    <n v="239"/>
    <n v="0"/>
    <n v="239"/>
    <x v="1"/>
    <m/>
  </r>
  <r>
    <x v="2"/>
    <x v="2"/>
    <x v="2"/>
    <x v="1"/>
    <n v="983"/>
    <x v="51"/>
    <x v="9"/>
    <n v="9.9999997764825804E-3"/>
    <n v="527864"/>
    <n v="176587"/>
    <m/>
    <x v="56"/>
    <s v="PANR"/>
    <d v="2014-04-30T00:00:00"/>
    <x v="51"/>
    <m/>
    <m/>
    <s v="Nil"/>
    <m/>
    <m/>
    <s v="Conversion of existing office (Use Class B1a) into a one bedroom flat (Use Class C3)."/>
    <x v="56"/>
    <s v="COU"/>
    <x v="2"/>
    <s v="NSO"/>
    <m/>
    <m/>
    <m/>
    <m/>
    <s v="C"/>
    <s v="BF"/>
    <x v="0"/>
    <m/>
    <m/>
    <m/>
    <m/>
    <m/>
    <m/>
    <m/>
    <m/>
    <m/>
    <m/>
    <m/>
    <m/>
    <m/>
    <m/>
    <m/>
    <m/>
    <m/>
    <m/>
    <m/>
    <m/>
    <m/>
    <m/>
    <m/>
    <m/>
    <m/>
    <n v="32"/>
    <m/>
    <m/>
    <m/>
    <m/>
    <n v="32"/>
    <m/>
    <m/>
    <m/>
    <x v="0"/>
    <x v="1"/>
    <x v="1"/>
    <m/>
    <m/>
    <m/>
    <m/>
    <m/>
    <m/>
    <n v="-32"/>
    <x v="1"/>
    <m/>
    <m/>
    <m/>
    <m/>
    <n v="-32"/>
    <x v="1"/>
    <m/>
    <m/>
    <m/>
    <m/>
    <s v="-"/>
    <s v="-"/>
    <s v="-"/>
    <s v="-"/>
    <s v="-"/>
    <s v="-"/>
    <s v="-"/>
    <s v="-"/>
    <s v="-"/>
    <s v="-"/>
    <s v="-"/>
    <x v="1"/>
    <x v="0"/>
    <s v="-"/>
    <s v="-"/>
    <s v="-"/>
    <s v="-"/>
    <s v="-"/>
    <s v="Not Known"/>
    <s v="-"/>
    <s v="-"/>
    <s v="-"/>
    <s v="-"/>
    <s v="-"/>
    <x v="0"/>
    <x v="0"/>
    <n v="6.99999975040555E-3"/>
    <n v="0"/>
    <n v="32"/>
    <n v="-32"/>
    <x v="0"/>
    <x v="0"/>
    <m/>
    <x v="0"/>
    <m/>
    <x v="0"/>
    <m/>
    <x v="0"/>
    <x v="0"/>
    <x v="0"/>
    <x v="0"/>
    <m/>
    <n v="32"/>
    <n v="0"/>
    <n v="32"/>
    <x v="1"/>
    <m/>
  </r>
  <r>
    <x v="2"/>
    <x v="0"/>
    <x v="0"/>
    <x v="1"/>
    <n v="999"/>
    <x v="52"/>
    <x v="2"/>
    <n v="1.4000000432133701E-2"/>
    <n v="528491"/>
    <n v="173293"/>
    <m/>
    <x v="57"/>
    <s v="PF"/>
    <d v="2015-03-10T00:00:00"/>
    <x v="52"/>
    <m/>
    <m/>
    <s v="Nil"/>
    <m/>
    <m/>
    <s v="Part demolition of existing building and erection of a 4-storey building accommodating retail (A1 use class) at ground floor and basement level, and 5 self-contained residential units (C3 use class) (3 x 1 bed, 2 x 2 bed) above, together with associated alterations."/>
    <x v="57"/>
    <s v="EXT"/>
    <x v="1"/>
    <s v="NSV"/>
    <m/>
    <m/>
    <m/>
    <m/>
    <s v="C"/>
    <s v="BF"/>
    <x v="0"/>
    <m/>
    <m/>
    <m/>
    <n v="103"/>
    <m/>
    <m/>
    <m/>
    <m/>
    <n v="103"/>
    <m/>
    <m/>
    <m/>
    <m/>
    <m/>
    <m/>
    <m/>
    <m/>
    <m/>
    <m/>
    <n v="139"/>
    <m/>
    <m/>
    <m/>
    <m/>
    <n v="139"/>
    <m/>
    <m/>
    <m/>
    <m/>
    <m/>
    <m/>
    <m/>
    <m/>
    <m/>
    <x v="1"/>
    <x v="0"/>
    <x v="1"/>
    <n v="-36"/>
    <m/>
    <m/>
    <m/>
    <m/>
    <n v="-36"/>
    <m/>
    <x v="0"/>
    <m/>
    <m/>
    <m/>
    <m/>
    <m/>
    <x v="0"/>
    <m/>
    <m/>
    <m/>
    <m/>
    <s v="Not Known"/>
    <s v="-"/>
    <s v="-"/>
    <s v="-"/>
    <s v="-"/>
    <s v="-"/>
    <s v="-"/>
    <s v="-"/>
    <s v="-"/>
    <s v="-"/>
    <s v="-"/>
    <x v="1"/>
    <x v="0"/>
    <s v="Not Known"/>
    <s v="-"/>
    <s v="-"/>
    <s v="-"/>
    <s v="-"/>
    <s v="-"/>
    <s v="-"/>
    <s v="-"/>
    <s v="-"/>
    <s v="-"/>
    <s v="-"/>
    <x v="0"/>
    <x v="0"/>
    <n v="3.0000004917383003E-3"/>
    <n v="103"/>
    <n v="139"/>
    <n v="-36"/>
    <x v="0"/>
    <x v="0"/>
    <m/>
    <x v="0"/>
    <m/>
    <x v="0"/>
    <m/>
    <x v="0"/>
    <x v="1"/>
    <x v="5"/>
    <x v="0"/>
    <m/>
    <n v="354"/>
    <n v="0"/>
    <n v="354"/>
    <x v="1"/>
    <m/>
  </r>
  <r>
    <x v="0"/>
    <x v="0"/>
    <x v="0"/>
    <x v="0"/>
    <n v="1012"/>
    <x v="53"/>
    <x v="3"/>
    <n v="9.9999997764825804E-3"/>
    <n v="527372"/>
    <n v="175103"/>
    <m/>
    <x v="58"/>
    <s v="PF"/>
    <d v="2017-09-28T00:00:00"/>
    <x v="53"/>
    <s v="Y"/>
    <m/>
    <s v="Nil"/>
    <m/>
    <m/>
    <s v="Change of use from Shop ( Class A1) to Assembly and Leisure (Class A1/D2) and alterations to shop front."/>
    <x v="58"/>
    <s v="COU"/>
    <x v="2"/>
    <s v="OC"/>
    <m/>
    <d v="2017-11-23T00:00:00"/>
    <d v="2018-03-31T00:00:00"/>
    <d v="2018-03-31T00:00:00"/>
    <s v="C"/>
    <s v="BF"/>
    <x v="0"/>
    <m/>
    <d v="2017-11-23T00:00:00"/>
    <d v="2018-03-31T00:00:00"/>
    <n v="33"/>
    <m/>
    <m/>
    <m/>
    <m/>
    <n v="33"/>
    <m/>
    <m/>
    <m/>
    <m/>
    <m/>
    <m/>
    <m/>
    <m/>
    <n v="33"/>
    <n v="33"/>
    <n v="66"/>
    <m/>
    <m/>
    <m/>
    <m/>
    <n v="66"/>
    <m/>
    <m/>
    <m/>
    <m/>
    <m/>
    <m/>
    <m/>
    <m/>
    <m/>
    <x v="1"/>
    <x v="0"/>
    <x v="0"/>
    <n v="-33"/>
    <m/>
    <m/>
    <m/>
    <m/>
    <n v="-33"/>
    <m/>
    <x v="0"/>
    <m/>
    <m/>
    <m/>
    <m/>
    <m/>
    <x v="0"/>
    <m/>
    <m/>
    <n v="33"/>
    <n v="33"/>
    <s v="Services"/>
    <s v="-"/>
    <s v="-"/>
    <s v="-"/>
    <s v="-"/>
    <s v="-"/>
    <s v="-"/>
    <s v="-"/>
    <s v="-"/>
    <s v="-"/>
    <s v="-"/>
    <x v="1"/>
    <x v="2"/>
    <s v="Services"/>
    <s v="-"/>
    <s v="-"/>
    <s v="-"/>
    <s v="-"/>
    <s v="-"/>
    <s v="-"/>
    <s v="-"/>
    <s v="-"/>
    <s v="-"/>
    <s v="-"/>
    <x v="0"/>
    <x v="0"/>
    <n v="9.9999997764825804E-3"/>
    <n v="66"/>
    <n v="66"/>
    <n v="0"/>
    <x v="0"/>
    <x v="0"/>
    <m/>
    <x v="0"/>
    <m/>
    <x v="0"/>
    <m/>
    <x v="0"/>
    <x v="1"/>
    <x v="1"/>
    <x v="0"/>
    <m/>
    <n v="0"/>
    <n v="0"/>
    <n v="0"/>
    <x v="0"/>
    <m/>
  </r>
  <r>
    <x v="2"/>
    <x v="0"/>
    <x v="0"/>
    <x v="1"/>
    <n v="1076"/>
    <x v="54"/>
    <x v="14"/>
    <n v="1.60000007599592E-2"/>
    <n v="527809"/>
    <n v="172090"/>
    <m/>
    <x v="59"/>
    <s v="PF"/>
    <d v="2017-12-05T00:00:00"/>
    <x v="54"/>
    <s v="Y"/>
    <m/>
    <s v="Nil"/>
    <m/>
    <m/>
    <s v="Erection of new roof extension to provide additional floor above the hall."/>
    <x v="59"/>
    <s v="EXT"/>
    <x v="1"/>
    <s v="NSO"/>
    <m/>
    <m/>
    <m/>
    <m/>
    <s v="C"/>
    <s v="BF"/>
    <x v="0"/>
    <m/>
    <m/>
    <m/>
    <m/>
    <m/>
    <m/>
    <m/>
    <m/>
    <m/>
    <m/>
    <m/>
    <m/>
    <m/>
    <m/>
    <m/>
    <m/>
    <n v="275"/>
    <m/>
    <n v="275"/>
    <m/>
    <m/>
    <m/>
    <m/>
    <m/>
    <m/>
    <m/>
    <m/>
    <m/>
    <m/>
    <m/>
    <m/>
    <m/>
    <m/>
    <m/>
    <x v="0"/>
    <x v="0"/>
    <x v="0"/>
    <m/>
    <m/>
    <m/>
    <m/>
    <m/>
    <m/>
    <m/>
    <x v="0"/>
    <m/>
    <m/>
    <m/>
    <m/>
    <m/>
    <x v="0"/>
    <m/>
    <n v="275"/>
    <m/>
    <n v="275"/>
    <s v="-"/>
    <s v="-"/>
    <s v="-"/>
    <s v="-"/>
    <s v="-"/>
    <s v="-"/>
    <s v="-"/>
    <s v="-"/>
    <s v="-"/>
    <s v="-"/>
    <s v="-"/>
    <x v="4"/>
    <x v="0"/>
    <s v="-"/>
    <s v="-"/>
    <s v="-"/>
    <s v="-"/>
    <s v="-"/>
    <s v="-"/>
    <s v="-"/>
    <s v="-"/>
    <s v="-"/>
    <s v="-"/>
    <s v="-"/>
    <x v="0"/>
    <x v="0"/>
    <n v="1.60000007599592E-2"/>
    <n v="275"/>
    <n v="0"/>
    <n v="275"/>
    <x v="0"/>
    <x v="0"/>
    <m/>
    <x v="0"/>
    <m/>
    <x v="0"/>
    <m/>
    <x v="0"/>
    <x v="0"/>
    <x v="0"/>
    <x v="0"/>
    <m/>
    <n v="0"/>
    <n v="0"/>
    <n v="0"/>
    <x v="0"/>
    <m/>
  </r>
  <r>
    <x v="1"/>
    <x v="0"/>
    <x v="0"/>
    <x v="1"/>
    <n v="1181"/>
    <x v="55"/>
    <x v="10"/>
    <n v="9.9999997764825804E-3"/>
    <n v="523800"/>
    <n v="175079"/>
    <m/>
    <x v="60"/>
    <s v="AF"/>
    <d v="2018-02-16T00:00:00"/>
    <x v="1"/>
    <m/>
    <m/>
    <s v="Nil"/>
    <m/>
    <m/>
    <s v="Change of use from shop (Class A1) to flexible use of ground floor for either Class A1 (shop), A2 (financial and professional services), D1 (medical or training) or D2 (yoga studio or gym) use [amended description]."/>
    <x v="60"/>
    <s v="COU"/>
    <x v="2"/>
    <s v="NSO"/>
    <m/>
    <m/>
    <m/>
    <m/>
    <s v="C"/>
    <s v="BF"/>
    <x v="0"/>
    <m/>
    <m/>
    <m/>
    <n v="22"/>
    <n v="22"/>
    <m/>
    <m/>
    <m/>
    <n v="44"/>
    <m/>
    <m/>
    <m/>
    <m/>
    <m/>
    <m/>
    <m/>
    <n v="22"/>
    <n v="23"/>
    <n v="45"/>
    <n v="80"/>
    <m/>
    <m/>
    <m/>
    <m/>
    <n v="80"/>
    <m/>
    <m/>
    <m/>
    <m/>
    <m/>
    <m/>
    <m/>
    <m/>
    <m/>
    <x v="1"/>
    <x v="0"/>
    <x v="0"/>
    <n v="-58"/>
    <n v="22"/>
    <m/>
    <m/>
    <m/>
    <n v="-36"/>
    <m/>
    <x v="0"/>
    <m/>
    <m/>
    <m/>
    <m/>
    <m/>
    <x v="0"/>
    <m/>
    <n v="22"/>
    <n v="23"/>
    <n v="45"/>
    <s v="Services"/>
    <s v="Not Known"/>
    <s v="-"/>
    <s v="-"/>
    <s v="-"/>
    <s v="-"/>
    <s v="-"/>
    <s v="-"/>
    <s v="-"/>
    <s v="-"/>
    <s v="-"/>
    <x v="5"/>
    <x v="2"/>
    <s v="Services"/>
    <s v="-"/>
    <s v="-"/>
    <s v="-"/>
    <s v="-"/>
    <s v="-"/>
    <s v="-"/>
    <s v="-"/>
    <s v="-"/>
    <s v="-"/>
    <s v="-"/>
    <x v="0"/>
    <x v="0"/>
    <n v="9.9999997764825804E-3"/>
    <n v="89"/>
    <n v="80"/>
    <n v="9"/>
    <x v="0"/>
    <x v="0"/>
    <m/>
    <x v="0"/>
    <m/>
    <x v="0"/>
    <m/>
    <x v="0"/>
    <x v="1"/>
    <x v="2"/>
    <x v="0"/>
    <m/>
    <n v="0"/>
    <n v="0"/>
    <n v="0"/>
    <x v="0"/>
    <m/>
  </r>
  <r>
    <x v="0"/>
    <x v="2"/>
    <x v="2"/>
    <x v="0"/>
    <n v="1183"/>
    <x v="56"/>
    <x v="5"/>
    <n v="1.60000007599592E-2"/>
    <n v="524979"/>
    <n v="174628"/>
    <m/>
    <x v="61"/>
    <s v="PANR"/>
    <d v="2016-11-30T00:00:00"/>
    <x v="55"/>
    <m/>
    <m/>
    <s v="Nil"/>
    <m/>
    <m/>
    <s v="Determination as to whether prior approval is required for change of use from retail (Class A1) to 1 x 2-bedroom flat (Class C3)."/>
    <x v="61"/>
    <s v="COU"/>
    <x v="2"/>
    <s v="OC"/>
    <m/>
    <d v="2017-07-01T00:00:00"/>
    <d v="2018-02-14T00:00:00"/>
    <d v="2018-02-14T00:00:00"/>
    <s v="C"/>
    <s v="BF"/>
    <x v="0"/>
    <m/>
    <d v="2017-07-01T00:00:00"/>
    <d v="2018-02-14T00:00:00"/>
    <m/>
    <m/>
    <m/>
    <m/>
    <m/>
    <m/>
    <m/>
    <m/>
    <m/>
    <m/>
    <m/>
    <m/>
    <m/>
    <m/>
    <m/>
    <m/>
    <n v="43"/>
    <m/>
    <m/>
    <m/>
    <m/>
    <n v="43"/>
    <m/>
    <m/>
    <m/>
    <m/>
    <m/>
    <m/>
    <m/>
    <m/>
    <m/>
    <x v="1"/>
    <x v="0"/>
    <x v="1"/>
    <n v="-43"/>
    <m/>
    <m/>
    <m/>
    <m/>
    <n v="-43"/>
    <m/>
    <x v="0"/>
    <m/>
    <m/>
    <m/>
    <m/>
    <m/>
    <x v="0"/>
    <m/>
    <m/>
    <m/>
    <m/>
    <s v="-"/>
    <s v="-"/>
    <s v="-"/>
    <s v="-"/>
    <s v="-"/>
    <s v="-"/>
    <s v="-"/>
    <s v="-"/>
    <s v="-"/>
    <s v="-"/>
    <s v="-"/>
    <x v="1"/>
    <x v="0"/>
    <s v="Consumables"/>
    <s v="-"/>
    <s v="-"/>
    <s v="-"/>
    <s v="-"/>
    <s v="-"/>
    <s v="-"/>
    <s v="-"/>
    <s v="-"/>
    <s v="-"/>
    <s v="-"/>
    <x v="0"/>
    <x v="0"/>
    <n v="1.1000000871717909E-2"/>
    <n v="0"/>
    <n v="43"/>
    <n v="-43"/>
    <x v="0"/>
    <x v="0"/>
    <m/>
    <x v="0"/>
    <m/>
    <x v="0"/>
    <m/>
    <x v="0"/>
    <x v="0"/>
    <x v="0"/>
    <x v="0"/>
    <m/>
    <n v="43"/>
    <n v="0"/>
    <n v="43"/>
    <x v="1"/>
    <m/>
  </r>
  <r>
    <x v="0"/>
    <x v="0"/>
    <x v="0"/>
    <x v="0"/>
    <n v="1200"/>
    <x v="57"/>
    <x v="18"/>
    <n v="1.9999999552965199E-2"/>
    <n v="527429"/>
    <n v="172617"/>
    <m/>
    <x v="62"/>
    <s v="PF"/>
    <d v="2017-01-26T00:00:00"/>
    <x v="56"/>
    <m/>
    <m/>
    <s v="Nil"/>
    <m/>
    <m/>
    <s v="Alterations including erection of roof extension to provide an additional storey for the children's day nursery.(Revised scheme following refused permission dated 18th April 2016 ref 2016/0877 (Alterations including erection of roof extension to provide an additional storey for the children's day nursery)).children's day nursery)) and the continued use of the first floor of the property as a nursery (Class D1)."/>
    <x v="62"/>
    <s v="EXT"/>
    <x v="1"/>
    <s v="OC"/>
    <m/>
    <d v="2017-03-31T00:00:00"/>
    <d v="2018-03-31T00:00:00"/>
    <d v="2018-03-31T00:00:00"/>
    <s v="C"/>
    <s v="BF"/>
    <x v="0"/>
    <m/>
    <d v="2017-03-31T00:00:00"/>
    <d v="2018-03-31T00:00:00"/>
    <m/>
    <m/>
    <m/>
    <m/>
    <m/>
    <m/>
    <m/>
    <m/>
    <m/>
    <m/>
    <m/>
    <m/>
    <m/>
    <n v="60"/>
    <m/>
    <n v="60"/>
    <m/>
    <m/>
    <m/>
    <m/>
    <m/>
    <m/>
    <m/>
    <m/>
    <m/>
    <m/>
    <m/>
    <m/>
    <m/>
    <m/>
    <m/>
    <x v="0"/>
    <x v="0"/>
    <x v="0"/>
    <m/>
    <m/>
    <m/>
    <m/>
    <m/>
    <m/>
    <m/>
    <x v="0"/>
    <m/>
    <m/>
    <m/>
    <m/>
    <m/>
    <x v="0"/>
    <m/>
    <n v="60"/>
    <m/>
    <n v="60"/>
    <s v="-"/>
    <s v="-"/>
    <s v="-"/>
    <s v="-"/>
    <s v="-"/>
    <s v="-"/>
    <s v="-"/>
    <s v="-"/>
    <s v="-"/>
    <s v="-"/>
    <s v="-"/>
    <x v="6"/>
    <x v="0"/>
    <s v="-"/>
    <s v="-"/>
    <s v="-"/>
    <s v="-"/>
    <s v="-"/>
    <s v="-"/>
    <s v="-"/>
    <s v="-"/>
    <s v="-"/>
    <s v="-"/>
    <s v="-"/>
    <x v="0"/>
    <x v="0"/>
    <n v="1.9999999552965199E-2"/>
    <n v="60"/>
    <n v="0"/>
    <n v="60"/>
    <x v="0"/>
    <x v="0"/>
    <m/>
    <x v="0"/>
    <m/>
    <x v="0"/>
    <m/>
    <x v="0"/>
    <x v="0"/>
    <x v="0"/>
    <x v="0"/>
    <m/>
    <n v="0"/>
    <n v="0"/>
    <n v="0"/>
    <x v="0"/>
    <m/>
  </r>
  <r>
    <x v="1"/>
    <x v="0"/>
    <x v="0"/>
    <x v="1"/>
    <n v="1283"/>
    <x v="58"/>
    <x v="13"/>
    <n v="1.2000000104308101E-2"/>
    <n v="526098"/>
    <n v="172936"/>
    <m/>
    <x v="63"/>
    <s v="AF"/>
    <d v="2018-03-28T00:00:00"/>
    <x v="1"/>
    <m/>
    <m/>
    <s v="Nil"/>
    <m/>
    <m/>
    <s v="Change of use from Hairdressers (Class A1) to a Dental Surgery (Class D1)."/>
    <x v="63"/>
    <s v="COU"/>
    <x v="2"/>
    <s v="NSO"/>
    <m/>
    <m/>
    <m/>
    <m/>
    <s v="P"/>
    <s v="BF"/>
    <x v="0"/>
    <m/>
    <m/>
    <m/>
    <m/>
    <m/>
    <m/>
    <m/>
    <m/>
    <m/>
    <m/>
    <m/>
    <m/>
    <m/>
    <m/>
    <m/>
    <m/>
    <n v="147"/>
    <m/>
    <n v="147"/>
    <n v="147"/>
    <m/>
    <m/>
    <m/>
    <m/>
    <n v="147"/>
    <m/>
    <m/>
    <m/>
    <m/>
    <m/>
    <m/>
    <m/>
    <m/>
    <m/>
    <x v="1"/>
    <x v="0"/>
    <x v="0"/>
    <n v="-147"/>
    <m/>
    <m/>
    <m/>
    <m/>
    <n v="-147"/>
    <m/>
    <x v="0"/>
    <m/>
    <m/>
    <m/>
    <m/>
    <m/>
    <x v="0"/>
    <m/>
    <n v="147"/>
    <m/>
    <n v="147"/>
    <s v="-"/>
    <s v="-"/>
    <s v="-"/>
    <s v="-"/>
    <s v="-"/>
    <s v="-"/>
    <s v="-"/>
    <s v="-"/>
    <s v="-"/>
    <s v="-"/>
    <s v="-"/>
    <x v="2"/>
    <x v="0"/>
    <s v="Vacant"/>
    <s v="-"/>
    <s v="-"/>
    <s v="-"/>
    <s v="-"/>
    <s v="-"/>
    <s v="-"/>
    <s v="-"/>
    <s v="-"/>
    <s v="-"/>
    <s v="-"/>
    <x v="0"/>
    <x v="0"/>
    <n v="1.2000000104308101E-2"/>
    <n v="147"/>
    <n v="147"/>
    <n v="0"/>
    <x v="0"/>
    <x v="0"/>
    <m/>
    <x v="0"/>
    <m/>
    <x v="0"/>
    <m/>
    <x v="0"/>
    <x v="0"/>
    <x v="0"/>
    <x v="1"/>
    <s v="Earlsfield"/>
    <n v="0"/>
    <n v="0"/>
    <n v="0"/>
    <x v="0"/>
    <m/>
  </r>
  <r>
    <x v="0"/>
    <x v="0"/>
    <x v="0"/>
    <x v="0"/>
    <n v="1339"/>
    <x v="59"/>
    <x v="2"/>
    <n v="1.9999999552965199E-2"/>
    <n v="528485"/>
    <n v="173309"/>
    <m/>
    <x v="64"/>
    <s v="PF"/>
    <d v="2017-02-28T00:00:00"/>
    <x v="22"/>
    <s v="Y"/>
    <m/>
    <s v="Nil"/>
    <m/>
    <m/>
    <s v="Change of use of amusement centre at basement and ground level (Class sui generis) to coffee shop (Class A1/A3). Proposed opening hours 06:30 to 20:00 Monday to Saturday and 08:00 to 18:30 Sunday and Bank Holidays. Alterations and  installation of replacement shopfront."/>
    <x v="64"/>
    <s v="COU"/>
    <x v="2"/>
    <s v="OC"/>
    <m/>
    <d v="2017-05-05T00:00:00"/>
    <d v="2018-02-28T00:00:00"/>
    <d v="2018-02-28T00:00:00"/>
    <s v="C"/>
    <s v="BF"/>
    <x v="0"/>
    <m/>
    <d v="2017-05-05T00:00:00"/>
    <d v="2018-02-28T00:00:00"/>
    <n v="155"/>
    <m/>
    <n v="155"/>
    <m/>
    <m/>
    <n v="310"/>
    <m/>
    <m/>
    <m/>
    <m/>
    <m/>
    <m/>
    <m/>
    <m/>
    <m/>
    <m/>
    <m/>
    <m/>
    <m/>
    <m/>
    <m/>
    <m/>
    <m/>
    <m/>
    <m/>
    <m/>
    <m/>
    <m/>
    <m/>
    <m/>
    <m/>
    <x v="1"/>
    <x v="0"/>
    <x v="1"/>
    <n v="155"/>
    <m/>
    <n v="155"/>
    <m/>
    <m/>
    <n v="310"/>
    <m/>
    <x v="0"/>
    <m/>
    <m/>
    <m/>
    <m/>
    <m/>
    <x v="0"/>
    <m/>
    <m/>
    <m/>
    <m/>
    <s v="Not Known"/>
    <s v="-"/>
    <s v="Other"/>
    <s v="-"/>
    <s v="-"/>
    <s v="-"/>
    <s v="-"/>
    <s v="-"/>
    <s v="-"/>
    <s v="-"/>
    <s v="-"/>
    <x v="1"/>
    <x v="0"/>
    <s v="-"/>
    <s v="-"/>
    <s v="-"/>
    <s v="-"/>
    <s v="-"/>
    <s v="-"/>
    <s v="-"/>
    <s v="-"/>
    <s v="-"/>
    <s v="-"/>
    <s v="-"/>
    <x v="0"/>
    <x v="0"/>
    <n v="1.9999999552965199E-2"/>
    <n v="310"/>
    <n v="310"/>
    <n v="0"/>
    <x v="0"/>
    <x v="0"/>
    <m/>
    <x v="0"/>
    <m/>
    <x v="0"/>
    <m/>
    <x v="0"/>
    <x v="1"/>
    <x v="5"/>
    <x v="0"/>
    <m/>
    <n v="0"/>
    <n v="0"/>
    <n v="0"/>
    <x v="0"/>
    <m/>
  </r>
  <r>
    <x v="0"/>
    <x v="0"/>
    <x v="0"/>
    <x v="0"/>
    <n v="1359"/>
    <x v="60"/>
    <x v="14"/>
    <n v="9.9999997764825804E-3"/>
    <n v="526900"/>
    <n v="171788"/>
    <m/>
    <x v="65"/>
    <s v="PF"/>
    <d v="2017-12-20T00:00:00"/>
    <x v="57"/>
    <s v="Y"/>
    <m/>
    <s v="Nil"/>
    <m/>
    <m/>
    <s v="Change of use of ground floor from workshop/storage (B1/B8) to residential (C3) in connection with creation of 1 x 2-bedroom flat. Erection of single-storey rear extension and alterations to fenestration."/>
    <x v="65"/>
    <s v="MIX"/>
    <x v="0"/>
    <s v="OC"/>
    <m/>
    <m/>
    <d v="2018-03-31T00:00:00"/>
    <d v="2018-03-31T00:00:00"/>
    <s v="C"/>
    <s v="BF"/>
    <x v="0"/>
    <m/>
    <m/>
    <d v="2018-03-31T00:00:00"/>
    <m/>
    <m/>
    <m/>
    <m/>
    <m/>
    <m/>
    <m/>
    <m/>
    <m/>
    <m/>
    <m/>
    <m/>
    <m/>
    <m/>
    <m/>
    <m/>
    <m/>
    <m/>
    <m/>
    <m/>
    <m/>
    <m/>
    <m/>
    <m/>
    <m/>
    <m/>
    <n v="55"/>
    <n v="55"/>
    <m/>
    <m/>
    <m/>
    <x v="0"/>
    <x v="1"/>
    <x v="1"/>
    <m/>
    <m/>
    <m/>
    <m/>
    <m/>
    <m/>
    <m/>
    <x v="0"/>
    <m/>
    <m/>
    <m/>
    <n v="-55"/>
    <n v="-55"/>
    <x v="1"/>
    <m/>
    <m/>
    <m/>
    <m/>
    <s v="-"/>
    <s v="-"/>
    <s v="-"/>
    <s v="-"/>
    <s v="-"/>
    <s v="-"/>
    <s v="-"/>
    <s v="-"/>
    <s v="-"/>
    <s v="-"/>
    <s v="-"/>
    <x v="1"/>
    <x v="0"/>
    <s v="-"/>
    <s v="-"/>
    <s v="-"/>
    <s v="-"/>
    <s v="-"/>
    <s v="-"/>
    <s v="-"/>
    <s v="-"/>
    <s v="-"/>
    <s v="Storage"/>
    <s v="-"/>
    <x v="0"/>
    <x v="0"/>
    <n v="3.9999997243285205E-3"/>
    <n v="0"/>
    <n v="55"/>
    <n v="-55"/>
    <x v="0"/>
    <x v="0"/>
    <m/>
    <x v="0"/>
    <m/>
    <x v="0"/>
    <m/>
    <x v="0"/>
    <x v="0"/>
    <x v="0"/>
    <x v="0"/>
    <m/>
    <n v="66"/>
    <n v="0"/>
    <n v="66"/>
    <x v="1"/>
    <m/>
  </r>
  <r>
    <x v="0"/>
    <x v="0"/>
    <x v="0"/>
    <x v="0"/>
    <n v="1365"/>
    <x v="61"/>
    <x v="10"/>
    <n v="7.9999998211860698E-2"/>
    <n v="524341"/>
    <n v="174457"/>
    <m/>
    <x v="66"/>
    <s v="PF"/>
    <d v="2013-05-15T00:00:00"/>
    <x v="58"/>
    <m/>
    <m/>
    <s v="Nil"/>
    <m/>
    <m/>
    <s v="Erection of two-storey extension to the eastern side of the property and erection of external rear staircase to increase the size of the ground floor nursery and first floor residential accommodation."/>
    <x v="66"/>
    <s v="EXT"/>
    <x v="1"/>
    <s v="OC"/>
    <m/>
    <d v="2017-03-31T00:00:00"/>
    <d v="2017-12-22T00:00:00"/>
    <d v="2017-12-22T00:00:00"/>
    <s v="C"/>
    <s v="BF"/>
    <x v="0"/>
    <m/>
    <d v="2017-03-31T00:00:00"/>
    <d v="2017-12-22T00:00:00"/>
    <m/>
    <m/>
    <m/>
    <m/>
    <m/>
    <m/>
    <m/>
    <m/>
    <m/>
    <m/>
    <m/>
    <m/>
    <m/>
    <n v="45"/>
    <m/>
    <n v="45"/>
    <m/>
    <m/>
    <m/>
    <m/>
    <m/>
    <m/>
    <m/>
    <m/>
    <m/>
    <m/>
    <m/>
    <m/>
    <m/>
    <m/>
    <m/>
    <x v="0"/>
    <x v="0"/>
    <x v="0"/>
    <m/>
    <m/>
    <m/>
    <m/>
    <m/>
    <m/>
    <m/>
    <x v="0"/>
    <m/>
    <m/>
    <m/>
    <m/>
    <m/>
    <x v="0"/>
    <m/>
    <n v="45"/>
    <m/>
    <n v="45"/>
    <s v="-"/>
    <s v="-"/>
    <s v="-"/>
    <s v="-"/>
    <s v="-"/>
    <s v="-"/>
    <s v="-"/>
    <s v="-"/>
    <s v="-"/>
    <s v="-"/>
    <s v="-"/>
    <x v="6"/>
    <x v="0"/>
    <s v="-"/>
    <s v="-"/>
    <s v="-"/>
    <s v="-"/>
    <s v="-"/>
    <s v="-"/>
    <s v="-"/>
    <s v="-"/>
    <s v="-"/>
    <s v="-"/>
    <s v="-"/>
    <x v="0"/>
    <x v="0"/>
    <n v="7.9999998211860698E-2"/>
    <n v="45"/>
    <n v="0"/>
    <n v="45"/>
    <x v="0"/>
    <x v="0"/>
    <m/>
    <x v="0"/>
    <m/>
    <x v="0"/>
    <m/>
    <x v="0"/>
    <x v="0"/>
    <x v="0"/>
    <x v="0"/>
    <m/>
    <n v="29"/>
    <n v="0"/>
    <n v="29"/>
    <x v="1"/>
    <m/>
  </r>
  <r>
    <x v="0"/>
    <x v="3"/>
    <x v="3"/>
    <x v="0"/>
    <n v="1389"/>
    <x v="62"/>
    <x v="4"/>
    <n v="9.9999997764825804E-3"/>
    <n v="527222"/>
    <n v="177053"/>
    <m/>
    <x v="67"/>
    <s v="LDC Exist"/>
    <d v="2017-09-21T00:00:00"/>
    <x v="59"/>
    <s v="Y"/>
    <m/>
    <s v="Nil"/>
    <m/>
    <m/>
    <s v="Use of the lower ground and ground floor of the property as a 2-bedroom flat."/>
    <x v="67"/>
    <s v="COU"/>
    <x v="2"/>
    <s v="OC"/>
    <m/>
    <d v="2007-06-01T00:00:00"/>
    <d v="2017-11-16T00:00:00"/>
    <d v="2017-11-16T00:00:00"/>
    <s v="C"/>
    <s v="BF"/>
    <x v="0"/>
    <m/>
    <d v="2007-06-01T00:00:00"/>
    <d v="2017-11-16T00:00:00"/>
    <m/>
    <m/>
    <m/>
    <m/>
    <m/>
    <m/>
    <m/>
    <m/>
    <m/>
    <m/>
    <m/>
    <m/>
    <m/>
    <m/>
    <m/>
    <m/>
    <m/>
    <m/>
    <m/>
    <m/>
    <m/>
    <m/>
    <m/>
    <m/>
    <m/>
    <m/>
    <m/>
    <m/>
    <m/>
    <m/>
    <m/>
    <x v="0"/>
    <x v="0"/>
    <x v="1"/>
    <m/>
    <m/>
    <m/>
    <m/>
    <m/>
    <m/>
    <m/>
    <x v="0"/>
    <m/>
    <m/>
    <m/>
    <m/>
    <m/>
    <x v="0"/>
    <m/>
    <m/>
    <m/>
    <m/>
    <s v="-"/>
    <s v="-"/>
    <s v="-"/>
    <s v="-"/>
    <s v="-"/>
    <s v="-"/>
    <s v="-"/>
    <s v="-"/>
    <s v="-"/>
    <s v="-"/>
    <s v="-"/>
    <x v="1"/>
    <x v="0"/>
    <s v="-"/>
    <s v="-"/>
    <s v="-"/>
    <s v="-"/>
    <s v="-"/>
    <s v="-"/>
    <s v="-"/>
    <s v="-"/>
    <s v="-"/>
    <s v="-"/>
    <s v="-"/>
    <x v="0"/>
    <x v="0"/>
    <n v="6.99999975040555E-3"/>
    <n v="0"/>
    <n v="58"/>
    <n v="-58"/>
    <x v="0"/>
    <x v="0"/>
    <m/>
    <x v="0"/>
    <m/>
    <x v="0"/>
    <m/>
    <x v="0"/>
    <x v="0"/>
    <x v="0"/>
    <x v="0"/>
    <m/>
    <n v="58"/>
    <n v="0"/>
    <n v="58"/>
    <x v="1"/>
    <m/>
  </r>
  <r>
    <x v="0"/>
    <x v="0"/>
    <x v="0"/>
    <x v="0"/>
    <n v="1389"/>
    <x v="62"/>
    <x v="4"/>
    <n v="9.9999997764825804E-3"/>
    <n v="527222"/>
    <n v="177053"/>
    <m/>
    <x v="68"/>
    <s v="PF"/>
    <d v="2017-08-21T00:00:00"/>
    <x v="60"/>
    <s v="Y"/>
    <m/>
    <s v="Nil"/>
    <m/>
    <m/>
    <s v="Change of use from Shop (Class A1)  to Nail Salon (Sui Generis )."/>
    <x v="68"/>
    <s v="COU"/>
    <x v="2"/>
    <s v="OC"/>
    <m/>
    <d v="2017-10-16T00:00:00"/>
    <d v="2018-03-31T00:00:00"/>
    <d v="2018-03-31T00:00:00"/>
    <s v="C"/>
    <s v="BF"/>
    <x v="0"/>
    <m/>
    <d v="2017-10-16T00:00:00"/>
    <d v="2018-03-31T00:00:00"/>
    <m/>
    <m/>
    <m/>
    <m/>
    <m/>
    <m/>
    <m/>
    <m/>
    <m/>
    <m/>
    <m/>
    <m/>
    <m/>
    <m/>
    <m/>
    <m/>
    <n v="19"/>
    <m/>
    <m/>
    <m/>
    <m/>
    <n v="19"/>
    <m/>
    <m/>
    <m/>
    <m/>
    <m/>
    <m/>
    <m/>
    <m/>
    <m/>
    <x v="1"/>
    <x v="0"/>
    <x v="1"/>
    <n v="-19"/>
    <m/>
    <m/>
    <m/>
    <m/>
    <n v="-19"/>
    <m/>
    <x v="0"/>
    <m/>
    <m/>
    <m/>
    <m/>
    <m/>
    <x v="0"/>
    <m/>
    <m/>
    <m/>
    <m/>
    <s v="-"/>
    <s v="-"/>
    <s v="-"/>
    <s v="-"/>
    <s v="-"/>
    <s v="-"/>
    <s v="-"/>
    <s v="-"/>
    <s v="-"/>
    <s v="-"/>
    <s v="-"/>
    <x v="1"/>
    <x v="0"/>
    <s v="Durables"/>
    <s v="-"/>
    <s v="-"/>
    <s v="-"/>
    <s v="-"/>
    <s v="-"/>
    <s v="-"/>
    <s v="-"/>
    <s v="-"/>
    <s v="-"/>
    <s v="-"/>
    <x v="0"/>
    <x v="0"/>
    <n v="9.9999997764825804E-3"/>
    <n v="19"/>
    <n v="19"/>
    <n v="0"/>
    <x v="0"/>
    <x v="0"/>
    <m/>
    <x v="0"/>
    <m/>
    <x v="0"/>
    <m/>
    <x v="0"/>
    <x v="0"/>
    <x v="0"/>
    <x v="0"/>
    <m/>
    <n v="0"/>
    <n v="0"/>
    <n v="0"/>
    <x v="0"/>
    <m/>
  </r>
  <r>
    <x v="2"/>
    <x v="0"/>
    <x v="0"/>
    <x v="1"/>
    <n v="1406"/>
    <x v="63"/>
    <x v="6"/>
    <n v="9.9999997764825804E-3"/>
    <n v="527702"/>
    <n v="175547"/>
    <m/>
    <x v="69"/>
    <s v="PF"/>
    <d v="2015-09-08T00:00:00"/>
    <x v="61"/>
    <m/>
    <m/>
    <s v="Nil"/>
    <m/>
    <m/>
    <s v="Change of use of ground floor from shop (Class A1) to osteopathy, physiotherapy and sports rehabilitation treatment centre (Class D1)."/>
    <x v="69"/>
    <s v="COU"/>
    <x v="2"/>
    <s v="NSO"/>
    <m/>
    <m/>
    <m/>
    <m/>
    <s v="C"/>
    <s v="BF"/>
    <x v="0"/>
    <m/>
    <m/>
    <m/>
    <m/>
    <m/>
    <m/>
    <m/>
    <m/>
    <m/>
    <m/>
    <m/>
    <m/>
    <m/>
    <m/>
    <m/>
    <m/>
    <n v="65"/>
    <m/>
    <n v="65"/>
    <n v="65"/>
    <m/>
    <m/>
    <m/>
    <m/>
    <n v="65"/>
    <m/>
    <m/>
    <m/>
    <m/>
    <m/>
    <m/>
    <m/>
    <m/>
    <m/>
    <x v="1"/>
    <x v="0"/>
    <x v="0"/>
    <n v="-65"/>
    <m/>
    <m/>
    <m/>
    <m/>
    <n v="-65"/>
    <m/>
    <x v="0"/>
    <m/>
    <m/>
    <m/>
    <m/>
    <m/>
    <x v="0"/>
    <m/>
    <n v="65"/>
    <m/>
    <n v="65"/>
    <s v="-"/>
    <s v="-"/>
    <s v="-"/>
    <s v="-"/>
    <s v="-"/>
    <s v="-"/>
    <s v="-"/>
    <s v="-"/>
    <s v="-"/>
    <s v="-"/>
    <s v="-"/>
    <x v="2"/>
    <x v="0"/>
    <s v="Vacant"/>
    <s v="-"/>
    <s v="-"/>
    <s v="-"/>
    <s v="-"/>
    <s v="-"/>
    <s v="-"/>
    <s v="-"/>
    <s v="-"/>
    <s v="-"/>
    <s v="-"/>
    <x v="0"/>
    <x v="0"/>
    <n v="9.9999997764825804E-3"/>
    <n v="65"/>
    <n v="65"/>
    <n v="0"/>
    <x v="0"/>
    <x v="0"/>
    <m/>
    <x v="0"/>
    <m/>
    <x v="0"/>
    <m/>
    <x v="0"/>
    <x v="1"/>
    <x v="1"/>
    <x v="0"/>
    <m/>
    <n v="0"/>
    <n v="0"/>
    <n v="0"/>
    <x v="0"/>
    <m/>
  </r>
  <r>
    <x v="0"/>
    <x v="0"/>
    <x v="0"/>
    <x v="0"/>
    <n v="1471"/>
    <x v="64"/>
    <x v="0"/>
    <n v="0.41699999570846602"/>
    <n v="523813"/>
    <n v="173523"/>
    <m/>
    <x v="70"/>
    <s v="PF"/>
    <d v="2016-04-07T00:00:00"/>
    <x v="62"/>
    <m/>
    <m/>
    <s v="Nil"/>
    <m/>
    <m/>
    <s v="Erection of single storey church hall building."/>
    <x v="70"/>
    <s v="NB"/>
    <x v="0"/>
    <s v="OC"/>
    <m/>
    <d v="2017-04-01T00:00:00"/>
    <d v="2018-03-31T00:00:00"/>
    <d v="2018-03-31T00:00:00"/>
    <s v="C"/>
    <s v="BF"/>
    <x v="0"/>
    <m/>
    <d v="2017-04-01T00:00:00"/>
    <d v="2018-03-31T00:00:00"/>
    <m/>
    <m/>
    <m/>
    <m/>
    <m/>
    <m/>
    <m/>
    <m/>
    <m/>
    <m/>
    <m/>
    <m/>
    <m/>
    <n v="166"/>
    <m/>
    <n v="166"/>
    <m/>
    <m/>
    <m/>
    <m/>
    <m/>
    <m/>
    <m/>
    <m/>
    <m/>
    <m/>
    <m/>
    <m/>
    <m/>
    <m/>
    <m/>
    <x v="0"/>
    <x v="0"/>
    <x v="0"/>
    <m/>
    <m/>
    <m/>
    <m/>
    <m/>
    <m/>
    <m/>
    <x v="0"/>
    <m/>
    <m/>
    <m/>
    <m/>
    <m/>
    <x v="0"/>
    <m/>
    <n v="166"/>
    <m/>
    <n v="166"/>
    <s v="-"/>
    <s v="-"/>
    <s v="-"/>
    <s v="-"/>
    <s v="-"/>
    <s v="-"/>
    <s v="-"/>
    <s v="-"/>
    <s v="-"/>
    <s v="-"/>
    <s v="-"/>
    <x v="7"/>
    <x v="0"/>
    <s v="-"/>
    <s v="-"/>
    <s v="-"/>
    <s v="-"/>
    <s v="-"/>
    <s v="-"/>
    <s v="-"/>
    <s v="-"/>
    <s v="-"/>
    <s v="-"/>
    <s v="-"/>
    <x v="0"/>
    <x v="0"/>
    <n v="0.41699999570846602"/>
    <n v="166"/>
    <n v="0"/>
    <n v="166"/>
    <x v="0"/>
    <x v="0"/>
    <m/>
    <x v="0"/>
    <m/>
    <x v="0"/>
    <m/>
    <x v="0"/>
    <x v="0"/>
    <x v="0"/>
    <x v="0"/>
    <m/>
    <n v="0"/>
    <n v="0"/>
    <n v="0"/>
    <x v="0"/>
    <m/>
  </r>
  <r>
    <x v="0"/>
    <x v="0"/>
    <x v="0"/>
    <x v="0"/>
    <n v="1502"/>
    <x v="65"/>
    <x v="17"/>
    <n v="3.9000000804662698E-2"/>
    <n v="528652"/>
    <n v="172479"/>
    <m/>
    <x v="71"/>
    <s v="PF"/>
    <d v="2017-12-11T00:00:00"/>
    <x v="63"/>
    <s v="Y"/>
    <m/>
    <s v="Nil"/>
    <m/>
    <m/>
    <s v="Use of ground floor as day nursery/childcare (Class D1) with residential above (Class C3) for up to 9 children between 07:30am to 18:30pm Mondays to Fridays."/>
    <x v="71"/>
    <s v="COU"/>
    <x v="2"/>
    <s v="OC"/>
    <m/>
    <d v="2018-03-26T00:00:00"/>
    <d v="2018-03-31T00:00:00"/>
    <d v="2018-03-31T00:00:00"/>
    <s v="C"/>
    <s v="BF"/>
    <x v="0"/>
    <m/>
    <d v="2018-03-26T00:00:00"/>
    <d v="2018-03-31T00:00:00"/>
    <m/>
    <m/>
    <m/>
    <m/>
    <m/>
    <m/>
    <m/>
    <m/>
    <m/>
    <m/>
    <m/>
    <m/>
    <m/>
    <n v="102"/>
    <m/>
    <n v="102"/>
    <m/>
    <m/>
    <m/>
    <m/>
    <m/>
    <m/>
    <m/>
    <m/>
    <m/>
    <m/>
    <m/>
    <m/>
    <m/>
    <m/>
    <m/>
    <x v="0"/>
    <x v="0"/>
    <x v="0"/>
    <m/>
    <m/>
    <m/>
    <m/>
    <m/>
    <m/>
    <m/>
    <x v="0"/>
    <m/>
    <m/>
    <m/>
    <m/>
    <m/>
    <x v="0"/>
    <m/>
    <n v="102"/>
    <m/>
    <n v="102"/>
    <s v="-"/>
    <s v="-"/>
    <s v="-"/>
    <s v="-"/>
    <s v="-"/>
    <s v="-"/>
    <s v="-"/>
    <s v="-"/>
    <s v="-"/>
    <s v="-"/>
    <s v="-"/>
    <x v="6"/>
    <x v="0"/>
    <s v="-"/>
    <s v="-"/>
    <s v="-"/>
    <s v="-"/>
    <s v="-"/>
    <s v="-"/>
    <s v="-"/>
    <s v="-"/>
    <s v="-"/>
    <s v="-"/>
    <s v="-"/>
    <x v="0"/>
    <x v="0"/>
    <n v="1.6000000759959197E-2"/>
    <n v="102"/>
    <n v="0"/>
    <n v="102"/>
    <x v="0"/>
    <x v="0"/>
    <m/>
    <x v="0"/>
    <m/>
    <x v="0"/>
    <m/>
    <x v="0"/>
    <x v="0"/>
    <x v="0"/>
    <x v="0"/>
    <m/>
    <n v="156"/>
    <n v="258"/>
    <n v="-102"/>
    <x v="0"/>
    <m/>
  </r>
  <r>
    <x v="0"/>
    <x v="0"/>
    <x v="0"/>
    <x v="0"/>
    <n v="1532"/>
    <x v="66"/>
    <x v="16"/>
    <n v="1.30000002682209E-2"/>
    <n v="527653"/>
    <n v="171273"/>
    <m/>
    <x v="72"/>
    <s v="RP"/>
    <d v="2016-12-05T00:00:00"/>
    <x v="64"/>
    <m/>
    <m/>
    <s v="APG"/>
    <d v="2017-03-16T00:00:00"/>
    <d v="2017-06-28T00:00:00"/>
    <s v="Change of use from retail (Class Use A1) to educational and cultural centre (Class Use D1)."/>
    <x v="72"/>
    <s v="COU"/>
    <x v="2"/>
    <s v="OC"/>
    <m/>
    <d v="2017-06-28T00:00:00"/>
    <d v="2018-03-31T00:00:00"/>
    <d v="2018-03-31T00:00:00"/>
    <s v="C"/>
    <s v="BF"/>
    <x v="0"/>
    <m/>
    <d v="2017-06-28T00:00:00"/>
    <d v="2018-03-31T00:00:00"/>
    <m/>
    <m/>
    <m/>
    <m/>
    <m/>
    <m/>
    <m/>
    <m/>
    <m/>
    <m/>
    <m/>
    <m/>
    <m/>
    <n v="132"/>
    <m/>
    <n v="132"/>
    <n v="132"/>
    <m/>
    <m/>
    <m/>
    <m/>
    <n v="132"/>
    <m/>
    <m/>
    <m/>
    <m/>
    <m/>
    <m/>
    <m/>
    <m/>
    <m/>
    <x v="1"/>
    <x v="0"/>
    <x v="0"/>
    <n v="-132"/>
    <m/>
    <m/>
    <m/>
    <m/>
    <n v="-132"/>
    <m/>
    <x v="0"/>
    <m/>
    <m/>
    <m/>
    <m/>
    <m/>
    <x v="0"/>
    <m/>
    <n v="132"/>
    <m/>
    <n v="132"/>
    <s v="-"/>
    <s v="-"/>
    <s v="-"/>
    <s v="-"/>
    <s v="-"/>
    <s v="-"/>
    <s v="-"/>
    <s v="-"/>
    <s v="-"/>
    <s v="-"/>
    <s v="-"/>
    <x v="0"/>
    <x v="0"/>
    <s v="Services"/>
    <s v="-"/>
    <s v="-"/>
    <s v="-"/>
    <s v="-"/>
    <s v="-"/>
    <s v="-"/>
    <s v="-"/>
    <s v="-"/>
    <s v="-"/>
    <s v="-"/>
    <x v="0"/>
    <x v="0"/>
    <n v="1.30000002682209E-2"/>
    <n v="132"/>
    <n v="132"/>
    <n v="0"/>
    <x v="0"/>
    <x v="0"/>
    <m/>
    <x v="0"/>
    <m/>
    <x v="0"/>
    <m/>
    <x v="0"/>
    <x v="1"/>
    <x v="3"/>
    <x v="0"/>
    <m/>
    <n v="0"/>
    <n v="0"/>
    <n v="0"/>
    <x v="0"/>
    <m/>
  </r>
  <r>
    <x v="0"/>
    <x v="0"/>
    <x v="0"/>
    <x v="0"/>
    <n v="1533"/>
    <x v="67"/>
    <x v="16"/>
    <n v="1.09999999403954E-2"/>
    <n v="527720"/>
    <n v="171216"/>
    <m/>
    <x v="73"/>
    <s v="PF"/>
    <d v="2017-03-10T00:00:00"/>
    <x v="65"/>
    <s v="Y"/>
    <m/>
    <s v="Nil"/>
    <m/>
    <m/>
    <s v="Change of use of  basement and ground floor from retail (Class A1) to restaurant (Class A3). Installation of flue to rear.  Proposed opening hours 12:00am to 23:00pm Monday to Friday, 11:00am to 23:00pm Saturday and 11:00am to 23:00pm on Sunday and Bank Holidays."/>
    <x v="73"/>
    <s v="COU"/>
    <x v="2"/>
    <s v="OC"/>
    <m/>
    <d v="2017-05-05T00:00:00"/>
    <d v="2018-03-31T00:00:00"/>
    <d v="2018-03-31T00:00:00"/>
    <s v="C"/>
    <s v="BF"/>
    <x v="0"/>
    <m/>
    <d v="2017-05-05T00:00:00"/>
    <d v="2018-03-31T00:00:00"/>
    <m/>
    <m/>
    <n v="132"/>
    <m/>
    <m/>
    <n v="132"/>
    <m/>
    <m/>
    <m/>
    <m/>
    <m/>
    <m/>
    <m/>
    <m/>
    <m/>
    <m/>
    <n v="132"/>
    <m/>
    <m/>
    <m/>
    <m/>
    <n v="132"/>
    <m/>
    <m/>
    <m/>
    <m/>
    <m/>
    <m/>
    <m/>
    <m/>
    <m/>
    <x v="1"/>
    <x v="0"/>
    <x v="1"/>
    <n v="-132"/>
    <m/>
    <n v="132"/>
    <m/>
    <m/>
    <m/>
    <m/>
    <x v="0"/>
    <m/>
    <m/>
    <m/>
    <m/>
    <m/>
    <x v="0"/>
    <m/>
    <m/>
    <m/>
    <m/>
    <s v="-"/>
    <s v="-"/>
    <s v="Restaurant"/>
    <s v="-"/>
    <s v="-"/>
    <s v="-"/>
    <s v="-"/>
    <s v="-"/>
    <s v="-"/>
    <s v="-"/>
    <s v="-"/>
    <x v="1"/>
    <x v="0"/>
    <s v="Not Known"/>
    <s v="-"/>
    <s v="-"/>
    <s v="-"/>
    <s v="-"/>
    <s v="-"/>
    <s v="-"/>
    <s v="-"/>
    <s v="-"/>
    <s v="-"/>
    <s v="-"/>
    <x v="0"/>
    <x v="0"/>
    <n v="1.09999999403954E-2"/>
    <n v="132"/>
    <n v="132"/>
    <n v="0"/>
    <x v="0"/>
    <x v="0"/>
    <m/>
    <x v="0"/>
    <m/>
    <x v="0"/>
    <m/>
    <x v="0"/>
    <x v="1"/>
    <x v="3"/>
    <x v="0"/>
    <m/>
    <n v="0"/>
    <n v="0"/>
    <n v="0"/>
    <x v="0"/>
    <m/>
  </r>
  <r>
    <x v="2"/>
    <x v="3"/>
    <x v="3"/>
    <x v="1"/>
    <n v="1571"/>
    <x v="68"/>
    <x v="14"/>
    <n v="4.9999998882412902E-3"/>
    <n v="527523"/>
    <n v="171617"/>
    <m/>
    <x v="74"/>
    <s v="LDC Prop"/>
    <d v="2016-04-20T00:00:00"/>
    <x v="66"/>
    <m/>
    <m/>
    <s v="Nil"/>
    <m/>
    <m/>
    <s v="Change of use from (Class Use  A1) travel agency to (Class Use A1) sandwich bar/delicatessan/food shop."/>
    <x v="74"/>
    <s v="COU"/>
    <x v="2"/>
    <s v="NSO"/>
    <m/>
    <m/>
    <m/>
    <m/>
    <s v="C"/>
    <s v="BF"/>
    <x v="0"/>
    <m/>
    <m/>
    <m/>
    <n v="45"/>
    <m/>
    <m/>
    <m/>
    <m/>
    <n v="45"/>
    <m/>
    <m/>
    <m/>
    <m/>
    <m/>
    <m/>
    <m/>
    <m/>
    <m/>
    <m/>
    <n v="45"/>
    <m/>
    <m/>
    <m/>
    <m/>
    <n v="45"/>
    <m/>
    <m/>
    <m/>
    <m/>
    <m/>
    <m/>
    <m/>
    <m/>
    <m/>
    <x v="1"/>
    <x v="0"/>
    <x v="1"/>
    <m/>
    <m/>
    <m/>
    <m/>
    <m/>
    <m/>
    <m/>
    <x v="0"/>
    <m/>
    <m/>
    <m/>
    <m/>
    <m/>
    <x v="0"/>
    <m/>
    <m/>
    <m/>
    <m/>
    <s v="Consumables"/>
    <s v="-"/>
    <s v="-"/>
    <s v="-"/>
    <s v="-"/>
    <s v="-"/>
    <s v="-"/>
    <s v="-"/>
    <s v="-"/>
    <s v="-"/>
    <s v="-"/>
    <x v="1"/>
    <x v="0"/>
    <s v="Services"/>
    <s v="-"/>
    <s v="-"/>
    <s v="-"/>
    <s v="-"/>
    <s v="-"/>
    <s v="-"/>
    <s v="-"/>
    <s v="-"/>
    <s v="-"/>
    <s v="-"/>
    <x v="0"/>
    <x v="0"/>
    <n v="4.9999998882412902E-3"/>
    <n v="45"/>
    <n v="45"/>
    <n v="0"/>
    <x v="0"/>
    <x v="0"/>
    <m/>
    <x v="0"/>
    <m/>
    <x v="0"/>
    <m/>
    <x v="0"/>
    <x v="1"/>
    <x v="3"/>
    <x v="0"/>
    <m/>
    <n v="0"/>
    <n v="0"/>
    <n v="0"/>
    <x v="0"/>
    <m/>
  </r>
  <r>
    <x v="0"/>
    <x v="0"/>
    <x v="0"/>
    <x v="0"/>
    <n v="1583"/>
    <x v="69"/>
    <x v="4"/>
    <n v="3.20000015199184E-2"/>
    <n v="527339"/>
    <n v="176604"/>
    <m/>
    <x v="75"/>
    <s v="PF"/>
    <d v="2014-03-17T00:00:00"/>
    <x v="67"/>
    <m/>
    <m/>
    <s v="Nil"/>
    <m/>
    <m/>
    <s v="Alteration to reduce number of approved flats from 8 to 3 houses involving internal changes only."/>
    <x v="75"/>
    <s v="CON"/>
    <x v="2"/>
    <s v="OC"/>
    <m/>
    <d v="2016-04-18T00:00:00"/>
    <d v="2018-01-24T00:00:00"/>
    <d v="2018-01-24T00:00:00"/>
    <s v="C"/>
    <s v="BF"/>
    <x v="0"/>
    <m/>
    <d v="2016-04-18T00:00:00"/>
    <d v="2018-01-24T00:00:00"/>
    <m/>
    <m/>
    <m/>
    <m/>
    <m/>
    <m/>
    <m/>
    <m/>
    <m/>
    <m/>
    <m/>
    <m/>
    <m/>
    <m/>
    <m/>
    <m/>
    <m/>
    <m/>
    <m/>
    <m/>
    <m/>
    <m/>
    <n v="766"/>
    <m/>
    <m/>
    <m/>
    <m/>
    <n v="766"/>
    <m/>
    <m/>
    <m/>
    <x v="0"/>
    <x v="1"/>
    <x v="1"/>
    <m/>
    <m/>
    <m/>
    <m/>
    <m/>
    <m/>
    <n v="-766"/>
    <x v="1"/>
    <m/>
    <m/>
    <m/>
    <m/>
    <n v="-766"/>
    <x v="1"/>
    <m/>
    <m/>
    <m/>
    <m/>
    <s v="-"/>
    <s v="-"/>
    <s v="-"/>
    <s v="-"/>
    <s v="-"/>
    <s v="-"/>
    <s v="-"/>
    <s v="-"/>
    <s v="-"/>
    <s v="-"/>
    <s v="-"/>
    <x v="1"/>
    <x v="0"/>
    <s v="-"/>
    <s v="-"/>
    <s v="-"/>
    <s v="-"/>
    <s v="-"/>
    <s v="Not Known"/>
    <s v="-"/>
    <s v="-"/>
    <s v="-"/>
    <s v="-"/>
    <s v="-"/>
    <x v="0"/>
    <x v="0"/>
    <n v="0"/>
    <n v="0"/>
    <n v="766"/>
    <n v="-766"/>
    <x v="0"/>
    <x v="0"/>
    <m/>
    <x v="0"/>
    <m/>
    <x v="0"/>
    <m/>
    <x v="0"/>
    <x v="0"/>
    <x v="0"/>
    <x v="0"/>
    <m/>
    <n v="766"/>
    <n v="0"/>
    <n v="766"/>
    <x v="1"/>
    <m/>
  </r>
  <r>
    <x v="1"/>
    <x v="0"/>
    <x v="0"/>
    <x v="1"/>
    <n v="1587"/>
    <x v="70"/>
    <x v="13"/>
    <n v="8.9999996125698107E-3"/>
    <n v="526103"/>
    <n v="173307"/>
    <m/>
    <x v="76"/>
    <s v="AF"/>
    <d v="2018-03-09T00:00:00"/>
    <x v="1"/>
    <m/>
    <m/>
    <s v="Nil"/>
    <m/>
    <m/>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x v="76"/>
    <s v="MIX"/>
    <x v="0"/>
    <s v="NSO"/>
    <m/>
    <m/>
    <m/>
    <m/>
    <s v="P"/>
    <s v="BF"/>
    <x v="0"/>
    <m/>
    <m/>
    <m/>
    <m/>
    <m/>
    <m/>
    <m/>
    <m/>
    <m/>
    <m/>
    <m/>
    <m/>
    <m/>
    <m/>
    <m/>
    <m/>
    <m/>
    <m/>
    <m/>
    <m/>
    <m/>
    <m/>
    <m/>
    <m/>
    <m/>
    <n v="72"/>
    <m/>
    <m/>
    <m/>
    <m/>
    <n v="72"/>
    <m/>
    <m/>
    <m/>
    <x v="0"/>
    <x v="1"/>
    <x v="1"/>
    <m/>
    <m/>
    <m/>
    <m/>
    <m/>
    <m/>
    <n v="-72"/>
    <x v="1"/>
    <m/>
    <m/>
    <m/>
    <m/>
    <n v="-72"/>
    <x v="1"/>
    <m/>
    <m/>
    <m/>
    <m/>
    <s v="-"/>
    <s v="-"/>
    <s v="-"/>
    <s v="-"/>
    <s v="-"/>
    <s v="-"/>
    <s v="-"/>
    <s v="-"/>
    <s v="-"/>
    <s v="-"/>
    <s v="-"/>
    <x v="1"/>
    <x v="0"/>
    <s v="-"/>
    <s v="-"/>
    <s v="-"/>
    <s v="-"/>
    <s v="-"/>
    <s v="Not Known"/>
    <s v="-"/>
    <s v="-"/>
    <s v="-"/>
    <s v="-"/>
    <s v="-"/>
    <x v="0"/>
    <x v="0"/>
    <n v="9.9999923259020025E-4"/>
    <n v="0"/>
    <n v="72"/>
    <n v="-72"/>
    <x v="0"/>
    <x v="0"/>
    <m/>
    <x v="0"/>
    <m/>
    <x v="0"/>
    <m/>
    <x v="0"/>
    <x v="0"/>
    <x v="0"/>
    <x v="0"/>
    <m/>
    <n v="79"/>
    <n v="0"/>
    <n v="79"/>
    <x v="1"/>
    <m/>
  </r>
  <r>
    <x v="0"/>
    <x v="3"/>
    <x v="3"/>
    <x v="0"/>
    <n v="1667"/>
    <x v="71"/>
    <x v="5"/>
    <n v="8.9999996125698107E-3"/>
    <n v="526823"/>
    <n v="175309"/>
    <m/>
    <x v="77"/>
    <s v="LDC Prop"/>
    <d v="2017-06-21T00:00:00"/>
    <x v="68"/>
    <s v="Y"/>
    <m/>
    <s v="Nil"/>
    <m/>
    <m/>
    <s v="Use as residential unit (Class C3)."/>
    <x v="77"/>
    <s v="COU"/>
    <x v="2"/>
    <s v="OC"/>
    <m/>
    <d v="2005-06-04T00:00:00"/>
    <d v="2017-08-16T00:00:00"/>
    <d v="2017-08-16T00:00:00"/>
    <s v="C"/>
    <s v="BF"/>
    <x v="0"/>
    <m/>
    <d v="2005-06-04T00:00:00"/>
    <d v="2017-08-16T00:00:00"/>
    <m/>
    <m/>
    <m/>
    <m/>
    <m/>
    <m/>
    <m/>
    <m/>
    <m/>
    <m/>
    <m/>
    <m/>
    <m/>
    <m/>
    <m/>
    <m/>
    <n v="66"/>
    <m/>
    <m/>
    <m/>
    <m/>
    <n v="66"/>
    <m/>
    <m/>
    <m/>
    <m/>
    <m/>
    <m/>
    <m/>
    <m/>
    <m/>
    <x v="1"/>
    <x v="0"/>
    <x v="1"/>
    <n v="-66"/>
    <m/>
    <m/>
    <m/>
    <m/>
    <n v="-66"/>
    <m/>
    <x v="0"/>
    <m/>
    <m/>
    <m/>
    <m/>
    <m/>
    <x v="0"/>
    <m/>
    <m/>
    <m/>
    <m/>
    <s v="-"/>
    <s v="-"/>
    <s v="-"/>
    <s v="-"/>
    <s v="-"/>
    <s v="-"/>
    <s v="-"/>
    <s v="-"/>
    <s v="-"/>
    <s v="-"/>
    <s v="-"/>
    <x v="1"/>
    <x v="0"/>
    <s v="Not Known"/>
    <s v="-"/>
    <s v="-"/>
    <s v="-"/>
    <s v="-"/>
    <s v="-"/>
    <s v="-"/>
    <s v="-"/>
    <s v="-"/>
    <s v="-"/>
    <s v="-"/>
    <x v="0"/>
    <x v="0"/>
    <n v="4.9999994225800003E-3"/>
    <n v="0"/>
    <n v="66"/>
    <n v="-66"/>
    <x v="0"/>
    <x v="0"/>
    <m/>
    <x v="0"/>
    <m/>
    <x v="0"/>
    <m/>
    <x v="0"/>
    <x v="0"/>
    <x v="0"/>
    <x v="0"/>
    <m/>
    <n v="66"/>
    <n v="0"/>
    <n v="66"/>
    <x v="1"/>
    <m/>
  </r>
  <r>
    <x v="0"/>
    <x v="0"/>
    <x v="0"/>
    <x v="2"/>
    <n v="1721"/>
    <x v="72"/>
    <x v="5"/>
    <n v="1.4999999664723899E-2"/>
    <n v="526198"/>
    <n v="174779"/>
    <m/>
    <x v="78"/>
    <s v="PF"/>
    <d v="2017-10-02T00:00:00"/>
    <x v="69"/>
    <s v="Y"/>
    <m/>
    <s v="Nil"/>
    <m/>
    <m/>
    <s v="Change of use of ground floor and basement retail  (Class A1) to a counselling and psychotherapy practice (Class D1)"/>
    <x v="78"/>
    <s v="COU"/>
    <x v="2"/>
    <s v="CO"/>
    <m/>
    <d v="2017-11-24T00:00:00"/>
    <d v="2018-03-31T00:00:00"/>
    <m/>
    <s v="C"/>
    <s v="BF"/>
    <x v="0"/>
    <m/>
    <d v="2017-11-24T00:00:00"/>
    <d v="2018-03-31T00:00:00"/>
    <m/>
    <m/>
    <m/>
    <m/>
    <m/>
    <m/>
    <m/>
    <m/>
    <m/>
    <m/>
    <m/>
    <m/>
    <m/>
    <n v="113"/>
    <m/>
    <n v="113"/>
    <n v="113"/>
    <m/>
    <m/>
    <m/>
    <m/>
    <n v="113"/>
    <m/>
    <m/>
    <m/>
    <m/>
    <m/>
    <m/>
    <m/>
    <m/>
    <m/>
    <x v="1"/>
    <x v="0"/>
    <x v="0"/>
    <n v="-113"/>
    <m/>
    <m/>
    <m/>
    <m/>
    <n v="-113"/>
    <m/>
    <x v="0"/>
    <m/>
    <m/>
    <m/>
    <m/>
    <m/>
    <x v="0"/>
    <m/>
    <n v="113"/>
    <m/>
    <n v="113"/>
    <s v="-"/>
    <s v="-"/>
    <s v="-"/>
    <s v="-"/>
    <s v="-"/>
    <s v="-"/>
    <s v="-"/>
    <s v="-"/>
    <s v="-"/>
    <s v="-"/>
    <s v="-"/>
    <x v="2"/>
    <x v="0"/>
    <s v="Not Known"/>
    <s v="-"/>
    <s v="-"/>
    <s v="-"/>
    <s v="-"/>
    <s v="-"/>
    <s v="-"/>
    <s v="-"/>
    <s v="-"/>
    <s v="-"/>
    <s v="-"/>
    <x v="0"/>
    <x v="0"/>
    <n v="1.4999999664723899E-2"/>
    <n v="113"/>
    <n v="113"/>
    <n v="0"/>
    <x v="0"/>
    <x v="0"/>
    <m/>
    <x v="0"/>
    <m/>
    <x v="0"/>
    <m/>
    <x v="0"/>
    <x v="0"/>
    <x v="0"/>
    <x v="0"/>
    <m/>
    <n v="0"/>
    <n v="0"/>
    <n v="0"/>
    <x v="0"/>
    <m/>
  </r>
  <r>
    <x v="2"/>
    <x v="0"/>
    <x v="0"/>
    <x v="1"/>
    <n v="1822"/>
    <x v="73"/>
    <x v="11"/>
    <n v="0.31900000572204601"/>
    <n v="528652"/>
    <n v="174118"/>
    <m/>
    <x v="79"/>
    <s v="PF"/>
    <d v="2017-02-23T00:00:00"/>
    <x v="70"/>
    <s v="Y"/>
    <m/>
    <s v="Nil"/>
    <m/>
    <m/>
    <s v="Erection of single storey extension on the northern side of the main building."/>
    <x v="79"/>
    <s v="NB"/>
    <x v="0"/>
    <s v="NSO"/>
    <m/>
    <m/>
    <m/>
    <m/>
    <s v="C"/>
    <s v="BF"/>
    <x v="0"/>
    <m/>
    <m/>
    <m/>
    <m/>
    <m/>
    <m/>
    <m/>
    <m/>
    <m/>
    <m/>
    <m/>
    <m/>
    <m/>
    <m/>
    <m/>
    <m/>
    <n v="15"/>
    <m/>
    <n v="15"/>
    <m/>
    <m/>
    <m/>
    <m/>
    <m/>
    <m/>
    <m/>
    <m/>
    <m/>
    <m/>
    <m/>
    <m/>
    <m/>
    <m/>
    <m/>
    <x v="0"/>
    <x v="0"/>
    <x v="0"/>
    <m/>
    <m/>
    <m/>
    <m/>
    <m/>
    <m/>
    <m/>
    <x v="0"/>
    <m/>
    <m/>
    <m/>
    <m/>
    <m/>
    <x v="0"/>
    <m/>
    <n v="15"/>
    <m/>
    <n v="15"/>
    <s v="-"/>
    <s v="-"/>
    <s v="-"/>
    <s v="-"/>
    <s v="-"/>
    <s v="-"/>
    <s v="-"/>
    <s v="-"/>
    <s v="-"/>
    <s v="-"/>
    <s v="-"/>
    <x v="0"/>
    <x v="0"/>
    <s v="-"/>
    <s v="-"/>
    <s v="-"/>
    <s v="-"/>
    <s v="-"/>
    <s v="-"/>
    <s v="-"/>
    <s v="-"/>
    <s v="-"/>
    <s v="-"/>
    <s v="-"/>
    <x v="0"/>
    <x v="0"/>
    <n v="0.31900000572204601"/>
    <n v="15"/>
    <n v="0"/>
    <n v="15"/>
    <x v="0"/>
    <x v="0"/>
    <m/>
    <x v="0"/>
    <m/>
    <x v="0"/>
    <m/>
    <x v="0"/>
    <x v="0"/>
    <x v="0"/>
    <x v="0"/>
    <m/>
    <n v="0"/>
    <n v="0"/>
    <n v="0"/>
    <x v="0"/>
    <m/>
  </r>
  <r>
    <x v="2"/>
    <x v="0"/>
    <x v="0"/>
    <x v="1"/>
    <n v="1846"/>
    <x v="74"/>
    <x v="13"/>
    <n v="7.9999998211860698E-2"/>
    <n v="525688"/>
    <n v="173643"/>
    <m/>
    <x v="80"/>
    <s v="PF"/>
    <d v="2016-12-16T00:00:00"/>
    <x v="70"/>
    <s v="Y"/>
    <m/>
    <s v="Nil"/>
    <m/>
    <m/>
    <s v="Alterations to the ground floor frontage and erection of first floor rear extension to provide additional B1(a) office floorspace; associated cycle and car parking."/>
    <x v="80"/>
    <s v="EXT"/>
    <x v="1"/>
    <s v="NSO"/>
    <m/>
    <m/>
    <m/>
    <m/>
    <s v="C"/>
    <s v="BF"/>
    <x v="0"/>
    <m/>
    <m/>
    <m/>
    <m/>
    <m/>
    <m/>
    <m/>
    <m/>
    <m/>
    <n v="67"/>
    <m/>
    <m/>
    <n v="67"/>
    <m/>
    <m/>
    <n v="67"/>
    <m/>
    <m/>
    <m/>
    <m/>
    <m/>
    <m/>
    <m/>
    <m/>
    <m/>
    <m/>
    <m/>
    <m/>
    <m/>
    <m/>
    <m/>
    <m/>
    <m/>
    <m/>
    <x v="0"/>
    <x v="1"/>
    <x v="1"/>
    <m/>
    <m/>
    <m/>
    <m/>
    <m/>
    <m/>
    <n v="67"/>
    <x v="0"/>
    <m/>
    <m/>
    <m/>
    <m/>
    <n v="67"/>
    <x v="0"/>
    <m/>
    <m/>
    <m/>
    <m/>
    <s v="-"/>
    <s v="-"/>
    <s v="-"/>
    <s v="-"/>
    <s v="-"/>
    <s v="Vacant"/>
    <s v="-"/>
    <s v="-"/>
    <s v="-"/>
    <s v="-"/>
    <s v="-"/>
    <x v="1"/>
    <x v="0"/>
    <s v="-"/>
    <s v="-"/>
    <s v="-"/>
    <s v="-"/>
    <s v="-"/>
    <s v="-"/>
    <s v="-"/>
    <s v="-"/>
    <s v="-"/>
    <s v="-"/>
    <s v="-"/>
    <x v="0"/>
    <x v="0"/>
    <n v="7.9999998211860698E-2"/>
    <n v="67"/>
    <n v="0"/>
    <n v="67"/>
    <x v="0"/>
    <x v="0"/>
    <m/>
    <x v="1"/>
    <s v="Bendon Valley"/>
    <x v="0"/>
    <m/>
    <x v="0"/>
    <x v="0"/>
    <x v="0"/>
    <x v="0"/>
    <m/>
    <n v="0"/>
    <n v="0"/>
    <n v="0"/>
    <x v="0"/>
    <m/>
  </r>
  <r>
    <x v="1"/>
    <x v="1"/>
    <x v="1"/>
    <x v="1"/>
    <n v="1847"/>
    <x v="75"/>
    <x v="16"/>
    <n v="3.4000001847744002E-2"/>
    <n v="527213"/>
    <n v="170860"/>
    <m/>
    <x v="81"/>
    <s v="RP"/>
    <d v="2017-05-22T00:00:00"/>
    <x v="71"/>
    <s v="Y"/>
    <m/>
    <s v="APP"/>
    <d v="2018-01-10T00:00:00"/>
    <m/>
    <s v="Erection of a 2-bedroom bungalow and associated garden to the rear of 26 Longley Road."/>
    <x v="81"/>
    <s v="NB"/>
    <x v="0"/>
    <s v="NSO"/>
    <m/>
    <m/>
    <m/>
    <m/>
    <s v="C"/>
    <s v="Gdn"/>
    <x v="0"/>
    <m/>
    <m/>
    <m/>
    <m/>
    <m/>
    <m/>
    <m/>
    <m/>
    <m/>
    <m/>
    <m/>
    <m/>
    <m/>
    <m/>
    <m/>
    <m/>
    <m/>
    <m/>
    <m/>
    <m/>
    <m/>
    <m/>
    <m/>
    <m/>
    <m/>
    <m/>
    <m/>
    <m/>
    <m/>
    <m/>
    <m/>
    <m/>
    <m/>
    <m/>
    <x v="0"/>
    <x v="0"/>
    <x v="1"/>
    <m/>
    <m/>
    <m/>
    <m/>
    <m/>
    <m/>
    <m/>
    <x v="0"/>
    <m/>
    <m/>
    <m/>
    <m/>
    <m/>
    <x v="0"/>
    <m/>
    <m/>
    <m/>
    <m/>
    <s v="-"/>
    <s v="-"/>
    <s v="-"/>
    <s v="-"/>
    <s v="-"/>
    <s v="-"/>
    <s v="-"/>
    <s v="-"/>
    <s v="-"/>
    <s v="-"/>
    <s v="-"/>
    <x v="1"/>
    <x v="0"/>
    <s v="-"/>
    <s v="-"/>
    <s v="-"/>
    <s v="-"/>
    <s v="-"/>
    <s v="-"/>
    <s v="-"/>
    <s v="-"/>
    <s v="-"/>
    <s v="-"/>
    <s v="-"/>
    <x v="0"/>
    <x v="0"/>
    <n v="0"/>
    <n v="0"/>
    <n v="223"/>
    <n v="-223"/>
    <x v="0"/>
    <x v="0"/>
    <m/>
    <x v="0"/>
    <m/>
    <x v="0"/>
    <m/>
    <x v="0"/>
    <x v="0"/>
    <x v="0"/>
    <x v="0"/>
    <m/>
    <n v="73"/>
    <n v="0"/>
    <n v="73"/>
    <x v="1"/>
    <m/>
  </r>
  <r>
    <x v="1"/>
    <x v="0"/>
    <x v="0"/>
    <x v="1"/>
    <n v="1867"/>
    <x v="76"/>
    <x v="13"/>
    <n v="2.9999999329447701E-2"/>
    <n v="526162"/>
    <n v="172667"/>
    <m/>
    <x v="82"/>
    <s v="AF"/>
    <d v="2018-01-17T00:00:00"/>
    <x v="1"/>
    <m/>
    <m/>
    <s v="Nil"/>
    <m/>
    <m/>
    <s v="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
    <x v="82"/>
    <s v="NB"/>
    <x v="0"/>
    <s v="NSO"/>
    <m/>
    <m/>
    <m/>
    <m/>
    <s v="P"/>
    <s v="BF"/>
    <x v="0"/>
    <m/>
    <m/>
    <m/>
    <m/>
    <m/>
    <m/>
    <m/>
    <m/>
    <m/>
    <m/>
    <m/>
    <m/>
    <m/>
    <m/>
    <m/>
    <m/>
    <m/>
    <m/>
    <m/>
    <m/>
    <m/>
    <m/>
    <m/>
    <m/>
    <m/>
    <m/>
    <m/>
    <m/>
    <m/>
    <n v="122"/>
    <n v="122"/>
    <m/>
    <m/>
    <m/>
    <x v="0"/>
    <x v="1"/>
    <x v="1"/>
    <m/>
    <m/>
    <m/>
    <m/>
    <m/>
    <m/>
    <m/>
    <x v="0"/>
    <m/>
    <m/>
    <m/>
    <n v="-122"/>
    <n v="-122"/>
    <x v="1"/>
    <m/>
    <m/>
    <m/>
    <m/>
    <s v="-"/>
    <s v="-"/>
    <s v="-"/>
    <s v="-"/>
    <s v="-"/>
    <s v="-"/>
    <s v="-"/>
    <s v="-"/>
    <s v="-"/>
    <s v="-"/>
    <s v="-"/>
    <x v="1"/>
    <x v="0"/>
    <s v="-"/>
    <s v="-"/>
    <s v="-"/>
    <s v="-"/>
    <s v="-"/>
    <s v="-"/>
    <s v="-"/>
    <s v="-"/>
    <s v="-"/>
    <s v="Storage"/>
    <s v="-"/>
    <x v="0"/>
    <x v="0"/>
    <n v="0"/>
    <n v="0"/>
    <n v="122"/>
    <n v="-122"/>
    <x v="0"/>
    <x v="0"/>
    <m/>
    <x v="0"/>
    <m/>
    <x v="0"/>
    <m/>
    <x v="0"/>
    <x v="0"/>
    <x v="0"/>
    <x v="0"/>
    <m/>
    <n v="403"/>
    <n v="0"/>
    <n v="403"/>
    <x v="1"/>
    <m/>
  </r>
  <r>
    <x v="2"/>
    <x v="2"/>
    <x v="2"/>
    <x v="1"/>
    <n v="1877"/>
    <x v="77"/>
    <x v="4"/>
    <n v="0.12800000607967399"/>
    <n v="526819"/>
    <n v="176644"/>
    <m/>
    <x v="83"/>
    <s v="PANR"/>
    <d v="2015-10-16T00:00:00"/>
    <x v="72"/>
    <m/>
    <m/>
    <s v="Nil"/>
    <m/>
    <m/>
    <s v="Determination as to whether prior approval is required for change of use from office (Class B1a) at second floor level to residential (Class C3) to provide three flats (2 x 1-bedroom and 1 x 2-bedroom)."/>
    <x v="83"/>
    <s v="COU"/>
    <x v="2"/>
    <s v="NSO"/>
    <m/>
    <m/>
    <m/>
    <m/>
    <s v="C"/>
    <s v="BF"/>
    <x v="0"/>
    <m/>
    <m/>
    <m/>
    <m/>
    <m/>
    <m/>
    <m/>
    <m/>
    <m/>
    <m/>
    <m/>
    <m/>
    <m/>
    <m/>
    <m/>
    <m/>
    <m/>
    <m/>
    <m/>
    <m/>
    <m/>
    <m/>
    <m/>
    <m/>
    <m/>
    <n v="228"/>
    <m/>
    <m/>
    <m/>
    <m/>
    <n v="228"/>
    <m/>
    <m/>
    <m/>
    <x v="0"/>
    <x v="1"/>
    <x v="1"/>
    <m/>
    <m/>
    <m/>
    <m/>
    <m/>
    <m/>
    <n v="-228"/>
    <x v="1"/>
    <m/>
    <m/>
    <m/>
    <m/>
    <n v="-228"/>
    <x v="1"/>
    <m/>
    <m/>
    <m/>
    <m/>
    <s v="-"/>
    <s v="-"/>
    <s v="-"/>
    <s v="-"/>
    <s v="-"/>
    <s v="-"/>
    <s v="-"/>
    <s v="-"/>
    <s v="-"/>
    <s v="-"/>
    <s v="-"/>
    <x v="1"/>
    <x v="0"/>
    <s v="-"/>
    <s v="-"/>
    <s v="-"/>
    <s v="-"/>
    <s v="-"/>
    <s v="Vacant"/>
    <s v="-"/>
    <s v="-"/>
    <s v="-"/>
    <s v="-"/>
    <s v="-"/>
    <x v="0"/>
    <x v="0"/>
    <n v="9.1000005602836789E-2"/>
    <n v="0"/>
    <n v="228"/>
    <n v="-228"/>
    <x v="0"/>
    <x v="0"/>
    <m/>
    <x v="0"/>
    <m/>
    <x v="0"/>
    <m/>
    <x v="0"/>
    <x v="0"/>
    <x v="0"/>
    <x v="0"/>
    <m/>
    <n v="228"/>
    <n v="0"/>
    <n v="228"/>
    <x v="1"/>
    <m/>
  </r>
  <r>
    <x v="2"/>
    <x v="0"/>
    <x v="0"/>
    <x v="1"/>
    <n v="1882"/>
    <x v="78"/>
    <x v="12"/>
    <n v="1.9700000062584901E-2"/>
    <n v="525371"/>
    <n v="174659"/>
    <m/>
    <x v="84"/>
    <s v="PF"/>
    <d v="2016-10-14T00:00:00"/>
    <x v="73"/>
    <m/>
    <m/>
    <s v="Nil"/>
    <m/>
    <m/>
    <s v="Change of use of upper and lower ground floors restaurant &amp; sandwich bar (Class A3) to 3 x commercial units (Class B1a), including external alterations to the front, side and rear elevations."/>
    <x v="84"/>
    <s v="COU"/>
    <x v="2"/>
    <s v="NSV"/>
    <m/>
    <m/>
    <m/>
    <m/>
    <s v="C"/>
    <s v="BF"/>
    <x v="0"/>
    <m/>
    <m/>
    <m/>
    <m/>
    <m/>
    <m/>
    <m/>
    <m/>
    <m/>
    <n v="360"/>
    <m/>
    <m/>
    <n v="360"/>
    <m/>
    <m/>
    <n v="360"/>
    <m/>
    <m/>
    <m/>
    <m/>
    <m/>
    <n v="336"/>
    <m/>
    <m/>
    <n v="336"/>
    <m/>
    <m/>
    <m/>
    <m/>
    <m/>
    <m/>
    <m/>
    <m/>
    <m/>
    <x v="1"/>
    <x v="1"/>
    <x v="1"/>
    <m/>
    <m/>
    <n v="-336"/>
    <m/>
    <m/>
    <n v="-336"/>
    <n v="360"/>
    <x v="0"/>
    <m/>
    <m/>
    <m/>
    <m/>
    <n v="360"/>
    <x v="0"/>
    <m/>
    <m/>
    <m/>
    <m/>
    <s v="-"/>
    <s v="-"/>
    <s v="-"/>
    <s v="-"/>
    <s v="-"/>
    <s v="Not Known"/>
    <s v="-"/>
    <s v="-"/>
    <s v="-"/>
    <s v="-"/>
    <s v="-"/>
    <x v="1"/>
    <x v="0"/>
    <s v="-"/>
    <s v="-"/>
    <s v="Restaurant"/>
    <s v="-"/>
    <s v="-"/>
    <s v="-"/>
    <s v="-"/>
    <s v="-"/>
    <s v="-"/>
    <s v="-"/>
    <s v="-"/>
    <x v="0"/>
    <x v="0"/>
    <n v="1.9700000062584901E-2"/>
    <n v="360"/>
    <n v="336"/>
    <n v="24"/>
    <x v="0"/>
    <x v="0"/>
    <m/>
    <x v="0"/>
    <m/>
    <x v="0"/>
    <m/>
    <x v="0"/>
    <x v="1"/>
    <x v="4"/>
    <x v="0"/>
    <m/>
    <n v="0"/>
    <n v="0"/>
    <n v="0"/>
    <x v="0"/>
    <m/>
  </r>
  <r>
    <x v="2"/>
    <x v="0"/>
    <x v="0"/>
    <x v="1"/>
    <n v="1912"/>
    <x v="79"/>
    <x v="11"/>
    <n v="6.8999998271465302E-2"/>
    <n v="528924"/>
    <n v="173571"/>
    <m/>
    <x v="85"/>
    <s v="PF"/>
    <d v="2017-05-24T00:00:00"/>
    <x v="74"/>
    <s v="Y"/>
    <m/>
    <s v="Nil"/>
    <m/>
    <m/>
    <s v="Erection of 8 x 4-bedroom three-storey (plus basement) houses."/>
    <x v="85"/>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
    <n v="0"/>
    <n v="316"/>
    <n v="-316"/>
    <x v="0"/>
    <x v="0"/>
    <m/>
    <x v="0"/>
    <m/>
    <x v="0"/>
    <m/>
    <x v="0"/>
    <x v="0"/>
    <x v="0"/>
    <x v="0"/>
    <m/>
    <n v="1379"/>
    <n v="0"/>
    <n v="1379"/>
    <x v="1"/>
    <m/>
  </r>
  <r>
    <x v="3"/>
    <x v="0"/>
    <x v="0"/>
    <x v="1"/>
    <n v="1952"/>
    <x v="80"/>
    <x v="8"/>
    <n v="0.17100000381469699"/>
    <n v="528781"/>
    <n v="177000"/>
    <m/>
    <x v="86"/>
    <s v="PFLA"/>
    <d v="2014-03-03T00:00:00"/>
    <x v="75"/>
    <m/>
    <d v="2014-07-17T00:00:00"/>
    <s v="Nil"/>
    <m/>
    <m/>
    <s v="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x v="86"/>
    <s v="NB"/>
    <x v="0"/>
    <s v="UC"/>
    <d v="2009-03-31T00:00:00"/>
    <d v="2017-06-21T00:00:00"/>
    <m/>
    <m/>
    <s v="C"/>
    <s v="BF"/>
    <x v="0"/>
    <m/>
    <d v="2017-06-21T00:00:00"/>
    <m/>
    <n v="488"/>
    <m/>
    <m/>
    <m/>
    <m/>
    <n v="488"/>
    <m/>
    <m/>
    <m/>
    <m/>
    <m/>
    <m/>
    <m/>
    <n v="793"/>
    <m/>
    <n v="793"/>
    <m/>
    <m/>
    <m/>
    <m/>
    <m/>
    <m/>
    <m/>
    <m/>
    <m/>
    <m/>
    <m/>
    <m/>
    <n v="1036"/>
    <m/>
    <n v="1036"/>
    <x v="1"/>
    <x v="0"/>
    <x v="0"/>
    <n v="488"/>
    <m/>
    <m/>
    <m/>
    <m/>
    <n v="488"/>
    <m/>
    <x v="0"/>
    <m/>
    <m/>
    <m/>
    <m/>
    <m/>
    <x v="0"/>
    <m/>
    <n v="-243"/>
    <m/>
    <n v="-243"/>
    <s v="Not Known"/>
    <s v="-"/>
    <s v="-"/>
    <s v="-"/>
    <s v="-"/>
    <s v="-"/>
    <s v="-"/>
    <s v="-"/>
    <s v="-"/>
    <s v="-"/>
    <s v="-"/>
    <x v="7"/>
    <x v="0"/>
    <s v="-"/>
    <s v="-"/>
    <s v="-"/>
    <s v="-"/>
    <s v="-"/>
    <s v="-"/>
    <s v="-"/>
    <s v="-"/>
    <s v="-"/>
    <s v="-"/>
    <s v="-"/>
    <x v="4"/>
    <x v="0"/>
    <n v="0"/>
    <n v="1281"/>
    <n v="1036"/>
    <n v="245"/>
    <x v="0"/>
    <x v="0"/>
    <m/>
    <x v="0"/>
    <m/>
    <x v="0"/>
    <m/>
    <x v="1"/>
    <x v="0"/>
    <x v="0"/>
    <x v="0"/>
    <m/>
    <n v="2150"/>
    <n v="0"/>
    <n v="2150"/>
    <x v="1"/>
    <m/>
  </r>
  <r>
    <x v="2"/>
    <x v="0"/>
    <x v="0"/>
    <x v="1"/>
    <n v="1962"/>
    <x v="81"/>
    <x v="3"/>
    <n v="8.0000003799796104E-3"/>
    <n v="527618"/>
    <n v="174574"/>
    <m/>
    <x v="87"/>
    <s v="PF"/>
    <d v="2017-09-06T00:00:00"/>
    <x v="76"/>
    <s v="Y"/>
    <m/>
    <s v="Nil"/>
    <m/>
    <m/>
    <s v="Demolition of existing garage fronting Bramfield Road and erection of a new two-storey office (B1) building."/>
    <x v="87"/>
    <s v="NB"/>
    <x v="0"/>
    <s v="NSO"/>
    <m/>
    <m/>
    <m/>
    <m/>
    <s v="C"/>
    <s v="BF"/>
    <x v="0"/>
    <m/>
    <m/>
    <m/>
    <m/>
    <m/>
    <m/>
    <m/>
    <m/>
    <m/>
    <n v="70"/>
    <m/>
    <m/>
    <n v="70"/>
    <m/>
    <m/>
    <n v="70"/>
    <m/>
    <m/>
    <m/>
    <m/>
    <m/>
    <m/>
    <m/>
    <m/>
    <m/>
    <m/>
    <m/>
    <m/>
    <n v="31"/>
    <m/>
    <n v="31"/>
    <m/>
    <m/>
    <m/>
    <x v="0"/>
    <x v="1"/>
    <x v="1"/>
    <m/>
    <m/>
    <m/>
    <m/>
    <m/>
    <m/>
    <n v="70"/>
    <x v="0"/>
    <m/>
    <m/>
    <n v="-31"/>
    <m/>
    <n v="39"/>
    <x v="0"/>
    <m/>
    <m/>
    <m/>
    <m/>
    <s v="-"/>
    <s v="-"/>
    <s v="-"/>
    <s v="-"/>
    <s v="-"/>
    <s v="Not Known"/>
    <s v="-"/>
    <s v="-"/>
    <s v="-"/>
    <s v="-"/>
    <s v="-"/>
    <x v="1"/>
    <x v="0"/>
    <s v="-"/>
    <s v="-"/>
    <s v="-"/>
    <s v="-"/>
    <s v="-"/>
    <s v="-"/>
    <s v="-"/>
    <s v="-"/>
    <s v="Vacant"/>
    <s v="-"/>
    <s v="-"/>
    <x v="0"/>
    <x v="0"/>
    <n v="8.0000003799796104E-3"/>
    <n v="70"/>
    <n v="31"/>
    <n v="39"/>
    <x v="0"/>
    <x v="0"/>
    <m/>
    <x v="0"/>
    <m/>
    <x v="0"/>
    <m/>
    <x v="0"/>
    <x v="0"/>
    <x v="0"/>
    <x v="0"/>
    <m/>
    <n v="0"/>
    <n v="0"/>
    <n v="0"/>
    <x v="0"/>
    <m/>
  </r>
  <r>
    <x v="2"/>
    <x v="0"/>
    <x v="0"/>
    <x v="1"/>
    <n v="1971"/>
    <x v="82"/>
    <x v="14"/>
    <n v="9.6000000834464999E-2"/>
    <n v="527831"/>
    <n v="172116"/>
    <m/>
    <x v="88"/>
    <s v="PFLA"/>
    <d v="2016-09-22T00:00:00"/>
    <x v="46"/>
    <s v="Y"/>
    <d v="2017-04-26T00:00:00"/>
    <s v="Nil"/>
    <m/>
    <m/>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x v="88"/>
    <s v="NB"/>
    <x v="0"/>
    <s v="NSO"/>
    <m/>
    <m/>
    <m/>
    <m/>
    <s v="C"/>
    <s v="BF"/>
    <x v="0"/>
    <m/>
    <m/>
    <m/>
    <m/>
    <m/>
    <m/>
    <m/>
    <m/>
    <m/>
    <m/>
    <m/>
    <m/>
    <m/>
    <m/>
    <m/>
    <m/>
    <n v="77"/>
    <m/>
    <n v="77"/>
    <m/>
    <m/>
    <m/>
    <m/>
    <m/>
    <m/>
    <m/>
    <m/>
    <m/>
    <m/>
    <m/>
    <m/>
    <m/>
    <m/>
    <m/>
    <x v="0"/>
    <x v="0"/>
    <x v="0"/>
    <m/>
    <m/>
    <m/>
    <m/>
    <m/>
    <m/>
    <m/>
    <x v="0"/>
    <m/>
    <m/>
    <m/>
    <m/>
    <m/>
    <x v="0"/>
    <m/>
    <n v="77"/>
    <m/>
    <n v="77"/>
    <s v="-"/>
    <s v="-"/>
    <s v="-"/>
    <s v="-"/>
    <s v="-"/>
    <s v="-"/>
    <s v="-"/>
    <s v="-"/>
    <s v="-"/>
    <s v="-"/>
    <s v="-"/>
    <x v="4"/>
    <x v="0"/>
    <s v="-"/>
    <s v="-"/>
    <s v="-"/>
    <s v="-"/>
    <s v="-"/>
    <s v="-"/>
    <s v="-"/>
    <s v="-"/>
    <s v="-"/>
    <s v="-"/>
    <s v="-"/>
    <x v="0"/>
    <x v="0"/>
    <n v="8.9999996125697951E-3"/>
    <n v="77"/>
    <n v="81"/>
    <n v="-4"/>
    <x v="0"/>
    <x v="0"/>
    <m/>
    <x v="0"/>
    <m/>
    <x v="0"/>
    <m/>
    <x v="0"/>
    <x v="0"/>
    <x v="0"/>
    <x v="0"/>
    <m/>
    <n v="1283"/>
    <n v="0"/>
    <n v="1283"/>
    <x v="1"/>
    <m/>
  </r>
  <r>
    <x v="0"/>
    <x v="0"/>
    <x v="0"/>
    <x v="0"/>
    <n v="1975"/>
    <x v="83"/>
    <x v="10"/>
    <n v="0.49900001287460299"/>
    <n v="524443"/>
    <n v="174930"/>
    <s v="6.2.3"/>
    <x v="89"/>
    <s v="S96A"/>
    <d v="2017-02-07T00:00:00"/>
    <x v="77"/>
    <m/>
    <m/>
    <s v="Nil"/>
    <m/>
    <m/>
    <s v="Non-material amendment to planning permission dated 02/06/2016 ref 2016/2468 (Non-material amendment to planning permission dated 3 March 2012 ref 2010/5483 _x000d__x000a_(Demolition of existing office buildings (class B1a) and redevelopment to comprise of the erection of 4 buildings ranging in height from 11-storeys (up to 40.6m), 8-storeys (up to 30.2m), 5-storeys (up to 19.5m) and 7-storeys (up to 25.7m) to provide a mixed-use scheme comprising: 148 residential units; 1215sq.m offices (class B1a); 600sq.m flexible retail/financial and professional services/restaurant/café/offices/non-residential institutions/assembly and leisure (A1/A2/A3/B1a/D1/D2); 65 basement car parking spaces; 2 car club spaces at ground floor; 178 cycle parking spaces; landscaping including a new pedestrian route from Woodlands Way to Upper Richmond Road; play area; allotments; communal gardens; ancillary plant and associated works)  so as to allow the change of use from Unit 6 Block D from offices (B1a) to gymnasium (D2) and Unit 8 from offices (B1a) to physiotherapist practices (D1) and amendments to landscaping works in relation to conditon 9 of non-material amendment dated 24 April 2013 ref 2013/0782.) to allow update to approved plan 2251_SK_010G relating to the use of Unit 8 in Development Block D."/>
    <x v="89"/>
    <s v="NB"/>
    <x v="0"/>
    <s v="OC"/>
    <m/>
    <d v="2017-04-01T00:00:00"/>
    <d v="2018-03-31T00:00:00"/>
    <d v="2018-03-31T00:00:00"/>
    <s v="C"/>
    <s v="BF"/>
    <x v="0"/>
    <m/>
    <d v="2017-04-01T00:00:00"/>
    <d v="2018-03-31T00:00:00"/>
    <m/>
    <m/>
    <m/>
    <m/>
    <m/>
    <m/>
    <n v="83"/>
    <m/>
    <m/>
    <n v="83"/>
    <m/>
    <m/>
    <n v="83"/>
    <n v="83"/>
    <m/>
    <n v="83"/>
    <m/>
    <m/>
    <m/>
    <m/>
    <m/>
    <m/>
    <m/>
    <m/>
    <m/>
    <m/>
    <m/>
    <m/>
    <n v="166"/>
    <m/>
    <n v="166"/>
    <x v="0"/>
    <x v="1"/>
    <x v="0"/>
    <m/>
    <m/>
    <m/>
    <m/>
    <m/>
    <m/>
    <n v="83"/>
    <x v="0"/>
    <m/>
    <m/>
    <m/>
    <m/>
    <n v="83"/>
    <x v="0"/>
    <m/>
    <n v="-83"/>
    <m/>
    <n v="-83"/>
    <s v="-"/>
    <s v="-"/>
    <s v="-"/>
    <s v="-"/>
    <s v="-"/>
    <s v="Not Known"/>
    <s v="-"/>
    <s v="-"/>
    <s v="-"/>
    <s v="-"/>
    <s v="-"/>
    <x v="5"/>
    <x v="0"/>
    <s v="-"/>
    <s v="-"/>
    <s v="-"/>
    <s v="-"/>
    <s v="-"/>
    <s v="-"/>
    <s v="-"/>
    <s v="-"/>
    <s v="-"/>
    <s v="-"/>
    <s v="-"/>
    <x v="2"/>
    <x v="0"/>
    <n v="0.49900001287460299"/>
    <n v="166"/>
    <n v="166"/>
    <n v="0"/>
    <x v="0"/>
    <x v="0"/>
    <m/>
    <x v="0"/>
    <m/>
    <x v="0"/>
    <m/>
    <x v="0"/>
    <x v="1"/>
    <x v="2"/>
    <x v="0"/>
    <m/>
    <n v="0"/>
    <n v="0"/>
    <n v="0"/>
    <x v="0"/>
    <m/>
  </r>
  <r>
    <x v="2"/>
    <x v="0"/>
    <x v="0"/>
    <x v="1"/>
    <n v="1998"/>
    <x v="84"/>
    <x v="17"/>
    <n v="6.5999999642372104E-2"/>
    <n v="529304"/>
    <n v="172598"/>
    <m/>
    <x v="90"/>
    <s v="PF"/>
    <d v="2017-03-20T00:00:00"/>
    <x v="78"/>
    <s v="Y"/>
    <m/>
    <s v="Nil"/>
    <m/>
    <m/>
    <s v="Demolition of existing garages and erection of single-storey (plus basement) 4-bedroom house; erection of single storey outbuilding; associated landscaping, parking and cycle provision."/>
    <x v="90"/>
    <s v="NB"/>
    <x v="0"/>
    <s v="NSO"/>
    <m/>
    <m/>
    <m/>
    <m/>
    <s v="C"/>
    <s v="BF"/>
    <x v="0"/>
    <m/>
    <m/>
    <m/>
    <m/>
    <m/>
    <m/>
    <m/>
    <m/>
    <m/>
    <m/>
    <m/>
    <m/>
    <m/>
    <m/>
    <n v="31"/>
    <n v="31"/>
    <m/>
    <m/>
    <m/>
    <m/>
    <m/>
    <m/>
    <m/>
    <m/>
    <m/>
    <m/>
    <m/>
    <m/>
    <m/>
    <m/>
    <m/>
    <m/>
    <m/>
    <m/>
    <x v="0"/>
    <x v="1"/>
    <x v="1"/>
    <m/>
    <m/>
    <m/>
    <m/>
    <m/>
    <m/>
    <m/>
    <x v="0"/>
    <m/>
    <m/>
    <m/>
    <n v="31"/>
    <n v="31"/>
    <x v="0"/>
    <m/>
    <m/>
    <m/>
    <m/>
    <s v="-"/>
    <s v="-"/>
    <s v="-"/>
    <s v="-"/>
    <s v="-"/>
    <s v="-"/>
    <s v="-"/>
    <s v="-"/>
    <s v="-"/>
    <s v="Ancillary to C3"/>
    <s v="-"/>
    <x v="1"/>
    <x v="0"/>
    <s v="-"/>
    <s v="-"/>
    <s v="-"/>
    <s v="-"/>
    <s v="-"/>
    <s v="-"/>
    <s v="-"/>
    <s v="-"/>
    <s v="-"/>
    <s v="-"/>
    <s v="-"/>
    <x v="0"/>
    <x v="0"/>
    <n v="0"/>
    <n v="31"/>
    <n v="200"/>
    <n v="-169"/>
    <x v="0"/>
    <x v="0"/>
    <m/>
    <x v="0"/>
    <m/>
    <x v="0"/>
    <m/>
    <x v="0"/>
    <x v="0"/>
    <x v="0"/>
    <x v="0"/>
    <m/>
    <n v="380"/>
    <n v="0"/>
    <n v="380"/>
    <x v="1"/>
    <m/>
  </r>
  <r>
    <x v="2"/>
    <x v="0"/>
    <x v="0"/>
    <x v="1"/>
    <n v="2032"/>
    <x v="85"/>
    <x v="17"/>
    <n v="6.8000003695488004E-2"/>
    <n v="528095"/>
    <n v="172380"/>
    <m/>
    <x v="91"/>
    <s v="PF"/>
    <d v="2016-08-03T00:00:00"/>
    <x v="79"/>
    <m/>
    <m/>
    <s v="Nil"/>
    <m/>
    <m/>
    <s v="Change of use from B1(office) to D1(non residential institution)."/>
    <x v="91"/>
    <s v="COU"/>
    <x v="2"/>
    <s v="NSV"/>
    <m/>
    <m/>
    <m/>
    <m/>
    <s v="C"/>
    <s v="BF"/>
    <x v="0"/>
    <m/>
    <m/>
    <m/>
    <m/>
    <m/>
    <m/>
    <m/>
    <m/>
    <m/>
    <m/>
    <m/>
    <m/>
    <m/>
    <m/>
    <m/>
    <m/>
    <n v="62"/>
    <m/>
    <n v="62"/>
    <m/>
    <m/>
    <m/>
    <m/>
    <m/>
    <m/>
    <n v="62"/>
    <m/>
    <m/>
    <m/>
    <m/>
    <n v="62"/>
    <m/>
    <m/>
    <m/>
    <x v="0"/>
    <x v="1"/>
    <x v="0"/>
    <m/>
    <m/>
    <m/>
    <m/>
    <m/>
    <m/>
    <n v="-62"/>
    <x v="1"/>
    <m/>
    <m/>
    <m/>
    <m/>
    <n v="-62"/>
    <x v="1"/>
    <m/>
    <n v="62"/>
    <m/>
    <n v="62"/>
    <s v="-"/>
    <s v="-"/>
    <s v="-"/>
    <s v="-"/>
    <s v="-"/>
    <s v="-"/>
    <s v="-"/>
    <s v="-"/>
    <s v="-"/>
    <s v="-"/>
    <s v="-"/>
    <x v="2"/>
    <x v="0"/>
    <s v="-"/>
    <s v="-"/>
    <s v="-"/>
    <s v="-"/>
    <s v="-"/>
    <s v="Vacant"/>
    <s v="-"/>
    <s v="-"/>
    <s v="-"/>
    <s v="-"/>
    <s v="-"/>
    <x v="0"/>
    <x v="0"/>
    <n v="6.8000003695488004E-2"/>
    <n v="62"/>
    <n v="62"/>
    <n v="0"/>
    <x v="0"/>
    <x v="0"/>
    <m/>
    <x v="0"/>
    <m/>
    <x v="0"/>
    <m/>
    <x v="0"/>
    <x v="0"/>
    <x v="0"/>
    <x v="0"/>
    <m/>
    <n v="0"/>
    <n v="0"/>
    <n v="0"/>
    <x v="0"/>
    <m/>
  </r>
  <r>
    <x v="2"/>
    <x v="0"/>
    <x v="0"/>
    <x v="1"/>
    <n v="2088"/>
    <x v="86"/>
    <x v="16"/>
    <n v="7.0000000298023196E-2"/>
    <n v="527545"/>
    <n v="170687"/>
    <m/>
    <x v="92"/>
    <s v="PF"/>
    <d v="2017-07-11T00:00:00"/>
    <x v="69"/>
    <s v="Y"/>
    <m/>
    <s v="Nil"/>
    <m/>
    <m/>
    <s v="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
    <x v="92"/>
    <s v="NB"/>
    <x v="0"/>
    <s v="NSO"/>
    <m/>
    <m/>
    <m/>
    <m/>
    <s v="C"/>
    <s v="BF"/>
    <x v="0"/>
    <m/>
    <m/>
    <m/>
    <m/>
    <m/>
    <m/>
    <m/>
    <m/>
    <m/>
    <m/>
    <m/>
    <m/>
    <m/>
    <m/>
    <m/>
    <m/>
    <m/>
    <m/>
    <m/>
    <m/>
    <m/>
    <m/>
    <m/>
    <m/>
    <m/>
    <m/>
    <m/>
    <n v="83"/>
    <m/>
    <m/>
    <n v="83"/>
    <m/>
    <m/>
    <m/>
    <x v="0"/>
    <x v="1"/>
    <x v="1"/>
    <m/>
    <m/>
    <m/>
    <m/>
    <m/>
    <m/>
    <m/>
    <x v="0"/>
    <m/>
    <n v="-83"/>
    <m/>
    <m/>
    <n v="-83"/>
    <x v="1"/>
    <m/>
    <m/>
    <m/>
    <m/>
    <s v="-"/>
    <s v="-"/>
    <s v="-"/>
    <s v="-"/>
    <s v="-"/>
    <s v="-"/>
    <s v="-"/>
    <s v="-"/>
    <s v="-"/>
    <s v="-"/>
    <s v="-"/>
    <x v="1"/>
    <x v="0"/>
    <s v="-"/>
    <s v="-"/>
    <s v="-"/>
    <s v="-"/>
    <s v="-"/>
    <s v="-"/>
    <s v="-"/>
    <s v="Light Industrial"/>
    <s v="-"/>
    <s v="-"/>
    <s v="-"/>
    <x v="0"/>
    <x v="0"/>
    <n v="0"/>
    <n v="0"/>
    <n v="83"/>
    <n v="-83"/>
    <x v="0"/>
    <x v="0"/>
    <m/>
    <x v="0"/>
    <m/>
    <x v="0"/>
    <m/>
    <x v="0"/>
    <x v="0"/>
    <x v="0"/>
    <x v="0"/>
    <m/>
    <n v="671"/>
    <n v="75"/>
    <n v="596"/>
    <x v="1"/>
    <m/>
  </r>
  <r>
    <x v="0"/>
    <x v="0"/>
    <x v="0"/>
    <x v="0"/>
    <n v="2097"/>
    <x v="87"/>
    <x v="12"/>
    <n v="3.9999999105930301E-2"/>
    <n v="525308"/>
    <n v="173997"/>
    <m/>
    <x v="93"/>
    <s v="S73"/>
    <d v="2016-06-20T00:00:00"/>
    <x v="80"/>
    <m/>
    <m/>
    <s v="Nil"/>
    <m/>
    <m/>
    <s v="Minor material amendment to planning permission 2014/6409 dated 23/03/2015 (Conversion of an unused ground floor commercial unit (A2) to form 2 self-contained, shared ownership flats. Alterations including terraces, windows and doors.) to allow the removal of step/kink in new external wall along Merton Road and Avening Terrace elevation so that it now follows the line of the existing concrete plinth originally intended for commercial unit glazing;  Proposed external area now amended to be 2 No. private amenity spaces, rather than the communal facility; New external doors/windows types and swings amended to suit floor layouts;  Internal layout nominally amended to suit LTH criteria."/>
    <x v="93"/>
    <s v="COU"/>
    <x v="2"/>
    <s v="OC"/>
    <m/>
    <d v="2016-06-17T00:00:00"/>
    <d v="2017-07-20T00:00:00"/>
    <d v="2017-07-20T00:00:00"/>
    <s v="C"/>
    <s v="BF"/>
    <x v="0"/>
    <m/>
    <d v="2016-06-17T00:00:00"/>
    <d v="2017-07-20T00:00:00"/>
    <m/>
    <m/>
    <m/>
    <m/>
    <m/>
    <m/>
    <m/>
    <m/>
    <m/>
    <m/>
    <m/>
    <m/>
    <m/>
    <m/>
    <m/>
    <m/>
    <m/>
    <n v="195"/>
    <m/>
    <m/>
    <m/>
    <n v="195"/>
    <m/>
    <m/>
    <m/>
    <m/>
    <m/>
    <m/>
    <m/>
    <m/>
    <m/>
    <x v="1"/>
    <x v="0"/>
    <x v="1"/>
    <m/>
    <n v="-195"/>
    <m/>
    <m/>
    <m/>
    <n v="-195"/>
    <m/>
    <x v="0"/>
    <m/>
    <m/>
    <m/>
    <m/>
    <m/>
    <x v="0"/>
    <m/>
    <m/>
    <m/>
    <m/>
    <s v="-"/>
    <s v="-"/>
    <s v="-"/>
    <s v="-"/>
    <s v="-"/>
    <s v="-"/>
    <s v="-"/>
    <s v="-"/>
    <s v="-"/>
    <s v="-"/>
    <s v="-"/>
    <x v="1"/>
    <x v="0"/>
    <s v="-"/>
    <s v="Vacant"/>
    <s v="-"/>
    <s v="-"/>
    <s v="-"/>
    <s v="-"/>
    <s v="-"/>
    <s v="-"/>
    <s v="-"/>
    <s v="-"/>
    <s v="-"/>
    <x v="0"/>
    <x v="0"/>
    <n v="2.19999998807907E-2"/>
    <n v="0"/>
    <n v="195"/>
    <n v="-195"/>
    <x v="0"/>
    <x v="0"/>
    <m/>
    <x v="0"/>
    <m/>
    <x v="0"/>
    <m/>
    <x v="0"/>
    <x v="0"/>
    <x v="0"/>
    <x v="0"/>
    <m/>
    <n v="195"/>
    <n v="0"/>
    <n v="195"/>
    <x v="1"/>
    <m/>
  </r>
  <r>
    <x v="2"/>
    <x v="0"/>
    <x v="0"/>
    <x v="1"/>
    <n v="2137"/>
    <x v="88"/>
    <x v="5"/>
    <n v="5.4999999701976802E-3"/>
    <n v="526736"/>
    <n v="175098"/>
    <m/>
    <x v="94"/>
    <s v="PF"/>
    <d v="2016-08-23T00:00:00"/>
    <x v="81"/>
    <m/>
    <m/>
    <s v="Nil"/>
    <m/>
    <m/>
    <s v="Change of use from artist's studio (Sui Generis) to offices (Classes B1 or A2) with alterations including two-storey extension."/>
    <x v="94"/>
    <s v="MIX"/>
    <x v="0"/>
    <s v="NSO"/>
    <m/>
    <m/>
    <m/>
    <m/>
    <s v="C"/>
    <s v="BF"/>
    <x v="0"/>
    <m/>
    <m/>
    <m/>
    <m/>
    <m/>
    <m/>
    <m/>
    <m/>
    <m/>
    <n v="128"/>
    <m/>
    <m/>
    <n v="128"/>
    <m/>
    <m/>
    <n v="128"/>
    <m/>
    <m/>
    <m/>
    <m/>
    <m/>
    <m/>
    <m/>
    <m/>
    <m/>
    <m/>
    <m/>
    <m/>
    <m/>
    <m/>
    <m/>
    <m/>
    <m/>
    <m/>
    <x v="0"/>
    <x v="1"/>
    <x v="1"/>
    <m/>
    <m/>
    <m/>
    <m/>
    <m/>
    <m/>
    <n v="128"/>
    <x v="0"/>
    <m/>
    <m/>
    <m/>
    <m/>
    <n v="128"/>
    <x v="0"/>
    <m/>
    <m/>
    <m/>
    <m/>
    <s v="-"/>
    <s v="-"/>
    <s v="-"/>
    <s v="-"/>
    <s v="-"/>
    <s v="Other"/>
    <s v="-"/>
    <s v="-"/>
    <s v="-"/>
    <s v="-"/>
    <s v="-"/>
    <x v="1"/>
    <x v="0"/>
    <s v="-"/>
    <s v="-"/>
    <s v="-"/>
    <s v="-"/>
    <s v="-"/>
    <s v="-"/>
    <s v="-"/>
    <s v="-"/>
    <s v="-"/>
    <s v="-"/>
    <s v="-"/>
    <x v="0"/>
    <x v="0"/>
    <n v="5.4999999701976802E-3"/>
    <n v="128"/>
    <n v="50"/>
    <n v="78"/>
    <x v="0"/>
    <x v="0"/>
    <m/>
    <x v="0"/>
    <m/>
    <x v="0"/>
    <m/>
    <x v="0"/>
    <x v="0"/>
    <x v="0"/>
    <x v="0"/>
    <m/>
    <n v="0"/>
    <n v="0"/>
    <n v="0"/>
    <x v="0"/>
    <m/>
  </r>
  <r>
    <x v="2"/>
    <x v="0"/>
    <x v="0"/>
    <x v="1"/>
    <n v="2142"/>
    <x v="89"/>
    <x v="4"/>
    <n v="0.49399998784065202"/>
    <n v="526669"/>
    <n v="176190"/>
    <m/>
    <x v="95"/>
    <s v="PF"/>
    <d v="2016-09-02T00:00:00"/>
    <x v="82"/>
    <m/>
    <m/>
    <s v="Nil"/>
    <m/>
    <m/>
    <s v="Change of use of ground floor unit from retail (Class A1) to minicab office (Sui Generis)."/>
    <x v="95"/>
    <s v="COU"/>
    <x v="2"/>
    <s v="NSV"/>
    <m/>
    <m/>
    <m/>
    <m/>
    <s v="C"/>
    <s v="BF"/>
    <x v="0"/>
    <m/>
    <m/>
    <m/>
    <m/>
    <m/>
    <m/>
    <m/>
    <m/>
    <m/>
    <m/>
    <m/>
    <m/>
    <m/>
    <m/>
    <m/>
    <m/>
    <m/>
    <m/>
    <m/>
    <n v="11"/>
    <m/>
    <m/>
    <m/>
    <m/>
    <n v="11"/>
    <m/>
    <m/>
    <m/>
    <m/>
    <m/>
    <m/>
    <m/>
    <m/>
    <m/>
    <x v="1"/>
    <x v="0"/>
    <x v="1"/>
    <n v="-11"/>
    <m/>
    <m/>
    <m/>
    <m/>
    <n v="-11"/>
    <m/>
    <x v="0"/>
    <m/>
    <m/>
    <m/>
    <m/>
    <m/>
    <x v="0"/>
    <m/>
    <m/>
    <m/>
    <m/>
    <s v="-"/>
    <s v="-"/>
    <s v="-"/>
    <s v="-"/>
    <s v="-"/>
    <s v="-"/>
    <s v="-"/>
    <s v="-"/>
    <s v="-"/>
    <s v="-"/>
    <s v="-"/>
    <x v="1"/>
    <x v="0"/>
    <s v="Services"/>
    <s v="-"/>
    <s v="-"/>
    <s v="-"/>
    <s v="-"/>
    <s v="-"/>
    <s v="-"/>
    <s v="-"/>
    <s v="-"/>
    <s v="-"/>
    <s v="-"/>
    <x v="0"/>
    <x v="0"/>
    <n v="0.49399998784065202"/>
    <n v="11"/>
    <n v="11"/>
    <n v="0"/>
    <x v="1"/>
    <x v="0"/>
    <m/>
    <x v="0"/>
    <m/>
    <x v="0"/>
    <m/>
    <x v="0"/>
    <x v="0"/>
    <x v="0"/>
    <x v="0"/>
    <m/>
    <n v="0"/>
    <n v="0"/>
    <n v="0"/>
    <x v="0"/>
    <m/>
  </r>
  <r>
    <x v="3"/>
    <x v="0"/>
    <x v="0"/>
    <x v="1"/>
    <n v="2144"/>
    <x v="90"/>
    <x v="2"/>
    <n v="1.7000000923872001E-2"/>
    <n v="527982"/>
    <n v="172413"/>
    <m/>
    <x v="96"/>
    <s v="PF"/>
    <d v="2017-04-04T00:00:00"/>
    <x v="83"/>
    <s v="Y"/>
    <m/>
    <s v="Nil"/>
    <m/>
    <m/>
    <s v="Demolition of existing backland structure and erection of a two-storey (1 x 2-bedroom) house."/>
    <x v="96"/>
    <s v="NB"/>
    <x v="0"/>
    <s v="UC"/>
    <d v="2018-03-31T00:00:00"/>
    <d v="2018-03-31T00:00:00"/>
    <m/>
    <m/>
    <s v="C"/>
    <s v="BF"/>
    <x v="0"/>
    <m/>
    <d v="2018-03-31T00:00:00"/>
    <m/>
    <m/>
    <m/>
    <m/>
    <m/>
    <m/>
    <m/>
    <m/>
    <m/>
    <m/>
    <m/>
    <m/>
    <m/>
    <m/>
    <m/>
    <m/>
    <m/>
    <m/>
    <m/>
    <m/>
    <m/>
    <m/>
    <m/>
    <m/>
    <m/>
    <m/>
    <m/>
    <n v="66"/>
    <n v="66"/>
    <m/>
    <m/>
    <m/>
    <x v="0"/>
    <x v="1"/>
    <x v="1"/>
    <m/>
    <m/>
    <m/>
    <m/>
    <m/>
    <m/>
    <m/>
    <x v="0"/>
    <m/>
    <m/>
    <m/>
    <n v="-66"/>
    <n v="-66"/>
    <x v="1"/>
    <m/>
    <m/>
    <m/>
    <m/>
    <s v="-"/>
    <s v="-"/>
    <s v="-"/>
    <s v="-"/>
    <s v="-"/>
    <s v="-"/>
    <s v="-"/>
    <s v="-"/>
    <s v="-"/>
    <s v="-"/>
    <s v="-"/>
    <x v="1"/>
    <x v="0"/>
    <s v="-"/>
    <s v="-"/>
    <s v="-"/>
    <s v="-"/>
    <s v="-"/>
    <s v="-"/>
    <s v="-"/>
    <s v="-"/>
    <s v="-"/>
    <s v="Vacant"/>
    <s v="-"/>
    <x v="0"/>
    <x v="0"/>
    <n v="0"/>
    <n v="0"/>
    <n v="66"/>
    <n v="-66"/>
    <x v="0"/>
    <x v="0"/>
    <m/>
    <x v="0"/>
    <m/>
    <x v="0"/>
    <m/>
    <x v="0"/>
    <x v="0"/>
    <x v="0"/>
    <x v="1"/>
    <s v="Tooting Bec"/>
    <n v="168"/>
    <n v="0"/>
    <n v="168"/>
    <x v="1"/>
    <m/>
  </r>
  <r>
    <x v="3"/>
    <x v="0"/>
    <x v="0"/>
    <x v="1"/>
    <n v="2154"/>
    <x v="91"/>
    <x v="14"/>
    <n v="1.8999999389052401E-2"/>
    <n v="527691"/>
    <n v="171695"/>
    <m/>
    <x v="97"/>
    <s v="PF"/>
    <d v="2014-05-06T00:00:00"/>
    <x v="84"/>
    <m/>
    <m/>
    <s v="Nil"/>
    <m/>
    <m/>
    <s v="Change of use of the existing building from former community building (Class D1) to create four self-contained residential units comprising internal and external alterations (including terraces) and extensions."/>
    <x v="97"/>
    <s v="MIX"/>
    <x v="0"/>
    <s v="UC"/>
    <m/>
    <d v="2017-09-11T00:00:00"/>
    <m/>
    <m/>
    <s v="C"/>
    <s v="BF"/>
    <x v="0"/>
    <m/>
    <d v="2017-09-11T00:00:00"/>
    <m/>
    <m/>
    <m/>
    <m/>
    <m/>
    <m/>
    <m/>
    <m/>
    <m/>
    <m/>
    <m/>
    <m/>
    <m/>
    <m/>
    <m/>
    <m/>
    <m/>
    <m/>
    <m/>
    <m/>
    <m/>
    <m/>
    <m/>
    <m/>
    <m/>
    <m/>
    <m/>
    <m/>
    <m/>
    <n v="190"/>
    <m/>
    <n v="190"/>
    <x v="0"/>
    <x v="0"/>
    <x v="0"/>
    <m/>
    <m/>
    <m/>
    <m/>
    <m/>
    <m/>
    <m/>
    <x v="0"/>
    <m/>
    <m/>
    <m/>
    <m/>
    <m/>
    <x v="0"/>
    <m/>
    <n v="-190"/>
    <m/>
    <n v="-190"/>
    <s v="-"/>
    <s v="-"/>
    <s v="-"/>
    <s v="-"/>
    <s v="-"/>
    <s v="-"/>
    <s v="-"/>
    <s v="-"/>
    <s v="-"/>
    <s v="-"/>
    <s v="-"/>
    <x v="1"/>
    <x v="0"/>
    <s v="-"/>
    <s v="-"/>
    <s v="-"/>
    <s v="-"/>
    <s v="-"/>
    <s v="-"/>
    <s v="-"/>
    <s v="-"/>
    <s v="-"/>
    <s v="-"/>
    <s v="-"/>
    <x v="3"/>
    <x v="0"/>
    <n v="0"/>
    <n v="0"/>
    <n v="190"/>
    <n v="-190"/>
    <x v="0"/>
    <x v="0"/>
    <m/>
    <x v="0"/>
    <m/>
    <x v="0"/>
    <m/>
    <x v="0"/>
    <x v="0"/>
    <x v="0"/>
    <x v="0"/>
    <m/>
    <n v="355"/>
    <n v="0"/>
    <n v="355"/>
    <x v="1"/>
    <m/>
  </r>
  <r>
    <x v="3"/>
    <x v="0"/>
    <x v="0"/>
    <x v="1"/>
    <n v="2157"/>
    <x v="92"/>
    <x v="17"/>
    <n v="6.1999998986720997E-2"/>
    <n v="528141"/>
    <n v="172013"/>
    <m/>
    <x v="98"/>
    <s v="PF"/>
    <d v="2014-08-19T00:00:00"/>
    <x v="85"/>
    <m/>
    <m/>
    <s v="Nil"/>
    <m/>
    <m/>
    <s v="Demolition of existing garages and construction of 3 houses (one detached house to front of the site and two semi-detached houses to rear) and two car parking spaces."/>
    <x v="98"/>
    <s v="NB"/>
    <x v="0"/>
    <s v="UC"/>
    <d v="2017-10-02T00:00:00"/>
    <d v="2017-12-18T00:00:00"/>
    <m/>
    <m/>
    <s v="C"/>
    <s v="BF"/>
    <x v="0"/>
    <m/>
    <d v="2017-12-18T00:00:00"/>
    <m/>
    <m/>
    <m/>
    <m/>
    <m/>
    <m/>
    <m/>
    <m/>
    <m/>
    <m/>
    <m/>
    <m/>
    <m/>
    <m/>
    <m/>
    <m/>
    <m/>
    <m/>
    <m/>
    <m/>
    <m/>
    <m/>
    <m/>
    <m/>
    <m/>
    <m/>
    <m/>
    <m/>
    <m/>
    <m/>
    <m/>
    <m/>
    <x v="0"/>
    <x v="0"/>
    <x v="1"/>
    <m/>
    <m/>
    <m/>
    <m/>
    <m/>
    <m/>
    <m/>
    <x v="0"/>
    <m/>
    <m/>
    <m/>
    <m/>
    <m/>
    <x v="0"/>
    <m/>
    <m/>
    <m/>
    <m/>
    <s v="-"/>
    <s v="-"/>
    <s v="-"/>
    <s v="-"/>
    <s v="-"/>
    <s v="-"/>
    <s v="-"/>
    <s v="-"/>
    <s v="-"/>
    <s v="-"/>
    <s v="-"/>
    <x v="1"/>
    <x v="0"/>
    <s v="-"/>
    <s v="-"/>
    <s v="-"/>
    <s v="-"/>
    <s v="-"/>
    <s v="-"/>
    <s v="-"/>
    <s v="-"/>
    <s v="-"/>
    <s v="-"/>
    <s v="-"/>
    <x v="0"/>
    <x v="0"/>
    <n v="0"/>
    <n v="0"/>
    <n v="305"/>
    <n v="-305"/>
    <x v="0"/>
    <x v="0"/>
    <m/>
    <x v="0"/>
    <m/>
    <x v="0"/>
    <m/>
    <x v="0"/>
    <x v="0"/>
    <x v="0"/>
    <x v="0"/>
    <m/>
    <n v="367"/>
    <n v="0"/>
    <n v="367"/>
    <x v="1"/>
    <m/>
  </r>
  <r>
    <x v="2"/>
    <x v="0"/>
    <x v="0"/>
    <x v="1"/>
    <n v="2202"/>
    <x v="93"/>
    <x v="2"/>
    <n v="8.0000003799796104E-3"/>
    <n v="528351"/>
    <n v="173235"/>
    <m/>
    <x v="99"/>
    <s v="PF"/>
    <d v="2016-12-12T00:00:00"/>
    <x v="86"/>
    <m/>
    <m/>
    <s v="Nil"/>
    <m/>
    <m/>
    <s v="Erection of a three-storey (plus basement) 2-bedroom detached house with roof terrace with associated landscaping and refuse storage."/>
    <x v="99"/>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
    <n v="0"/>
    <n v="81"/>
    <n v="-81"/>
    <x v="0"/>
    <x v="0"/>
    <m/>
    <x v="0"/>
    <m/>
    <x v="0"/>
    <m/>
    <x v="0"/>
    <x v="0"/>
    <x v="0"/>
    <x v="0"/>
    <m/>
    <n v="95"/>
    <n v="0"/>
    <n v="95"/>
    <x v="1"/>
    <m/>
  </r>
  <r>
    <x v="0"/>
    <x v="0"/>
    <x v="0"/>
    <x v="0"/>
    <n v="2230"/>
    <x v="94"/>
    <x v="19"/>
    <n v="7.5999997556209606E-2"/>
    <n v="523081"/>
    <n v="175252"/>
    <m/>
    <x v="100"/>
    <s v="PF"/>
    <d v="2014-11-27T00:00:00"/>
    <x v="87"/>
    <m/>
    <m/>
    <s v="Nil"/>
    <m/>
    <m/>
    <s v="Demolition of existing building and erection of four dwelling houses with associated parking."/>
    <x v="100"/>
    <s v="NB"/>
    <x v="0"/>
    <s v="OC"/>
    <m/>
    <d v="2015-08-17T00:00:00"/>
    <d v="2017-11-15T00:00:00"/>
    <d v="2017-11-15T00:00:00"/>
    <s v="C"/>
    <s v="BF"/>
    <x v="0"/>
    <m/>
    <d v="2015-08-17T00:00:00"/>
    <d v="2017-11-15T00:00:00"/>
    <m/>
    <m/>
    <m/>
    <m/>
    <m/>
    <m/>
    <m/>
    <m/>
    <m/>
    <m/>
    <m/>
    <m/>
    <m/>
    <m/>
    <m/>
    <m/>
    <m/>
    <m/>
    <m/>
    <m/>
    <m/>
    <m/>
    <m/>
    <m/>
    <n v="500"/>
    <m/>
    <m/>
    <n v="500"/>
    <m/>
    <m/>
    <m/>
    <x v="0"/>
    <x v="1"/>
    <x v="1"/>
    <m/>
    <m/>
    <m/>
    <m/>
    <m/>
    <m/>
    <m/>
    <x v="0"/>
    <m/>
    <n v="-500"/>
    <m/>
    <m/>
    <n v="-500"/>
    <x v="1"/>
    <m/>
    <m/>
    <m/>
    <m/>
    <s v="-"/>
    <s v="-"/>
    <s v="-"/>
    <s v="-"/>
    <s v="-"/>
    <s v="-"/>
    <s v="-"/>
    <s v="-"/>
    <s v="-"/>
    <s v="-"/>
    <s v="-"/>
    <x v="1"/>
    <x v="0"/>
    <s v="-"/>
    <s v="-"/>
    <s v="-"/>
    <s v="-"/>
    <s v="-"/>
    <s v="-"/>
    <s v="-"/>
    <s v="Light Industrial"/>
    <s v="-"/>
    <s v="-"/>
    <s v="-"/>
    <x v="0"/>
    <x v="0"/>
    <n v="0"/>
    <n v="0"/>
    <n v="500"/>
    <n v="-500"/>
    <x v="0"/>
    <x v="0"/>
    <m/>
    <x v="0"/>
    <m/>
    <x v="0"/>
    <m/>
    <x v="0"/>
    <x v="0"/>
    <x v="0"/>
    <x v="0"/>
    <m/>
    <n v="1041"/>
    <n v="0"/>
    <n v="1041"/>
    <x v="1"/>
    <m/>
  </r>
  <r>
    <x v="3"/>
    <x v="0"/>
    <x v="0"/>
    <x v="1"/>
    <n v="2237"/>
    <x v="95"/>
    <x v="17"/>
    <n v="7.0000000298023196E-2"/>
    <n v="528388"/>
    <n v="173003"/>
    <m/>
    <x v="101"/>
    <s v="PF"/>
    <d v="2015-11-12T00:00:00"/>
    <x v="88"/>
    <m/>
    <m/>
    <s v="Nil"/>
    <m/>
    <m/>
    <s v="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
    <x v="101"/>
    <s v="MIX"/>
    <x v="0"/>
    <s v="UC"/>
    <m/>
    <d v="2017-07-11T00:00:00"/>
    <m/>
    <m/>
    <s v="C"/>
    <s v="BF"/>
    <x v="0"/>
    <m/>
    <d v="2017-07-11T00:00:00"/>
    <m/>
    <n v="130"/>
    <m/>
    <n v="130"/>
    <m/>
    <m/>
    <n v="260"/>
    <m/>
    <m/>
    <m/>
    <m/>
    <m/>
    <m/>
    <m/>
    <m/>
    <n v="130"/>
    <n v="130"/>
    <n v="165"/>
    <n v="244"/>
    <m/>
    <m/>
    <m/>
    <n v="409"/>
    <m/>
    <m/>
    <m/>
    <m/>
    <m/>
    <m/>
    <m/>
    <m/>
    <m/>
    <x v="1"/>
    <x v="0"/>
    <x v="0"/>
    <n v="-35"/>
    <n v="-244"/>
    <n v="130"/>
    <m/>
    <m/>
    <n v="-149"/>
    <m/>
    <x v="0"/>
    <m/>
    <m/>
    <m/>
    <m/>
    <m/>
    <x v="0"/>
    <m/>
    <m/>
    <n v="130"/>
    <n v="130"/>
    <s v="Not Known"/>
    <s v="-"/>
    <s v="Not Known"/>
    <s v="-"/>
    <s v="-"/>
    <s v="-"/>
    <s v="-"/>
    <s v="-"/>
    <s v="-"/>
    <s v="-"/>
    <s v="-"/>
    <x v="1"/>
    <x v="2"/>
    <s v="Vacant"/>
    <s v="Betting Shop"/>
    <s v="-"/>
    <s v="-"/>
    <s v="-"/>
    <s v="-"/>
    <s v="-"/>
    <s v="-"/>
    <s v="-"/>
    <s v="-"/>
    <s v="-"/>
    <x v="0"/>
    <x v="0"/>
    <n v="2.0999999716877896E-2"/>
    <n v="390"/>
    <n v="866"/>
    <n v="-476"/>
    <x v="0"/>
    <x v="0"/>
    <m/>
    <x v="0"/>
    <m/>
    <x v="0"/>
    <m/>
    <x v="0"/>
    <x v="0"/>
    <x v="0"/>
    <x v="0"/>
    <m/>
    <n v="812"/>
    <n v="0"/>
    <n v="812"/>
    <x v="1"/>
    <m/>
  </r>
  <r>
    <x v="1"/>
    <x v="0"/>
    <x v="0"/>
    <x v="1"/>
    <n v="2250"/>
    <x v="96"/>
    <x v="7"/>
    <n v="8.79999995231628E-2"/>
    <n v="524120"/>
    <n v="175462"/>
    <s v="6.1.3"/>
    <x v="102"/>
    <s v="AF"/>
    <d v="2017-11-28T00:00:00"/>
    <x v="1"/>
    <m/>
    <m/>
    <s v="Nil"/>
    <m/>
    <m/>
    <s v="Demolition of the existing buildings and erection of a mixed use development of between seven and ten-storeys, plus  basement level, to provide flexible Class A1/A2/A3 uses (shops, financial and professional services, restaurants and cafes);  Class B1(a) offices, and a 179 room hotel, together with associated works including a landscaped public courtyard and cycle parking facilities."/>
    <x v="102"/>
    <s v="NB"/>
    <x v="0"/>
    <s v="NSO"/>
    <m/>
    <m/>
    <m/>
    <m/>
    <s v="P"/>
    <s v="BF"/>
    <x v="0"/>
    <m/>
    <m/>
    <m/>
    <n v="320"/>
    <n v="320"/>
    <n v="321"/>
    <m/>
    <m/>
    <n v="961"/>
    <n v="431"/>
    <m/>
    <m/>
    <n v="431"/>
    <m/>
    <m/>
    <n v="431"/>
    <m/>
    <m/>
    <m/>
    <n v="1088"/>
    <m/>
    <m/>
    <m/>
    <m/>
    <n v="1088"/>
    <n v="460"/>
    <m/>
    <m/>
    <m/>
    <m/>
    <n v="460"/>
    <m/>
    <m/>
    <m/>
    <x v="1"/>
    <x v="1"/>
    <x v="1"/>
    <n v="-768"/>
    <n v="320"/>
    <n v="321"/>
    <m/>
    <m/>
    <n v="-127"/>
    <n v="-29"/>
    <x v="1"/>
    <m/>
    <m/>
    <m/>
    <m/>
    <n v="-29"/>
    <x v="1"/>
    <n v="4889"/>
    <m/>
    <m/>
    <m/>
    <s v="Not Known"/>
    <s v="Not Known"/>
    <s v="Not Known"/>
    <s v="-"/>
    <s v="-"/>
    <s v="Not Known"/>
    <s v="-"/>
    <s v="-"/>
    <s v="-"/>
    <s v="-"/>
    <s v="Hotel"/>
    <x v="1"/>
    <x v="0"/>
    <s v="Services"/>
    <s v="-"/>
    <s v="-"/>
    <s v="-"/>
    <s v="-"/>
    <s v="Not Known"/>
    <s v="-"/>
    <s v="-"/>
    <s v="-"/>
    <s v="-"/>
    <s v="-"/>
    <x v="0"/>
    <x v="0"/>
    <n v="8.79999995231628E-2"/>
    <n v="6281"/>
    <n v="1568"/>
    <n v="4713"/>
    <x v="0"/>
    <x v="0"/>
    <m/>
    <x v="0"/>
    <m/>
    <x v="0"/>
    <m/>
    <x v="0"/>
    <x v="1"/>
    <x v="2"/>
    <x v="0"/>
    <m/>
    <n v="0"/>
    <n v="0"/>
    <n v="0"/>
    <x v="0"/>
    <m/>
  </r>
  <r>
    <x v="2"/>
    <x v="0"/>
    <x v="0"/>
    <x v="1"/>
    <n v="2258"/>
    <x v="97"/>
    <x v="16"/>
    <n v="6.0000000521540598E-3"/>
    <n v="527574"/>
    <n v="171046"/>
    <m/>
    <x v="103"/>
    <s v="PF"/>
    <d v="2017-01-25T00:00:00"/>
    <x v="89"/>
    <s v="Y"/>
    <m/>
    <s v="Nil"/>
    <m/>
    <m/>
    <s v="Demolition of existing office building and erection of a two-storey building to provide 1x1 bedroom flat."/>
    <x v="103"/>
    <s v="COU"/>
    <x v="2"/>
    <s v="NSO"/>
    <m/>
    <m/>
    <m/>
    <m/>
    <s v="C"/>
    <s v="BF"/>
    <x v="0"/>
    <m/>
    <m/>
    <m/>
    <m/>
    <m/>
    <m/>
    <m/>
    <m/>
    <m/>
    <m/>
    <m/>
    <m/>
    <m/>
    <m/>
    <m/>
    <m/>
    <m/>
    <m/>
    <m/>
    <m/>
    <m/>
    <m/>
    <m/>
    <m/>
    <m/>
    <n v="56"/>
    <m/>
    <m/>
    <m/>
    <m/>
    <n v="56"/>
    <m/>
    <m/>
    <m/>
    <x v="0"/>
    <x v="1"/>
    <x v="1"/>
    <m/>
    <m/>
    <m/>
    <m/>
    <m/>
    <m/>
    <n v="-56"/>
    <x v="1"/>
    <m/>
    <m/>
    <m/>
    <m/>
    <n v="-56"/>
    <x v="1"/>
    <m/>
    <m/>
    <m/>
    <m/>
    <s v="-"/>
    <s v="-"/>
    <s v="-"/>
    <s v="-"/>
    <s v="-"/>
    <s v="-"/>
    <s v="-"/>
    <s v="-"/>
    <s v="-"/>
    <s v="-"/>
    <s v="-"/>
    <x v="1"/>
    <x v="0"/>
    <s v="-"/>
    <s v="-"/>
    <s v="-"/>
    <s v="-"/>
    <s v="-"/>
    <s v="Vacant"/>
    <s v="-"/>
    <s v="-"/>
    <s v="-"/>
    <s v="-"/>
    <s v="-"/>
    <x v="0"/>
    <x v="0"/>
    <n v="0"/>
    <n v="0"/>
    <n v="56"/>
    <n v="-56"/>
    <x v="0"/>
    <x v="0"/>
    <m/>
    <x v="0"/>
    <m/>
    <x v="0"/>
    <m/>
    <x v="0"/>
    <x v="0"/>
    <x v="0"/>
    <x v="0"/>
    <m/>
    <n v="59"/>
    <n v="0"/>
    <n v="59"/>
    <x v="1"/>
    <m/>
  </r>
  <r>
    <x v="3"/>
    <x v="0"/>
    <x v="0"/>
    <x v="1"/>
    <n v="2266"/>
    <x v="98"/>
    <x v="7"/>
    <n v="6.5999999642372104E-2"/>
    <n v="524066"/>
    <n v="175324"/>
    <m/>
    <x v="104"/>
    <s v="PFLA"/>
    <d v="2015-05-18T00:00:00"/>
    <x v="90"/>
    <m/>
    <d v="2015-12-15T00:00:00"/>
    <s v="Nil"/>
    <m/>
    <m/>
    <s v="Demolition of the existing building and the erection of a new two to five-storey building with basement, comprising 913.6sqm of retail space (Class A1) at basement and ground floor, and 15 flats (1 x 3-bedroom and 14 x 2-bedroom), with balconies and a roof terrace above."/>
    <x v="104"/>
    <s v="NB"/>
    <x v="0"/>
    <s v="UC"/>
    <m/>
    <d v="2017-03-31T00:00:00"/>
    <m/>
    <m/>
    <s v="C"/>
    <s v="BF"/>
    <x v="0"/>
    <m/>
    <d v="2017-03-31T00:00:00"/>
    <m/>
    <n v="914"/>
    <m/>
    <m/>
    <m/>
    <m/>
    <n v="914"/>
    <m/>
    <m/>
    <m/>
    <m/>
    <m/>
    <m/>
    <m/>
    <m/>
    <m/>
    <m/>
    <n v="1154"/>
    <m/>
    <m/>
    <m/>
    <m/>
    <n v="1154"/>
    <n v="409"/>
    <m/>
    <m/>
    <m/>
    <m/>
    <n v="409"/>
    <m/>
    <m/>
    <m/>
    <x v="1"/>
    <x v="1"/>
    <x v="1"/>
    <n v="-240"/>
    <m/>
    <m/>
    <m/>
    <m/>
    <n v="-240"/>
    <n v="-409"/>
    <x v="1"/>
    <m/>
    <m/>
    <m/>
    <m/>
    <n v="-409"/>
    <x v="1"/>
    <m/>
    <m/>
    <m/>
    <m/>
    <s v="Not Known"/>
    <s v="-"/>
    <s v="-"/>
    <s v="-"/>
    <s v="-"/>
    <s v="-"/>
    <s v="-"/>
    <s v="-"/>
    <s v="-"/>
    <s v="-"/>
    <s v="-"/>
    <x v="1"/>
    <x v="0"/>
    <s v="Not Known"/>
    <s v="-"/>
    <s v="-"/>
    <s v="-"/>
    <s v="-"/>
    <s v="Not Known"/>
    <s v="-"/>
    <s v="-"/>
    <s v="-"/>
    <s v="-"/>
    <s v="-"/>
    <x v="0"/>
    <x v="0"/>
    <n v="1.3000000268220901E-2"/>
    <n v="914"/>
    <n v="1563"/>
    <n v="-649"/>
    <x v="0"/>
    <x v="0"/>
    <m/>
    <x v="0"/>
    <m/>
    <x v="0"/>
    <m/>
    <x v="0"/>
    <x v="1"/>
    <x v="2"/>
    <x v="0"/>
    <m/>
    <n v="1315"/>
    <n v="0"/>
    <n v="1315"/>
    <x v="1"/>
    <m/>
  </r>
  <r>
    <x v="3"/>
    <x v="0"/>
    <x v="0"/>
    <x v="1"/>
    <n v="2266"/>
    <x v="98"/>
    <x v="7"/>
    <n v="6.5999999642372104E-2"/>
    <n v="524066"/>
    <n v="175324"/>
    <m/>
    <x v="105"/>
    <s v="S73"/>
    <d v="2016-08-19T00:00:00"/>
    <x v="91"/>
    <m/>
    <m/>
    <s v="Nil"/>
    <m/>
    <m/>
    <s v="Variation of condition 9 pursuant to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development description amended as per Non-Material Amendment 2016/5606 dated 11/10/2016]; to add Use Class A2 at basement and ground floor levels."/>
    <x v="105"/>
    <s v="COU"/>
    <x v="2"/>
    <s v="UC"/>
    <m/>
    <d v="2017-03-31T00:00:00"/>
    <m/>
    <m/>
    <s v="C"/>
    <s v="BF"/>
    <x v="0"/>
    <m/>
    <d v="2017-03-31T00:00:00"/>
    <m/>
    <n v="457"/>
    <n v="457"/>
    <m/>
    <m/>
    <m/>
    <n v="914"/>
    <m/>
    <m/>
    <m/>
    <m/>
    <m/>
    <m/>
    <m/>
    <m/>
    <m/>
    <m/>
    <n v="914"/>
    <m/>
    <m/>
    <m/>
    <m/>
    <n v="914"/>
    <m/>
    <m/>
    <m/>
    <m/>
    <m/>
    <m/>
    <m/>
    <m/>
    <m/>
    <x v="1"/>
    <x v="0"/>
    <x v="1"/>
    <n v="-457"/>
    <n v="457"/>
    <m/>
    <m/>
    <m/>
    <m/>
    <m/>
    <x v="0"/>
    <m/>
    <m/>
    <m/>
    <m/>
    <m/>
    <x v="0"/>
    <m/>
    <m/>
    <m/>
    <m/>
    <s v="Not Known"/>
    <s v="Not Known"/>
    <s v="-"/>
    <s v="-"/>
    <s v="-"/>
    <s v="-"/>
    <s v="-"/>
    <s v="-"/>
    <s v="-"/>
    <s v="-"/>
    <s v="-"/>
    <x v="1"/>
    <x v="0"/>
    <s v="-"/>
    <s v="-"/>
    <s v="-"/>
    <s v="-"/>
    <s v="-"/>
    <s v="-"/>
    <s v="-"/>
    <s v="-"/>
    <s v="-"/>
    <s v="-"/>
    <s v="-"/>
    <x v="0"/>
    <x v="0"/>
    <n v="0"/>
    <n v="914"/>
    <n v="914"/>
    <n v="0"/>
    <x v="0"/>
    <x v="0"/>
    <m/>
    <x v="0"/>
    <m/>
    <x v="0"/>
    <m/>
    <x v="0"/>
    <x v="1"/>
    <x v="2"/>
    <x v="0"/>
    <m/>
    <n v="0"/>
    <n v="0"/>
    <n v="0"/>
    <x v="0"/>
    <m/>
  </r>
  <r>
    <x v="3"/>
    <x v="0"/>
    <x v="0"/>
    <x v="1"/>
    <n v="2266"/>
    <x v="98"/>
    <x v="7"/>
    <n v="6.5999999642372104E-2"/>
    <n v="524066"/>
    <n v="175324"/>
    <m/>
    <x v="106"/>
    <s v="S73"/>
    <d v="2017-02-24T00:00:00"/>
    <x v="92"/>
    <s v="Y"/>
    <d v="2017-05-16T00:00:00"/>
    <s v="Nil"/>
    <m/>
    <m/>
    <s v="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
    <x v="106"/>
    <s v="CON"/>
    <x v="2"/>
    <s v="UC"/>
    <m/>
    <d v="2017-09-07T00:00:00"/>
    <m/>
    <m/>
    <s v="C"/>
    <s v="BF"/>
    <x v="0"/>
    <m/>
    <d v="2017-09-07T00:00:00"/>
    <m/>
    <n v="460"/>
    <n v="460"/>
    <m/>
    <m/>
    <m/>
    <n v="920"/>
    <m/>
    <m/>
    <m/>
    <m/>
    <m/>
    <m/>
    <m/>
    <m/>
    <m/>
    <m/>
    <n v="457"/>
    <n v="457"/>
    <m/>
    <m/>
    <m/>
    <n v="914"/>
    <m/>
    <m/>
    <m/>
    <m/>
    <m/>
    <m/>
    <m/>
    <m/>
    <m/>
    <x v="1"/>
    <x v="0"/>
    <x v="1"/>
    <n v="3"/>
    <n v="3"/>
    <m/>
    <m/>
    <m/>
    <n v="6"/>
    <m/>
    <x v="0"/>
    <m/>
    <m/>
    <m/>
    <m/>
    <m/>
    <x v="0"/>
    <m/>
    <m/>
    <m/>
    <m/>
    <s v="Not Known"/>
    <s v="Not Known"/>
    <s v="-"/>
    <s v="-"/>
    <s v="-"/>
    <s v="-"/>
    <s v="-"/>
    <s v="-"/>
    <s v="-"/>
    <s v="-"/>
    <s v="-"/>
    <x v="1"/>
    <x v="0"/>
    <s v="Not Known"/>
    <s v="Not Known"/>
    <s v="-"/>
    <s v="-"/>
    <s v="-"/>
    <s v="-"/>
    <s v="-"/>
    <s v="-"/>
    <s v="-"/>
    <s v="-"/>
    <s v="-"/>
    <x v="0"/>
    <x v="0"/>
    <n v="0"/>
    <n v="920"/>
    <n v="914"/>
    <n v="6"/>
    <x v="0"/>
    <x v="0"/>
    <m/>
    <x v="0"/>
    <m/>
    <x v="0"/>
    <m/>
    <x v="0"/>
    <x v="1"/>
    <x v="2"/>
    <x v="0"/>
    <m/>
    <n v="26"/>
    <n v="0"/>
    <n v="26"/>
    <x v="1"/>
    <m/>
  </r>
  <r>
    <x v="0"/>
    <x v="0"/>
    <x v="0"/>
    <x v="2"/>
    <n v="2302"/>
    <x v="99"/>
    <x v="16"/>
    <n v="6.3000001013279003E-2"/>
    <n v="527958"/>
    <n v="170935"/>
    <m/>
    <x v="107"/>
    <s v="PF"/>
    <d v="2007-10-27T00:00:00"/>
    <x v="93"/>
    <m/>
    <m/>
    <s v="Nil"/>
    <m/>
    <m/>
    <s v="The redevelopment of the site by the erection of a three/four storey building to provide 2 units (A1-A5 use) at ground and basement with 10 flats above, and the erection of a separate building over the rear access with Byton Road to provide a maisonette."/>
    <x v="107"/>
    <s v="NB"/>
    <x v="0"/>
    <s v="CO"/>
    <m/>
    <d v="2017-03-31T00:00:00"/>
    <d v="2018-03-31T00:00:00"/>
    <m/>
    <s v="C"/>
    <s v="BF"/>
    <x v="0"/>
    <m/>
    <d v="2017-03-31T00:00:00"/>
    <d v="2018-03-31T00:00:00"/>
    <n v="79"/>
    <n v="79"/>
    <n v="79"/>
    <n v="79"/>
    <n v="79"/>
    <n v="395"/>
    <m/>
    <m/>
    <m/>
    <m/>
    <m/>
    <m/>
    <m/>
    <m/>
    <m/>
    <m/>
    <m/>
    <m/>
    <m/>
    <m/>
    <m/>
    <m/>
    <m/>
    <m/>
    <m/>
    <m/>
    <m/>
    <m/>
    <m/>
    <m/>
    <m/>
    <x v="1"/>
    <x v="0"/>
    <x v="1"/>
    <n v="79"/>
    <n v="79"/>
    <n v="79"/>
    <n v="79"/>
    <n v="79"/>
    <n v="395"/>
    <m/>
    <x v="0"/>
    <m/>
    <m/>
    <m/>
    <m/>
    <m/>
    <x v="0"/>
    <m/>
    <m/>
    <m/>
    <m/>
    <s v="Not Known"/>
    <s v="Not Known"/>
    <s v="Not Known"/>
    <s v="Not Known"/>
    <s v="Not Known"/>
    <s v="-"/>
    <s v="-"/>
    <s v="-"/>
    <s v="-"/>
    <s v="-"/>
    <s v="-"/>
    <x v="1"/>
    <x v="0"/>
    <s v="-"/>
    <s v="-"/>
    <s v="-"/>
    <s v="-"/>
    <s v="-"/>
    <s v="-"/>
    <s v="-"/>
    <s v="-"/>
    <s v="-"/>
    <s v="-"/>
    <s v="-"/>
    <x v="0"/>
    <x v="0"/>
    <n v="1.6000002622604405E-2"/>
    <n v="395"/>
    <n v="0"/>
    <n v="395"/>
    <x v="0"/>
    <x v="0"/>
    <m/>
    <x v="0"/>
    <m/>
    <x v="0"/>
    <m/>
    <x v="0"/>
    <x v="0"/>
    <x v="0"/>
    <x v="0"/>
    <m/>
    <n v="957"/>
    <n v="322"/>
    <n v="635"/>
    <x v="1"/>
    <m/>
  </r>
  <r>
    <x v="1"/>
    <x v="0"/>
    <x v="0"/>
    <x v="1"/>
    <n v="2302"/>
    <x v="99"/>
    <x v="16"/>
    <n v="6.3000001013279003E-2"/>
    <n v="527958"/>
    <n v="170935"/>
    <m/>
    <x v="108"/>
    <s v="AF"/>
    <d v="2018-03-28T00:00:00"/>
    <x v="1"/>
    <m/>
    <m/>
    <s v="Nil"/>
    <m/>
    <m/>
    <s v="Change of use of the ground and basement level from A1/A2/A3/A4/A5 to A1/A2/A3/A4/A5 and D2 (Gym) use."/>
    <x v="108"/>
    <s v="COU"/>
    <x v="2"/>
    <s v="NSO"/>
    <m/>
    <m/>
    <m/>
    <m/>
    <s v="P"/>
    <s v="BF"/>
    <x v="0"/>
    <m/>
    <m/>
    <m/>
    <n v="66"/>
    <n v="66"/>
    <n v="66"/>
    <n v="66"/>
    <n v="66"/>
    <n v="330"/>
    <m/>
    <m/>
    <m/>
    <m/>
    <m/>
    <m/>
    <m/>
    <m/>
    <n v="65"/>
    <n v="65"/>
    <n v="79"/>
    <n v="79"/>
    <n v="79"/>
    <n v="79"/>
    <n v="79"/>
    <n v="395"/>
    <m/>
    <m/>
    <m/>
    <m/>
    <m/>
    <m/>
    <m/>
    <m/>
    <m/>
    <x v="1"/>
    <x v="0"/>
    <x v="0"/>
    <n v="-13"/>
    <n v="-13"/>
    <n v="-13"/>
    <n v="-13"/>
    <n v="-13"/>
    <n v="-65"/>
    <m/>
    <x v="0"/>
    <m/>
    <m/>
    <m/>
    <m/>
    <m/>
    <x v="0"/>
    <m/>
    <m/>
    <n v="65"/>
    <n v="65"/>
    <s v="Not Known"/>
    <s v="Not Known"/>
    <s v="Not Known"/>
    <s v="Not Known"/>
    <s v="Not Known"/>
    <s v="-"/>
    <s v="-"/>
    <s v="-"/>
    <s v="-"/>
    <s v="-"/>
    <s v="-"/>
    <x v="1"/>
    <x v="2"/>
    <s v="Not Known"/>
    <s v="Not Known"/>
    <s v="Not Known"/>
    <s v="Not Known"/>
    <s v="Not Known"/>
    <s v="-"/>
    <s v="-"/>
    <s v="-"/>
    <s v="-"/>
    <s v="-"/>
    <s v="-"/>
    <x v="0"/>
    <x v="0"/>
    <n v="6.3000001013279003E-2"/>
    <n v="395"/>
    <n v="395"/>
    <n v="0"/>
    <x v="0"/>
    <x v="0"/>
    <m/>
    <x v="0"/>
    <m/>
    <x v="0"/>
    <m/>
    <x v="0"/>
    <x v="0"/>
    <x v="0"/>
    <x v="0"/>
    <m/>
    <n v="0"/>
    <n v="0"/>
    <n v="0"/>
    <x v="0"/>
    <m/>
  </r>
  <r>
    <x v="3"/>
    <x v="0"/>
    <x v="0"/>
    <x v="1"/>
    <n v="2320"/>
    <x v="100"/>
    <x v="4"/>
    <n v="0.53700000047683705"/>
    <n v="527260"/>
    <n v="177215"/>
    <s v="10.1.1"/>
    <x v="109"/>
    <s v="PFLA"/>
    <d v="2014-08-04T00:00:00"/>
    <x v="94"/>
    <m/>
    <d v="2014-10-16T00:00:00"/>
    <s v="Nil"/>
    <m/>
    <m/>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x v="109"/>
    <s v="NB"/>
    <x v="0"/>
    <s v="UC"/>
    <m/>
    <d v="2018-03-31T00:00:00"/>
    <m/>
    <m/>
    <s v="C"/>
    <s v="BF"/>
    <x v="0"/>
    <m/>
    <d v="2018-03-31T00:00:00"/>
    <m/>
    <n v="526"/>
    <m/>
    <n v="117"/>
    <n v="353"/>
    <m/>
    <n v="996"/>
    <n v="240"/>
    <m/>
    <m/>
    <n v="240"/>
    <m/>
    <m/>
    <n v="240"/>
    <n v="301"/>
    <m/>
    <n v="301"/>
    <n v="135"/>
    <m/>
    <m/>
    <m/>
    <m/>
    <n v="135"/>
    <n v="4491"/>
    <m/>
    <m/>
    <m/>
    <m/>
    <n v="4491"/>
    <n v="362"/>
    <n v="363"/>
    <n v="725"/>
    <x v="1"/>
    <x v="1"/>
    <x v="0"/>
    <n v="391"/>
    <m/>
    <n v="117"/>
    <n v="353"/>
    <m/>
    <n v="861"/>
    <n v="-4251"/>
    <x v="1"/>
    <m/>
    <m/>
    <m/>
    <m/>
    <n v="-4251"/>
    <x v="1"/>
    <m/>
    <n v="-61"/>
    <n v="-363"/>
    <n v="-424"/>
    <s v="Not Known"/>
    <s v="-"/>
    <s v="Not Known"/>
    <s v="Not Known"/>
    <s v="-"/>
    <s v="Not Known"/>
    <s v="-"/>
    <s v="-"/>
    <s v="-"/>
    <s v="-"/>
    <s v="-"/>
    <x v="5"/>
    <x v="0"/>
    <s v="Vacant"/>
    <s v="-"/>
    <s v="-"/>
    <s v="-"/>
    <s v="-"/>
    <s v="Vacant"/>
    <s v="-"/>
    <s v="-"/>
    <s v="-"/>
    <s v="-"/>
    <s v="-"/>
    <x v="5"/>
    <x v="1"/>
    <n v="4.1000001132488029E-2"/>
    <n v="2282"/>
    <n v="5351"/>
    <n v="-3069"/>
    <x v="1"/>
    <x v="0"/>
    <m/>
    <x v="0"/>
    <m/>
    <x v="0"/>
    <m/>
    <x v="0"/>
    <x v="0"/>
    <x v="0"/>
    <x v="0"/>
    <m/>
    <n v="17225"/>
    <n v="0"/>
    <n v="17225"/>
    <x v="1"/>
    <m/>
  </r>
  <r>
    <x v="2"/>
    <x v="0"/>
    <x v="0"/>
    <x v="1"/>
    <n v="2356"/>
    <x v="101"/>
    <x v="5"/>
    <n v="2.19999998807907E-2"/>
    <n v="525955"/>
    <n v="174077"/>
    <m/>
    <x v="110"/>
    <s v="PF"/>
    <d v="2016-03-10T00:00:00"/>
    <x v="95"/>
    <m/>
    <m/>
    <s v="Nil"/>
    <m/>
    <m/>
    <s v="Change of use of property from day centre (Class D1) to 3 x 2 bedroom and 1 x 1 bedroom residential units (Class C3); formation of side lightwells and alterations to fenestration to all elevations."/>
    <x v="110"/>
    <s v="COU"/>
    <x v="2"/>
    <s v="NSO"/>
    <m/>
    <m/>
    <m/>
    <m/>
    <s v="C"/>
    <s v="BF"/>
    <x v="0"/>
    <m/>
    <m/>
    <m/>
    <m/>
    <m/>
    <m/>
    <m/>
    <m/>
    <m/>
    <m/>
    <m/>
    <m/>
    <m/>
    <m/>
    <m/>
    <m/>
    <m/>
    <m/>
    <m/>
    <m/>
    <m/>
    <m/>
    <m/>
    <m/>
    <m/>
    <m/>
    <m/>
    <m/>
    <m/>
    <m/>
    <m/>
    <n v="173"/>
    <m/>
    <n v="173"/>
    <x v="0"/>
    <x v="0"/>
    <x v="0"/>
    <m/>
    <m/>
    <m/>
    <m/>
    <m/>
    <m/>
    <m/>
    <x v="0"/>
    <m/>
    <m/>
    <m/>
    <m/>
    <m/>
    <x v="0"/>
    <m/>
    <n v="-173"/>
    <m/>
    <n v="-173"/>
    <s v="-"/>
    <s v="-"/>
    <s v="-"/>
    <s v="-"/>
    <s v="-"/>
    <s v="-"/>
    <s v="-"/>
    <s v="-"/>
    <s v="-"/>
    <s v="-"/>
    <s v="-"/>
    <x v="1"/>
    <x v="0"/>
    <s v="-"/>
    <s v="-"/>
    <s v="-"/>
    <s v="-"/>
    <s v="-"/>
    <s v="-"/>
    <s v="-"/>
    <s v="-"/>
    <s v="-"/>
    <s v="-"/>
    <s v="-"/>
    <x v="2"/>
    <x v="0"/>
    <n v="0"/>
    <n v="0"/>
    <n v="173"/>
    <n v="-173"/>
    <x v="0"/>
    <x v="0"/>
    <m/>
    <x v="0"/>
    <m/>
    <x v="0"/>
    <m/>
    <x v="0"/>
    <x v="0"/>
    <x v="0"/>
    <x v="0"/>
    <m/>
    <n v="273"/>
    <n v="0"/>
    <n v="273"/>
    <x v="1"/>
    <m/>
  </r>
  <r>
    <x v="0"/>
    <x v="0"/>
    <x v="0"/>
    <x v="0"/>
    <n v="2375"/>
    <x v="102"/>
    <x v="5"/>
    <n v="1.7999999225139601E-2"/>
    <n v="525994"/>
    <n v="175053"/>
    <m/>
    <x v="111"/>
    <s v="PF"/>
    <d v="2017-01-17T00:00:00"/>
    <x v="96"/>
    <m/>
    <m/>
    <s v="Nil"/>
    <m/>
    <m/>
    <s v="Change of use from Photography ( class B1 ) to a Barre Studio (Class D2)"/>
    <x v="111"/>
    <s v="COU"/>
    <x v="2"/>
    <s v="OC"/>
    <m/>
    <d v="2017-08-01T00:00:00"/>
    <d v="2017-11-01T00:00:00"/>
    <d v="2017-11-01T00:00:00"/>
    <s v="C"/>
    <s v="BF"/>
    <x v="0"/>
    <m/>
    <d v="2017-08-01T00:00:00"/>
    <d v="2017-11-01T00:00:00"/>
    <m/>
    <m/>
    <m/>
    <m/>
    <m/>
    <m/>
    <m/>
    <m/>
    <m/>
    <m/>
    <m/>
    <m/>
    <m/>
    <m/>
    <n v="200"/>
    <n v="200"/>
    <m/>
    <m/>
    <m/>
    <m/>
    <m/>
    <m/>
    <m/>
    <n v="200"/>
    <m/>
    <m/>
    <m/>
    <n v="200"/>
    <m/>
    <m/>
    <m/>
    <x v="0"/>
    <x v="1"/>
    <x v="0"/>
    <m/>
    <m/>
    <m/>
    <m/>
    <m/>
    <m/>
    <m/>
    <x v="0"/>
    <n v="-200"/>
    <m/>
    <m/>
    <m/>
    <m/>
    <x v="0"/>
    <m/>
    <m/>
    <n v="200"/>
    <n v="200"/>
    <s v="-"/>
    <s v="-"/>
    <s v="-"/>
    <s v="-"/>
    <s v="-"/>
    <s v="-"/>
    <s v="-"/>
    <s v="-"/>
    <s v="-"/>
    <s v="-"/>
    <s v="-"/>
    <x v="1"/>
    <x v="2"/>
    <s v="-"/>
    <s v="-"/>
    <s v="-"/>
    <s v="-"/>
    <s v="-"/>
    <s v="-"/>
    <s v="Other"/>
    <s v="-"/>
    <s v="-"/>
    <s v="-"/>
    <s v="-"/>
    <x v="0"/>
    <x v="0"/>
    <n v="1.7999999225139601E-2"/>
    <m/>
    <n v="200"/>
    <m/>
    <x v="0"/>
    <x v="0"/>
    <m/>
    <x v="0"/>
    <m/>
    <x v="0"/>
    <m/>
    <x v="0"/>
    <x v="0"/>
    <x v="0"/>
    <x v="0"/>
    <m/>
    <n v="0"/>
    <n v="0"/>
    <n v="0"/>
    <x v="0"/>
    <m/>
  </r>
  <r>
    <x v="2"/>
    <x v="0"/>
    <x v="0"/>
    <x v="1"/>
    <n v="2376"/>
    <x v="103"/>
    <x v="12"/>
    <n v="0.20999999344348899"/>
    <n v="525050"/>
    <n v="173510"/>
    <m/>
    <x v="112"/>
    <s v="PF"/>
    <d v="2016-08-01T00:00:00"/>
    <x v="97"/>
    <m/>
    <m/>
    <s v="Nil"/>
    <m/>
    <m/>
    <s v="Demolition and rebuild of shared penthouse extension above flats 13 &amp; 14 at main roof level."/>
    <x v="112"/>
    <s v="EXT"/>
    <x v="1"/>
    <s v="NSO"/>
    <m/>
    <m/>
    <m/>
    <m/>
    <s v="C"/>
    <s v="BF"/>
    <x v="0"/>
    <m/>
    <m/>
    <m/>
    <m/>
    <m/>
    <m/>
    <m/>
    <m/>
    <m/>
    <m/>
    <m/>
    <m/>
    <m/>
    <m/>
    <m/>
    <m/>
    <m/>
    <m/>
    <m/>
    <m/>
    <m/>
    <m/>
    <m/>
    <m/>
    <m/>
    <m/>
    <m/>
    <m/>
    <m/>
    <m/>
    <m/>
    <m/>
    <m/>
    <m/>
    <x v="0"/>
    <x v="0"/>
    <x v="1"/>
    <m/>
    <m/>
    <m/>
    <m/>
    <m/>
    <m/>
    <m/>
    <x v="0"/>
    <m/>
    <m/>
    <m/>
    <m/>
    <m/>
    <x v="0"/>
    <m/>
    <m/>
    <m/>
    <m/>
    <s v="-"/>
    <s v="-"/>
    <s v="-"/>
    <s v="-"/>
    <s v="-"/>
    <s v="-"/>
    <s v="-"/>
    <s v="-"/>
    <s v="-"/>
    <s v="-"/>
    <s v="-"/>
    <x v="1"/>
    <x v="0"/>
    <s v="-"/>
    <s v="-"/>
    <s v="-"/>
    <s v="-"/>
    <s v="-"/>
    <s v="-"/>
    <s v="-"/>
    <s v="-"/>
    <s v="-"/>
    <s v="-"/>
    <s v="-"/>
    <x v="0"/>
    <x v="0"/>
    <n v="0.20999999344348899"/>
    <n v="75"/>
    <n v="38"/>
    <n v="37"/>
    <x v="0"/>
    <x v="0"/>
    <m/>
    <x v="0"/>
    <m/>
    <x v="0"/>
    <m/>
    <x v="0"/>
    <x v="0"/>
    <x v="0"/>
    <x v="0"/>
    <m/>
    <n v="0"/>
    <n v="0"/>
    <n v="0"/>
    <x v="0"/>
    <m/>
  </r>
  <r>
    <x v="1"/>
    <x v="0"/>
    <x v="0"/>
    <x v="1"/>
    <n v="2390"/>
    <x v="104"/>
    <x v="12"/>
    <n v="1.7000000923872001E-2"/>
    <n v="525245"/>
    <n v="174192"/>
    <m/>
    <x v="113"/>
    <s v="AF"/>
    <d v="2017-11-24T00:00:00"/>
    <x v="1"/>
    <m/>
    <m/>
    <s v="Nil"/>
    <m/>
    <m/>
    <s v="Erection of a two-storey (basement and ground floor), 4-bedroom house including sunken courtyard, off-street parking, associated landscaping and alterations to boundary treatment included raised front boundary wall and trellis."/>
    <x v="113"/>
    <s v="NB"/>
    <x v="0"/>
    <s v="NSO"/>
    <m/>
    <m/>
    <m/>
    <m/>
    <s v="P"/>
    <s v="Gdn"/>
    <x v="0"/>
    <m/>
    <m/>
    <m/>
    <m/>
    <m/>
    <m/>
    <m/>
    <m/>
    <m/>
    <m/>
    <m/>
    <m/>
    <m/>
    <m/>
    <m/>
    <m/>
    <m/>
    <m/>
    <m/>
    <m/>
    <m/>
    <m/>
    <m/>
    <m/>
    <m/>
    <m/>
    <m/>
    <m/>
    <m/>
    <m/>
    <m/>
    <m/>
    <m/>
    <m/>
    <x v="0"/>
    <x v="0"/>
    <x v="1"/>
    <m/>
    <m/>
    <m/>
    <m/>
    <m/>
    <m/>
    <m/>
    <x v="0"/>
    <m/>
    <m/>
    <m/>
    <m/>
    <m/>
    <x v="0"/>
    <m/>
    <m/>
    <m/>
    <m/>
    <s v="-"/>
    <s v="-"/>
    <s v="-"/>
    <s v="-"/>
    <s v="-"/>
    <s v="-"/>
    <s v="-"/>
    <s v="-"/>
    <s v="-"/>
    <s v="-"/>
    <s v="-"/>
    <x v="1"/>
    <x v="0"/>
    <s v="-"/>
    <s v="-"/>
    <s v="-"/>
    <s v="-"/>
    <s v="-"/>
    <s v="-"/>
    <s v="-"/>
    <s v="-"/>
    <s v="-"/>
    <s v="-"/>
    <s v="-"/>
    <x v="0"/>
    <x v="0"/>
    <n v="0"/>
    <n v="0"/>
    <n v="160"/>
    <n v="-160"/>
    <x v="0"/>
    <x v="0"/>
    <m/>
    <x v="0"/>
    <m/>
    <x v="0"/>
    <m/>
    <x v="0"/>
    <x v="0"/>
    <x v="0"/>
    <x v="0"/>
    <m/>
    <n v="157"/>
    <n v="0"/>
    <n v="157"/>
    <x v="1"/>
    <m/>
  </r>
  <r>
    <x v="2"/>
    <x v="5"/>
    <x v="5"/>
    <x v="1"/>
    <n v="2411"/>
    <x v="105"/>
    <x v="8"/>
    <n v="15.800000190734901"/>
    <n v="528934"/>
    <n v="177496"/>
    <s v="2.1.1"/>
    <x v="114"/>
    <s v="S73"/>
    <d v="2014-05-20T00:00:00"/>
    <x v="98"/>
    <m/>
    <d v="2014-12-05T00:00:00"/>
    <s v="Nil"/>
    <m/>
    <m/>
    <s v="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the changing of Development Zones O1 &amp; RS4 from outline to detailed elements of the outline planning permission; the submission of detailed designs for O1 &amp; RS4, Town Square, High Street and Prospect; deletion of parameter plans, Architectural Code and Placemaking Code for O1 &amp; RS4; changes to the massing, height, disposition, land use and residential mix of O1 &amp; RS4; provision of additional retail car parking through creation of two additional levels of basement parking beneath O1 &amp; RS4; relocating gym from the first floor of the Power Station to lower ground floor in RS4; introducing an element of affordable housing into O1; relocation of D1 community facility to the Prospect; deletion of student housing from the proposed land uses, and other consequential changes). (The application is accompanied by an Addendum to the Environmental Statement). - REVISED PROPOSAL: SEE COVERING LETTER DATED 28 JULY 2014"/>
    <x v="114"/>
    <s v="MIX"/>
    <x v="0"/>
    <s v="NSV"/>
    <m/>
    <m/>
    <m/>
    <m/>
    <s v="C"/>
    <s v="BF"/>
    <x v="1"/>
    <s v="C"/>
    <m/>
    <m/>
    <m/>
    <m/>
    <n v="278"/>
    <n v="278"/>
    <n v="279"/>
    <n v="835"/>
    <m/>
    <m/>
    <m/>
    <m/>
    <m/>
    <m/>
    <m/>
    <m/>
    <m/>
    <m/>
    <m/>
    <m/>
    <m/>
    <m/>
    <m/>
    <m/>
    <m/>
    <m/>
    <m/>
    <m/>
    <m/>
    <m/>
    <m/>
    <m/>
    <m/>
    <x v="1"/>
    <x v="0"/>
    <x v="1"/>
    <m/>
    <m/>
    <n v="278"/>
    <n v="278"/>
    <n v="279"/>
    <n v="835"/>
    <m/>
    <x v="0"/>
    <m/>
    <m/>
    <m/>
    <m/>
    <m/>
    <x v="0"/>
    <m/>
    <m/>
    <m/>
    <m/>
    <s v="-"/>
    <s v="-"/>
    <s v="-"/>
    <s v="-"/>
    <s v="-"/>
    <s v="-"/>
    <s v="-"/>
    <s v="-"/>
    <s v="-"/>
    <s v="-"/>
    <s v="-"/>
    <x v="1"/>
    <x v="0"/>
    <s v="-"/>
    <s v="-"/>
    <s v="-"/>
    <s v="-"/>
    <s v="-"/>
    <s v="-"/>
    <s v="-"/>
    <s v="-"/>
    <s v="-"/>
    <s v="-"/>
    <s v="-"/>
    <x v="0"/>
    <x v="0"/>
    <n v="0"/>
    <n v="835"/>
    <n v="0"/>
    <n v="835"/>
    <x v="1"/>
    <x v="0"/>
    <m/>
    <x v="0"/>
    <m/>
    <x v="0"/>
    <m/>
    <x v="1"/>
    <x v="1"/>
    <x v="6"/>
    <x v="0"/>
    <m/>
    <n v="19522"/>
    <n v="0"/>
    <n v="19522"/>
    <x v="1"/>
    <m/>
  </r>
  <r>
    <x v="3"/>
    <x v="0"/>
    <x v="0"/>
    <x v="1"/>
    <n v="2411"/>
    <x v="105"/>
    <x v="8"/>
    <n v="15.800000190734901"/>
    <n v="528934"/>
    <n v="177496"/>
    <s v="2.1.1"/>
    <x v="115"/>
    <s v="S96A"/>
    <d v="2015-10-19T00:00:00"/>
    <x v="99"/>
    <m/>
    <m/>
    <s v="Nil"/>
    <m/>
    <m/>
    <s v="Application for Amendments to the planning permission dated the 05/12/2014 (ref: 2014/2837)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site-wide land use changes, alterations to unit mix within Development Zones O1 &amp; RS4, increases in height at roof level of Development Zone O1, redesign to Malaysia Square, increase in basement footprint; and other altetrations to buildings in relation to the Northern Line Extension, and landscaping and circulation amendments)."/>
    <x v="115"/>
    <s v="NB"/>
    <x v="0"/>
    <s v="UC"/>
    <m/>
    <d v="2016-05-16T00:00:00"/>
    <m/>
    <m/>
    <s v="C"/>
    <s v="BF"/>
    <x v="2"/>
    <s v="C"/>
    <d v="2016-05-16T00:00:00"/>
    <m/>
    <n v="4485"/>
    <n v="4486"/>
    <n v="282"/>
    <n v="282"/>
    <n v="282"/>
    <n v="9817"/>
    <m/>
    <m/>
    <m/>
    <m/>
    <m/>
    <m/>
    <m/>
    <n v="2031"/>
    <n v="2031"/>
    <n v="4062"/>
    <m/>
    <m/>
    <m/>
    <m/>
    <m/>
    <m/>
    <m/>
    <m/>
    <m/>
    <m/>
    <m/>
    <m/>
    <m/>
    <m/>
    <m/>
    <x v="1"/>
    <x v="0"/>
    <x v="0"/>
    <n v="4485"/>
    <n v="4486"/>
    <n v="282"/>
    <n v="282"/>
    <n v="282"/>
    <n v="9817"/>
    <m/>
    <x v="0"/>
    <m/>
    <m/>
    <m/>
    <m/>
    <m/>
    <x v="0"/>
    <n v="10750"/>
    <n v="2031"/>
    <n v="2031"/>
    <n v="4062"/>
    <s v="-"/>
    <s v="-"/>
    <s v="-"/>
    <s v="-"/>
    <s v="-"/>
    <s v="-"/>
    <s v="-"/>
    <s v="-"/>
    <s v="-"/>
    <s v="-"/>
    <s v="-"/>
    <x v="1"/>
    <x v="0"/>
    <s v="-"/>
    <s v="-"/>
    <s v="-"/>
    <s v="-"/>
    <s v="-"/>
    <s v="-"/>
    <s v="-"/>
    <s v="-"/>
    <s v="-"/>
    <s v="-"/>
    <s v="-"/>
    <x v="0"/>
    <x v="0"/>
    <n v="0"/>
    <n v="24629"/>
    <n v="0"/>
    <n v="24629"/>
    <x v="1"/>
    <x v="0"/>
    <m/>
    <x v="0"/>
    <m/>
    <x v="0"/>
    <m/>
    <x v="1"/>
    <x v="1"/>
    <x v="6"/>
    <x v="0"/>
    <m/>
    <n v="63741"/>
    <n v="0"/>
    <n v="63741"/>
    <x v="1"/>
    <m/>
  </r>
  <r>
    <x v="3"/>
    <x v="0"/>
    <x v="0"/>
    <x v="1"/>
    <n v="2411"/>
    <x v="105"/>
    <x v="8"/>
    <n v="15.800000190734901"/>
    <n v="528934"/>
    <n v="177496"/>
    <s v="2.1.1"/>
    <x v="115"/>
    <s v="S96A"/>
    <d v="2015-10-19T00:00:00"/>
    <x v="99"/>
    <m/>
    <m/>
    <s v="Nil"/>
    <m/>
    <m/>
    <s v="Application for Amendments to the planning permission dated the 05/12/2014 (ref: 2014/2837)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site-wide land use changes, alterations to unit mix within Development Zones O1 &amp; RS4, increases in height at roof level of Development Zone O1, redesign to Malaysia Square, increase in basement footprint; and other altetrations to buildings in relation to the Northern Line Extension, and landscaping and circulation amendments)."/>
    <x v="115"/>
    <s v="NB"/>
    <x v="0"/>
    <s v="UC"/>
    <m/>
    <d v="2016-05-16T00:00:00"/>
    <m/>
    <m/>
    <s v="C"/>
    <s v="BF"/>
    <x v="3"/>
    <s v="C"/>
    <d v="2016-05-16T00:00:00"/>
    <m/>
    <n v="6704"/>
    <n v="6704"/>
    <n v="1913"/>
    <n v="1913"/>
    <n v="1913"/>
    <n v="19147"/>
    <m/>
    <m/>
    <m/>
    <m/>
    <m/>
    <m/>
    <m/>
    <n v="2810"/>
    <n v="2810"/>
    <n v="5620"/>
    <m/>
    <m/>
    <m/>
    <m/>
    <m/>
    <m/>
    <m/>
    <m/>
    <m/>
    <m/>
    <m/>
    <m/>
    <m/>
    <m/>
    <m/>
    <x v="1"/>
    <x v="0"/>
    <x v="0"/>
    <n v="6704"/>
    <n v="6704"/>
    <n v="1913"/>
    <n v="1913"/>
    <n v="1913"/>
    <n v="19147"/>
    <m/>
    <x v="0"/>
    <m/>
    <m/>
    <m/>
    <m/>
    <m/>
    <x v="0"/>
    <m/>
    <n v="2810"/>
    <n v="2810"/>
    <n v="5620"/>
    <s v="-"/>
    <s v="-"/>
    <s v="-"/>
    <s v="-"/>
    <s v="-"/>
    <s v="-"/>
    <s v="-"/>
    <s v="-"/>
    <s v="-"/>
    <s v="-"/>
    <s v="-"/>
    <x v="1"/>
    <x v="0"/>
    <s v="-"/>
    <s v="-"/>
    <s v="-"/>
    <s v="-"/>
    <s v="-"/>
    <s v="-"/>
    <s v="-"/>
    <s v="-"/>
    <s v="-"/>
    <s v="-"/>
    <s v="-"/>
    <x v="0"/>
    <x v="0"/>
    <n v="0"/>
    <n v="24767"/>
    <n v="0"/>
    <n v="24767"/>
    <x v="1"/>
    <x v="0"/>
    <m/>
    <x v="0"/>
    <m/>
    <x v="0"/>
    <m/>
    <x v="1"/>
    <x v="1"/>
    <x v="6"/>
    <x v="0"/>
    <m/>
    <n v="83968"/>
    <n v="0"/>
    <n v="83968"/>
    <x v="1"/>
    <m/>
  </r>
  <r>
    <x v="2"/>
    <x v="5"/>
    <x v="5"/>
    <x v="1"/>
    <n v="2411"/>
    <x v="105"/>
    <x v="8"/>
    <n v="15.800000190734901"/>
    <n v="528934"/>
    <n v="177496"/>
    <s v="2.1.1"/>
    <x v="116"/>
    <s v="S73"/>
    <d v="2016-03-02T00:00:00"/>
    <x v="100"/>
    <m/>
    <d v="2016-04-21T00:00:00"/>
    <s v="Nil"/>
    <m/>
    <m/>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x v="116"/>
    <s v="NB"/>
    <x v="0"/>
    <s v="NSV"/>
    <m/>
    <m/>
    <m/>
    <m/>
    <s v="C"/>
    <s v="BF"/>
    <x v="4"/>
    <s v="C"/>
    <m/>
    <m/>
    <n v="3341"/>
    <n v="3341"/>
    <n v="192"/>
    <n v="192"/>
    <n v="193"/>
    <n v="7259"/>
    <n v="39791"/>
    <m/>
    <m/>
    <n v="39791"/>
    <m/>
    <m/>
    <n v="39791"/>
    <n v="1648"/>
    <n v="1649"/>
    <n v="3297"/>
    <m/>
    <m/>
    <m/>
    <m/>
    <m/>
    <m/>
    <m/>
    <m/>
    <m/>
    <m/>
    <m/>
    <m/>
    <m/>
    <m/>
    <m/>
    <x v="1"/>
    <x v="1"/>
    <x v="0"/>
    <n v="3341"/>
    <n v="3341"/>
    <n v="192"/>
    <n v="192"/>
    <n v="193"/>
    <n v="7259"/>
    <n v="39791"/>
    <x v="0"/>
    <m/>
    <m/>
    <m/>
    <m/>
    <n v="39791"/>
    <x v="0"/>
    <m/>
    <n v="1648"/>
    <n v="1649"/>
    <n v="3297"/>
    <s v="-"/>
    <s v="-"/>
    <s v="-"/>
    <s v="-"/>
    <s v="-"/>
    <s v="-"/>
    <s v="-"/>
    <s v="-"/>
    <s v="-"/>
    <s v="-"/>
    <s v="-"/>
    <x v="1"/>
    <x v="0"/>
    <s v="-"/>
    <s v="-"/>
    <s v="-"/>
    <s v="-"/>
    <s v="-"/>
    <s v="-"/>
    <s v="-"/>
    <s v="-"/>
    <s v="-"/>
    <s v="-"/>
    <s v="-"/>
    <x v="0"/>
    <x v="0"/>
    <n v="0"/>
    <n v="50347"/>
    <n v="0"/>
    <n v="50347"/>
    <x v="1"/>
    <x v="0"/>
    <m/>
    <x v="0"/>
    <m/>
    <x v="0"/>
    <m/>
    <x v="1"/>
    <x v="1"/>
    <x v="6"/>
    <x v="0"/>
    <m/>
    <n v="52267"/>
    <n v="0"/>
    <n v="52267"/>
    <x v="1"/>
    <m/>
  </r>
  <r>
    <x v="2"/>
    <x v="5"/>
    <x v="5"/>
    <x v="1"/>
    <n v="2411"/>
    <x v="105"/>
    <x v="8"/>
    <n v="15.800000190734901"/>
    <n v="528934"/>
    <n v="177496"/>
    <s v="2.1.1"/>
    <x v="116"/>
    <s v="S73"/>
    <d v="2016-03-02T00:00:00"/>
    <x v="100"/>
    <m/>
    <d v="2016-04-21T00:00:00"/>
    <s v="Nil"/>
    <m/>
    <m/>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x v="116"/>
    <s v="NB"/>
    <x v="0"/>
    <s v="NSV"/>
    <m/>
    <m/>
    <m/>
    <m/>
    <s v="C"/>
    <s v="BF"/>
    <x v="5"/>
    <s v="C"/>
    <m/>
    <m/>
    <m/>
    <m/>
    <m/>
    <m/>
    <m/>
    <m/>
    <m/>
    <m/>
    <m/>
    <m/>
    <m/>
    <m/>
    <m/>
    <n v="737"/>
    <n v="738"/>
    <n v="1475"/>
    <m/>
    <m/>
    <m/>
    <m/>
    <m/>
    <m/>
    <m/>
    <m/>
    <m/>
    <m/>
    <m/>
    <m/>
    <m/>
    <m/>
    <m/>
    <x v="0"/>
    <x v="0"/>
    <x v="0"/>
    <m/>
    <m/>
    <m/>
    <m/>
    <m/>
    <m/>
    <m/>
    <x v="0"/>
    <m/>
    <m/>
    <m/>
    <m/>
    <m/>
    <x v="0"/>
    <m/>
    <n v="737"/>
    <n v="738"/>
    <n v="1475"/>
    <s v="-"/>
    <s v="-"/>
    <s v="-"/>
    <s v="-"/>
    <s v="-"/>
    <s v="-"/>
    <s v="-"/>
    <s v="-"/>
    <s v="-"/>
    <s v="-"/>
    <s v="-"/>
    <x v="1"/>
    <x v="0"/>
    <s v="-"/>
    <s v="-"/>
    <s v="-"/>
    <s v="-"/>
    <s v="-"/>
    <s v="-"/>
    <s v="-"/>
    <s v="-"/>
    <s v="-"/>
    <s v="-"/>
    <s v="-"/>
    <x v="0"/>
    <x v="0"/>
    <n v="0"/>
    <n v="1475"/>
    <n v="0"/>
    <n v="1475"/>
    <x v="1"/>
    <x v="0"/>
    <m/>
    <x v="0"/>
    <m/>
    <x v="0"/>
    <m/>
    <x v="1"/>
    <x v="1"/>
    <x v="6"/>
    <x v="0"/>
    <m/>
    <n v="13310"/>
    <n v="0"/>
    <n v="13310"/>
    <x v="1"/>
    <m/>
  </r>
  <r>
    <x v="2"/>
    <x v="5"/>
    <x v="5"/>
    <x v="1"/>
    <n v="2411"/>
    <x v="105"/>
    <x v="8"/>
    <n v="15.800000190734901"/>
    <n v="528934"/>
    <n v="177496"/>
    <s v="2.1.1"/>
    <x v="116"/>
    <s v="S73"/>
    <d v="2016-03-02T00:00:00"/>
    <x v="100"/>
    <m/>
    <d v="2016-04-21T00:00:00"/>
    <s v="Nil"/>
    <m/>
    <m/>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x v="116"/>
    <s v="NB"/>
    <x v="0"/>
    <s v="NSV"/>
    <m/>
    <m/>
    <m/>
    <m/>
    <s v="C"/>
    <s v="BF"/>
    <x v="6"/>
    <s v="C"/>
    <m/>
    <m/>
    <m/>
    <m/>
    <n v="599"/>
    <n v="599"/>
    <n v="599"/>
    <n v="1797"/>
    <n v="47596"/>
    <m/>
    <m/>
    <n v="47596"/>
    <m/>
    <m/>
    <n v="47596"/>
    <n v="1577"/>
    <n v="1578"/>
    <n v="3155"/>
    <m/>
    <m/>
    <m/>
    <m/>
    <m/>
    <m/>
    <m/>
    <m/>
    <m/>
    <m/>
    <m/>
    <m/>
    <m/>
    <m/>
    <m/>
    <x v="1"/>
    <x v="1"/>
    <x v="0"/>
    <m/>
    <m/>
    <n v="599"/>
    <n v="599"/>
    <n v="599"/>
    <n v="1797"/>
    <n v="47596"/>
    <x v="0"/>
    <m/>
    <m/>
    <m/>
    <m/>
    <n v="47596"/>
    <x v="0"/>
    <n v="9872"/>
    <n v="1577"/>
    <n v="1578"/>
    <n v="3155"/>
    <s v="-"/>
    <s v="-"/>
    <s v="-"/>
    <s v="-"/>
    <s v="-"/>
    <s v="-"/>
    <s v="-"/>
    <s v="-"/>
    <s v="-"/>
    <s v="-"/>
    <s v="-"/>
    <x v="1"/>
    <x v="0"/>
    <s v="-"/>
    <s v="-"/>
    <s v="-"/>
    <s v="-"/>
    <s v="-"/>
    <s v="-"/>
    <s v="-"/>
    <s v="-"/>
    <s v="-"/>
    <s v="-"/>
    <s v="-"/>
    <x v="0"/>
    <x v="0"/>
    <n v="0"/>
    <n v="62420"/>
    <n v="0"/>
    <n v="62420"/>
    <x v="1"/>
    <x v="0"/>
    <m/>
    <x v="0"/>
    <m/>
    <x v="0"/>
    <m/>
    <x v="1"/>
    <x v="1"/>
    <x v="6"/>
    <x v="0"/>
    <m/>
    <n v="51168"/>
    <n v="0"/>
    <n v="51168"/>
    <x v="1"/>
    <m/>
  </r>
  <r>
    <x v="0"/>
    <x v="0"/>
    <x v="0"/>
    <x v="2"/>
    <n v="2411"/>
    <x v="105"/>
    <x v="8"/>
    <n v="15.800000190734901"/>
    <n v="528934"/>
    <n v="177496"/>
    <s v="2.1.1"/>
    <x v="117"/>
    <s v="DT"/>
    <d v="2016-10-11T00:00:00"/>
    <x v="100"/>
    <m/>
    <m/>
    <s v="Nil"/>
    <m/>
    <m/>
    <s v="Details of the scale of the buildings and structures, external appearance of those buildings and structures including facing materials, and landscaping (Condition 3) in relation to Phase 1 (Development Zone RS-1) of the Battersea Power Station development of outline planning permission dated 23rd August 2011 (ref.2009/3575) for restoration, extension, alterations and conversion of the Power Station building and demolition of other buildings and development of the land surrounding the Power Station to provide a mix of uses and open space and landscaping works. (The application consists of a partial resubmission of reserved matters relating to Phase 1 as approved 20/12/12 (ref. 2012/4584), 08/05/13 (ref. 2013/1192), 20/12/13 (ref. 2013/4229) and 02/11/2015 (ref. 2015/2320) (and also constitutes a consolidation of decision notices in relation to Phase 1 Reserve Matters)"/>
    <x v="117"/>
    <s v="NB"/>
    <x v="0"/>
    <s v="CO"/>
    <m/>
    <d v="2013-11-21T00:00:00"/>
    <d v="2018-03-31T00:00:00"/>
    <m/>
    <s v="C"/>
    <s v="BF"/>
    <x v="7"/>
    <s v="C"/>
    <d v="2013-11-23T00:00:00"/>
    <d v="2018-03-31T00:00:00"/>
    <n v="1112"/>
    <n v="781"/>
    <n v="1073"/>
    <n v="1073"/>
    <n v="1073"/>
    <n v="5112"/>
    <n v="2913"/>
    <m/>
    <m/>
    <n v="2913"/>
    <m/>
    <m/>
    <n v="2913"/>
    <n v="509"/>
    <n v="936"/>
    <n v="1445"/>
    <m/>
    <m/>
    <m/>
    <m/>
    <m/>
    <m/>
    <m/>
    <m/>
    <m/>
    <m/>
    <m/>
    <m/>
    <m/>
    <m/>
    <m/>
    <x v="1"/>
    <x v="1"/>
    <x v="0"/>
    <n v="1112"/>
    <n v="781"/>
    <n v="1073"/>
    <n v="1073"/>
    <n v="1073"/>
    <n v="5112"/>
    <n v="2913"/>
    <x v="0"/>
    <m/>
    <m/>
    <m/>
    <m/>
    <n v="2913"/>
    <x v="0"/>
    <m/>
    <n v="509"/>
    <n v="936"/>
    <n v="1445"/>
    <s v="-"/>
    <s v="-"/>
    <s v="-"/>
    <s v="-"/>
    <s v="-"/>
    <s v="-"/>
    <s v="-"/>
    <s v="-"/>
    <s v="-"/>
    <s v="-"/>
    <s v="-"/>
    <x v="1"/>
    <x v="0"/>
    <s v="-"/>
    <s v="-"/>
    <s v="-"/>
    <s v="-"/>
    <s v="-"/>
    <s v="-"/>
    <s v="-"/>
    <s v="-"/>
    <s v="-"/>
    <s v="-"/>
    <s v="-"/>
    <x v="0"/>
    <x v="0"/>
    <n v="0"/>
    <n v="9470"/>
    <n v="0"/>
    <n v="9470"/>
    <x v="1"/>
    <x v="0"/>
    <m/>
    <x v="0"/>
    <m/>
    <x v="0"/>
    <m/>
    <x v="1"/>
    <x v="1"/>
    <x v="6"/>
    <x v="0"/>
    <m/>
    <n v="88164"/>
    <n v="0"/>
    <n v="88164"/>
    <x v="1"/>
    <m/>
  </r>
  <r>
    <x v="2"/>
    <x v="0"/>
    <x v="0"/>
    <x v="1"/>
    <n v="2411"/>
    <x v="105"/>
    <x v="8"/>
    <n v="15.800000190734901"/>
    <n v="528934"/>
    <n v="177496"/>
    <s v="2.1.1"/>
    <x v="118"/>
    <s v="S96A"/>
    <d v="2017-03-23T00:00:00"/>
    <x v="101"/>
    <s v="Y"/>
    <m/>
    <s v="Nil"/>
    <m/>
    <m/>
    <s v="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
    <x v="118"/>
    <s v="MIX"/>
    <x v="0"/>
    <s v="UC"/>
    <m/>
    <d v="2014-02-28T00:00:00"/>
    <m/>
    <m/>
    <s v="C"/>
    <s v="BF"/>
    <x v="8"/>
    <s v="C"/>
    <d v="2014-02-28T00:00:00"/>
    <m/>
    <m/>
    <m/>
    <m/>
    <m/>
    <m/>
    <m/>
    <m/>
    <m/>
    <m/>
    <m/>
    <m/>
    <m/>
    <m/>
    <m/>
    <m/>
    <m/>
    <m/>
    <m/>
    <m/>
    <m/>
    <m/>
    <m/>
    <m/>
    <m/>
    <m/>
    <m/>
    <m/>
    <m/>
    <m/>
    <m/>
    <m/>
    <x v="0"/>
    <x v="0"/>
    <x v="1"/>
    <m/>
    <m/>
    <m/>
    <m/>
    <m/>
    <m/>
    <m/>
    <x v="0"/>
    <m/>
    <m/>
    <m/>
    <m/>
    <m/>
    <x v="0"/>
    <m/>
    <m/>
    <m/>
    <m/>
    <s v="-"/>
    <s v="-"/>
    <s v="-"/>
    <s v="-"/>
    <s v="-"/>
    <s v="-"/>
    <s v="-"/>
    <s v="-"/>
    <s v="-"/>
    <s v="-"/>
    <s v="-"/>
    <x v="1"/>
    <x v="0"/>
    <s v="-"/>
    <s v="-"/>
    <s v="-"/>
    <s v="-"/>
    <s v="-"/>
    <s v="-"/>
    <s v="-"/>
    <s v="-"/>
    <s v="-"/>
    <s v="-"/>
    <s v="-"/>
    <x v="0"/>
    <x v="0"/>
    <n v="0"/>
    <n v="240"/>
    <n v="0"/>
    <n v="240"/>
    <x v="1"/>
    <x v="0"/>
    <m/>
    <x v="0"/>
    <m/>
    <x v="0"/>
    <m/>
    <x v="1"/>
    <x v="1"/>
    <x v="6"/>
    <x v="0"/>
    <m/>
    <n v="0"/>
    <n v="0"/>
    <n v="0"/>
    <x v="0"/>
    <m/>
  </r>
  <r>
    <x v="3"/>
    <x v="0"/>
    <x v="0"/>
    <x v="1"/>
    <n v="2411"/>
    <x v="105"/>
    <x v="8"/>
    <n v="15.800000190734901"/>
    <n v="528934"/>
    <n v="177496"/>
    <s v="2.1.1"/>
    <x v="118"/>
    <s v="S96A"/>
    <d v="2017-03-23T00:00:00"/>
    <x v="101"/>
    <s v="Y"/>
    <m/>
    <s v="Nil"/>
    <m/>
    <m/>
    <s v="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
    <x v="118"/>
    <s v="MIX"/>
    <x v="0"/>
    <s v="UC"/>
    <m/>
    <d v="2014-02-28T00:00:00"/>
    <m/>
    <m/>
    <s v="C"/>
    <s v="BF"/>
    <x v="9"/>
    <s v="C"/>
    <d v="2014-02-28T00:00:00"/>
    <m/>
    <n v="17998"/>
    <n v="17930"/>
    <n v="2351"/>
    <n v="2351"/>
    <n v="2283"/>
    <n v="42913"/>
    <n v="63038"/>
    <m/>
    <m/>
    <n v="63038"/>
    <m/>
    <m/>
    <n v="63038"/>
    <n v="4453"/>
    <n v="4454"/>
    <n v="8907"/>
    <m/>
    <m/>
    <m/>
    <m/>
    <m/>
    <m/>
    <m/>
    <m/>
    <m/>
    <m/>
    <m/>
    <m/>
    <m/>
    <m/>
    <m/>
    <x v="1"/>
    <x v="1"/>
    <x v="0"/>
    <n v="17998"/>
    <n v="17930"/>
    <n v="2351"/>
    <n v="2351"/>
    <n v="2283"/>
    <n v="42913"/>
    <n v="63038"/>
    <x v="0"/>
    <m/>
    <m/>
    <m/>
    <m/>
    <n v="63038"/>
    <x v="0"/>
    <m/>
    <n v="4453"/>
    <n v="4454"/>
    <n v="8907"/>
    <s v="Not Known"/>
    <s v="Not Known"/>
    <s v="Not Known"/>
    <s v="Not Known"/>
    <s v="-"/>
    <s v="Not Known"/>
    <s v="-"/>
    <s v="-"/>
    <s v="-"/>
    <s v="-"/>
    <s v="-"/>
    <x v="1"/>
    <x v="0"/>
    <s v="-"/>
    <s v="-"/>
    <s v="-"/>
    <s v="-"/>
    <s v="-"/>
    <s v="-"/>
    <s v="-"/>
    <s v="-"/>
    <s v="-"/>
    <s v="-"/>
    <s v="-"/>
    <x v="0"/>
    <x v="0"/>
    <n v="0"/>
    <n v="114858"/>
    <n v="0"/>
    <n v="114858"/>
    <x v="1"/>
    <x v="0"/>
    <m/>
    <x v="0"/>
    <m/>
    <x v="0"/>
    <m/>
    <x v="1"/>
    <x v="1"/>
    <x v="6"/>
    <x v="0"/>
    <m/>
    <n v="41967"/>
    <n v="0"/>
    <n v="41967"/>
    <x v="1"/>
    <m/>
  </r>
  <r>
    <x v="0"/>
    <x v="0"/>
    <x v="0"/>
    <x v="0"/>
    <n v="2471"/>
    <x v="106"/>
    <x v="14"/>
    <n v="0.17000000178813901"/>
    <n v="527798"/>
    <n v="172157"/>
    <m/>
    <x v="119"/>
    <s v="PF"/>
    <d v="2017-06-08T00:00:00"/>
    <x v="102"/>
    <s v="Y"/>
    <m/>
    <s v="Nil"/>
    <m/>
    <m/>
    <s v="Alterations in connection with use of the of units as counselling and psychotherapy clinic (Class D1)."/>
    <x v="119"/>
    <s v="COU"/>
    <x v="2"/>
    <s v="OC"/>
    <m/>
    <d v="2017-08-02T00:00:00"/>
    <d v="2018-03-31T00:00:00"/>
    <d v="2018-03-31T00:00:00"/>
    <s v="C"/>
    <s v="BF"/>
    <x v="0"/>
    <m/>
    <d v="2017-08-02T00:00:00"/>
    <d v="2018-03-31T00:00:00"/>
    <m/>
    <m/>
    <m/>
    <m/>
    <m/>
    <m/>
    <m/>
    <m/>
    <m/>
    <m/>
    <m/>
    <m/>
    <m/>
    <n v="157"/>
    <m/>
    <n v="157"/>
    <m/>
    <m/>
    <m/>
    <m/>
    <m/>
    <m/>
    <m/>
    <m/>
    <m/>
    <m/>
    <m/>
    <m/>
    <n v="157"/>
    <m/>
    <n v="157"/>
    <x v="0"/>
    <x v="0"/>
    <x v="0"/>
    <m/>
    <m/>
    <m/>
    <m/>
    <m/>
    <m/>
    <m/>
    <x v="0"/>
    <m/>
    <m/>
    <m/>
    <m/>
    <m/>
    <x v="0"/>
    <m/>
    <m/>
    <m/>
    <m/>
    <s v="-"/>
    <s v="-"/>
    <s v="-"/>
    <s v="-"/>
    <s v="-"/>
    <s v="-"/>
    <s v="-"/>
    <s v="-"/>
    <s v="-"/>
    <s v="-"/>
    <s v="-"/>
    <x v="2"/>
    <x v="0"/>
    <s v="-"/>
    <s v="-"/>
    <s v="-"/>
    <s v="-"/>
    <s v="-"/>
    <s v="-"/>
    <s v="-"/>
    <s v="-"/>
    <s v="-"/>
    <s v="-"/>
    <s v="-"/>
    <x v="5"/>
    <x v="0"/>
    <n v="0.17000000178813901"/>
    <n v="157"/>
    <n v="157"/>
    <n v="0"/>
    <x v="0"/>
    <x v="0"/>
    <m/>
    <x v="0"/>
    <m/>
    <x v="0"/>
    <m/>
    <x v="0"/>
    <x v="0"/>
    <x v="0"/>
    <x v="0"/>
    <m/>
    <n v="0"/>
    <n v="0"/>
    <n v="0"/>
    <x v="0"/>
    <m/>
  </r>
  <r>
    <x v="0"/>
    <x v="0"/>
    <x v="0"/>
    <x v="2"/>
    <n v="2490"/>
    <x v="107"/>
    <x v="7"/>
    <n v="2.1670000553131099"/>
    <n v="525385"/>
    <n v="175234"/>
    <s v="3.3.1"/>
    <x v="120"/>
    <s v="PFLA"/>
    <d v="2009-10-27T00:00:00"/>
    <x v="103"/>
    <m/>
    <d v="2010-02-17T00:00:00"/>
    <s v="Nil"/>
    <m/>
    <m/>
    <s v="Erection of six buildings ranging in height up to fifteen-storeys and two single-storey commercial pavilions to provide approximately 8,712sq.m. of commercial floorspace (including community and leisure uses) and 504 residential units (308 private/196 affordable). Provision of open space, new vehicular and pedestrian access points and associated parking."/>
    <x v="120"/>
    <s v="NB"/>
    <x v="0"/>
    <s v="CO"/>
    <m/>
    <d v="2011-03-31T00:00:00"/>
    <d v="2018-03-31T00:00:00"/>
    <m/>
    <s v="C"/>
    <s v="BF"/>
    <x v="0"/>
    <m/>
    <d v="2011-03-31T00:00:00"/>
    <d v="2018-03-31T00:00:00"/>
    <n v="110"/>
    <m/>
    <n v="110"/>
    <n v="100"/>
    <m/>
    <n v="320"/>
    <n v="6574"/>
    <m/>
    <m/>
    <n v="6574"/>
    <m/>
    <m/>
    <n v="6574"/>
    <n v="497"/>
    <n v="1321"/>
    <n v="1818"/>
    <m/>
    <m/>
    <m/>
    <m/>
    <m/>
    <m/>
    <m/>
    <m/>
    <m/>
    <m/>
    <m/>
    <m/>
    <m/>
    <m/>
    <m/>
    <x v="1"/>
    <x v="1"/>
    <x v="0"/>
    <n v="110"/>
    <m/>
    <n v="110"/>
    <n v="100"/>
    <m/>
    <n v="320"/>
    <n v="6574"/>
    <x v="0"/>
    <m/>
    <m/>
    <m/>
    <m/>
    <n v="6574"/>
    <x v="0"/>
    <m/>
    <n v="497"/>
    <n v="1321"/>
    <n v="1818"/>
    <s v="Not Known"/>
    <s v="-"/>
    <s v="Not Known"/>
    <s v="Not Known"/>
    <s v="-"/>
    <s v="Not Known"/>
    <s v="-"/>
    <s v="-"/>
    <s v="-"/>
    <s v="-"/>
    <s v="-"/>
    <x v="5"/>
    <x v="3"/>
    <s v="-"/>
    <s v="-"/>
    <s v="-"/>
    <s v="-"/>
    <s v="-"/>
    <s v="-"/>
    <s v="-"/>
    <s v="-"/>
    <s v="-"/>
    <s v="-"/>
    <s v="-"/>
    <x v="0"/>
    <x v="0"/>
    <n v="0.36100007593631878"/>
    <n v="8712"/>
    <n v="0"/>
    <n v="8712"/>
    <x v="1"/>
    <x v="0"/>
    <m/>
    <x v="0"/>
    <m/>
    <x v="0"/>
    <m/>
    <x v="0"/>
    <x v="0"/>
    <x v="0"/>
    <x v="0"/>
    <m/>
    <n v="48309"/>
    <n v="0"/>
    <n v="48309"/>
    <x v="1"/>
    <m/>
  </r>
  <r>
    <x v="3"/>
    <x v="0"/>
    <x v="0"/>
    <x v="1"/>
    <n v="2502"/>
    <x v="108"/>
    <x v="18"/>
    <n v="33.259998321533203"/>
    <n v="527221"/>
    <n v="172443"/>
    <s v="9.1"/>
    <x v="121"/>
    <s v="RP"/>
    <d v="2010-09-10T00:00:00"/>
    <x v="104"/>
    <m/>
    <m/>
    <s v="APG"/>
    <d v="2011-07-21T00:00:00"/>
    <d v="2012-06-22T00:00:0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x v="121"/>
    <s v="MIX"/>
    <x v="0"/>
    <s v="UC"/>
    <m/>
    <d v="2015-08-28T00:00:00"/>
    <m/>
    <m/>
    <s v="C"/>
    <s v="BF"/>
    <x v="0"/>
    <m/>
    <d v="2015-08-28T00:00:00"/>
    <m/>
    <n v="400"/>
    <n v="200"/>
    <n v="300"/>
    <n v="250"/>
    <m/>
    <n v="1150"/>
    <n v="200"/>
    <m/>
    <m/>
    <n v="200"/>
    <m/>
    <m/>
    <n v="200"/>
    <n v="4098"/>
    <n v="597"/>
    <n v="4695"/>
    <m/>
    <m/>
    <n v="768"/>
    <m/>
    <m/>
    <n v="768"/>
    <m/>
    <m/>
    <m/>
    <m/>
    <m/>
    <m/>
    <n v="1198"/>
    <n v="472"/>
    <n v="1670"/>
    <x v="1"/>
    <x v="1"/>
    <x v="0"/>
    <n v="400"/>
    <n v="200"/>
    <n v="-468"/>
    <n v="250"/>
    <m/>
    <n v="382"/>
    <n v="200"/>
    <x v="0"/>
    <m/>
    <m/>
    <m/>
    <m/>
    <n v="200"/>
    <x v="0"/>
    <m/>
    <n v="2900"/>
    <n v="125"/>
    <n v="3025"/>
    <s v="Not Known"/>
    <s v="Not Known"/>
    <s v="Not Known"/>
    <s v="Not Known"/>
    <s v="-"/>
    <s v="Not Known"/>
    <s v="-"/>
    <s v="-"/>
    <s v="-"/>
    <s v="-"/>
    <s v="-"/>
    <x v="5"/>
    <x v="3"/>
    <s v="-"/>
    <s v="-"/>
    <s v="Restaurant"/>
    <s v="-"/>
    <s v="-"/>
    <s v="-"/>
    <s v="-"/>
    <s v="-"/>
    <s v="-"/>
    <s v="-"/>
    <s v="-"/>
    <x v="2"/>
    <x v="2"/>
    <n v="4.5159986596555033"/>
    <n v="6215"/>
    <n v="2438"/>
    <n v="3777"/>
    <x v="0"/>
    <x v="0"/>
    <m/>
    <x v="0"/>
    <m/>
    <x v="0"/>
    <m/>
    <x v="0"/>
    <x v="0"/>
    <x v="0"/>
    <x v="0"/>
    <m/>
    <n v="111500"/>
    <n v="0"/>
    <n v="111500"/>
    <x v="1"/>
    <m/>
  </r>
  <r>
    <x v="1"/>
    <x v="0"/>
    <x v="0"/>
    <x v="1"/>
    <n v="2504"/>
    <x v="109"/>
    <x v="10"/>
    <n v="4.9999998882412902E-3"/>
    <n v="524835"/>
    <n v="173907"/>
    <m/>
    <x v="122"/>
    <s v="AF"/>
    <d v="2017-12-06T00:00:00"/>
    <x v="1"/>
    <m/>
    <m/>
    <s v="Nil"/>
    <m/>
    <m/>
    <s v="Demoliton of existing double garages and erection of single-storey (plus basement) 1-bedroom house."/>
    <x v="122"/>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
    <n v="0"/>
    <n v="42"/>
    <n v="-42"/>
    <x v="0"/>
    <x v="0"/>
    <m/>
    <x v="0"/>
    <m/>
    <x v="0"/>
    <m/>
    <x v="0"/>
    <x v="0"/>
    <x v="0"/>
    <x v="0"/>
    <m/>
    <n v="63"/>
    <n v="0"/>
    <n v="63"/>
    <x v="1"/>
    <m/>
  </r>
  <r>
    <x v="0"/>
    <x v="0"/>
    <x v="0"/>
    <x v="0"/>
    <n v="2511"/>
    <x v="110"/>
    <x v="11"/>
    <n v="2.60000005364418E-2"/>
    <n v="528763"/>
    <n v="173586"/>
    <m/>
    <x v="123"/>
    <s v="PF"/>
    <d v="2015-05-22T00:00:00"/>
    <x v="105"/>
    <m/>
    <m/>
    <s v="Nil"/>
    <m/>
    <m/>
    <s v="Change of use of part of ground floor from storage (Use Class B8) to a furniture showroom (Use Class A1) with external alterations to include a new shopfront along south elevation."/>
    <x v="123"/>
    <s v="COU"/>
    <x v="2"/>
    <s v="OC"/>
    <m/>
    <d v="2015-08-01T00:00:00"/>
    <d v="2017-08-01T00:00:00"/>
    <d v="2017-08-01T00:00:00"/>
    <s v="C"/>
    <s v="BF"/>
    <x v="0"/>
    <m/>
    <d v="2015-08-01T00:00:00"/>
    <d v="2017-08-01T00:00:00"/>
    <n v="191"/>
    <m/>
    <m/>
    <m/>
    <m/>
    <n v="191"/>
    <m/>
    <m/>
    <m/>
    <m/>
    <m/>
    <n v="50"/>
    <n v="50"/>
    <m/>
    <m/>
    <m/>
    <m/>
    <m/>
    <m/>
    <m/>
    <m/>
    <m/>
    <m/>
    <m/>
    <m/>
    <m/>
    <n v="241"/>
    <n v="241"/>
    <m/>
    <m/>
    <m/>
    <x v="1"/>
    <x v="1"/>
    <x v="1"/>
    <n v="191"/>
    <m/>
    <m/>
    <m/>
    <m/>
    <n v="191"/>
    <m/>
    <x v="0"/>
    <m/>
    <m/>
    <m/>
    <n v="-191"/>
    <n v="-191"/>
    <x v="1"/>
    <m/>
    <m/>
    <m/>
    <m/>
    <s v="Other"/>
    <s v="-"/>
    <s v="-"/>
    <s v="-"/>
    <s v="-"/>
    <s v="-"/>
    <s v="-"/>
    <s v="-"/>
    <s v="-"/>
    <s v="Storage"/>
    <s v="-"/>
    <x v="1"/>
    <x v="0"/>
    <s v="-"/>
    <s v="-"/>
    <s v="-"/>
    <s v="-"/>
    <s v="-"/>
    <s v="-"/>
    <s v="-"/>
    <s v="-"/>
    <s v="-"/>
    <s v="Storage"/>
    <s v="-"/>
    <x v="0"/>
    <x v="0"/>
    <n v="2.60000005364418E-2"/>
    <n v="241"/>
    <n v="241"/>
    <n v="0"/>
    <x v="0"/>
    <x v="0"/>
    <m/>
    <x v="0"/>
    <m/>
    <x v="0"/>
    <m/>
    <x v="0"/>
    <x v="0"/>
    <x v="0"/>
    <x v="0"/>
    <m/>
    <n v="0"/>
    <n v="0"/>
    <n v="0"/>
    <x v="0"/>
    <m/>
  </r>
  <r>
    <x v="2"/>
    <x v="0"/>
    <x v="0"/>
    <x v="1"/>
    <n v="2566"/>
    <x v="111"/>
    <x v="3"/>
    <n v="3.4000001847744002E-2"/>
    <n v="527216"/>
    <n v="175354"/>
    <m/>
    <x v="124"/>
    <s v="PF"/>
    <d v="2017-11-03T00:00:00"/>
    <x v="106"/>
    <s v="Y"/>
    <m/>
    <s v="Nil"/>
    <m/>
    <m/>
    <s v="Alterations including change of use of the commercial tenancy at 35 St Johns Hill from Sui Generis to D1 involving alterations to shop front; Change of use of the rear part of the site from D1/A2 to C3; Erection of single-storey rear extension to provide 2 x 2 bedroom units; provision of cycle and bin storage."/>
    <x v="124"/>
    <s v="MIX"/>
    <x v="0"/>
    <s v="NSO"/>
    <m/>
    <m/>
    <m/>
    <m/>
    <s v="C"/>
    <s v="BF"/>
    <x v="0"/>
    <m/>
    <m/>
    <m/>
    <m/>
    <m/>
    <m/>
    <m/>
    <m/>
    <m/>
    <m/>
    <m/>
    <m/>
    <m/>
    <m/>
    <m/>
    <m/>
    <n v="161"/>
    <m/>
    <n v="161"/>
    <m/>
    <m/>
    <m/>
    <m/>
    <m/>
    <m/>
    <m/>
    <m/>
    <m/>
    <m/>
    <m/>
    <m/>
    <m/>
    <m/>
    <m/>
    <x v="0"/>
    <x v="0"/>
    <x v="0"/>
    <m/>
    <m/>
    <m/>
    <m/>
    <m/>
    <m/>
    <m/>
    <x v="0"/>
    <m/>
    <m/>
    <m/>
    <m/>
    <m/>
    <x v="0"/>
    <m/>
    <n v="161"/>
    <m/>
    <n v="161"/>
    <s v="-"/>
    <s v="-"/>
    <s v="-"/>
    <s v="-"/>
    <s v="-"/>
    <s v="-"/>
    <s v="-"/>
    <s v="-"/>
    <s v="-"/>
    <s v="-"/>
    <s v="-"/>
    <x v="2"/>
    <x v="0"/>
    <s v="-"/>
    <s v="-"/>
    <s v="-"/>
    <s v="-"/>
    <s v="-"/>
    <s v="-"/>
    <s v="-"/>
    <s v="-"/>
    <s v="-"/>
    <s v="-"/>
    <s v="-"/>
    <x v="0"/>
    <x v="0"/>
    <n v="2.7000001631677161E-2"/>
    <n v="161"/>
    <n v="121"/>
    <n v="40"/>
    <x v="0"/>
    <x v="0"/>
    <m/>
    <x v="0"/>
    <m/>
    <x v="0"/>
    <m/>
    <x v="0"/>
    <x v="1"/>
    <x v="1"/>
    <x v="0"/>
    <m/>
    <n v="122"/>
    <n v="0"/>
    <n v="122"/>
    <x v="1"/>
    <m/>
  </r>
  <r>
    <x v="2"/>
    <x v="0"/>
    <x v="0"/>
    <x v="1"/>
    <n v="2634"/>
    <x v="112"/>
    <x v="5"/>
    <n v="1.60000007599592E-2"/>
    <n v="525348"/>
    <n v="174690"/>
    <m/>
    <x v="125"/>
    <s v="PF"/>
    <d v="2018-01-08T00:00:00"/>
    <x v="107"/>
    <s v="Y"/>
    <m/>
    <s v="Nil"/>
    <m/>
    <m/>
    <s v="Demolition of existing two-storey building and erection of a six-storey building to provide a commercial unit (for either A1-A5 or D2 use) on the ground floor, and one studio, 6 x 1-bedroom flats; 1 x 2-bedroom flat, with associated roof terraces, on the upper floors."/>
    <x v="125"/>
    <s v="NB"/>
    <x v="0"/>
    <s v="NSO"/>
    <m/>
    <m/>
    <m/>
    <m/>
    <s v="C"/>
    <s v="BF"/>
    <x v="0"/>
    <m/>
    <m/>
    <m/>
    <n v="13"/>
    <n v="13"/>
    <n v="13"/>
    <n v="13"/>
    <n v="14"/>
    <n v="66"/>
    <m/>
    <m/>
    <m/>
    <m/>
    <m/>
    <m/>
    <m/>
    <m/>
    <n v="14"/>
    <n v="14"/>
    <m/>
    <m/>
    <n v="198"/>
    <m/>
    <m/>
    <n v="198"/>
    <m/>
    <m/>
    <m/>
    <m/>
    <m/>
    <m/>
    <m/>
    <m/>
    <m/>
    <x v="1"/>
    <x v="0"/>
    <x v="0"/>
    <n v="13"/>
    <n v="13"/>
    <n v="-185"/>
    <n v="13"/>
    <n v="14"/>
    <n v="-132"/>
    <m/>
    <x v="0"/>
    <m/>
    <m/>
    <m/>
    <m/>
    <m/>
    <x v="0"/>
    <m/>
    <m/>
    <n v="14"/>
    <n v="14"/>
    <s v="Not Known"/>
    <s v="Not Known"/>
    <s v="Not Known"/>
    <s v="Not Known"/>
    <s v="Not Known"/>
    <s v="-"/>
    <s v="-"/>
    <s v="-"/>
    <s v="-"/>
    <s v="-"/>
    <s v="-"/>
    <x v="1"/>
    <x v="3"/>
    <s v="-"/>
    <s v="-"/>
    <s v="Café"/>
    <s v="-"/>
    <s v="-"/>
    <s v="-"/>
    <s v="-"/>
    <s v="-"/>
    <s v="-"/>
    <s v="-"/>
    <s v="-"/>
    <x v="0"/>
    <x v="0"/>
    <n v="2.0000003278254994E-3"/>
    <n v="80"/>
    <n v="198"/>
    <n v="-118"/>
    <x v="0"/>
    <x v="0"/>
    <m/>
    <x v="0"/>
    <m/>
    <x v="0"/>
    <m/>
    <x v="0"/>
    <x v="1"/>
    <x v="4"/>
    <x v="0"/>
    <m/>
    <n v="609"/>
    <n v="73"/>
    <n v="536"/>
    <x v="1"/>
    <m/>
  </r>
  <r>
    <x v="3"/>
    <x v="0"/>
    <x v="0"/>
    <x v="1"/>
    <n v="2641"/>
    <x v="113"/>
    <x v="2"/>
    <n v="4.1999999433755902E-2"/>
    <n v="527902"/>
    <n v="173411"/>
    <m/>
    <x v="126"/>
    <s v="PF"/>
    <d v="2012-09-14T00:00:00"/>
    <x v="108"/>
    <m/>
    <m/>
    <s v="Nil"/>
    <m/>
    <m/>
    <s v="Demolition of existing single-storey garages and erection of a three-storey building to provide 5 flats, with associated amenity space including balconies and roof terraces, with cycle store to rear and relocation of entrance to existing allotments at rear."/>
    <x v="126"/>
    <s v="NB"/>
    <x v="0"/>
    <s v="UC"/>
    <m/>
    <d v="2015-11-24T00:00:00"/>
    <m/>
    <m/>
    <s v="C"/>
    <s v="BF"/>
    <x v="0"/>
    <m/>
    <d v="2015-11-24T00:00:00"/>
    <m/>
    <m/>
    <m/>
    <m/>
    <m/>
    <m/>
    <m/>
    <m/>
    <m/>
    <m/>
    <m/>
    <m/>
    <m/>
    <m/>
    <m/>
    <m/>
    <m/>
    <m/>
    <m/>
    <m/>
    <m/>
    <m/>
    <m/>
    <m/>
    <m/>
    <m/>
    <m/>
    <m/>
    <m/>
    <m/>
    <m/>
    <m/>
    <x v="0"/>
    <x v="0"/>
    <x v="1"/>
    <m/>
    <m/>
    <m/>
    <m/>
    <m/>
    <m/>
    <m/>
    <x v="0"/>
    <m/>
    <m/>
    <m/>
    <m/>
    <m/>
    <x v="0"/>
    <m/>
    <m/>
    <m/>
    <m/>
    <s v="-"/>
    <s v="-"/>
    <s v="-"/>
    <s v="-"/>
    <s v="-"/>
    <s v="-"/>
    <s v="-"/>
    <s v="-"/>
    <s v="-"/>
    <s v="-"/>
    <s v="-"/>
    <x v="1"/>
    <x v="0"/>
    <s v="-"/>
    <s v="-"/>
    <s v="-"/>
    <s v="-"/>
    <s v="-"/>
    <s v="-"/>
    <s v="-"/>
    <s v="-"/>
    <s v="-"/>
    <s v="-"/>
    <s v="-"/>
    <x v="0"/>
    <x v="0"/>
    <n v="0"/>
    <n v="0"/>
    <n v="69"/>
    <n v="-69"/>
    <x v="0"/>
    <x v="0"/>
    <m/>
    <x v="0"/>
    <m/>
    <x v="0"/>
    <m/>
    <x v="0"/>
    <x v="0"/>
    <x v="0"/>
    <x v="0"/>
    <m/>
    <n v="364"/>
    <n v="0"/>
    <n v="364"/>
    <x v="1"/>
    <m/>
  </r>
  <r>
    <x v="2"/>
    <x v="0"/>
    <x v="0"/>
    <x v="1"/>
    <n v="2661"/>
    <x v="114"/>
    <x v="8"/>
    <n v="2.1440000534057599"/>
    <n v="528917"/>
    <n v="177126"/>
    <s v="2.1.4"/>
    <x v="127"/>
    <s v="PF"/>
    <d v="2016-12-19T00:00:00"/>
    <x v="109"/>
    <m/>
    <m/>
    <s v="Nil"/>
    <m/>
    <m/>
    <s v="Refurbishment, fit-out, external facades and new-build works to three railway arches (numbered 717 to 719) known as the 'Amenity Arches'. External works include an enclosed paddock for dogs &amp; an accessible ramp."/>
    <x v="127"/>
    <s v="MIX"/>
    <x v="0"/>
    <s v="NSV"/>
    <m/>
    <m/>
    <m/>
    <m/>
    <s v="C"/>
    <s v="BF"/>
    <x v="0"/>
    <m/>
    <m/>
    <m/>
    <m/>
    <m/>
    <m/>
    <m/>
    <m/>
    <m/>
    <m/>
    <m/>
    <m/>
    <m/>
    <m/>
    <n v="182"/>
    <n v="182"/>
    <m/>
    <m/>
    <m/>
    <m/>
    <m/>
    <n v="91"/>
    <m/>
    <m/>
    <n v="91"/>
    <n v="177"/>
    <m/>
    <m/>
    <m/>
    <m/>
    <n v="177"/>
    <m/>
    <m/>
    <m/>
    <x v="1"/>
    <x v="1"/>
    <x v="1"/>
    <m/>
    <m/>
    <n v="-91"/>
    <m/>
    <m/>
    <n v="-91"/>
    <n v="-177"/>
    <x v="1"/>
    <m/>
    <m/>
    <m/>
    <n v="182"/>
    <n v="5"/>
    <x v="0"/>
    <m/>
    <m/>
    <m/>
    <m/>
    <s v="-"/>
    <s v="-"/>
    <s v="-"/>
    <s v="-"/>
    <s v="-"/>
    <s v="-"/>
    <s v="-"/>
    <s v="-"/>
    <s v="-"/>
    <s v="Storage"/>
    <s v="-"/>
    <x v="1"/>
    <x v="0"/>
    <s v="-"/>
    <s v="-"/>
    <s v="Café"/>
    <s v="-"/>
    <s v="-"/>
    <s v="Other"/>
    <s v="-"/>
    <s v="-"/>
    <s v="-"/>
    <s v="-"/>
    <s v="-"/>
    <x v="0"/>
    <x v="0"/>
    <n v="2.1440000534057599"/>
    <n v="359"/>
    <n v="445"/>
    <n v="-86"/>
    <x v="1"/>
    <x v="0"/>
    <m/>
    <x v="0"/>
    <m/>
    <x v="0"/>
    <m/>
    <x v="1"/>
    <x v="0"/>
    <x v="0"/>
    <x v="0"/>
    <m/>
    <n v="0"/>
    <n v="0"/>
    <n v="0"/>
    <x v="0"/>
    <m/>
  </r>
  <r>
    <x v="2"/>
    <x v="2"/>
    <x v="2"/>
    <x v="1"/>
    <n v="2667"/>
    <x v="115"/>
    <x v="11"/>
    <n v="2.9999999329447701E-2"/>
    <n v="528661"/>
    <n v="173289"/>
    <m/>
    <x v="128"/>
    <s v="PAG"/>
    <d v="2016-06-20T00:00:00"/>
    <x v="80"/>
    <m/>
    <m/>
    <s v="Nil"/>
    <m/>
    <m/>
    <s v="Determination as to whether prior approval is required for change of use of rear part of ground floor from shop (Class A1) to a cafe/restaurant (Class A3) and addition of flue to rear."/>
    <x v="128"/>
    <s v="COU"/>
    <x v="2"/>
    <s v="NSO"/>
    <m/>
    <m/>
    <m/>
    <m/>
    <s v="C"/>
    <s v="BF"/>
    <x v="0"/>
    <m/>
    <m/>
    <m/>
    <m/>
    <m/>
    <n v="150"/>
    <m/>
    <m/>
    <n v="150"/>
    <m/>
    <m/>
    <m/>
    <m/>
    <m/>
    <m/>
    <m/>
    <m/>
    <m/>
    <m/>
    <n v="150"/>
    <m/>
    <m/>
    <m/>
    <m/>
    <n v="150"/>
    <m/>
    <m/>
    <m/>
    <m/>
    <m/>
    <m/>
    <m/>
    <m/>
    <m/>
    <x v="1"/>
    <x v="0"/>
    <x v="1"/>
    <n v="-150"/>
    <m/>
    <n v="150"/>
    <m/>
    <m/>
    <m/>
    <m/>
    <x v="0"/>
    <m/>
    <m/>
    <m/>
    <m/>
    <m/>
    <x v="0"/>
    <m/>
    <m/>
    <m/>
    <m/>
    <s v="-"/>
    <s v="-"/>
    <s v="Café"/>
    <s v="-"/>
    <s v="-"/>
    <s v="-"/>
    <s v="-"/>
    <s v="-"/>
    <s v="-"/>
    <s v="-"/>
    <s v="-"/>
    <x v="1"/>
    <x v="0"/>
    <s v="Consumables"/>
    <s v="-"/>
    <s v="-"/>
    <s v="-"/>
    <s v="-"/>
    <s v="-"/>
    <s v="-"/>
    <s v="-"/>
    <s v="-"/>
    <s v="-"/>
    <s v="-"/>
    <x v="0"/>
    <x v="0"/>
    <n v="2.9999999329447701E-2"/>
    <n v="150"/>
    <n v="150"/>
    <n v="0"/>
    <x v="0"/>
    <x v="0"/>
    <m/>
    <x v="0"/>
    <m/>
    <x v="0"/>
    <m/>
    <x v="0"/>
    <x v="1"/>
    <x v="5"/>
    <x v="0"/>
    <m/>
    <n v="0"/>
    <n v="0"/>
    <n v="0"/>
    <x v="0"/>
    <m/>
  </r>
  <r>
    <x v="1"/>
    <x v="0"/>
    <x v="0"/>
    <x v="1"/>
    <n v="2681"/>
    <x v="116"/>
    <x v="5"/>
    <n v="8.0000003799796104E-3"/>
    <n v="526030"/>
    <n v="174684"/>
    <m/>
    <x v="129"/>
    <s v="AF"/>
    <d v="2018-01-19T00:00:00"/>
    <x v="1"/>
    <m/>
    <m/>
    <s v="Nil"/>
    <m/>
    <m/>
    <s v="Alterations including formation of side courtyard in connection with change of use of part of ground floor from Class A3 to part Class A1 (retail) and C3 (1-bedroom flat)"/>
    <x v="129"/>
    <s v="COU"/>
    <x v="2"/>
    <s v="NSO"/>
    <m/>
    <m/>
    <m/>
    <m/>
    <s v="P"/>
    <s v="BF"/>
    <x v="0"/>
    <m/>
    <m/>
    <m/>
    <n v="25"/>
    <m/>
    <n v="28"/>
    <m/>
    <m/>
    <n v="53"/>
    <m/>
    <m/>
    <m/>
    <m/>
    <m/>
    <m/>
    <m/>
    <m/>
    <m/>
    <m/>
    <m/>
    <m/>
    <n v="97"/>
    <m/>
    <m/>
    <n v="97"/>
    <m/>
    <m/>
    <m/>
    <m/>
    <m/>
    <m/>
    <m/>
    <m/>
    <m/>
    <x v="1"/>
    <x v="0"/>
    <x v="1"/>
    <n v="25"/>
    <m/>
    <n v="-69"/>
    <m/>
    <m/>
    <n v="-44"/>
    <m/>
    <x v="0"/>
    <m/>
    <m/>
    <m/>
    <m/>
    <m/>
    <x v="0"/>
    <m/>
    <m/>
    <m/>
    <m/>
    <s v="Not Known"/>
    <s v="-"/>
    <s v="Not Known"/>
    <s v="-"/>
    <s v="-"/>
    <s v="-"/>
    <s v="-"/>
    <s v="-"/>
    <s v="-"/>
    <s v="-"/>
    <s v="-"/>
    <x v="1"/>
    <x v="0"/>
    <s v="-"/>
    <s v="-"/>
    <s v="Restaurant"/>
    <s v="-"/>
    <s v="-"/>
    <s v="-"/>
    <s v="-"/>
    <s v="-"/>
    <s v="-"/>
    <s v="-"/>
    <s v="-"/>
    <x v="0"/>
    <x v="0"/>
    <n v="4.0000001899898E-3"/>
    <n v="53"/>
    <n v="97"/>
    <n v="-44"/>
    <x v="0"/>
    <x v="0"/>
    <m/>
    <x v="0"/>
    <m/>
    <x v="0"/>
    <m/>
    <x v="0"/>
    <x v="0"/>
    <x v="0"/>
    <x v="0"/>
    <m/>
    <n v="44"/>
    <n v="0"/>
    <n v="44"/>
    <x v="1"/>
    <m/>
  </r>
  <r>
    <x v="3"/>
    <x v="0"/>
    <x v="0"/>
    <x v="1"/>
    <n v="2682"/>
    <x v="117"/>
    <x v="7"/>
    <n v="0.16599999368190799"/>
    <n v="523769"/>
    <n v="175918"/>
    <m/>
    <x v="130"/>
    <s v="PF"/>
    <d v="2016-02-08T00:00:00"/>
    <x v="110"/>
    <m/>
    <m/>
    <s v="Nil"/>
    <m/>
    <m/>
    <s v="Refurbishment of buildings to rear of club to provide enhanced gymnasium facilities. Erection of dormer extension in main roof to provide showers and changing rooms.  Installation of highly-insulated panel cladding to walls."/>
    <x v="130"/>
    <s v="NB"/>
    <x v="0"/>
    <s v="UC"/>
    <m/>
    <d v="2018-03-31T00:00:00"/>
    <m/>
    <m/>
    <s v="C"/>
    <s v="BF"/>
    <x v="0"/>
    <m/>
    <d v="2018-03-31T00:00:00"/>
    <m/>
    <m/>
    <m/>
    <m/>
    <m/>
    <m/>
    <m/>
    <m/>
    <m/>
    <m/>
    <m/>
    <m/>
    <m/>
    <m/>
    <m/>
    <n v="106"/>
    <n v="106"/>
    <m/>
    <m/>
    <m/>
    <m/>
    <m/>
    <m/>
    <m/>
    <m/>
    <m/>
    <m/>
    <m/>
    <m/>
    <m/>
    <m/>
    <m/>
    <x v="0"/>
    <x v="0"/>
    <x v="0"/>
    <m/>
    <m/>
    <m/>
    <m/>
    <m/>
    <m/>
    <m/>
    <x v="0"/>
    <m/>
    <m/>
    <m/>
    <m/>
    <m/>
    <x v="0"/>
    <m/>
    <m/>
    <n v="106"/>
    <n v="106"/>
    <s v="-"/>
    <s v="-"/>
    <s v="-"/>
    <s v="-"/>
    <s v="-"/>
    <s v="-"/>
    <s v="-"/>
    <s v="-"/>
    <s v="-"/>
    <s v="-"/>
    <s v="-"/>
    <x v="1"/>
    <x v="2"/>
    <s v="-"/>
    <s v="-"/>
    <s v="-"/>
    <s v="-"/>
    <s v="-"/>
    <s v="-"/>
    <s v="-"/>
    <s v="-"/>
    <s v="-"/>
    <s v="-"/>
    <s v="-"/>
    <x v="0"/>
    <x v="0"/>
    <n v="0.16599999368190799"/>
    <n v="106"/>
    <n v="0"/>
    <n v="106"/>
    <x v="1"/>
    <x v="0"/>
    <m/>
    <x v="0"/>
    <m/>
    <x v="0"/>
    <m/>
    <x v="0"/>
    <x v="0"/>
    <x v="0"/>
    <x v="0"/>
    <m/>
    <n v="0"/>
    <n v="0"/>
    <n v="0"/>
    <x v="0"/>
    <m/>
  </r>
  <r>
    <x v="0"/>
    <x v="3"/>
    <x v="3"/>
    <x v="0"/>
    <n v="2698"/>
    <x v="118"/>
    <x v="8"/>
    <n v="0.122000001370907"/>
    <n v="528840"/>
    <n v="176651"/>
    <m/>
    <x v="131"/>
    <s v="LDC Exist"/>
    <d v="2017-05-04T00:00:00"/>
    <x v="111"/>
    <s v="Y"/>
    <m/>
    <s v="Nil"/>
    <m/>
    <m/>
    <s v="Use of the whole building as B1(a) office space (Certificate of lawfulness for existing use)"/>
    <x v="131"/>
    <s v="COU"/>
    <x v="2"/>
    <s v="OC"/>
    <m/>
    <d v="2016-07-06T00:00:00"/>
    <d v="2017-07-06T00:00:00"/>
    <d v="2017-07-06T00:00:00"/>
    <s v="C"/>
    <s v="BF"/>
    <x v="0"/>
    <m/>
    <d v="2016-07-06T00:00:00"/>
    <d v="2017-07-06T00:00:00"/>
    <m/>
    <m/>
    <m/>
    <m/>
    <m/>
    <m/>
    <n v="894"/>
    <m/>
    <m/>
    <n v="894"/>
    <m/>
    <m/>
    <n v="894"/>
    <m/>
    <m/>
    <m/>
    <m/>
    <m/>
    <m/>
    <m/>
    <m/>
    <m/>
    <m/>
    <m/>
    <n v="894"/>
    <m/>
    <m/>
    <n v="894"/>
    <m/>
    <m/>
    <m/>
    <x v="0"/>
    <x v="1"/>
    <x v="1"/>
    <m/>
    <m/>
    <m/>
    <m/>
    <m/>
    <m/>
    <n v="894"/>
    <x v="0"/>
    <m/>
    <n v="-894"/>
    <m/>
    <m/>
    <m/>
    <x v="0"/>
    <m/>
    <m/>
    <m/>
    <m/>
    <s v="-"/>
    <s v="-"/>
    <s v="-"/>
    <s v="-"/>
    <s v="-"/>
    <s v="Other"/>
    <s v="-"/>
    <s v="-"/>
    <s v="-"/>
    <s v="-"/>
    <s v="-"/>
    <x v="1"/>
    <x v="0"/>
    <s v="-"/>
    <s v="-"/>
    <s v="-"/>
    <s v="-"/>
    <s v="-"/>
    <s v="-"/>
    <s v="-"/>
    <s v="Other"/>
    <s v="-"/>
    <s v="-"/>
    <s v="-"/>
    <x v="0"/>
    <x v="0"/>
    <n v="0.122000001370907"/>
    <n v="894"/>
    <n v="894"/>
    <n v="0"/>
    <x v="0"/>
    <x v="1"/>
    <s v="Queenstown Road"/>
    <x v="0"/>
    <m/>
    <x v="0"/>
    <m/>
    <x v="1"/>
    <x v="0"/>
    <x v="0"/>
    <x v="0"/>
    <m/>
    <n v="0"/>
    <n v="0"/>
    <n v="0"/>
    <x v="0"/>
    <m/>
  </r>
  <r>
    <x v="3"/>
    <x v="0"/>
    <x v="0"/>
    <x v="1"/>
    <n v="2698"/>
    <x v="118"/>
    <x v="8"/>
    <n v="0.122000001370907"/>
    <n v="528840"/>
    <n v="176651"/>
    <m/>
    <x v="132"/>
    <s v="PF"/>
    <d v="2017-06-16T00:00:00"/>
    <x v="112"/>
    <s v="Y"/>
    <m/>
    <s v="Nil"/>
    <m/>
    <m/>
    <s v="Ground floor and first floor extensions to the existing building, and the creation of two additional floor levels to provide 1,119sqm of new office floorspace (use class B1(a)). The total floorspace within the building will be 2,080sqm and will accommodate small and medium business enterprises (SMEs)."/>
    <x v="132"/>
    <s v="EXT"/>
    <x v="1"/>
    <s v="UC"/>
    <m/>
    <d v="2018-03-31T00:00:00"/>
    <m/>
    <m/>
    <s v="C"/>
    <s v="BF"/>
    <x v="0"/>
    <m/>
    <d v="2018-03-31T00:00:00"/>
    <m/>
    <m/>
    <m/>
    <m/>
    <m/>
    <m/>
    <m/>
    <n v="1148"/>
    <m/>
    <m/>
    <n v="1148"/>
    <m/>
    <m/>
    <n v="1148"/>
    <m/>
    <m/>
    <m/>
    <m/>
    <m/>
    <m/>
    <m/>
    <m/>
    <m/>
    <m/>
    <m/>
    <m/>
    <m/>
    <m/>
    <m/>
    <m/>
    <m/>
    <m/>
    <x v="0"/>
    <x v="1"/>
    <x v="1"/>
    <m/>
    <m/>
    <m/>
    <m/>
    <m/>
    <m/>
    <n v="1148"/>
    <x v="0"/>
    <m/>
    <m/>
    <m/>
    <m/>
    <n v="1148"/>
    <x v="0"/>
    <m/>
    <m/>
    <m/>
    <m/>
    <s v="-"/>
    <s v="-"/>
    <s v="-"/>
    <s v="-"/>
    <s v="-"/>
    <s v="Not Known"/>
    <s v="-"/>
    <s v="-"/>
    <s v="-"/>
    <s v="-"/>
    <s v="-"/>
    <x v="1"/>
    <x v="0"/>
    <s v="-"/>
    <s v="-"/>
    <s v="-"/>
    <s v="-"/>
    <s v="-"/>
    <s v="-"/>
    <s v="-"/>
    <s v="-"/>
    <s v="-"/>
    <s v="-"/>
    <s v="-"/>
    <x v="0"/>
    <x v="0"/>
    <n v="0.122000001370907"/>
    <n v="1148"/>
    <n v="0"/>
    <n v="1148"/>
    <x v="0"/>
    <x v="1"/>
    <s v="Queenstown Road"/>
    <x v="0"/>
    <m/>
    <x v="0"/>
    <m/>
    <x v="1"/>
    <x v="0"/>
    <x v="0"/>
    <x v="0"/>
    <m/>
    <n v="0"/>
    <n v="0"/>
    <n v="0"/>
    <x v="0"/>
    <m/>
  </r>
  <r>
    <x v="2"/>
    <x v="0"/>
    <x v="0"/>
    <x v="1"/>
    <n v="2707"/>
    <x v="119"/>
    <x v="17"/>
    <n v="4.9999998882412902E-3"/>
    <n v="528836"/>
    <n v="172626"/>
    <m/>
    <x v="133"/>
    <s v="PF"/>
    <d v="2016-08-22T00:00:00"/>
    <x v="113"/>
    <m/>
    <m/>
    <s v="Nil"/>
    <m/>
    <m/>
    <s v="Demolition of existing garage and erection of a single-storey (plus basement) 1-bedroom house. Replacement of existing boundary wall fronting Ritherdon Road."/>
    <x v="133"/>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27"/>
    <n v="-27"/>
    <x v="0"/>
    <x v="0"/>
    <m/>
    <x v="0"/>
    <m/>
    <x v="0"/>
    <m/>
    <x v="0"/>
    <x v="0"/>
    <x v="0"/>
    <x v="0"/>
    <m/>
    <n v="59"/>
    <n v="0"/>
    <n v="59"/>
    <x v="1"/>
    <m/>
  </r>
  <r>
    <x v="1"/>
    <x v="0"/>
    <x v="0"/>
    <x v="1"/>
    <n v="2708"/>
    <x v="120"/>
    <x v="17"/>
    <n v="8.9999996125698107E-3"/>
    <n v="528946"/>
    <n v="172480"/>
    <m/>
    <x v="134"/>
    <s v="AF"/>
    <d v="2018-02-16T00:00:00"/>
    <x v="1"/>
    <m/>
    <m/>
    <s v="Nil"/>
    <m/>
    <m/>
    <s v="Demolition of existing garage and erection of a single-storey (plus basement) 1-bedroom detached house including alterations to the front boundary wall."/>
    <x v="133"/>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
    <n v="0"/>
    <n v="39"/>
    <n v="-39"/>
    <x v="0"/>
    <x v="0"/>
    <m/>
    <x v="0"/>
    <m/>
    <x v="0"/>
    <m/>
    <x v="0"/>
    <x v="0"/>
    <x v="0"/>
    <x v="0"/>
    <m/>
    <n v="98"/>
    <n v="0"/>
    <n v="98"/>
    <x v="1"/>
    <m/>
  </r>
  <r>
    <x v="0"/>
    <x v="0"/>
    <x v="0"/>
    <x v="0"/>
    <n v="2726"/>
    <x v="121"/>
    <x v="1"/>
    <n v="0.40900000929832497"/>
    <n v="521682"/>
    <n v="175318"/>
    <m/>
    <x v="135"/>
    <s v="PF"/>
    <d v="2015-06-09T00:00:00"/>
    <x v="114"/>
    <m/>
    <m/>
    <s v="Nil"/>
    <m/>
    <m/>
    <s v="Erection of a single-storey extension in connection with the cafe fronting Priory Lane."/>
    <x v="134"/>
    <s v="NB"/>
    <x v="0"/>
    <s v="OC"/>
    <m/>
    <d v="2015-07-15T00:00:00"/>
    <d v="2017-06-01T00:00:00"/>
    <d v="2017-06-01T00:00:00"/>
    <s v="C"/>
    <s v="BF"/>
    <x v="0"/>
    <m/>
    <d v="2015-07-15T00:00:00"/>
    <d v="2017-06-01T00:00:00"/>
    <m/>
    <m/>
    <m/>
    <m/>
    <m/>
    <m/>
    <m/>
    <m/>
    <m/>
    <m/>
    <m/>
    <m/>
    <m/>
    <n v="31"/>
    <m/>
    <n v="31"/>
    <m/>
    <m/>
    <m/>
    <m/>
    <m/>
    <m/>
    <m/>
    <m/>
    <m/>
    <m/>
    <m/>
    <m/>
    <m/>
    <m/>
    <m/>
    <x v="0"/>
    <x v="0"/>
    <x v="0"/>
    <m/>
    <m/>
    <m/>
    <m/>
    <m/>
    <m/>
    <m/>
    <x v="0"/>
    <m/>
    <m/>
    <m/>
    <m/>
    <m/>
    <x v="0"/>
    <m/>
    <n v="31"/>
    <m/>
    <n v="31"/>
    <s v="-"/>
    <s v="-"/>
    <s v="-"/>
    <s v="-"/>
    <s v="-"/>
    <s v="-"/>
    <s v="-"/>
    <s v="-"/>
    <s v="-"/>
    <s v="-"/>
    <s v="-"/>
    <x v="0"/>
    <x v="0"/>
    <s v="-"/>
    <s v="-"/>
    <s v="-"/>
    <s v="-"/>
    <s v="-"/>
    <s v="-"/>
    <s v="-"/>
    <s v="-"/>
    <s v="-"/>
    <s v="-"/>
    <s v="-"/>
    <x v="0"/>
    <x v="0"/>
    <n v="0.40900000929832497"/>
    <n v="31"/>
    <n v="0"/>
    <n v="31"/>
    <x v="0"/>
    <x v="0"/>
    <m/>
    <x v="0"/>
    <m/>
    <x v="0"/>
    <m/>
    <x v="0"/>
    <x v="0"/>
    <x v="0"/>
    <x v="0"/>
    <m/>
    <n v="0"/>
    <n v="0"/>
    <n v="0"/>
    <x v="0"/>
    <m/>
  </r>
  <r>
    <x v="0"/>
    <x v="0"/>
    <x v="0"/>
    <x v="0"/>
    <n v="2759"/>
    <x v="122"/>
    <x v="14"/>
    <n v="8.9999996125698107E-3"/>
    <n v="527493"/>
    <n v="171577"/>
    <m/>
    <x v="136"/>
    <s v="PF"/>
    <d v="2015-08-26T00:00:00"/>
    <x v="115"/>
    <m/>
    <m/>
    <s v="Nil"/>
    <m/>
    <m/>
    <s v="Alterations including erection of 3-storey rear extension and formation of roof terraces with 1.7m safety balustrade at first and second floor levels; creation of new entrances to flats along side elevation in connection with use of upper floors into 3 x 1 bedroom flats."/>
    <x v="135"/>
    <s v="MIX"/>
    <x v="0"/>
    <s v="OC"/>
    <m/>
    <d v="2016-04-27T00:00:00"/>
    <d v="2018-03-31T00:00:00"/>
    <d v="2018-03-31T00:00:00"/>
    <s v="C"/>
    <s v="BF"/>
    <x v="0"/>
    <m/>
    <d v="2016-04-27T00:00:00"/>
    <d v="2018-03-31T00:00:00"/>
    <n v="66"/>
    <m/>
    <m/>
    <m/>
    <m/>
    <n v="66"/>
    <m/>
    <m/>
    <m/>
    <m/>
    <m/>
    <m/>
    <m/>
    <m/>
    <m/>
    <m/>
    <n v="70"/>
    <m/>
    <m/>
    <m/>
    <m/>
    <n v="70"/>
    <m/>
    <m/>
    <m/>
    <m/>
    <m/>
    <m/>
    <m/>
    <m/>
    <m/>
    <x v="1"/>
    <x v="0"/>
    <x v="1"/>
    <n v="-4"/>
    <m/>
    <m/>
    <m/>
    <m/>
    <n v="-4"/>
    <m/>
    <x v="0"/>
    <m/>
    <m/>
    <m/>
    <m/>
    <m/>
    <x v="0"/>
    <m/>
    <m/>
    <m/>
    <m/>
    <s v="Services"/>
    <s v="-"/>
    <s v="-"/>
    <s v="-"/>
    <s v="-"/>
    <s v="-"/>
    <s v="-"/>
    <s v="-"/>
    <s v="-"/>
    <s v="-"/>
    <s v="-"/>
    <x v="1"/>
    <x v="0"/>
    <s v="Services"/>
    <s v="-"/>
    <s v="-"/>
    <s v="-"/>
    <s v="-"/>
    <s v="-"/>
    <s v="-"/>
    <s v="-"/>
    <s v="-"/>
    <s v="-"/>
    <s v="-"/>
    <x v="0"/>
    <x v="0"/>
    <n v="1.9999993965029708E-3"/>
    <n v="66"/>
    <n v="70"/>
    <n v="-4"/>
    <x v="0"/>
    <x v="0"/>
    <m/>
    <x v="0"/>
    <m/>
    <x v="0"/>
    <m/>
    <x v="0"/>
    <x v="1"/>
    <x v="3"/>
    <x v="0"/>
    <m/>
    <n v="137"/>
    <n v="116"/>
    <n v="21"/>
    <x v="1"/>
    <m/>
  </r>
  <r>
    <x v="3"/>
    <x v="0"/>
    <x v="0"/>
    <x v="1"/>
    <n v="2759"/>
    <x v="122"/>
    <x v="14"/>
    <n v="8.9999996125698107E-3"/>
    <n v="527493"/>
    <n v="171577"/>
    <m/>
    <x v="137"/>
    <s v="PF"/>
    <d v="2016-06-17T00:00:00"/>
    <x v="116"/>
    <m/>
    <m/>
    <s v="Nil"/>
    <m/>
    <m/>
    <s v="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
    <x v="136"/>
    <s v="MIX"/>
    <x v="0"/>
    <s v="UC"/>
    <m/>
    <d v="2016-04-27T00:00:00"/>
    <m/>
    <m/>
    <s v="C"/>
    <s v="BF"/>
    <x v="0"/>
    <m/>
    <d v="2016-04-27T00:00:00"/>
    <m/>
    <n v="50"/>
    <m/>
    <m/>
    <m/>
    <m/>
    <n v="50"/>
    <m/>
    <m/>
    <m/>
    <m/>
    <m/>
    <m/>
    <m/>
    <m/>
    <m/>
    <m/>
    <n v="72"/>
    <m/>
    <m/>
    <m/>
    <m/>
    <n v="72"/>
    <m/>
    <m/>
    <m/>
    <m/>
    <m/>
    <m/>
    <m/>
    <m/>
    <m/>
    <x v="1"/>
    <x v="0"/>
    <x v="1"/>
    <n v="-22"/>
    <m/>
    <m/>
    <m/>
    <m/>
    <n v="-22"/>
    <m/>
    <x v="0"/>
    <m/>
    <m/>
    <m/>
    <m/>
    <m/>
    <x v="0"/>
    <m/>
    <m/>
    <m/>
    <m/>
    <s v="Consumables"/>
    <s v="-"/>
    <s v="-"/>
    <s v="-"/>
    <s v="-"/>
    <s v="-"/>
    <s v="-"/>
    <s v="-"/>
    <s v="-"/>
    <s v="-"/>
    <s v="-"/>
    <x v="1"/>
    <x v="0"/>
    <s v="Consumables"/>
    <s v="-"/>
    <s v="-"/>
    <s v="-"/>
    <s v="-"/>
    <s v="-"/>
    <s v="-"/>
    <s v="-"/>
    <s v="-"/>
    <s v="-"/>
    <s v="-"/>
    <x v="0"/>
    <x v="0"/>
    <n v="5.9999995864927803E-3"/>
    <n v="50"/>
    <n v="72"/>
    <n v="-22"/>
    <x v="0"/>
    <x v="0"/>
    <m/>
    <x v="0"/>
    <m/>
    <x v="0"/>
    <m/>
    <x v="0"/>
    <x v="1"/>
    <x v="3"/>
    <x v="0"/>
    <m/>
    <n v="38"/>
    <n v="0"/>
    <n v="38"/>
    <x v="1"/>
    <m/>
  </r>
  <r>
    <x v="0"/>
    <x v="0"/>
    <x v="0"/>
    <x v="0"/>
    <n v="2781"/>
    <x v="123"/>
    <x v="5"/>
    <n v="1.16999995708466"/>
    <n v="525818"/>
    <n v="174590"/>
    <m/>
    <x v="138"/>
    <s v="PF"/>
    <d v="2014-02-18T00:00:00"/>
    <x v="117"/>
    <m/>
    <m/>
    <s v="Nil"/>
    <m/>
    <m/>
    <s v="Demolition of part of the existing refectory; single-storey extension of the existing refectory and kitchen."/>
    <x v="137"/>
    <s v="NB"/>
    <x v="0"/>
    <s v="OC"/>
    <m/>
    <d v="2014-04-03T00:00:00"/>
    <d v="2017-04-01T00:00:00"/>
    <d v="2017-04-01T00:00:00"/>
    <s v="C"/>
    <s v="BF"/>
    <x v="0"/>
    <m/>
    <d v="2014-04-03T00:00:00"/>
    <d v="2017-04-01T00:00:00"/>
    <m/>
    <m/>
    <m/>
    <m/>
    <m/>
    <m/>
    <m/>
    <m/>
    <m/>
    <m/>
    <m/>
    <m/>
    <m/>
    <n v="265"/>
    <m/>
    <n v="265"/>
    <m/>
    <m/>
    <m/>
    <m/>
    <m/>
    <m/>
    <m/>
    <m/>
    <m/>
    <m/>
    <m/>
    <m/>
    <n v="153"/>
    <m/>
    <n v="153"/>
    <x v="0"/>
    <x v="0"/>
    <x v="0"/>
    <m/>
    <m/>
    <m/>
    <m/>
    <m/>
    <m/>
    <m/>
    <x v="0"/>
    <m/>
    <m/>
    <m/>
    <m/>
    <m/>
    <x v="0"/>
    <m/>
    <n v="112"/>
    <m/>
    <n v="112"/>
    <s v="-"/>
    <s v="-"/>
    <s v="-"/>
    <s v="-"/>
    <s v="-"/>
    <s v="-"/>
    <s v="-"/>
    <s v="-"/>
    <s v="-"/>
    <s v="-"/>
    <s v="-"/>
    <x v="0"/>
    <x v="0"/>
    <s v="-"/>
    <s v="-"/>
    <s v="-"/>
    <s v="-"/>
    <s v="-"/>
    <s v="-"/>
    <s v="-"/>
    <s v="-"/>
    <s v="-"/>
    <s v="-"/>
    <s v="-"/>
    <x v="6"/>
    <x v="0"/>
    <n v="1.16999995708466"/>
    <n v="265"/>
    <n v="153"/>
    <n v="112"/>
    <x v="0"/>
    <x v="0"/>
    <m/>
    <x v="0"/>
    <m/>
    <x v="0"/>
    <m/>
    <x v="0"/>
    <x v="1"/>
    <x v="4"/>
    <x v="0"/>
    <m/>
    <n v="0"/>
    <n v="0"/>
    <n v="0"/>
    <x v="0"/>
    <m/>
  </r>
  <r>
    <x v="3"/>
    <x v="0"/>
    <x v="0"/>
    <x v="1"/>
    <n v="2786"/>
    <x v="124"/>
    <x v="16"/>
    <n v="2.0999999716877899E-2"/>
    <n v="527308"/>
    <n v="171157"/>
    <m/>
    <x v="139"/>
    <s v="PF"/>
    <d v="2016-08-26T00:00:00"/>
    <x v="3"/>
    <m/>
    <m/>
    <s v="Nil"/>
    <m/>
    <m/>
    <s v="Alterations including part demolition of ground floor rear and erection of extensions to first floor in connection with conversion of rear of property into 2 x two-bedroom dwellings, accessed from rear. Alterations to ground floor shop."/>
    <x v="138"/>
    <s v="EXT"/>
    <x v="1"/>
    <s v="UC"/>
    <m/>
    <d v="2018-03-31T00:00:00"/>
    <m/>
    <m/>
    <s v="C"/>
    <s v="BF"/>
    <x v="0"/>
    <m/>
    <d v="2018-03-31T00:00:00"/>
    <m/>
    <n v="20"/>
    <m/>
    <m/>
    <m/>
    <m/>
    <n v="20"/>
    <m/>
    <m/>
    <m/>
    <m/>
    <m/>
    <m/>
    <m/>
    <n v="81"/>
    <m/>
    <n v="81"/>
    <n v="73"/>
    <m/>
    <m/>
    <m/>
    <m/>
    <n v="73"/>
    <n v="34"/>
    <m/>
    <m/>
    <m/>
    <m/>
    <n v="34"/>
    <n v="167"/>
    <m/>
    <n v="167"/>
    <x v="1"/>
    <x v="1"/>
    <x v="0"/>
    <n v="-53"/>
    <m/>
    <m/>
    <m/>
    <m/>
    <n v="-53"/>
    <n v="-34"/>
    <x v="1"/>
    <m/>
    <m/>
    <m/>
    <m/>
    <n v="-34"/>
    <x v="1"/>
    <m/>
    <n v="-86"/>
    <m/>
    <n v="-86"/>
    <s v="-"/>
    <s v="-"/>
    <s v="-"/>
    <s v="-"/>
    <s v="-"/>
    <s v="-"/>
    <s v="-"/>
    <s v="-"/>
    <s v="-"/>
    <s v="-"/>
    <s v="-"/>
    <x v="0"/>
    <x v="0"/>
    <s v="Services"/>
    <s v="-"/>
    <s v="-"/>
    <s v="-"/>
    <s v="-"/>
    <s v="Not Known"/>
    <s v="-"/>
    <s v="-"/>
    <s v="-"/>
    <s v="-"/>
    <s v="-"/>
    <x v="6"/>
    <x v="0"/>
    <n v="6.9999992847441985E-3"/>
    <n v="101"/>
    <n v="274"/>
    <n v="-173"/>
    <x v="0"/>
    <x v="0"/>
    <m/>
    <x v="0"/>
    <m/>
    <x v="0"/>
    <m/>
    <x v="0"/>
    <x v="0"/>
    <x v="0"/>
    <x v="0"/>
    <m/>
    <n v="153"/>
    <n v="0"/>
    <n v="153"/>
    <x v="1"/>
    <m/>
  </r>
  <r>
    <x v="1"/>
    <x v="0"/>
    <x v="0"/>
    <x v="1"/>
    <n v="2790"/>
    <x v="125"/>
    <x v="4"/>
    <n v="0.29399999976158098"/>
    <n v="527008"/>
    <n v="176601"/>
    <m/>
    <x v="140"/>
    <s v="AF"/>
    <d v="2018-03-07T00:00:00"/>
    <x v="1"/>
    <m/>
    <m/>
    <s v="Nil"/>
    <m/>
    <m/>
    <s v="Alterations and erection of a first floor extension above the existing storage building to provide additional office and storage space."/>
    <x v="139"/>
    <s v="EXT"/>
    <x v="1"/>
    <s v="NSO"/>
    <m/>
    <m/>
    <m/>
    <m/>
    <s v="P"/>
    <s v="BF"/>
    <x v="0"/>
    <m/>
    <m/>
    <m/>
    <m/>
    <m/>
    <m/>
    <m/>
    <m/>
    <m/>
    <n v="20"/>
    <m/>
    <m/>
    <n v="20"/>
    <m/>
    <m/>
    <n v="20"/>
    <m/>
    <m/>
    <m/>
    <m/>
    <m/>
    <m/>
    <m/>
    <m/>
    <m/>
    <m/>
    <m/>
    <m/>
    <m/>
    <m/>
    <m/>
    <m/>
    <m/>
    <m/>
    <x v="0"/>
    <x v="1"/>
    <x v="1"/>
    <m/>
    <m/>
    <m/>
    <m/>
    <m/>
    <m/>
    <n v="20"/>
    <x v="0"/>
    <m/>
    <m/>
    <m/>
    <m/>
    <n v="20"/>
    <x v="0"/>
    <m/>
    <m/>
    <m/>
    <m/>
    <s v="-"/>
    <s v="-"/>
    <s v="-"/>
    <s v="-"/>
    <s v="-"/>
    <s v="Other"/>
    <s v="-"/>
    <s v="-"/>
    <s v="-"/>
    <s v="-"/>
    <s v="-"/>
    <x v="1"/>
    <x v="0"/>
    <s v="-"/>
    <s v="-"/>
    <s v="-"/>
    <s v="-"/>
    <s v="-"/>
    <s v="-"/>
    <s v="-"/>
    <s v="-"/>
    <s v="-"/>
    <s v="-"/>
    <s v="-"/>
    <x v="0"/>
    <x v="0"/>
    <n v="0.29399999976158098"/>
    <n v="20"/>
    <n v="0"/>
    <n v="20"/>
    <x v="0"/>
    <x v="0"/>
    <m/>
    <x v="0"/>
    <m/>
    <x v="0"/>
    <m/>
    <x v="0"/>
    <x v="0"/>
    <x v="0"/>
    <x v="0"/>
    <m/>
    <n v="0"/>
    <n v="0"/>
    <n v="0"/>
    <x v="0"/>
    <m/>
  </r>
  <r>
    <x v="2"/>
    <x v="0"/>
    <x v="0"/>
    <x v="1"/>
    <n v="2791"/>
    <x v="126"/>
    <x v="15"/>
    <n v="5.78999996185303"/>
    <n v="528591"/>
    <n v="170935"/>
    <m/>
    <x v="141"/>
    <s v="PF"/>
    <d v="2017-08-17T00:00:00"/>
    <x v="118"/>
    <s v="Y"/>
    <m/>
    <s v="Nil"/>
    <m/>
    <m/>
    <s v="Demolition of existing family centre; Erection of part single, part two and part three-storey teaching block including 2.7m high dome observatory and roof terraces to provide 9 additional  classrooms and a learning resource room."/>
    <x v="140"/>
    <s v="NB"/>
    <x v="0"/>
    <s v="NSO"/>
    <m/>
    <m/>
    <m/>
    <m/>
    <s v="C"/>
    <s v="BF"/>
    <x v="0"/>
    <m/>
    <m/>
    <m/>
    <m/>
    <m/>
    <m/>
    <m/>
    <m/>
    <m/>
    <m/>
    <m/>
    <m/>
    <m/>
    <m/>
    <m/>
    <m/>
    <n v="1185"/>
    <m/>
    <n v="1185"/>
    <m/>
    <m/>
    <m/>
    <m/>
    <m/>
    <m/>
    <m/>
    <m/>
    <m/>
    <m/>
    <m/>
    <m/>
    <m/>
    <m/>
    <m/>
    <x v="0"/>
    <x v="0"/>
    <x v="0"/>
    <m/>
    <m/>
    <m/>
    <m/>
    <m/>
    <m/>
    <m/>
    <x v="0"/>
    <m/>
    <m/>
    <m/>
    <m/>
    <m/>
    <x v="0"/>
    <m/>
    <n v="1185"/>
    <m/>
    <n v="1185"/>
    <s v="-"/>
    <s v="-"/>
    <s v="-"/>
    <s v="-"/>
    <s v="-"/>
    <s v="-"/>
    <s v="-"/>
    <s v="-"/>
    <s v="-"/>
    <s v="-"/>
    <s v="-"/>
    <x v="0"/>
    <x v="0"/>
    <s v="-"/>
    <s v="-"/>
    <s v="-"/>
    <s v="-"/>
    <s v="-"/>
    <s v="-"/>
    <s v="-"/>
    <s v="-"/>
    <s v="-"/>
    <s v="-"/>
    <s v="-"/>
    <x v="0"/>
    <x v="0"/>
    <n v="5.78999996185303"/>
    <n v="1185"/>
    <n v="470"/>
    <n v="715"/>
    <x v="0"/>
    <x v="0"/>
    <m/>
    <x v="0"/>
    <m/>
    <x v="0"/>
    <m/>
    <x v="0"/>
    <x v="0"/>
    <x v="0"/>
    <x v="0"/>
    <m/>
    <n v="0"/>
    <n v="0"/>
    <n v="0"/>
    <x v="0"/>
    <m/>
  </r>
  <r>
    <x v="2"/>
    <x v="2"/>
    <x v="2"/>
    <x v="1"/>
    <n v="2793"/>
    <x v="127"/>
    <x v="12"/>
    <n v="6.0000000521540598E-3"/>
    <n v="524772"/>
    <n v="173313"/>
    <m/>
    <x v="142"/>
    <s v="PAG"/>
    <d v="2016-06-14T00:00:00"/>
    <x v="119"/>
    <m/>
    <m/>
    <s v="Nil"/>
    <m/>
    <m/>
    <s v="Determination as to whether prior approval is required for change of use from financial and professional services (Class A2) to residential (Class C3) to provide 1x studio flat at basement level."/>
    <x v="141"/>
    <s v="COU"/>
    <x v="2"/>
    <s v="NSO"/>
    <m/>
    <m/>
    <m/>
    <m/>
    <s v="C"/>
    <s v="BF"/>
    <x v="0"/>
    <m/>
    <m/>
    <m/>
    <m/>
    <n v="49"/>
    <m/>
    <m/>
    <m/>
    <n v="49"/>
    <m/>
    <m/>
    <m/>
    <m/>
    <m/>
    <m/>
    <m/>
    <m/>
    <m/>
    <m/>
    <m/>
    <n v="97"/>
    <m/>
    <m/>
    <m/>
    <n v="97"/>
    <m/>
    <m/>
    <m/>
    <m/>
    <m/>
    <m/>
    <m/>
    <m/>
    <m/>
    <x v="1"/>
    <x v="0"/>
    <x v="1"/>
    <m/>
    <n v="-48"/>
    <m/>
    <m/>
    <m/>
    <n v="-48"/>
    <m/>
    <x v="0"/>
    <m/>
    <m/>
    <m/>
    <m/>
    <m/>
    <x v="0"/>
    <m/>
    <m/>
    <m/>
    <m/>
    <s v="-"/>
    <s v="Estate Agent"/>
    <s v="-"/>
    <s v="-"/>
    <s v="-"/>
    <s v="-"/>
    <s v="-"/>
    <s v="-"/>
    <s v="-"/>
    <s v="-"/>
    <s v="-"/>
    <x v="1"/>
    <x v="0"/>
    <s v="-"/>
    <s v="Estate Agent"/>
    <s v="-"/>
    <s v="-"/>
    <s v="-"/>
    <s v="-"/>
    <s v="-"/>
    <s v="-"/>
    <s v="-"/>
    <s v="-"/>
    <s v="-"/>
    <x v="0"/>
    <x v="0"/>
    <n v="3.0000000260770299E-3"/>
    <n v="49"/>
    <n v="97"/>
    <n v="-48"/>
    <x v="0"/>
    <x v="0"/>
    <m/>
    <x v="0"/>
    <m/>
    <x v="0"/>
    <m/>
    <x v="0"/>
    <x v="0"/>
    <x v="0"/>
    <x v="1"/>
    <s v="Southfields"/>
    <n v="48"/>
    <n v="0"/>
    <n v="48"/>
    <x v="1"/>
    <m/>
  </r>
  <r>
    <x v="3"/>
    <x v="0"/>
    <x v="0"/>
    <x v="1"/>
    <n v="2796"/>
    <x v="128"/>
    <x v="4"/>
    <n v="0.42500001192092901"/>
    <n v="526651"/>
    <n v="175984"/>
    <s v="10.3"/>
    <x v="143"/>
    <s v="PFLA"/>
    <d v="2015-09-21T00:00:00"/>
    <x v="120"/>
    <m/>
    <d v="2015-11-10T00:00:00"/>
    <s v="Nil"/>
    <m/>
    <m/>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x v="142"/>
    <s v="NB"/>
    <x v="0"/>
    <s v="UC"/>
    <m/>
    <d v="2016-07-01T00:00:00"/>
    <m/>
    <m/>
    <s v="C"/>
    <s v="BF"/>
    <x v="0"/>
    <m/>
    <d v="2016-07-01T00:00:00"/>
    <m/>
    <m/>
    <m/>
    <m/>
    <m/>
    <m/>
    <m/>
    <m/>
    <m/>
    <m/>
    <m/>
    <m/>
    <m/>
    <m/>
    <m/>
    <m/>
    <m/>
    <m/>
    <m/>
    <m/>
    <m/>
    <m/>
    <m/>
    <m/>
    <m/>
    <m/>
    <m/>
    <m/>
    <m/>
    <m/>
    <m/>
    <m/>
    <x v="0"/>
    <x v="0"/>
    <x v="1"/>
    <m/>
    <m/>
    <m/>
    <m/>
    <m/>
    <m/>
    <m/>
    <x v="0"/>
    <m/>
    <m/>
    <m/>
    <m/>
    <m/>
    <x v="0"/>
    <m/>
    <m/>
    <m/>
    <m/>
    <s v="-"/>
    <s v="-"/>
    <s v="-"/>
    <s v="-"/>
    <s v="-"/>
    <s v="-"/>
    <s v="-"/>
    <s v="-"/>
    <s v="-"/>
    <s v="-"/>
    <s v="-"/>
    <x v="1"/>
    <x v="0"/>
    <s v="-"/>
    <s v="-"/>
    <s v="-"/>
    <s v="-"/>
    <s v="-"/>
    <s v="-"/>
    <s v="-"/>
    <s v="-"/>
    <s v="-"/>
    <s v="-"/>
    <s v="-"/>
    <x v="0"/>
    <x v="0"/>
    <n v="1.0000006295740993E-2"/>
    <n v="8714"/>
    <n v="2160"/>
    <n v="6554"/>
    <x v="1"/>
    <x v="0"/>
    <m/>
    <x v="0"/>
    <m/>
    <x v="0"/>
    <m/>
    <x v="0"/>
    <x v="0"/>
    <x v="0"/>
    <x v="0"/>
    <m/>
    <n v="18715"/>
    <n v="0"/>
    <n v="18715"/>
    <x v="1"/>
    <m/>
  </r>
  <r>
    <x v="2"/>
    <x v="0"/>
    <x v="0"/>
    <x v="1"/>
    <n v="2806"/>
    <x v="129"/>
    <x v="14"/>
    <n v="2.9999999329447701E-2"/>
    <n v="527890"/>
    <n v="172265"/>
    <m/>
    <x v="144"/>
    <s v="PF"/>
    <d v="2014-05-27T00:00:00"/>
    <x v="121"/>
    <m/>
    <m/>
    <s v="Nil"/>
    <m/>
    <m/>
    <s v="Construction of an extension at roof level providing an additional storey to form staff room and toilets for the existing restaurant."/>
    <x v="143"/>
    <s v="EXT"/>
    <x v="1"/>
    <s v="NSO"/>
    <m/>
    <m/>
    <m/>
    <m/>
    <s v="C"/>
    <s v="BF"/>
    <x v="0"/>
    <m/>
    <m/>
    <m/>
    <m/>
    <m/>
    <n v="75"/>
    <m/>
    <m/>
    <n v="75"/>
    <m/>
    <m/>
    <m/>
    <m/>
    <m/>
    <m/>
    <m/>
    <m/>
    <m/>
    <m/>
    <m/>
    <m/>
    <m/>
    <m/>
    <m/>
    <m/>
    <m/>
    <m/>
    <m/>
    <m/>
    <m/>
    <m/>
    <m/>
    <m/>
    <m/>
    <x v="1"/>
    <x v="0"/>
    <x v="1"/>
    <m/>
    <m/>
    <n v="75"/>
    <m/>
    <m/>
    <n v="75"/>
    <m/>
    <x v="0"/>
    <m/>
    <m/>
    <m/>
    <m/>
    <m/>
    <x v="0"/>
    <m/>
    <m/>
    <m/>
    <m/>
    <s v="-"/>
    <s v="-"/>
    <s v="Restaurant"/>
    <s v="-"/>
    <s v="-"/>
    <s v="-"/>
    <s v="-"/>
    <s v="-"/>
    <s v="-"/>
    <s v="-"/>
    <s v="-"/>
    <x v="1"/>
    <x v="0"/>
    <s v="-"/>
    <s v="-"/>
    <s v="-"/>
    <s v="-"/>
    <s v="-"/>
    <s v="-"/>
    <s v="-"/>
    <s v="-"/>
    <s v="-"/>
    <s v="-"/>
    <s v="-"/>
    <x v="0"/>
    <x v="0"/>
    <n v="2.9999999329447701E-2"/>
    <n v="75"/>
    <n v="0"/>
    <n v="75"/>
    <x v="0"/>
    <x v="0"/>
    <m/>
    <x v="0"/>
    <m/>
    <x v="0"/>
    <m/>
    <x v="0"/>
    <x v="0"/>
    <x v="0"/>
    <x v="0"/>
    <m/>
    <n v="0"/>
    <n v="0"/>
    <n v="0"/>
    <x v="0"/>
    <m/>
  </r>
  <r>
    <x v="3"/>
    <x v="0"/>
    <x v="0"/>
    <x v="1"/>
    <n v="2820"/>
    <x v="130"/>
    <x v="13"/>
    <n v="8.9999996125698107E-3"/>
    <n v="525961"/>
    <n v="173072"/>
    <m/>
    <x v="145"/>
    <s v="PF"/>
    <d v="2016-11-16T00:00:00"/>
    <x v="122"/>
    <s v="Y"/>
    <m/>
    <s v="Nil"/>
    <m/>
    <m/>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bedroom flats on upper floors. Installation of new shopfront."/>
    <x v="144"/>
    <s v="EXT"/>
    <x v="1"/>
    <s v="UC"/>
    <m/>
    <d v="2018-03-31T00:00:00"/>
    <m/>
    <m/>
    <s v="C"/>
    <s v="BF"/>
    <x v="0"/>
    <m/>
    <d v="2018-03-31T00:00:00"/>
    <m/>
    <n v="83"/>
    <m/>
    <m/>
    <m/>
    <m/>
    <n v="83"/>
    <m/>
    <m/>
    <m/>
    <m/>
    <m/>
    <m/>
    <m/>
    <m/>
    <m/>
    <m/>
    <n v="57"/>
    <m/>
    <m/>
    <m/>
    <m/>
    <n v="57"/>
    <m/>
    <m/>
    <m/>
    <m/>
    <m/>
    <m/>
    <m/>
    <m/>
    <m/>
    <x v="1"/>
    <x v="0"/>
    <x v="1"/>
    <n v="26"/>
    <m/>
    <m/>
    <m/>
    <m/>
    <n v="26"/>
    <m/>
    <x v="0"/>
    <m/>
    <m/>
    <m/>
    <m/>
    <m/>
    <x v="0"/>
    <m/>
    <m/>
    <m/>
    <m/>
    <s v="Not Known"/>
    <s v="-"/>
    <s v="-"/>
    <s v="-"/>
    <s v="-"/>
    <s v="-"/>
    <s v="-"/>
    <s v="-"/>
    <s v="-"/>
    <s v="-"/>
    <s v="-"/>
    <x v="1"/>
    <x v="0"/>
    <s v="Not Known"/>
    <s v="-"/>
    <s v="-"/>
    <s v="-"/>
    <s v="-"/>
    <s v="-"/>
    <s v="-"/>
    <s v="-"/>
    <s v="-"/>
    <s v="-"/>
    <s v="-"/>
    <x v="0"/>
    <x v="0"/>
    <n v="1.9999993965029708E-3"/>
    <n v="83"/>
    <n v="57"/>
    <n v="26"/>
    <x v="0"/>
    <x v="0"/>
    <m/>
    <x v="0"/>
    <m/>
    <x v="0"/>
    <m/>
    <x v="0"/>
    <x v="0"/>
    <x v="0"/>
    <x v="1"/>
    <s v="Earlsfield"/>
    <n v="102"/>
    <n v="0"/>
    <n v="102"/>
    <x v="1"/>
    <m/>
  </r>
  <r>
    <x v="3"/>
    <x v="0"/>
    <x v="0"/>
    <x v="1"/>
    <n v="2860"/>
    <x v="131"/>
    <x v="1"/>
    <n v="1.9099999666214"/>
    <n v="522009"/>
    <n v="175229"/>
    <m/>
    <x v="146"/>
    <s v="PF"/>
    <d v="2014-04-03T00:00:00"/>
    <x v="123"/>
    <m/>
    <m/>
    <s v="Nil"/>
    <m/>
    <m/>
    <s v="Erection of southern extension to sports hall to provide championship standard squash court and multipurpose sports hall."/>
    <x v="145"/>
    <s v="NB"/>
    <x v="0"/>
    <s v="UC"/>
    <m/>
    <d v="2015-04-15T00:00:00"/>
    <m/>
    <m/>
    <s v="C"/>
    <s v="BF"/>
    <x v="0"/>
    <m/>
    <d v="2015-04-15T00:00:00"/>
    <m/>
    <m/>
    <m/>
    <m/>
    <m/>
    <m/>
    <m/>
    <m/>
    <m/>
    <m/>
    <m/>
    <m/>
    <m/>
    <m/>
    <m/>
    <n v="30"/>
    <n v="30"/>
    <m/>
    <m/>
    <m/>
    <m/>
    <m/>
    <m/>
    <m/>
    <m/>
    <m/>
    <m/>
    <m/>
    <m/>
    <m/>
    <m/>
    <m/>
    <x v="0"/>
    <x v="0"/>
    <x v="0"/>
    <m/>
    <m/>
    <m/>
    <m/>
    <m/>
    <m/>
    <m/>
    <x v="0"/>
    <m/>
    <m/>
    <m/>
    <m/>
    <m/>
    <x v="0"/>
    <m/>
    <m/>
    <n v="30"/>
    <n v="30"/>
    <s v="-"/>
    <s v="-"/>
    <s v="-"/>
    <s v="-"/>
    <s v="-"/>
    <s v="-"/>
    <s v="-"/>
    <s v="-"/>
    <s v="-"/>
    <s v="-"/>
    <s v="-"/>
    <x v="1"/>
    <x v="1"/>
    <s v="-"/>
    <s v="-"/>
    <s v="-"/>
    <s v="-"/>
    <s v="-"/>
    <s v="-"/>
    <s v="-"/>
    <s v="-"/>
    <s v="-"/>
    <s v="-"/>
    <s v="-"/>
    <x v="0"/>
    <x v="0"/>
    <n v="1.9099999666214"/>
    <n v="30"/>
    <n v="0"/>
    <n v="30"/>
    <x v="0"/>
    <x v="0"/>
    <m/>
    <x v="0"/>
    <m/>
    <x v="0"/>
    <m/>
    <x v="0"/>
    <x v="0"/>
    <x v="0"/>
    <x v="0"/>
    <m/>
    <n v="0"/>
    <n v="0"/>
    <n v="0"/>
    <x v="0"/>
    <m/>
  </r>
  <r>
    <x v="0"/>
    <x v="0"/>
    <x v="0"/>
    <x v="0"/>
    <n v="2860"/>
    <x v="131"/>
    <x v="1"/>
    <n v="1.9099999666214"/>
    <n v="522009"/>
    <n v="175229"/>
    <m/>
    <x v="147"/>
    <s v="PF"/>
    <d v="2016-06-17T00:00:00"/>
    <x v="124"/>
    <m/>
    <m/>
    <s v="Nil"/>
    <m/>
    <m/>
    <s v="Erection of single and two-storey extensions to east, south and west elevations of pool building; erection of single-storey storage building to the north of pool building and health club, installation of replacement outdoor pool and associated landscaping and engineering works."/>
    <x v="146"/>
    <s v="NB"/>
    <x v="0"/>
    <s v="OC"/>
    <m/>
    <d v="2017-03-31T00:00:00"/>
    <d v="2017-12-12T00:00:00"/>
    <d v="2017-12-12T00:00:00"/>
    <s v="C"/>
    <s v="BF"/>
    <x v="0"/>
    <m/>
    <d v="2017-03-31T00:00:00"/>
    <d v="2017-12-12T00:00:00"/>
    <m/>
    <m/>
    <m/>
    <m/>
    <m/>
    <m/>
    <m/>
    <m/>
    <m/>
    <m/>
    <m/>
    <m/>
    <m/>
    <m/>
    <n v="213"/>
    <n v="213"/>
    <m/>
    <m/>
    <m/>
    <m/>
    <m/>
    <m/>
    <m/>
    <m/>
    <m/>
    <m/>
    <m/>
    <m/>
    <m/>
    <m/>
    <m/>
    <x v="0"/>
    <x v="0"/>
    <x v="0"/>
    <m/>
    <m/>
    <m/>
    <m/>
    <m/>
    <m/>
    <m/>
    <x v="0"/>
    <m/>
    <m/>
    <m/>
    <m/>
    <m/>
    <x v="0"/>
    <m/>
    <m/>
    <n v="213"/>
    <n v="213"/>
    <s v="-"/>
    <s v="-"/>
    <s v="-"/>
    <s v="-"/>
    <s v="-"/>
    <s v="-"/>
    <s v="-"/>
    <s v="-"/>
    <s v="-"/>
    <s v="-"/>
    <s v="-"/>
    <x v="1"/>
    <x v="1"/>
    <s v="-"/>
    <s v="-"/>
    <s v="-"/>
    <s v="-"/>
    <s v="-"/>
    <s v="-"/>
    <s v="-"/>
    <s v="-"/>
    <s v="-"/>
    <s v="-"/>
    <s v="-"/>
    <x v="0"/>
    <x v="0"/>
    <n v="1.9099999666214"/>
    <n v="213"/>
    <n v="0"/>
    <n v="213"/>
    <x v="0"/>
    <x v="0"/>
    <m/>
    <x v="0"/>
    <m/>
    <x v="0"/>
    <m/>
    <x v="0"/>
    <x v="0"/>
    <x v="0"/>
    <x v="0"/>
    <m/>
    <n v="0"/>
    <n v="0"/>
    <n v="0"/>
    <x v="0"/>
    <m/>
  </r>
  <r>
    <x v="2"/>
    <x v="0"/>
    <x v="0"/>
    <x v="1"/>
    <n v="2860"/>
    <x v="131"/>
    <x v="1"/>
    <n v="1.9099999666214"/>
    <n v="522009"/>
    <n v="175229"/>
    <m/>
    <x v="148"/>
    <s v="PF"/>
    <d v="2017-10-09T00:00:00"/>
    <x v="38"/>
    <s v="Y"/>
    <m/>
    <s v="Nil"/>
    <m/>
    <m/>
    <s v="Demolition of existing indoor tennis dome near the north-western corner of the site and the erection of a replacement indoor tennis dome structure to provide 3 x indoor tennis courts with ancillary toilet facilities, plant and viewing gallery."/>
    <x v="147"/>
    <s v="NB"/>
    <x v="0"/>
    <s v="NSO"/>
    <m/>
    <m/>
    <m/>
    <m/>
    <s v="C"/>
    <s v="GF"/>
    <x v="0"/>
    <m/>
    <m/>
    <m/>
    <m/>
    <m/>
    <m/>
    <m/>
    <m/>
    <m/>
    <m/>
    <m/>
    <m/>
    <m/>
    <m/>
    <m/>
    <m/>
    <m/>
    <n v="1973"/>
    <n v="1973"/>
    <m/>
    <m/>
    <m/>
    <m/>
    <m/>
    <m/>
    <m/>
    <m/>
    <m/>
    <m/>
    <m/>
    <m/>
    <m/>
    <n v="1812"/>
    <n v="1812"/>
    <x v="0"/>
    <x v="0"/>
    <x v="0"/>
    <m/>
    <m/>
    <m/>
    <m/>
    <m/>
    <m/>
    <m/>
    <x v="0"/>
    <m/>
    <m/>
    <m/>
    <m/>
    <m/>
    <x v="0"/>
    <m/>
    <m/>
    <n v="161"/>
    <n v="161"/>
    <s v="-"/>
    <s v="-"/>
    <s v="-"/>
    <s v="-"/>
    <s v="-"/>
    <s v="-"/>
    <s v="-"/>
    <s v="-"/>
    <s v="-"/>
    <s v="-"/>
    <s v="-"/>
    <x v="1"/>
    <x v="1"/>
    <s v="-"/>
    <s v="-"/>
    <s v="-"/>
    <s v="-"/>
    <s v="-"/>
    <s v="-"/>
    <s v="-"/>
    <s v="-"/>
    <s v="-"/>
    <s v="-"/>
    <s v="-"/>
    <x v="0"/>
    <x v="2"/>
    <n v="1.9099999666214"/>
    <n v="1973"/>
    <n v="1812"/>
    <n v="161"/>
    <x v="0"/>
    <x v="0"/>
    <m/>
    <x v="0"/>
    <m/>
    <x v="0"/>
    <m/>
    <x v="0"/>
    <x v="0"/>
    <x v="0"/>
    <x v="0"/>
    <m/>
    <n v="0"/>
    <n v="0"/>
    <n v="0"/>
    <x v="0"/>
    <m/>
  </r>
  <r>
    <x v="0"/>
    <x v="0"/>
    <x v="0"/>
    <x v="2"/>
    <n v="2868"/>
    <x v="132"/>
    <x v="18"/>
    <n v="6.3899998664856001"/>
    <n v="526756"/>
    <n v="173918"/>
    <s v="9.4"/>
    <x v="149"/>
    <s v="PF"/>
    <d v="2016-08-09T00:00:00"/>
    <x v="125"/>
    <s v="Y"/>
    <m/>
    <s v="Nil"/>
    <m/>
    <m/>
    <s v="Demolition of disused laundry building."/>
    <x v="148"/>
    <s v="UK"/>
    <x v="0"/>
    <s v="CO"/>
    <d v="2018-03-31T00:00:00"/>
    <m/>
    <d v="2018-03-31T00:00:00"/>
    <m/>
    <s v="C"/>
    <s v="BF"/>
    <x v="0"/>
    <m/>
    <m/>
    <d v="2018-03-31T00:00:00"/>
    <m/>
    <m/>
    <m/>
    <m/>
    <m/>
    <m/>
    <m/>
    <m/>
    <m/>
    <m/>
    <m/>
    <m/>
    <m/>
    <m/>
    <m/>
    <m/>
    <m/>
    <m/>
    <m/>
    <m/>
    <m/>
    <m/>
    <m/>
    <m/>
    <m/>
    <m/>
    <m/>
    <m/>
    <m/>
    <m/>
    <m/>
    <x v="0"/>
    <x v="0"/>
    <x v="1"/>
    <m/>
    <m/>
    <m/>
    <m/>
    <m/>
    <m/>
    <m/>
    <x v="0"/>
    <m/>
    <m/>
    <m/>
    <m/>
    <m/>
    <x v="0"/>
    <m/>
    <m/>
    <m/>
    <m/>
    <s v="-"/>
    <s v="-"/>
    <s v="-"/>
    <s v="-"/>
    <s v="-"/>
    <s v="-"/>
    <s v="-"/>
    <s v="-"/>
    <s v="-"/>
    <s v="-"/>
    <s v="-"/>
    <x v="1"/>
    <x v="0"/>
    <s v="-"/>
    <s v="-"/>
    <s v="-"/>
    <s v="-"/>
    <s v="-"/>
    <s v="-"/>
    <s v="-"/>
    <s v="-"/>
    <s v="-"/>
    <s v="-"/>
    <s v="-"/>
    <x v="0"/>
    <x v="0"/>
    <n v="6.3899998664856001"/>
    <n v="0"/>
    <n v="1320"/>
    <n v="-1320"/>
    <x v="0"/>
    <x v="0"/>
    <m/>
    <x v="0"/>
    <m/>
    <x v="0"/>
    <m/>
    <x v="0"/>
    <x v="0"/>
    <x v="0"/>
    <x v="0"/>
    <m/>
    <n v="0"/>
    <n v="0"/>
    <n v="0"/>
    <x v="0"/>
    <m/>
  </r>
  <r>
    <x v="2"/>
    <x v="0"/>
    <x v="0"/>
    <x v="1"/>
    <n v="2868"/>
    <x v="132"/>
    <x v="18"/>
    <n v="6.3899998664856001"/>
    <n v="526756"/>
    <n v="173918"/>
    <s v="9.4"/>
    <x v="150"/>
    <s v="PF"/>
    <d v="2017-09-05T00:00:00"/>
    <x v="126"/>
    <s v="Y"/>
    <m/>
    <s v="Nil"/>
    <m/>
    <m/>
    <s v="Erection of extension to accommodate lift installation (in connection with Listed Building application 2017/4982)."/>
    <x v="149"/>
    <s v="EXT"/>
    <x v="1"/>
    <s v="NSO"/>
    <m/>
    <m/>
    <m/>
    <m/>
    <s v="C"/>
    <s v="BF"/>
    <x v="0"/>
    <m/>
    <m/>
    <m/>
    <m/>
    <m/>
    <m/>
    <m/>
    <m/>
    <m/>
    <m/>
    <m/>
    <m/>
    <m/>
    <m/>
    <m/>
    <m/>
    <m/>
    <m/>
    <m/>
    <m/>
    <m/>
    <m/>
    <m/>
    <m/>
    <m/>
    <m/>
    <m/>
    <m/>
    <m/>
    <m/>
    <m/>
    <m/>
    <m/>
    <m/>
    <x v="0"/>
    <x v="0"/>
    <x v="1"/>
    <m/>
    <m/>
    <m/>
    <m/>
    <m/>
    <m/>
    <m/>
    <x v="0"/>
    <m/>
    <m/>
    <m/>
    <m/>
    <m/>
    <x v="0"/>
    <m/>
    <m/>
    <m/>
    <m/>
    <s v="-"/>
    <s v="-"/>
    <s v="-"/>
    <s v="-"/>
    <s v="-"/>
    <s v="-"/>
    <s v="-"/>
    <s v="-"/>
    <s v="-"/>
    <s v="-"/>
    <s v="-"/>
    <x v="1"/>
    <x v="0"/>
    <s v="-"/>
    <s v="-"/>
    <s v="-"/>
    <s v="-"/>
    <s v="-"/>
    <s v="-"/>
    <s v="-"/>
    <s v="-"/>
    <s v="-"/>
    <s v="-"/>
    <s v="-"/>
    <x v="0"/>
    <x v="0"/>
    <n v="6.3899998664856001"/>
    <n v="15"/>
    <n v="0"/>
    <n v="15"/>
    <x v="0"/>
    <x v="0"/>
    <m/>
    <x v="0"/>
    <m/>
    <x v="0"/>
    <m/>
    <x v="0"/>
    <x v="0"/>
    <x v="0"/>
    <x v="0"/>
    <m/>
    <n v="0"/>
    <n v="0"/>
    <n v="0"/>
    <x v="0"/>
    <m/>
  </r>
  <r>
    <x v="2"/>
    <x v="0"/>
    <x v="0"/>
    <x v="1"/>
    <n v="2869"/>
    <x v="133"/>
    <x v="0"/>
    <n v="0.109999999403954"/>
    <n v="524296"/>
    <n v="174108"/>
    <m/>
    <x v="151"/>
    <s v="PF"/>
    <d v="2017-07-27T00:00:00"/>
    <x v="127"/>
    <s v="Y"/>
    <m/>
    <s v="Nil"/>
    <m/>
    <m/>
    <s v="Erection of a first floor extension to Drapers Ward and internal refurbishment of ward which includes the demolition of most of the internal layout. Replacement of the ground floor gym roof and windows. Installation of solar shading to the Alexandra Wing second floor quiet gym and replacement of rooflights, internal layout and refurbishment."/>
    <x v="150"/>
    <s v="EXT"/>
    <x v="1"/>
    <s v="NSO"/>
    <m/>
    <m/>
    <m/>
    <m/>
    <s v="C"/>
    <s v="BF"/>
    <x v="0"/>
    <m/>
    <m/>
    <m/>
    <m/>
    <m/>
    <m/>
    <m/>
    <m/>
    <m/>
    <m/>
    <m/>
    <m/>
    <m/>
    <m/>
    <m/>
    <m/>
    <n v="50"/>
    <m/>
    <n v="50"/>
    <m/>
    <m/>
    <m/>
    <m/>
    <m/>
    <m/>
    <m/>
    <m/>
    <m/>
    <m/>
    <m/>
    <m/>
    <m/>
    <m/>
    <m/>
    <x v="0"/>
    <x v="0"/>
    <x v="0"/>
    <m/>
    <m/>
    <m/>
    <m/>
    <m/>
    <m/>
    <m/>
    <x v="0"/>
    <m/>
    <m/>
    <m/>
    <m/>
    <m/>
    <x v="0"/>
    <m/>
    <n v="50"/>
    <m/>
    <n v="50"/>
    <s v="-"/>
    <s v="-"/>
    <s v="-"/>
    <s v="-"/>
    <s v="-"/>
    <s v="-"/>
    <s v="-"/>
    <s v="-"/>
    <s v="-"/>
    <s v="-"/>
    <s v="-"/>
    <x v="2"/>
    <x v="0"/>
    <s v="-"/>
    <s v="-"/>
    <s v="-"/>
    <s v="-"/>
    <s v="-"/>
    <s v="-"/>
    <s v="-"/>
    <s v="-"/>
    <s v="-"/>
    <s v="-"/>
    <s v="-"/>
    <x v="0"/>
    <x v="0"/>
    <n v="0.109999999403954"/>
    <n v="50"/>
    <n v="0"/>
    <n v="50"/>
    <x v="0"/>
    <x v="0"/>
    <m/>
    <x v="0"/>
    <m/>
    <x v="0"/>
    <m/>
    <x v="0"/>
    <x v="0"/>
    <x v="0"/>
    <x v="0"/>
    <m/>
    <n v="0"/>
    <n v="0"/>
    <n v="0"/>
    <x v="0"/>
    <m/>
  </r>
  <r>
    <x v="0"/>
    <x v="0"/>
    <x v="0"/>
    <x v="0"/>
    <n v="2888"/>
    <x v="134"/>
    <x v="16"/>
    <n v="0.56599998474121105"/>
    <n v="527250"/>
    <n v="171063"/>
    <s v="5.3"/>
    <x v="152"/>
    <s v="PF"/>
    <d v="2016-03-09T00:00:00"/>
    <x v="128"/>
    <m/>
    <m/>
    <s v="Nil"/>
    <m/>
    <m/>
    <s v="Change of use to day centre (Class D1) and installation of replacement shopfront to corner unit."/>
    <x v="151"/>
    <s v="COU"/>
    <x v="2"/>
    <s v="OC"/>
    <m/>
    <d v="2017-04-01T00:00:00"/>
    <d v="2018-03-31T00:00:00"/>
    <d v="2018-03-31T00:00:00"/>
    <s v="C"/>
    <s v="BF"/>
    <x v="0"/>
    <m/>
    <d v="2017-04-01T00:00:00"/>
    <d v="2018-03-31T00:00:00"/>
    <m/>
    <m/>
    <m/>
    <m/>
    <m/>
    <m/>
    <m/>
    <m/>
    <m/>
    <m/>
    <m/>
    <m/>
    <m/>
    <n v="180"/>
    <m/>
    <n v="180"/>
    <n v="180"/>
    <m/>
    <m/>
    <m/>
    <m/>
    <n v="180"/>
    <m/>
    <m/>
    <m/>
    <m/>
    <m/>
    <m/>
    <m/>
    <m/>
    <m/>
    <x v="1"/>
    <x v="0"/>
    <x v="0"/>
    <n v="-180"/>
    <m/>
    <m/>
    <m/>
    <m/>
    <n v="-180"/>
    <m/>
    <x v="0"/>
    <m/>
    <m/>
    <m/>
    <m/>
    <m/>
    <x v="0"/>
    <m/>
    <n v="180"/>
    <m/>
    <n v="180"/>
    <s v="-"/>
    <s v="-"/>
    <s v="-"/>
    <s v="-"/>
    <s v="-"/>
    <s v="-"/>
    <s v="-"/>
    <s v="-"/>
    <s v="-"/>
    <s v="-"/>
    <s v="-"/>
    <x v="2"/>
    <x v="0"/>
    <s v="Vacant"/>
    <s v="-"/>
    <s v="-"/>
    <s v="-"/>
    <s v="-"/>
    <s v="-"/>
    <s v="-"/>
    <s v="-"/>
    <s v="-"/>
    <s v="-"/>
    <s v="-"/>
    <x v="0"/>
    <x v="0"/>
    <n v="0.56599998474121105"/>
    <n v="180"/>
    <n v="180"/>
    <n v="0"/>
    <x v="0"/>
    <x v="0"/>
    <m/>
    <x v="0"/>
    <m/>
    <x v="0"/>
    <m/>
    <x v="0"/>
    <x v="0"/>
    <x v="0"/>
    <x v="0"/>
    <m/>
    <n v="0"/>
    <n v="0"/>
    <n v="0"/>
    <x v="0"/>
    <m/>
  </r>
  <r>
    <x v="0"/>
    <x v="0"/>
    <x v="0"/>
    <x v="0"/>
    <n v="2936"/>
    <x v="135"/>
    <x v="7"/>
    <n v="9.9999997764825804E-3"/>
    <n v="523794"/>
    <n v="175773"/>
    <m/>
    <x v="153"/>
    <s v="PF"/>
    <d v="2017-07-11T00:00:00"/>
    <x v="129"/>
    <s v="Y"/>
    <m/>
    <s v="Nil"/>
    <m/>
    <m/>
    <s v="Change of use from shop (Class A1) to restaurant/cafe (Class A3)."/>
    <x v="152"/>
    <s v="COU"/>
    <x v="2"/>
    <s v="OC"/>
    <m/>
    <d v="2017-09-05T00:00:00"/>
    <d v="2018-03-31T00:00:00"/>
    <d v="2018-03-31T00:00:00"/>
    <s v="C"/>
    <s v="BF"/>
    <x v="0"/>
    <m/>
    <d v="2017-09-05T00:00:00"/>
    <d v="2018-03-31T00:00:00"/>
    <m/>
    <m/>
    <n v="95"/>
    <m/>
    <m/>
    <n v="95"/>
    <m/>
    <m/>
    <m/>
    <m/>
    <m/>
    <m/>
    <m/>
    <m/>
    <m/>
    <m/>
    <n v="95"/>
    <m/>
    <m/>
    <m/>
    <m/>
    <n v="95"/>
    <m/>
    <m/>
    <m/>
    <m/>
    <m/>
    <m/>
    <m/>
    <m/>
    <m/>
    <x v="1"/>
    <x v="0"/>
    <x v="1"/>
    <n v="-95"/>
    <m/>
    <n v="95"/>
    <m/>
    <m/>
    <m/>
    <m/>
    <x v="0"/>
    <m/>
    <m/>
    <m/>
    <m/>
    <m/>
    <x v="0"/>
    <m/>
    <m/>
    <m/>
    <m/>
    <s v="-"/>
    <s v="-"/>
    <s v="Restaurant"/>
    <s v="-"/>
    <s v="-"/>
    <s v="-"/>
    <s v="-"/>
    <s v="-"/>
    <s v="-"/>
    <s v="-"/>
    <s v="-"/>
    <x v="1"/>
    <x v="0"/>
    <s v="Not Known"/>
    <s v="-"/>
    <s v="-"/>
    <s v="-"/>
    <s v="-"/>
    <s v="-"/>
    <s v="-"/>
    <s v="-"/>
    <s v="-"/>
    <s v="-"/>
    <s v="-"/>
    <x v="0"/>
    <x v="0"/>
    <n v="9.9999997764825804E-3"/>
    <n v="95"/>
    <n v="95"/>
    <n v="0"/>
    <x v="0"/>
    <x v="0"/>
    <m/>
    <x v="0"/>
    <m/>
    <x v="0"/>
    <m/>
    <x v="0"/>
    <x v="0"/>
    <x v="0"/>
    <x v="0"/>
    <m/>
    <n v="0"/>
    <n v="0"/>
    <n v="0"/>
    <x v="0"/>
    <m/>
  </r>
  <r>
    <x v="0"/>
    <x v="0"/>
    <x v="0"/>
    <x v="0"/>
    <n v="2939"/>
    <x v="136"/>
    <x v="5"/>
    <n v="9.9999997764825804E-3"/>
    <n v="526842"/>
    <n v="175078"/>
    <m/>
    <x v="154"/>
    <s v="PF"/>
    <d v="2015-10-19T00:00:00"/>
    <x v="130"/>
    <m/>
    <m/>
    <s v="Nil"/>
    <m/>
    <m/>
    <s v="Alterations and extensions in connection with the conversion of upper floors into 2 flats; change of use to convert existing rear ground floor office unit (B1) to residential (C3) to allow 1 flat. Extensions and alterations to include: front and rear mansard roof extensions to main roof (with french doors and safety railings); erection of replacement two-storey back addition linked to two-storey rear extension (basement and ground floor against rear boundary). Installation of new shopfront."/>
    <x v="153"/>
    <s v="MIX"/>
    <x v="0"/>
    <s v="OC"/>
    <m/>
    <d v="2016-09-09T00:00:00"/>
    <d v="2017-08-01T00:00:00"/>
    <d v="2017-08-01T00:00:00"/>
    <s v="C"/>
    <s v="BF"/>
    <x v="0"/>
    <m/>
    <d v="2016-09-09T00:00:00"/>
    <d v="2017-08-01T00:00:00"/>
    <n v="20"/>
    <m/>
    <m/>
    <m/>
    <m/>
    <n v="20"/>
    <m/>
    <m/>
    <m/>
    <m/>
    <m/>
    <m/>
    <m/>
    <m/>
    <m/>
    <m/>
    <n v="28"/>
    <m/>
    <m/>
    <m/>
    <m/>
    <n v="28"/>
    <n v="37"/>
    <m/>
    <m/>
    <m/>
    <m/>
    <n v="37"/>
    <m/>
    <m/>
    <m/>
    <x v="1"/>
    <x v="1"/>
    <x v="1"/>
    <n v="-8"/>
    <m/>
    <m/>
    <m/>
    <m/>
    <n v="-8"/>
    <n v="-37"/>
    <x v="1"/>
    <m/>
    <m/>
    <m/>
    <m/>
    <n v="-37"/>
    <x v="1"/>
    <m/>
    <m/>
    <m/>
    <m/>
    <s v="Consumables"/>
    <s v="-"/>
    <s v="-"/>
    <s v="-"/>
    <s v="-"/>
    <s v="-"/>
    <s v="-"/>
    <s v="-"/>
    <s v="-"/>
    <s v="-"/>
    <s v="-"/>
    <x v="1"/>
    <x v="0"/>
    <s v="Consumables"/>
    <s v="-"/>
    <s v="-"/>
    <s v="-"/>
    <s v="-"/>
    <s v="Vacant"/>
    <s v="-"/>
    <s v="-"/>
    <s v="-"/>
    <s v="-"/>
    <s v="-"/>
    <x v="0"/>
    <x v="0"/>
    <n v="1.9999998621642607E-3"/>
    <n v="20"/>
    <n v="65"/>
    <n v="-45"/>
    <x v="0"/>
    <x v="0"/>
    <m/>
    <x v="0"/>
    <m/>
    <x v="0"/>
    <m/>
    <x v="0"/>
    <x v="0"/>
    <x v="0"/>
    <x v="0"/>
    <m/>
    <n v="179"/>
    <n v="80"/>
    <n v="99"/>
    <x v="1"/>
    <m/>
  </r>
  <r>
    <x v="1"/>
    <x v="0"/>
    <x v="0"/>
    <x v="1"/>
    <n v="2946"/>
    <x v="137"/>
    <x v="7"/>
    <n v="2.0999999716877899E-2"/>
    <n v="523254"/>
    <n v="176072"/>
    <m/>
    <x v="155"/>
    <s v="AF"/>
    <d v="2017-12-07T00:00:00"/>
    <x v="1"/>
    <m/>
    <m/>
    <s v="Nil"/>
    <m/>
    <m/>
    <s v="Demolition of existing church and erection of 2 x two storey (plus roof) 4-bedroom houses with associated landscape and boundary treatment."/>
    <x v="154"/>
    <s v="NB"/>
    <x v="0"/>
    <s v="NSO"/>
    <m/>
    <m/>
    <m/>
    <m/>
    <s v="P"/>
    <s v="BF"/>
    <x v="0"/>
    <m/>
    <m/>
    <m/>
    <m/>
    <m/>
    <m/>
    <m/>
    <m/>
    <m/>
    <m/>
    <m/>
    <m/>
    <m/>
    <m/>
    <m/>
    <m/>
    <m/>
    <m/>
    <m/>
    <m/>
    <m/>
    <m/>
    <m/>
    <m/>
    <m/>
    <m/>
    <m/>
    <m/>
    <m/>
    <m/>
    <m/>
    <n v="127"/>
    <m/>
    <n v="127"/>
    <x v="0"/>
    <x v="0"/>
    <x v="0"/>
    <m/>
    <m/>
    <m/>
    <m/>
    <m/>
    <m/>
    <m/>
    <x v="0"/>
    <m/>
    <m/>
    <m/>
    <m/>
    <m/>
    <x v="0"/>
    <m/>
    <n v="-127"/>
    <m/>
    <n v="-127"/>
    <s v="-"/>
    <s v="-"/>
    <s v="-"/>
    <s v="-"/>
    <s v="-"/>
    <s v="-"/>
    <s v="-"/>
    <s v="-"/>
    <s v="-"/>
    <s v="-"/>
    <s v="-"/>
    <x v="1"/>
    <x v="0"/>
    <s v="-"/>
    <s v="-"/>
    <s v="-"/>
    <s v="-"/>
    <s v="-"/>
    <s v="-"/>
    <s v="-"/>
    <s v="-"/>
    <s v="-"/>
    <s v="-"/>
    <s v="-"/>
    <x v="5"/>
    <x v="0"/>
    <n v="0"/>
    <n v="0"/>
    <n v="127"/>
    <n v="-127"/>
    <x v="0"/>
    <x v="0"/>
    <m/>
    <x v="0"/>
    <m/>
    <x v="0"/>
    <m/>
    <x v="0"/>
    <x v="0"/>
    <x v="0"/>
    <x v="0"/>
    <m/>
    <n v="246"/>
    <n v="0"/>
    <n v="246"/>
    <x v="1"/>
    <m/>
  </r>
  <r>
    <x v="0"/>
    <x v="0"/>
    <x v="0"/>
    <x v="0"/>
    <n v="3010"/>
    <x v="138"/>
    <x v="13"/>
    <n v="9.9999997764825804E-3"/>
    <n v="526087"/>
    <n v="172958"/>
    <m/>
    <x v="156"/>
    <s v="PF"/>
    <d v="2017-06-08T00:00:00"/>
    <x v="131"/>
    <s v="Y"/>
    <m/>
    <s v="Nil"/>
    <m/>
    <m/>
    <s v="Continued use of basement and ground floors as a  restaurant and hot food takeaway (Class A3/A5)."/>
    <x v="155"/>
    <s v="COU"/>
    <x v="2"/>
    <s v="OC"/>
    <m/>
    <d v="2018-01-05T00:00:00"/>
    <d v="2018-03-14T00:00:00"/>
    <d v="2018-03-14T00:00:00"/>
    <s v="C"/>
    <s v="BF"/>
    <x v="0"/>
    <m/>
    <d v="2018-01-05T00:00:00"/>
    <d v="2018-03-14T00:00:00"/>
    <m/>
    <m/>
    <n v="175"/>
    <m/>
    <m/>
    <n v="175"/>
    <m/>
    <m/>
    <m/>
    <m/>
    <m/>
    <m/>
    <m/>
    <m/>
    <m/>
    <m/>
    <m/>
    <m/>
    <n v="175"/>
    <m/>
    <m/>
    <n v="175"/>
    <m/>
    <m/>
    <m/>
    <m/>
    <m/>
    <m/>
    <m/>
    <m/>
    <m/>
    <x v="1"/>
    <x v="0"/>
    <x v="1"/>
    <m/>
    <m/>
    <m/>
    <m/>
    <m/>
    <m/>
    <m/>
    <x v="0"/>
    <m/>
    <m/>
    <m/>
    <m/>
    <m/>
    <x v="0"/>
    <m/>
    <m/>
    <m/>
    <m/>
    <s v="-"/>
    <s v="-"/>
    <s v="Restaurant"/>
    <s v="-"/>
    <s v="-"/>
    <s v="-"/>
    <s v="-"/>
    <s v="-"/>
    <s v="-"/>
    <s v="-"/>
    <s v="-"/>
    <x v="1"/>
    <x v="0"/>
    <s v="-"/>
    <s v="-"/>
    <s v="Restaurant"/>
    <s v="-"/>
    <s v="-"/>
    <s v="-"/>
    <s v="-"/>
    <s v="-"/>
    <s v="-"/>
    <s v="-"/>
    <s v="-"/>
    <x v="0"/>
    <x v="0"/>
    <n v="9.9999997764825804E-3"/>
    <n v="175"/>
    <n v="175"/>
    <n v="0"/>
    <x v="0"/>
    <x v="0"/>
    <m/>
    <x v="0"/>
    <m/>
    <x v="0"/>
    <m/>
    <x v="0"/>
    <x v="0"/>
    <x v="0"/>
    <x v="1"/>
    <s v="Earlsfield"/>
    <n v="0"/>
    <n v="0"/>
    <n v="0"/>
    <x v="0"/>
    <m/>
  </r>
  <r>
    <x v="0"/>
    <x v="3"/>
    <x v="3"/>
    <x v="0"/>
    <n v="3018"/>
    <x v="139"/>
    <x v="6"/>
    <n v="1.09999999403954E-2"/>
    <n v="528529"/>
    <n v="175746"/>
    <m/>
    <x v="157"/>
    <s v="LDC Exist"/>
    <d v="2017-12-08T00:00:00"/>
    <x v="132"/>
    <s v="Y"/>
    <m/>
    <s v="Nil"/>
    <m/>
    <m/>
    <s v="Use of the rear ground floor and basement as a self-contained flat."/>
    <x v="156"/>
    <s v="COU"/>
    <x v="2"/>
    <s v="OC"/>
    <m/>
    <m/>
    <d v="2018-02-01T00:00:00"/>
    <d v="2018-02-01T00:00:00"/>
    <s v="C"/>
    <s v="BF"/>
    <x v="0"/>
    <m/>
    <m/>
    <d v="2018-02-01T00:00:00"/>
    <m/>
    <m/>
    <m/>
    <m/>
    <m/>
    <m/>
    <m/>
    <m/>
    <m/>
    <m/>
    <m/>
    <m/>
    <m/>
    <m/>
    <m/>
    <m/>
    <m/>
    <m/>
    <m/>
    <m/>
    <m/>
    <m/>
    <m/>
    <m/>
    <m/>
    <m/>
    <m/>
    <m/>
    <n v="101"/>
    <m/>
    <n v="101"/>
    <x v="0"/>
    <x v="0"/>
    <x v="0"/>
    <m/>
    <m/>
    <m/>
    <m/>
    <m/>
    <m/>
    <m/>
    <x v="0"/>
    <m/>
    <m/>
    <m/>
    <m/>
    <m/>
    <x v="0"/>
    <m/>
    <n v="-101"/>
    <m/>
    <n v="-101"/>
    <s v="-"/>
    <s v="-"/>
    <s v="-"/>
    <s v="-"/>
    <s v="-"/>
    <s v="-"/>
    <s v="-"/>
    <s v="-"/>
    <s v="-"/>
    <s v="-"/>
    <s v="-"/>
    <x v="1"/>
    <x v="0"/>
    <s v="-"/>
    <s v="-"/>
    <s v="-"/>
    <s v="-"/>
    <s v="-"/>
    <s v="-"/>
    <s v="-"/>
    <s v="-"/>
    <s v="-"/>
    <s v="-"/>
    <s v="-"/>
    <x v="2"/>
    <x v="0"/>
    <n v="2.0000003278255896E-3"/>
    <n v="0"/>
    <n v="101"/>
    <n v="-101"/>
    <x v="0"/>
    <x v="0"/>
    <m/>
    <x v="0"/>
    <m/>
    <x v="0"/>
    <m/>
    <x v="0"/>
    <x v="0"/>
    <x v="0"/>
    <x v="1"/>
    <s v="Lavender Hill/Queenstown Road"/>
    <n v="91"/>
    <n v="0"/>
    <n v="91"/>
    <x v="1"/>
    <m/>
  </r>
  <r>
    <x v="3"/>
    <x v="0"/>
    <x v="0"/>
    <x v="1"/>
    <n v="3035"/>
    <x v="140"/>
    <x v="7"/>
    <n v="4.3000001460313797E-2"/>
    <n v="524067"/>
    <n v="175351"/>
    <m/>
    <x v="158"/>
    <s v="PF"/>
    <d v="2013-03-14T00:00:00"/>
    <x v="133"/>
    <m/>
    <m/>
    <s v="Nil"/>
    <m/>
    <m/>
    <s v="Erection of rear extension at first, second and third floor levels together with alterations including formation of new roofs, first floor acoustic enclosure at rear, roof terraces and formation of refuse store at rear in connection with conversion of upper floors into 12 flats. (renewal of planning permission dated 23.07.2010 ref. 2010/2523)"/>
    <x v="157"/>
    <s v="MIX"/>
    <x v="0"/>
    <s v="UC"/>
    <m/>
    <d v="2015-09-23T00:00:00"/>
    <m/>
    <m/>
    <s v="C"/>
    <s v="BF"/>
    <x v="0"/>
    <m/>
    <d v="2015-09-23T00:00:00"/>
    <m/>
    <n v="619"/>
    <m/>
    <m/>
    <m/>
    <m/>
    <n v="619"/>
    <m/>
    <m/>
    <m/>
    <m/>
    <m/>
    <m/>
    <m/>
    <m/>
    <m/>
    <m/>
    <n v="619"/>
    <m/>
    <m/>
    <m/>
    <m/>
    <n v="619"/>
    <n v="57"/>
    <m/>
    <m/>
    <m/>
    <m/>
    <n v="57"/>
    <m/>
    <m/>
    <m/>
    <x v="1"/>
    <x v="1"/>
    <x v="1"/>
    <m/>
    <m/>
    <m/>
    <m/>
    <m/>
    <m/>
    <n v="-57"/>
    <x v="1"/>
    <m/>
    <m/>
    <m/>
    <m/>
    <n v="-57"/>
    <x v="1"/>
    <m/>
    <m/>
    <m/>
    <m/>
    <s v="Not Known"/>
    <s v="-"/>
    <s v="-"/>
    <s v="-"/>
    <s v="-"/>
    <s v="-"/>
    <s v="-"/>
    <s v="-"/>
    <s v="-"/>
    <s v="-"/>
    <s v="-"/>
    <x v="1"/>
    <x v="0"/>
    <s v="Not Known"/>
    <s v="-"/>
    <s v="-"/>
    <s v="-"/>
    <s v="-"/>
    <s v="Not Known"/>
    <s v="-"/>
    <s v="-"/>
    <s v="-"/>
    <s v="-"/>
    <s v="-"/>
    <x v="0"/>
    <x v="0"/>
    <n v="3.20000015199184E-2"/>
    <n v="619"/>
    <n v="676"/>
    <n v="-57"/>
    <x v="0"/>
    <x v="0"/>
    <m/>
    <x v="0"/>
    <m/>
    <x v="0"/>
    <m/>
    <x v="0"/>
    <x v="1"/>
    <x v="2"/>
    <x v="0"/>
    <m/>
    <n v="745"/>
    <n v="582"/>
    <n v="163"/>
    <x v="1"/>
    <m/>
  </r>
  <r>
    <x v="0"/>
    <x v="0"/>
    <x v="0"/>
    <x v="0"/>
    <n v="3064"/>
    <x v="141"/>
    <x v="6"/>
    <n v="0.53700000047683705"/>
    <n v="528533"/>
    <n v="175291"/>
    <m/>
    <x v="159"/>
    <s v="PF"/>
    <d v="2014-11-24T00:00:00"/>
    <x v="39"/>
    <m/>
    <m/>
    <s v="Nil"/>
    <m/>
    <m/>
    <s v="Demolition of existing single storey dining and teaching building (at the northern part of the site) and the replacement with a dining/kitchen, teaching and nursery building (with basement level)."/>
    <x v="158"/>
    <s v="NB"/>
    <x v="0"/>
    <s v="OC"/>
    <m/>
    <d v="2017-03-31T00:00:00"/>
    <d v="2018-03-31T00:00:00"/>
    <d v="2018-03-31T00:00:00"/>
    <s v="C"/>
    <s v="BF"/>
    <x v="0"/>
    <m/>
    <d v="2017-03-31T00:00:00"/>
    <d v="2018-03-31T00:00:00"/>
    <m/>
    <m/>
    <m/>
    <m/>
    <m/>
    <m/>
    <m/>
    <m/>
    <m/>
    <m/>
    <m/>
    <m/>
    <m/>
    <n v="926"/>
    <m/>
    <n v="926"/>
    <m/>
    <m/>
    <m/>
    <m/>
    <m/>
    <m/>
    <m/>
    <m/>
    <m/>
    <m/>
    <m/>
    <m/>
    <n v="460"/>
    <m/>
    <n v="460"/>
    <x v="0"/>
    <x v="0"/>
    <x v="0"/>
    <m/>
    <m/>
    <m/>
    <m/>
    <m/>
    <m/>
    <m/>
    <x v="0"/>
    <m/>
    <m/>
    <m/>
    <m/>
    <m/>
    <x v="0"/>
    <m/>
    <n v="466"/>
    <m/>
    <n v="466"/>
    <s v="-"/>
    <s v="-"/>
    <s v="-"/>
    <s v="-"/>
    <s v="-"/>
    <s v="-"/>
    <s v="-"/>
    <s v="-"/>
    <s v="-"/>
    <s v="-"/>
    <s v="-"/>
    <x v="0"/>
    <x v="0"/>
    <s v="-"/>
    <s v="-"/>
    <s v="-"/>
    <s v="-"/>
    <s v="-"/>
    <s v="-"/>
    <s v="-"/>
    <s v="-"/>
    <s v="-"/>
    <s v="-"/>
    <s v="-"/>
    <x v="6"/>
    <x v="0"/>
    <n v="0.53700000047683705"/>
    <n v="926"/>
    <n v="460"/>
    <n v="466"/>
    <x v="0"/>
    <x v="0"/>
    <m/>
    <x v="0"/>
    <m/>
    <x v="0"/>
    <m/>
    <x v="0"/>
    <x v="0"/>
    <x v="0"/>
    <x v="0"/>
    <m/>
    <n v="0"/>
    <n v="0"/>
    <n v="0"/>
    <x v="0"/>
    <m/>
  </r>
  <r>
    <x v="0"/>
    <x v="0"/>
    <x v="0"/>
    <x v="0"/>
    <n v="3099"/>
    <x v="142"/>
    <x v="17"/>
    <n v="1.7999999225139601E-2"/>
    <n v="528107"/>
    <n v="172292"/>
    <m/>
    <x v="160"/>
    <s v="PF"/>
    <d v="2017-07-05T00:00:00"/>
    <x v="134"/>
    <s v="Y"/>
    <m/>
    <s v="Nil"/>
    <m/>
    <m/>
    <s v="Change of use from estate agent (Class A2) to restaurant (Class A3)."/>
    <x v="159"/>
    <s v="COU"/>
    <x v="2"/>
    <s v="OC"/>
    <m/>
    <d v="2017-08-30T00:00:00"/>
    <d v="2018-03-31T00:00:00"/>
    <d v="2018-03-31T00:00:00"/>
    <s v="C"/>
    <s v="BF"/>
    <x v="0"/>
    <m/>
    <d v="2017-08-30T00:00:00"/>
    <d v="2018-03-31T00:00:00"/>
    <m/>
    <m/>
    <n v="50"/>
    <m/>
    <m/>
    <n v="50"/>
    <m/>
    <m/>
    <m/>
    <m/>
    <m/>
    <m/>
    <m/>
    <m/>
    <m/>
    <m/>
    <m/>
    <n v="50"/>
    <m/>
    <m/>
    <m/>
    <n v="50"/>
    <m/>
    <m/>
    <m/>
    <m/>
    <m/>
    <m/>
    <m/>
    <m/>
    <m/>
    <x v="1"/>
    <x v="0"/>
    <x v="1"/>
    <m/>
    <n v="-50"/>
    <n v="50"/>
    <m/>
    <m/>
    <m/>
    <m/>
    <x v="0"/>
    <m/>
    <m/>
    <m/>
    <m/>
    <m/>
    <x v="0"/>
    <m/>
    <m/>
    <m/>
    <m/>
    <s v="-"/>
    <s v="-"/>
    <s v="Restaurant"/>
    <s v="-"/>
    <s v="-"/>
    <s v="-"/>
    <s v="-"/>
    <s v="-"/>
    <s v="-"/>
    <s v="-"/>
    <s v="-"/>
    <x v="1"/>
    <x v="0"/>
    <s v="-"/>
    <s v="Estate Agent"/>
    <s v="-"/>
    <s v="-"/>
    <s v="-"/>
    <s v="-"/>
    <s v="-"/>
    <s v="-"/>
    <s v="-"/>
    <s v="-"/>
    <s v="-"/>
    <x v="0"/>
    <x v="0"/>
    <n v="1.7999999225139601E-2"/>
    <n v="50"/>
    <n v="50"/>
    <n v="0"/>
    <x v="0"/>
    <x v="0"/>
    <m/>
    <x v="0"/>
    <m/>
    <x v="0"/>
    <m/>
    <x v="0"/>
    <x v="0"/>
    <x v="0"/>
    <x v="0"/>
    <m/>
    <n v="0"/>
    <n v="0"/>
    <n v="0"/>
    <x v="0"/>
    <m/>
  </r>
  <r>
    <x v="0"/>
    <x v="0"/>
    <x v="0"/>
    <x v="0"/>
    <n v="3143"/>
    <x v="143"/>
    <x v="14"/>
    <n v="1.4999999664723899E-2"/>
    <n v="527314"/>
    <n v="171275"/>
    <m/>
    <x v="161"/>
    <s v="PF"/>
    <d v="2017-07-26T00:00:00"/>
    <x v="135"/>
    <s v="Y"/>
    <m/>
    <s v="Nil"/>
    <m/>
    <m/>
    <s v="Change of use of rear ground floor addition from Shop (Class A1) to a Restaurant and Café (Class A3) with the extension of opening hours to the whole premises to 09:00- 23:30 hours Sundays to Thursdays and 09:00 to 00:00 hours Fridays and Saturdays."/>
    <x v="160"/>
    <s v="COU"/>
    <x v="2"/>
    <s v="OC"/>
    <m/>
    <d v="2017-10-13T00:00:00"/>
    <d v="2018-03-31T00:00:00"/>
    <d v="2018-03-31T00:00:00"/>
    <s v="C"/>
    <s v="BF"/>
    <x v="0"/>
    <m/>
    <d v="2017-10-13T00:00:00"/>
    <d v="2018-03-31T00:00:00"/>
    <m/>
    <m/>
    <n v="9"/>
    <m/>
    <m/>
    <n v="9"/>
    <m/>
    <m/>
    <m/>
    <m/>
    <m/>
    <m/>
    <m/>
    <m/>
    <m/>
    <m/>
    <n v="9"/>
    <m/>
    <m/>
    <m/>
    <m/>
    <n v="9"/>
    <m/>
    <m/>
    <m/>
    <m/>
    <m/>
    <m/>
    <m/>
    <m/>
    <m/>
    <x v="1"/>
    <x v="0"/>
    <x v="1"/>
    <n v="-9"/>
    <m/>
    <n v="9"/>
    <m/>
    <m/>
    <m/>
    <m/>
    <x v="0"/>
    <m/>
    <m/>
    <m/>
    <m/>
    <m/>
    <x v="0"/>
    <m/>
    <m/>
    <m/>
    <m/>
    <s v="-"/>
    <s v="-"/>
    <s v="Café"/>
    <s v="-"/>
    <s v="-"/>
    <s v="-"/>
    <s v="-"/>
    <s v="-"/>
    <s v="-"/>
    <s v="-"/>
    <s v="-"/>
    <x v="1"/>
    <x v="0"/>
    <s v="Services"/>
    <s v="-"/>
    <s v="-"/>
    <s v="-"/>
    <s v="-"/>
    <s v="-"/>
    <s v="-"/>
    <s v="-"/>
    <s v="-"/>
    <s v="-"/>
    <s v="-"/>
    <x v="0"/>
    <x v="0"/>
    <n v="1.4999999664723899E-2"/>
    <n v="9"/>
    <n v="9"/>
    <n v="0"/>
    <x v="0"/>
    <x v="0"/>
    <m/>
    <x v="0"/>
    <m/>
    <x v="0"/>
    <m/>
    <x v="0"/>
    <x v="0"/>
    <x v="0"/>
    <x v="0"/>
    <m/>
    <n v="0"/>
    <n v="0"/>
    <n v="0"/>
    <x v="0"/>
    <m/>
  </r>
  <r>
    <x v="3"/>
    <x v="0"/>
    <x v="0"/>
    <x v="1"/>
    <n v="3148"/>
    <x v="144"/>
    <x v="8"/>
    <n v="5.6000001728534698E-2"/>
    <n v="529022"/>
    <n v="176926"/>
    <m/>
    <x v="162"/>
    <s v="PF"/>
    <d v="2014-09-24T00:00:00"/>
    <x v="136"/>
    <m/>
    <m/>
    <s v="Nil"/>
    <m/>
    <m/>
    <s v="Erection of an additional glazed storey to north eastern flank wall to provide an additional 208sqm of office floorspace."/>
    <x v="161"/>
    <s v="EXT"/>
    <x v="1"/>
    <s v="UC"/>
    <m/>
    <d v="2018-03-31T00:00:00"/>
    <m/>
    <m/>
    <s v="C"/>
    <s v="BF"/>
    <x v="0"/>
    <m/>
    <d v="2018-03-31T00:00:00"/>
    <m/>
    <m/>
    <m/>
    <m/>
    <m/>
    <m/>
    <m/>
    <n v="208"/>
    <m/>
    <m/>
    <n v="208"/>
    <m/>
    <m/>
    <n v="208"/>
    <m/>
    <m/>
    <m/>
    <m/>
    <m/>
    <m/>
    <m/>
    <m/>
    <m/>
    <m/>
    <m/>
    <m/>
    <m/>
    <m/>
    <m/>
    <m/>
    <m/>
    <m/>
    <x v="0"/>
    <x v="1"/>
    <x v="1"/>
    <m/>
    <m/>
    <m/>
    <m/>
    <m/>
    <m/>
    <n v="208"/>
    <x v="0"/>
    <m/>
    <m/>
    <m/>
    <m/>
    <n v="208"/>
    <x v="0"/>
    <m/>
    <m/>
    <m/>
    <m/>
    <s v="-"/>
    <s v="-"/>
    <s v="-"/>
    <s v="-"/>
    <s v="-"/>
    <s v="Not Known"/>
    <s v="-"/>
    <s v="-"/>
    <s v="-"/>
    <s v="-"/>
    <s v="-"/>
    <x v="1"/>
    <x v="0"/>
    <s v="-"/>
    <s v="-"/>
    <s v="-"/>
    <s v="-"/>
    <s v="-"/>
    <s v="-"/>
    <s v="-"/>
    <s v="-"/>
    <s v="-"/>
    <s v="-"/>
    <s v="-"/>
    <x v="0"/>
    <x v="0"/>
    <n v="5.6000001728534698E-2"/>
    <n v="208"/>
    <n v="0"/>
    <n v="208"/>
    <x v="0"/>
    <x v="1"/>
    <s v="Queenstown Road"/>
    <x v="0"/>
    <m/>
    <x v="0"/>
    <m/>
    <x v="1"/>
    <x v="0"/>
    <x v="0"/>
    <x v="0"/>
    <m/>
    <n v="0"/>
    <n v="0"/>
    <n v="0"/>
    <x v="0"/>
    <m/>
  </r>
  <r>
    <x v="1"/>
    <x v="0"/>
    <x v="0"/>
    <x v="1"/>
    <n v="3159"/>
    <x v="145"/>
    <x v="5"/>
    <n v="0.62000000476837203"/>
    <n v="525640"/>
    <n v="175236"/>
    <s v="3.5"/>
    <x v="163"/>
    <s v="AF"/>
    <d v="2017-01-30T00:00:00"/>
    <x v="1"/>
    <m/>
    <m/>
    <s v="Nil"/>
    <m/>
    <m/>
    <s v="Variation of condition 2 (hours of use) and condition 3 (restricted use) of planning permission dated 01/04/2015, ref. 2014/1184  (for change of use to storage purposes, (class B8), for storage of  construction plant including the installation of up to 13 shipping containers and laying out of 10 ancillary car parking spaces for a temporary period) so as to allow a variation of opening hours to between 06:00 to 19:00 every day, and to allow use of part of the site (approx. 80%)for storage purposes (class B8) and part of the site (approx. 20%) for coach parking (sui generis) use. [N.B. The temporary use approved under application 2014/1184 was conditioned to be for a 5 year period]."/>
    <x v="162"/>
    <s v="COU"/>
    <x v="2"/>
    <s v="NSO"/>
    <m/>
    <m/>
    <m/>
    <m/>
    <s v="P"/>
    <s v="BF"/>
    <x v="0"/>
    <m/>
    <m/>
    <m/>
    <m/>
    <m/>
    <m/>
    <m/>
    <m/>
    <m/>
    <m/>
    <m/>
    <m/>
    <m/>
    <m/>
    <n v="3379"/>
    <n v="3379"/>
    <m/>
    <m/>
    <m/>
    <m/>
    <m/>
    <m/>
    <m/>
    <m/>
    <m/>
    <m/>
    <m/>
    <m/>
    <m/>
    <n v="4224"/>
    <n v="4224"/>
    <m/>
    <m/>
    <m/>
    <x v="0"/>
    <x v="1"/>
    <x v="1"/>
    <m/>
    <m/>
    <m/>
    <m/>
    <m/>
    <m/>
    <m/>
    <x v="0"/>
    <m/>
    <m/>
    <m/>
    <n v="-845"/>
    <n v="-845"/>
    <x v="1"/>
    <m/>
    <m/>
    <m/>
    <m/>
    <s v="-"/>
    <s v="-"/>
    <s v="-"/>
    <s v="-"/>
    <s v="-"/>
    <s v="-"/>
    <s v="-"/>
    <s v="-"/>
    <s v="-"/>
    <s v="Storage"/>
    <s v="-"/>
    <x v="1"/>
    <x v="0"/>
    <s v="-"/>
    <s v="-"/>
    <s v="-"/>
    <s v="-"/>
    <s v="-"/>
    <s v="-"/>
    <s v="-"/>
    <s v="-"/>
    <s v="-"/>
    <s v="Storage"/>
    <s v="-"/>
    <x v="0"/>
    <x v="0"/>
    <n v="0.62000000476837203"/>
    <n v="4224"/>
    <n v="4224"/>
    <n v="0"/>
    <x v="1"/>
    <x v="0"/>
    <m/>
    <x v="0"/>
    <m/>
    <x v="0"/>
    <m/>
    <x v="0"/>
    <x v="0"/>
    <x v="0"/>
    <x v="0"/>
    <m/>
    <n v="0"/>
    <n v="0"/>
    <n v="0"/>
    <x v="0"/>
    <m/>
  </r>
  <r>
    <x v="1"/>
    <x v="4"/>
    <x v="4"/>
    <x v="1"/>
    <n v="3162"/>
    <x v="146"/>
    <x v="6"/>
    <n v="0.42199999094009399"/>
    <n v="527415"/>
    <n v="175590"/>
    <s v="4.1.1"/>
    <x v="164"/>
    <s v="SLA"/>
    <d v="2017-05-25T00:00:00"/>
    <x v="1"/>
    <m/>
    <d v="2017-09-20T00:00:00"/>
    <s v="Nil"/>
    <m/>
    <m/>
    <s v="Demolition of existing Lidl foodstore and the erection of a replacement part-two/part-three storey Lidl foodstore (7405sq.m total gross floor area) with associated car and cycle parking and landscaping."/>
    <x v="163"/>
    <s v="NB"/>
    <x v="0"/>
    <s v="NSO"/>
    <m/>
    <m/>
    <m/>
    <m/>
    <s v="P"/>
    <s v="BF"/>
    <x v="0"/>
    <m/>
    <m/>
    <m/>
    <n v="7405"/>
    <m/>
    <m/>
    <m/>
    <m/>
    <n v="7405"/>
    <m/>
    <m/>
    <m/>
    <m/>
    <m/>
    <m/>
    <m/>
    <m/>
    <m/>
    <m/>
    <n v="1461"/>
    <m/>
    <m/>
    <m/>
    <m/>
    <n v="1461"/>
    <m/>
    <m/>
    <m/>
    <m/>
    <m/>
    <m/>
    <m/>
    <m/>
    <m/>
    <x v="1"/>
    <x v="0"/>
    <x v="1"/>
    <n v="5944"/>
    <m/>
    <m/>
    <m/>
    <m/>
    <n v="5944"/>
    <m/>
    <x v="0"/>
    <m/>
    <m/>
    <m/>
    <m/>
    <m/>
    <x v="0"/>
    <m/>
    <m/>
    <m/>
    <m/>
    <s v="Consumables"/>
    <s v="-"/>
    <s v="-"/>
    <s v="-"/>
    <s v="-"/>
    <s v="-"/>
    <s v="-"/>
    <s v="-"/>
    <s v="-"/>
    <s v="-"/>
    <s v="-"/>
    <x v="1"/>
    <x v="0"/>
    <s v="Consumables"/>
    <s v="-"/>
    <s v="-"/>
    <s v="-"/>
    <s v="-"/>
    <s v="-"/>
    <s v="-"/>
    <s v="-"/>
    <s v="-"/>
    <s v="-"/>
    <s v="-"/>
    <x v="0"/>
    <x v="0"/>
    <n v="0.42199999094009399"/>
    <n v="7405"/>
    <n v="3278"/>
    <n v="4127"/>
    <x v="0"/>
    <x v="0"/>
    <m/>
    <x v="0"/>
    <m/>
    <x v="0"/>
    <m/>
    <x v="0"/>
    <x v="1"/>
    <x v="1"/>
    <x v="0"/>
    <m/>
    <n v="0"/>
    <n v="0"/>
    <n v="0"/>
    <x v="0"/>
    <m/>
  </r>
  <r>
    <x v="0"/>
    <x v="0"/>
    <x v="0"/>
    <x v="0"/>
    <n v="3223"/>
    <x v="147"/>
    <x v="14"/>
    <n v="3.7999998778104803E-2"/>
    <n v="527409"/>
    <n v="171468"/>
    <m/>
    <x v="165"/>
    <s v="PF"/>
    <d v="2017-02-15T00:00:00"/>
    <x v="137"/>
    <s v="Y"/>
    <m/>
    <s v="Nil"/>
    <m/>
    <m/>
    <s v="Change of use of first floor from education and training centre (Class D1) to a NHS talking therapy service (Class D1), with proposed opening hours 07:00am to 22:00pm Monday to Friday and 08:00am to 17:00pm Saturday."/>
    <x v="164"/>
    <s v="COU"/>
    <x v="2"/>
    <s v="OC"/>
    <m/>
    <d v="2017-04-11T00:00:00"/>
    <d v="2017-04-18T00:00:00"/>
    <d v="2017-04-18T00:00:00"/>
    <s v="C"/>
    <s v="BF"/>
    <x v="0"/>
    <m/>
    <d v="2017-04-11T00:00:00"/>
    <d v="2017-04-18T00:00:00"/>
    <m/>
    <m/>
    <m/>
    <m/>
    <m/>
    <m/>
    <m/>
    <m/>
    <m/>
    <m/>
    <m/>
    <m/>
    <m/>
    <n v="410"/>
    <m/>
    <n v="410"/>
    <m/>
    <m/>
    <m/>
    <m/>
    <m/>
    <m/>
    <m/>
    <m/>
    <m/>
    <m/>
    <m/>
    <m/>
    <n v="410"/>
    <m/>
    <n v="410"/>
    <x v="0"/>
    <x v="0"/>
    <x v="0"/>
    <m/>
    <m/>
    <m/>
    <m/>
    <m/>
    <m/>
    <m/>
    <x v="0"/>
    <m/>
    <m/>
    <m/>
    <m/>
    <m/>
    <x v="0"/>
    <m/>
    <m/>
    <m/>
    <m/>
    <s v="-"/>
    <s v="-"/>
    <s v="-"/>
    <s v="-"/>
    <s v="-"/>
    <s v="-"/>
    <s v="-"/>
    <s v="-"/>
    <s v="-"/>
    <s v="-"/>
    <s v="-"/>
    <x v="2"/>
    <x v="0"/>
    <s v="-"/>
    <s v="-"/>
    <s v="-"/>
    <s v="-"/>
    <s v="-"/>
    <s v="-"/>
    <s v="-"/>
    <s v="-"/>
    <s v="-"/>
    <s v="-"/>
    <s v="-"/>
    <x v="6"/>
    <x v="0"/>
    <n v="3.7999998778104803E-2"/>
    <n v="410"/>
    <n v="410"/>
    <n v="0"/>
    <x v="0"/>
    <x v="0"/>
    <m/>
    <x v="0"/>
    <m/>
    <x v="0"/>
    <m/>
    <x v="0"/>
    <x v="1"/>
    <x v="3"/>
    <x v="0"/>
    <m/>
    <n v="0"/>
    <n v="0"/>
    <n v="0"/>
    <x v="0"/>
    <m/>
  </r>
  <r>
    <x v="3"/>
    <x v="0"/>
    <x v="0"/>
    <x v="1"/>
    <n v="3265"/>
    <x v="148"/>
    <x v="7"/>
    <n v="1.9999999552965199E-2"/>
    <n v="524466"/>
    <n v="175195"/>
    <m/>
    <x v="166"/>
    <s v="PF"/>
    <d v="2017-08-31T00:00:00"/>
    <x v="12"/>
    <s v="Y"/>
    <m/>
    <s v="Nil"/>
    <m/>
    <m/>
    <s v="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
    <x v="165"/>
    <s v="MIX"/>
    <x v="0"/>
    <s v="UC"/>
    <m/>
    <d v="2018-03-31T00:00:00"/>
    <m/>
    <m/>
    <s v="C"/>
    <s v="BF"/>
    <x v="0"/>
    <m/>
    <d v="2018-03-31T00:00:00"/>
    <m/>
    <m/>
    <m/>
    <m/>
    <m/>
    <m/>
    <m/>
    <m/>
    <m/>
    <m/>
    <m/>
    <m/>
    <m/>
    <m/>
    <m/>
    <m/>
    <m/>
    <m/>
    <m/>
    <m/>
    <m/>
    <m/>
    <m/>
    <n v="180"/>
    <m/>
    <m/>
    <m/>
    <m/>
    <n v="180"/>
    <m/>
    <m/>
    <m/>
    <x v="0"/>
    <x v="1"/>
    <x v="1"/>
    <m/>
    <m/>
    <m/>
    <m/>
    <m/>
    <m/>
    <n v="-180"/>
    <x v="1"/>
    <m/>
    <m/>
    <m/>
    <m/>
    <n v="-180"/>
    <x v="1"/>
    <m/>
    <m/>
    <m/>
    <m/>
    <s v="-"/>
    <s v="-"/>
    <s v="-"/>
    <s v="-"/>
    <s v="-"/>
    <s v="-"/>
    <s v="-"/>
    <s v="-"/>
    <s v="-"/>
    <s v="-"/>
    <s v="-"/>
    <x v="1"/>
    <x v="0"/>
    <s v="-"/>
    <s v="-"/>
    <s v="-"/>
    <s v="-"/>
    <s v="-"/>
    <s v="Vacant"/>
    <s v="-"/>
    <s v="-"/>
    <s v="-"/>
    <s v="-"/>
    <s v="-"/>
    <x v="0"/>
    <x v="0"/>
    <n v="0"/>
    <n v="0"/>
    <n v="180"/>
    <n v="-180"/>
    <x v="0"/>
    <x v="0"/>
    <m/>
    <x v="0"/>
    <m/>
    <x v="0"/>
    <m/>
    <x v="0"/>
    <x v="0"/>
    <x v="0"/>
    <x v="0"/>
    <m/>
    <n v="193"/>
    <n v="0"/>
    <n v="193"/>
    <x v="1"/>
    <m/>
  </r>
  <r>
    <x v="3"/>
    <x v="0"/>
    <x v="0"/>
    <x v="1"/>
    <n v="3266"/>
    <x v="149"/>
    <x v="13"/>
    <n v="2.8000000864267301E-2"/>
    <n v="526086"/>
    <n v="172456"/>
    <m/>
    <x v="167"/>
    <s v="PF"/>
    <d v="2015-06-15T00:00:00"/>
    <x v="138"/>
    <m/>
    <m/>
    <s v="Nil"/>
    <m/>
    <m/>
    <s v="Demolition of existing buildings and erection of three-storey building to provide 8 flats, with first and second level terraces and communal garden."/>
    <x v="166"/>
    <s v="NB"/>
    <x v="0"/>
    <s v="UC"/>
    <m/>
    <d v="2018-03-31T00:00:00"/>
    <m/>
    <m/>
    <s v="C"/>
    <s v="BF"/>
    <x v="0"/>
    <m/>
    <d v="2018-03-31T00:00:00"/>
    <m/>
    <m/>
    <m/>
    <m/>
    <m/>
    <m/>
    <m/>
    <m/>
    <m/>
    <m/>
    <m/>
    <m/>
    <m/>
    <m/>
    <m/>
    <m/>
    <m/>
    <m/>
    <m/>
    <m/>
    <m/>
    <m/>
    <m/>
    <m/>
    <m/>
    <m/>
    <n v="220"/>
    <m/>
    <n v="220"/>
    <m/>
    <m/>
    <m/>
    <x v="0"/>
    <x v="1"/>
    <x v="1"/>
    <m/>
    <m/>
    <m/>
    <m/>
    <m/>
    <m/>
    <m/>
    <x v="0"/>
    <m/>
    <m/>
    <n v="-220"/>
    <m/>
    <n v="-220"/>
    <x v="1"/>
    <m/>
    <m/>
    <m/>
    <m/>
    <s v="-"/>
    <s v="-"/>
    <s v="-"/>
    <s v="-"/>
    <s v="-"/>
    <s v="-"/>
    <s v="-"/>
    <s v="-"/>
    <s v="-"/>
    <s v="-"/>
    <s v="-"/>
    <x v="1"/>
    <x v="0"/>
    <s v="-"/>
    <s v="-"/>
    <s v="-"/>
    <s v="-"/>
    <s v="-"/>
    <s v="-"/>
    <s v="-"/>
    <s v="-"/>
    <s v="General Industry"/>
    <s v="-"/>
    <s v="-"/>
    <x v="0"/>
    <x v="0"/>
    <n v="0"/>
    <n v="0"/>
    <n v="220"/>
    <n v="-220"/>
    <x v="0"/>
    <x v="0"/>
    <m/>
    <x v="0"/>
    <m/>
    <x v="0"/>
    <m/>
    <x v="0"/>
    <x v="0"/>
    <x v="0"/>
    <x v="0"/>
    <m/>
    <n v="592"/>
    <n v="0"/>
    <n v="592"/>
    <x v="1"/>
    <m/>
  </r>
  <r>
    <x v="0"/>
    <x v="0"/>
    <x v="0"/>
    <x v="0"/>
    <n v="3290"/>
    <x v="150"/>
    <x v="16"/>
    <n v="9.9999997764825804E-3"/>
    <n v="527974"/>
    <n v="171515"/>
    <m/>
    <x v="168"/>
    <s v="PF"/>
    <d v="2015-10-12T00:00:00"/>
    <x v="139"/>
    <m/>
    <m/>
    <s v="Nil"/>
    <m/>
    <m/>
    <s v="Change of use of ground floor mini-cab office (sui generis use) to form a ground floor flat (Use Class C3) with erection of part single- part two-storey side/rear extension including formation of roof terrace at first floor level. Alterations including erection of dormer roof extension to main rear roof."/>
    <x v="167"/>
    <s v="MIX"/>
    <x v="0"/>
    <s v="OC"/>
    <m/>
    <d v="2016-03-31T00:00:00"/>
    <d v="2017-04-19T00:00:00"/>
    <d v="2017-04-19T00:00:00"/>
    <s v="C"/>
    <s v="BF"/>
    <x v="0"/>
    <m/>
    <d v="2016-03-31T00:00:00"/>
    <d v="2017-04-19T00:00:00"/>
    <m/>
    <m/>
    <m/>
    <m/>
    <m/>
    <m/>
    <m/>
    <m/>
    <m/>
    <m/>
    <m/>
    <m/>
    <m/>
    <m/>
    <m/>
    <m/>
    <m/>
    <m/>
    <m/>
    <m/>
    <m/>
    <m/>
    <m/>
    <m/>
    <m/>
    <m/>
    <m/>
    <m/>
    <m/>
    <m/>
    <m/>
    <x v="0"/>
    <x v="0"/>
    <x v="1"/>
    <m/>
    <m/>
    <m/>
    <m/>
    <m/>
    <m/>
    <m/>
    <x v="0"/>
    <m/>
    <m/>
    <m/>
    <m/>
    <m/>
    <x v="0"/>
    <m/>
    <m/>
    <m/>
    <m/>
    <s v="-"/>
    <s v="-"/>
    <s v="-"/>
    <s v="-"/>
    <s v="-"/>
    <s v="-"/>
    <s v="-"/>
    <s v="-"/>
    <s v="-"/>
    <s v="-"/>
    <s v="-"/>
    <x v="1"/>
    <x v="0"/>
    <s v="-"/>
    <s v="-"/>
    <s v="-"/>
    <s v="-"/>
    <s v="-"/>
    <s v="-"/>
    <s v="-"/>
    <s v="-"/>
    <s v="-"/>
    <s v="-"/>
    <s v="-"/>
    <x v="0"/>
    <x v="0"/>
    <n v="0"/>
    <n v="0"/>
    <n v="47"/>
    <n v="-47"/>
    <x v="0"/>
    <x v="0"/>
    <m/>
    <x v="0"/>
    <m/>
    <x v="0"/>
    <m/>
    <x v="0"/>
    <x v="0"/>
    <x v="0"/>
    <x v="0"/>
    <m/>
    <n v="132"/>
    <n v="45"/>
    <n v="87"/>
    <x v="1"/>
    <m/>
  </r>
  <r>
    <x v="0"/>
    <x v="0"/>
    <x v="0"/>
    <x v="0"/>
    <n v="3321"/>
    <x v="151"/>
    <x v="19"/>
    <n v="0.112999998033047"/>
    <n v="522879"/>
    <n v="174458"/>
    <m/>
    <x v="169"/>
    <s v="PF"/>
    <d v="2015-09-18T00:00:00"/>
    <x v="140"/>
    <m/>
    <m/>
    <s v="Nil"/>
    <m/>
    <m/>
    <s v="Erection of a single-storey extension fronting Cortis road."/>
    <x v="168"/>
    <s v="NB"/>
    <x v="0"/>
    <s v="OC"/>
    <m/>
    <d v="2016-01-20T00:00:00"/>
    <d v="2017-05-16T00:00:00"/>
    <d v="2017-05-16T00:00:00"/>
    <s v="C"/>
    <s v="BF"/>
    <x v="0"/>
    <m/>
    <d v="2016-01-20T00:00:00"/>
    <d v="2017-05-16T00:00:00"/>
    <m/>
    <m/>
    <m/>
    <m/>
    <m/>
    <m/>
    <m/>
    <m/>
    <m/>
    <m/>
    <m/>
    <m/>
    <m/>
    <n v="21"/>
    <m/>
    <n v="21"/>
    <m/>
    <m/>
    <m/>
    <m/>
    <m/>
    <m/>
    <m/>
    <m/>
    <m/>
    <m/>
    <m/>
    <m/>
    <m/>
    <m/>
    <m/>
    <x v="0"/>
    <x v="0"/>
    <x v="0"/>
    <m/>
    <m/>
    <m/>
    <m/>
    <m/>
    <m/>
    <m/>
    <x v="0"/>
    <m/>
    <m/>
    <m/>
    <m/>
    <m/>
    <x v="0"/>
    <m/>
    <n v="21"/>
    <m/>
    <n v="21"/>
    <s v="-"/>
    <s v="-"/>
    <s v="-"/>
    <s v="-"/>
    <s v="-"/>
    <s v="-"/>
    <s v="-"/>
    <s v="-"/>
    <s v="-"/>
    <s v="-"/>
    <s v="-"/>
    <x v="0"/>
    <x v="0"/>
    <s v="-"/>
    <s v="-"/>
    <s v="-"/>
    <s v="-"/>
    <s v="-"/>
    <s v="-"/>
    <s v="-"/>
    <s v="-"/>
    <s v="-"/>
    <s v="-"/>
    <s v="-"/>
    <x v="0"/>
    <x v="0"/>
    <n v="0.112999998033047"/>
    <n v="21"/>
    <n v="0"/>
    <n v="21"/>
    <x v="0"/>
    <x v="0"/>
    <m/>
    <x v="0"/>
    <m/>
    <x v="0"/>
    <m/>
    <x v="0"/>
    <x v="0"/>
    <x v="0"/>
    <x v="0"/>
    <m/>
    <n v="0"/>
    <n v="0"/>
    <n v="0"/>
    <x v="0"/>
    <m/>
  </r>
  <r>
    <x v="0"/>
    <x v="2"/>
    <x v="2"/>
    <x v="0"/>
    <n v="3338"/>
    <x v="152"/>
    <x v="8"/>
    <n v="4.0000001899898104E-3"/>
    <n v="528077"/>
    <n v="176658"/>
    <m/>
    <x v="170"/>
    <s v="PAG"/>
    <d v="2016-06-16T00:00:00"/>
    <x v="124"/>
    <m/>
    <m/>
    <s v="Nil"/>
    <m/>
    <m/>
    <s v="Determination as to whether prior approval is required for change of use of office at lower ground and ground floors (Class Use B1a) to 1x1 bedroom residential unit (Class Use C3)."/>
    <x v="169"/>
    <s v="COU"/>
    <x v="2"/>
    <s v="OC"/>
    <m/>
    <d v="2016-12-14T00:00:00"/>
    <d v="2018-02-16T00:00:00"/>
    <d v="2018-02-16T00:00:00"/>
    <s v="C"/>
    <s v="BF"/>
    <x v="0"/>
    <m/>
    <d v="2016-12-14T00:00:00"/>
    <d v="2018-02-16T00:00:00"/>
    <m/>
    <m/>
    <m/>
    <m/>
    <m/>
    <m/>
    <m/>
    <m/>
    <m/>
    <m/>
    <m/>
    <m/>
    <m/>
    <m/>
    <m/>
    <m/>
    <m/>
    <m/>
    <m/>
    <m/>
    <m/>
    <m/>
    <n v="72"/>
    <m/>
    <m/>
    <m/>
    <m/>
    <n v="72"/>
    <m/>
    <m/>
    <m/>
    <x v="0"/>
    <x v="1"/>
    <x v="1"/>
    <m/>
    <m/>
    <m/>
    <m/>
    <m/>
    <m/>
    <n v="-72"/>
    <x v="1"/>
    <m/>
    <m/>
    <m/>
    <m/>
    <n v="-72"/>
    <x v="1"/>
    <m/>
    <m/>
    <m/>
    <m/>
    <s v="-"/>
    <s v="-"/>
    <s v="-"/>
    <s v="-"/>
    <s v="-"/>
    <s v="-"/>
    <s v="-"/>
    <s v="-"/>
    <s v="-"/>
    <s v="-"/>
    <s v="-"/>
    <x v="1"/>
    <x v="0"/>
    <s v="-"/>
    <s v="-"/>
    <s v="-"/>
    <s v="-"/>
    <s v="-"/>
    <s v="Not Known"/>
    <s v="-"/>
    <s v="-"/>
    <s v="-"/>
    <s v="-"/>
    <s v="-"/>
    <x v="0"/>
    <x v="0"/>
    <n v="1.0000001639127805E-3"/>
    <n v="0"/>
    <n v="72"/>
    <n v="-72"/>
    <x v="0"/>
    <x v="0"/>
    <m/>
    <x v="0"/>
    <m/>
    <x v="0"/>
    <m/>
    <x v="0"/>
    <x v="0"/>
    <x v="0"/>
    <x v="0"/>
    <m/>
    <n v="72"/>
    <n v="0"/>
    <n v="72"/>
    <x v="1"/>
    <m/>
  </r>
  <r>
    <x v="2"/>
    <x v="0"/>
    <x v="0"/>
    <x v="1"/>
    <n v="3351"/>
    <x v="153"/>
    <x v="15"/>
    <n v="2.8000000864267301E-2"/>
    <n v="529324"/>
    <n v="171420"/>
    <m/>
    <x v="171"/>
    <s v="PF"/>
    <d v="2017-05-09T00:00:00"/>
    <x v="141"/>
    <s v="Y"/>
    <m/>
    <s v="Nil"/>
    <m/>
    <m/>
    <s v="Demolition of existing structure, and the erection of 1 x 2-bedroom bungalow with private parking and garden, including works to surrounding trees."/>
    <x v="170"/>
    <s v="NB"/>
    <x v="0"/>
    <s v="NSO"/>
    <m/>
    <m/>
    <m/>
    <m/>
    <s v="C"/>
    <s v="BF"/>
    <x v="0"/>
    <m/>
    <m/>
    <m/>
    <m/>
    <m/>
    <m/>
    <m/>
    <m/>
    <m/>
    <m/>
    <m/>
    <m/>
    <m/>
    <m/>
    <m/>
    <m/>
    <m/>
    <m/>
    <m/>
    <m/>
    <m/>
    <m/>
    <m/>
    <m/>
    <m/>
    <m/>
    <m/>
    <m/>
    <m/>
    <m/>
    <m/>
    <m/>
    <m/>
    <m/>
    <x v="0"/>
    <x v="0"/>
    <x v="1"/>
    <m/>
    <m/>
    <m/>
    <m/>
    <m/>
    <m/>
    <m/>
    <x v="0"/>
    <m/>
    <m/>
    <m/>
    <m/>
    <m/>
    <x v="0"/>
    <m/>
    <m/>
    <m/>
    <m/>
    <s v="-"/>
    <s v="-"/>
    <s v="-"/>
    <s v="-"/>
    <s v="-"/>
    <s v="-"/>
    <s v="-"/>
    <s v="-"/>
    <s v="-"/>
    <s v="-"/>
    <s v="-"/>
    <x v="1"/>
    <x v="0"/>
    <s v="-"/>
    <s v="-"/>
    <s v="-"/>
    <s v="-"/>
    <s v="-"/>
    <s v="-"/>
    <s v="-"/>
    <s v="-"/>
    <s v="-"/>
    <s v="-"/>
    <s v="-"/>
    <x v="0"/>
    <x v="0"/>
    <n v="2.300000097602601E-2"/>
    <n v="0"/>
    <n v="36"/>
    <n v="-36"/>
    <x v="0"/>
    <x v="0"/>
    <m/>
    <x v="0"/>
    <m/>
    <x v="0"/>
    <m/>
    <x v="0"/>
    <x v="0"/>
    <x v="0"/>
    <x v="0"/>
    <m/>
    <n v="80"/>
    <n v="0"/>
    <n v="80"/>
    <x v="1"/>
    <m/>
  </r>
  <r>
    <x v="3"/>
    <x v="0"/>
    <x v="0"/>
    <x v="1"/>
    <n v="3388"/>
    <x v="154"/>
    <x v="3"/>
    <n v="2.60000005364418E-2"/>
    <n v="527364"/>
    <n v="175137"/>
    <m/>
    <x v="172"/>
    <s v="PF"/>
    <d v="2017-05-30T00:00:00"/>
    <x v="69"/>
    <s v="Y"/>
    <m/>
    <s v="Nil"/>
    <m/>
    <m/>
    <s v="Change of use of ground and basement floors from A3 to flexible use of A1, A2, A3 and D2 (Reconsultation: Opening hours for D2 use only to be extended to: 0600 - 21:00 (Monday to Friday) and 0730 to 2100 (Sat and Sun)."/>
    <x v="171"/>
    <s v="COU"/>
    <x v="2"/>
    <s v="UC"/>
    <m/>
    <d v="2018-03-31T00:00:00"/>
    <m/>
    <m/>
    <s v="C"/>
    <s v="BF"/>
    <x v="0"/>
    <m/>
    <d v="2018-03-31T00:00:00"/>
    <m/>
    <n v="75"/>
    <n v="75"/>
    <n v="75"/>
    <m/>
    <m/>
    <n v="225"/>
    <m/>
    <m/>
    <m/>
    <m/>
    <m/>
    <m/>
    <m/>
    <m/>
    <n v="75"/>
    <n v="75"/>
    <m/>
    <m/>
    <n v="300"/>
    <m/>
    <m/>
    <n v="300"/>
    <m/>
    <m/>
    <m/>
    <m/>
    <m/>
    <m/>
    <m/>
    <m/>
    <m/>
    <x v="1"/>
    <x v="0"/>
    <x v="0"/>
    <n v="75"/>
    <n v="75"/>
    <n v="-225"/>
    <m/>
    <m/>
    <n v="-75"/>
    <m/>
    <x v="0"/>
    <m/>
    <m/>
    <m/>
    <m/>
    <m/>
    <x v="0"/>
    <m/>
    <m/>
    <n v="75"/>
    <n v="75"/>
    <s v="Not Known"/>
    <s v="Not Known"/>
    <s v="Not Known"/>
    <s v="-"/>
    <s v="-"/>
    <s v="-"/>
    <s v="-"/>
    <s v="-"/>
    <s v="-"/>
    <s v="-"/>
    <s v="-"/>
    <x v="1"/>
    <x v="3"/>
    <s v="-"/>
    <s v="-"/>
    <s v="Restaurant"/>
    <s v="-"/>
    <s v="-"/>
    <s v="-"/>
    <s v="-"/>
    <s v="-"/>
    <s v="-"/>
    <s v="-"/>
    <s v="-"/>
    <x v="0"/>
    <x v="0"/>
    <n v="2.60000005364418E-2"/>
    <n v="300"/>
    <n v="300"/>
    <n v="0"/>
    <x v="0"/>
    <x v="0"/>
    <m/>
    <x v="0"/>
    <m/>
    <x v="0"/>
    <m/>
    <x v="0"/>
    <x v="1"/>
    <x v="1"/>
    <x v="0"/>
    <m/>
    <n v="0"/>
    <n v="0"/>
    <n v="0"/>
    <x v="0"/>
    <m/>
  </r>
  <r>
    <x v="3"/>
    <x v="0"/>
    <x v="0"/>
    <x v="1"/>
    <n v="3415"/>
    <x v="155"/>
    <x v="2"/>
    <n v="1.30000002682209E-2"/>
    <n v="528454"/>
    <n v="173134"/>
    <m/>
    <x v="173"/>
    <s v="PF"/>
    <d v="2016-06-08T00:00:00"/>
    <x v="142"/>
    <m/>
    <m/>
    <s v="Nil"/>
    <m/>
    <m/>
    <s v="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
    <x v="172"/>
    <s v="MIX"/>
    <x v="0"/>
    <s v="UC"/>
    <m/>
    <d v="2017-05-24T00:00:00"/>
    <m/>
    <m/>
    <s v="C"/>
    <s v="BF"/>
    <x v="0"/>
    <m/>
    <d v="2017-05-24T00:00:00"/>
    <m/>
    <n v="51"/>
    <n v="50"/>
    <n v="51"/>
    <m/>
    <m/>
    <n v="152"/>
    <m/>
    <m/>
    <m/>
    <m/>
    <m/>
    <m/>
    <m/>
    <m/>
    <m/>
    <m/>
    <n v="152"/>
    <m/>
    <m/>
    <m/>
    <m/>
    <n v="152"/>
    <m/>
    <m/>
    <m/>
    <m/>
    <m/>
    <m/>
    <m/>
    <m/>
    <m/>
    <x v="1"/>
    <x v="0"/>
    <x v="1"/>
    <n v="-101"/>
    <n v="50"/>
    <n v="51"/>
    <m/>
    <m/>
    <m/>
    <m/>
    <x v="0"/>
    <m/>
    <m/>
    <m/>
    <m/>
    <m/>
    <x v="0"/>
    <m/>
    <m/>
    <m/>
    <m/>
    <s v="Not Known"/>
    <s v="Not Known"/>
    <s v="Not Known"/>
    <s v="-"/>
    <s v="-"/>
    <s v="-"/>
    <s v="-"/>
    <s v="-"/>
    <s v="-"/>
    <s v="-"/>
    <s v="-"/>
    <x v="1"/>
    <x v="0"/>
    <s v="Not Known"/>
    <s v="-"/>
    <s v="-"/>
    <s v="-"/>
    <s v="-"/>
    <s v="-"/>
    <s v="-"/>
    <s v="-"/>
    <s v="-"/>
    <s v="-"/>
    <s v="-"/>
    <x v="0"/>
    <x v="0"/>
    <n v="3.0000004917383194E-3"/>
    <n v="152"/>
    <n v="152"/>
    <n v="0"/>
    <x v="0"/>
    <x v="0"/>
    <m/>
    <x v="0"/>
    <m/>
    <x v="0"/>
    <m/>
    <x v="0"/>
    <x v="0"/>
    <x v="0"/>
    <x v="0"/>
    <m/>
    <n v="289"/>
    <n v="178"/>
    <n v="111"/>
    <x v="1"/>
    <m/>
  </r>
  <r>
    <x v="0"/>
    <x v="0"/>
    <x v="0"/>
    <x v="0"/>
    <n v="3438"/>
    <x v="156"/>
    <x v="15"/>
    <n v="1.2000000104308101E-2"/>
    <n v="528986"/>
    <n v="170585"/>
    <m/>
    <x v="174"/>
    <s v="PF"/>
    <d v="2016-09-27T00:00:00"/>
    <x v="143"/>
    <m/>
    <m/>
    <s v="Nil"/>
    <m/>
    <m/>
    <s v="Change of use of part of ground floor shop (Class A1)  into 1 x 1 bedroom flat (Class C3), and alterations to side elevation at ground floor."/>
    <x v="173"/>
    <s v="MIX"/>
    <x v="0"/>
    <s v="OC"/>
    <m/>
    <d v="2017-03-24T00:00:00"/>
    <d v="2017-06-28T00:00:00"/>
    <d v="2017-06-28T00:00:00"/>
    <s v="C"/>
    <s v="BF"/>
    <x v="0"/>
    <m/>
    <d v="2017-03-24T00:00:00"/>
    <d v="2017-06-28T00:00:00"/>
    <n v="46"/>
    <m/>
    <m/>
    <m/>
    <m/>
    <n v="46"/>
    <m/>
    <m/>
    <m/>
    <m/>
    <m/>
    <m/>
    <m/>
    <m/>
    <m/>
    <m/>
    <n v="113"/>
    <m/>
    <m/>
    <m/>
    <m/>
    <n v="113"/>
    <m/>
    <m/>
    <m/>
    <m/>
    <m/>
    <m/>
    <m/>
    <m/>
    <m/>
    <x v="1"/>
    <x v="0"/>
    <x v="1"/>
    <n v="-67"/>
    <m/>
    <m/>
    <m/>
    <m/>
    <n v="-67"/>
    <m/>
    <x v="0"/>
    <m/>
    <m/>
    <m/>
    <m/>
    <m/>
    <x v="0"/>
    <m/>
    <m/>
    <m/>
    <m/>
    <s v="Consumables"/>
    <s v="-"/>
    <s v="-"/>
    <s v="-"/>
    <s v="-"/>
    <s v="-"/>
    <s v="-"/>
    <s v="-"/>
    <s v="-"/>
    <s v="-"/>
    <s v="-"/>
    <x v="1"/>
    <x v="0"/>
    <s v="Consumables"/>
    <s v="-"/>
    <s v="-"/>
    <s v="-"/>
    <s v="-"/>
    <s v="-"/>
    <s v="-"/>
    <s v="-"/>
    <s v="-"/>
    <s v="-"/>
    <s v="-"/>
    <x v="0"/>
    <x v="0"/>
    <n v="6.0000000521540408E-3"/>
    <n v="46"/>
    <n v="113"/>
    <n v="-67"/>
    <x v="0"/>
    <x v="0"/>
    <m/>
    <x v="0"/>
    <m/>
    <x v="0"/>
    <m/>
    <x v="0"/>
    <x v="0"/>
    <x v="0"/>
    <x v="0"/>
    <m/>
    <n v="46"/>
    <n v="0"/>
    <n v="46"/>
    <x v="1"/>
    <m/>
  </r>
  <r>
    <x v="0"/>
    <x v="0"/>
    <x v="0"/>
    <x v="0"/>
    <n v="3474"/>
    <x v="157"/>
    <x v="14"/>
    <n v="2.60000005364418E-2"/>
    <n v="527800"/>
    <n v="172183"/>
    <m/>
    <x v="175"/>
    <s v="PF"/>
    <d v="2017-07-03T00:00:00"/>
    <x v="40"/>
    <s v="Y"/>
    <m/>
    <s v="Nil"/>
    <m/>
    <m/>
    <s v="Alterations including erection of single storey rear extension in connection with partial change of use at ground floor from shop (Class A1) into 1 x 2-bedroom flat (Class C3)."/>
    <x v="174"/>
    <s v="MIX"/>
    <x v="0"/>
    <s v="OC"/>
    <m/>
    <d v="2017-08-24T00:00:00"/>
    <d v="2018-03-31T00:00:00"/>
    <d v="2018-03-31T00:00:00"/>
    <s v="C"/>
    <s v="BF"/>
    <x v="0"/>
    <m/>
    <d v="2017-08-24T00:00:00"/>
    <d v="2018-03-31T00:00:00"/>
    <n v="46"/>
    <m/>
    <m/>
    <m/>
    <m/>
    <n v="46"/>
    <m/>
    <m/>
    <m/>
    <m/>
    <m/>
    <m/>
    <m/>
    <m/>
    <m/>
    <m/>
    <n v="83"/>
    <m/>
    <m/>
    <m/>
    <m/>
    <n v="83"/>
    <m/>
    <m/>
    <m/>
    <m/>
    <m/>
    <m/>
    <m/>
    <m/>
    <m/>
    <x v="1"/>
    <x v="0"/>
    <x v="1"/>
    <n v="-37"/>
    <m/>
    <m/>
    <m/>
    <m/>
    <n v="-37"/>
    <m/>
    <x v="0"/>
    <m/>
    <m/>
    <m/>
    <m/>
    <m/>
    <x v="0"/>
    <m/>
    <m/>
    <m/>
    <m/>
    <s v="Not Known"/>
    <s v="-"/>
    <s v="-"/>
    <s v="-"/>
    <s v="-"/>
    <s v="-"/>
    <s v="-"/>
    <s v="-"/>
    <s v="-"/>
    <s v="-"/>
    <s v="-"/>
    <x v="1"/>
    <x v="0"/>
    <s v="Vacant"/>
    <s v="-"/>
    <s v="-"/>
    <s v="-"/>
    <s v="-"/>
    <s v="-"/>
    <s v="-"/>
    <s v="-"/>
    <s v="-"/>
    <s v="-"/>
    <s v="-"/>
    <x v="0"/>
    <x v="0"/>
    <n v="1.9000000320374959E-2"/>
    <n v="46"/>
    <n v="83"/>
    <n v="-37"/>
    <x v="0"/>
    <x v="0"/>
    <m/>
    <x v="0"/>
    <m/>
    <x v="0"/>
    <m/>
    <x v="0"/>
    <x v="0"/>
    <x v="0"/>
    <x v="0"/>
    <m/>
    <n v="65"/>
    <n v="0"/>
    <n v="65"/>
    <x v="1"/>
    <m/>
  </r>
  <r>
    <x v="2"/>
    <x v="0"/>
    <x v="0"/>
    <x v="1"/>
    <n v="3499"/>
    <x v="158"/>
    <x v="12"/>
    <n v="0.50599998235702504"/>
    <n v="525461"/>
    <n v="174573"/>
    <m/>
    <x v="176"/>
    <s v="PF"/>
    <d v="2015-02-27T00:00:00"/>
    <x v="144"/>
    <m/>
    <m/>
    <s v="Nil"/>
    <m/>
    <m/>
    <s v="Change of use of units 27, 1, 2, and 3 on the ground floor of buildings 1 and 2 from office (Class Use B1) to creche (Class Use D1)."/>
    <x v="175"/>
    <s v="COU"/>
    <x v="2"/>
    <s v="NSO"/>
    <m/>
    <m/>
    <m/>
    <m/>
    <s v="C"/>
    <s v="BF"/>
    <x v="0"/>
    <m/>
    <m/>
    <m/>
    <m/>
    <m/>
    <m/>
    <m/>
    <m/>
    <m/>
    <m/>
    <m/>
    <m/>
    <m/>
    <m/>
    <m/>
    <m/>
    <n v="252"/>
    <m/>
    <n v="252"/>
    <m/>
    <m/>
    <m/>
    <m/>
    <m/>
    <m/>
    <n v="252"/>
    <m/>
    <m/>
    <m/>
    <m/>
    <n v="252"/>
    <m/>
    <m/>
    <m/>
    <x v="0"/>
    <x v="1"/>
    <x v="0"/>
    <m/>
    <m/>
    <m/>
    <m/>
    <m/>
    <m/>
    <n v="-252"/>
    <x v="1"/>
    <m/>
    <m/>
    <m/>
    <m/>
    <n v="-252"/>
    <x v="1"/>
    <m/>
    <n v="252"/>
    <m/>
    <n v="252"/>
    <s v="-"/>
    <s v="-"/>
    <s v="-"/>
    <s v="-"/>
    <s v="-"/>
    <s v="-"/>
    <s v="-"/>
    <s v="-"/>
    <s v="-"/>
    <s v="-"/>
    <s v="-"/>
    <x v="6"/>
    <x v="0"/>
    <s v="-"/>
    <s v="-"/>
    <s v="-"/>
    <s v="-"/>
    <s v="-"/>
    <s v="Not Known"/>
    <s v="-"/>
    <s v="-"/>
    <s v="-"/>
    <s v="-"/>
    <s v="-"/>
    <x v="0"/>
    <x v="0"/>
    <n v="0.50599998235702504"/>
    <n v="252"/>
    <n v="252"/>
    <n v="0"/>
    <x v="0"/>
    <x v="0"/>
    <m/>
    <x v="0"/>
    <m/>
    <x v="1"/>
    <s v="Business Village"/>
    <x v="0"/>
    <x v="1"/>
    <x v="4"/>
    <x v="0"/>
    <m/>
    <n v="0"/>
    <n v="0"/>
    <n v="0"/>
    <x v="0"/>
    <m/>
  </r>
  <r>
    <x v="3"/>
    <x v="0"/>
    <x v="0"/>
    <x v="1"/>
    <n v="3501"/>
    <x v="159"/>
    <x v="4"/>
    <n v="0.19499999284744299"/>
    <n v="526469"/>
    <n v="175635"/>
    <s v="10.10"/>
    <x v="177"/>
    <s v="PFLA"/>
    <d v="2014-08-11T00:00:00"/>
    <x v="145"/>
    <m/>
    <d v="2015-03-18T00:00:00"/>
    <s v="Nil"/>
    <m/>
    <m/>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x v="176"/>
    <s v="NB"/>
    <x v="0"/>
    <s v="UC"/>
    <d v="2008-03-10T00:00:00"/>
    <d v="2015-09-28T00:00:00"/>
    <m/>
    <m/>
    <s v="C"/>
    <s v="BF"/>
    <x v="0"/>
    <m/>
    <d v="2015-09-28T00:00:00"/>
    <m/>
    <n v="362"/>
    <m/>
    <m/>
    <m/>
    <m/>
    <n v="362"/>
    <n v="368"/>
    <m/>
    <m/>
    <n v="368"/>
    <m/>
    <m/>
    <n v="368"/>
    <m/>
    <m/>
    <m/>
    <m/>
    <m/>
    <m/>
    <m/>
    <m/>
    <m/>
    <m/>
    <m/>
    <m/>
    <m/>
    <m/>
    <m/>
    <m/>
    <m/>
    <m/>
    <x v="1"/>
    <x v="1"/>
    <x v="1"/>
    <n v="362"/>
    <m/>
    <m/>
    <m/>
    <m/>
    <n v="362"/>
    <n v="368"/>
    <x v="0"/>
    <m/>
    <m/>
    <m/>
    <m/>
    <n v="368"/>
    <x v="0"/>
    <m/>
    <m/>
    <m/>
    <m/>
    <s v="Not Known"/>
    <s v="-"/>
    <s v="-"/>
    <s v="-"/>
    <s v="-"/>
    <s v="Not Known"/>
    <s v="-"/>
    <s v="-"/>
    <s v="-"/>
    <s v="-"/>
    <s v="-"/>
    <x v="1"/>
    <x v="0"/>
    <s v="-"/>
    <s v="-"/>
    <s v="-"/>
    <s v="-"/>
    <s v="-"/>
    <s v="-"/>
    <s v="-"/>
    <s v="-"/>
    <s v="-"/>
    <s v="-"/>
    <s v="-"/>
    <x v="0"/>
    <x v="0"/>
    <n v="1.699999347329198E-2"/>
    <n v="730"/>
    <n v="0"/>
    <n v="730"/>
    <x v="1"/>
    <x v="0"/>
    <m/>
    <x v="0"/>
    <m/>
    <x v="1"/>
    <s v="Chatfield/Mendip Roads"/>
    <x v="0"/>
    <x v="0"/>
    <x v="0"/>
    <x v="0"/>
    <m/>
    <n v="3928"/>
    <n v="0"/>
    <n v="3928"/>
    <x v="1"/>
    <m/>
  </r>
  <r>
    <x v="0"/>
    <x v="0"/>
    <x v="0"/>
    <x v="0"/>
    <n v="3510"/>
    <x v="160"/>
    <x v="8"/>
    <n v="2.0969998836517298"/>
    <n v="529424"/>
    <n v="177541"/>
    <s v="2.1.9"/>
    <x v="178"/>
    <s v="PFLA"/>
    <d v="2011-08-31T00:00:00"/>
    <x v="146"/>
    <m/>
    <d v="2011-11-17T00:00:00"/>
    <s v="Nil"/>
    <m/>
    <m/>
    <s v="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x v="121"/>
    <s v="NB"/>
    <x v="0"/>
    <s v="OC"/>
    <d v="2011-12-15T00:00:00"/>
    <d v="2011-12-15T00:00:00"/>
    <d v="2018-03-31T00:00:00"/>
    <d v="2018-03-31T00:00:00"/>
    <s v="C"/>
    <s v="BF"/>
    <x v="0"/>
    <m/>
    <d v="2011-12-15T00:00:00"/>
    <d v="2018-03-31T00:00:00"/>
    <n v="380"/>
    <n v="380"/>
    <n v="674"/>
    <n v="673"/>
    <m/>
    <n v="2107"/>
    <m/>
    <m/>
    <m/>
    <m/>
    <m/>
    <m/>
    <m/>
    <n v="980"/>
    <m/>
    <n v="980"/>
    <m/>
    <m/>
    <m/>
    <m/>
    <m/>
    <m/>
    <m/>
    <m/>
    <n v="10147"/>
    <m/>
    <m/>
    <n v="10147"/>
    <m/>
    <m/>
    <m/>
    <x v="1"/>
    <x v="1"/>
    <x v="0"/>
    <n v="380"/>
    <n v="380"/>
    <n v="674"/>
    <n v="673"/>
    <m/>
    <n v="2107"/>
    <m/>
    <x v="0"/>
    <m/>
    <n v="-10147"/>
    <m/>
    <m/>
    <n v="-10147"/>
    <x v="1"/>
    <m/>
    <n v="980"/>
    <m/>
    <n v="980"/>
    <s v="Not Known"/>
    <s v="Not Known"/>
    <s v="Not Known"/>
    <s v="Not Known"/>
    <s v="-"/>
    <s v="-"/>
    <s v="-"/>
    <s v="-"/>
    <s v="-"/>
    <s v="-"/>
    <s v="-"/>
    <x v="3"/>
    <x v="0"/>
    <s v="-"/>
    <s v="-"/>
    <s v="-"/>
    <s v="-"/>
    <s v="-"/>
    <s v="-"/>
    <s v="-"/>
    <s v="Vacant"/>
    <s v="-"/>
    <s v="-"/>
    <s v="-"/>
    <x v="0"/>
    <x v="0"/>
    <n v="9.1999895870678916E-2"/>
    <n v="3087"/>
    <n v="10147"/>
    <n v="-7060"/>
    <x v="1"/>
    <x v="0"/>
    <m/>
    <x v="0"/>
    <m/>
    <x v="0"/>
    <m/>
    <x v="1"/>
    <x v="0"/>
    <x v="0"/>
    <x v="0"/>
    <m/>
    <n v="63070"/>
    <n v="0"/>
    <n v="63070"/>
    <x v="1"/>
    <m/>
  </r>
  <r>
    <x v="0"/>
    <x v="0"/>
    <x v="0"/>
    <x v="0"/>
    <n v="3510"/>
    <x v="160"/>
    <x v="8"/>
    <n v="2.0969998836517298"/>
    <n v="529424"/>
    <n v="177541"/>
    <s v="2.1.9"/>
    <x v="179"/>
    <s v="S96A"/>
    <d v="2017-05-25T00:00:00"/>
    <x v="147"/>
    <s v="Y"/>
    <m/>
    <s v="Nil"/>
    <m/>
    <m/>
    <s v="Non-Material Amendment to planning permission 2015/1200 dated 05/08/15 (for the 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Amendment comprises an extension to the mezzanine level within Block E (Riverlight 2) to accommodate additional A3 restaurant/cafe floorspace."/>
    <x v="177"/>
    <s v="NB"/>
    <x v="0"/>
    <s v="OC"/>
    <m/>
    <d v="2011-12-15T00:00:00"/>
    <d v="2018-03-31T00:00:00"/>
    <d v="2018-03-31T00:00:00"/>
    <s v="C"/>
    <s v="BF"/>
    <x v="0"/>
    <m/>
    <d v="2011-12-15T00:00:00"/>
    <d v="2018-03-31T00:00:00"/>
    <m/>
    <m/>
    <n v="85"/>
    <m/>
    <m/>
    <n v="85"/>
    <m/>
    <m/>
    <m/>
    <m/>
    <m/>
    <m/>
    <m/>
    <m/>
    <m/>
    <m/>
    <m/>
    <m/>
    <m/>
    <m/>
    <m/>
    <m/>
    <m/>
    <m/>
    <m/>
    <m/>
    <m/>
    <m/>
    <m/>
    <m/>
    <m/>
    <x v="1"/>
    <x v="0"/>
    <x v="1"/>
    <m/>
    <m/>
    <n v="85"/>
    <m/>
    <m/>
    <n v="85"/>
    <m/>
    <x v="0"/>
    <m/>
    <m/>
    <m/>
    <m/>
    <m/>
    <x v="0"/>
    <m/>
    <m/>
    <m/>
    <m/>
    <s v="-"/>
    <s v="-"/>
    <s v="Restaurant"/>
    <s v="-"/>
    <s v="-"/>
    <s v="-"/>
    <s v="-"/>
    <s v="-"/>
    <s v="-"/>
    <s v="-"/>
    <s v="-"/>
    <x v="1"/>
    <x v="0"/>
    <s v="-"/>
    <s v="-"/>
    <s v="-"/>
    <s v="-"/>
    <s v="-"/>
    <s v="-"/>
    <s v="-"/>
    <s v="-"/>
    <s v="-"/>
    <s v="-"/>
    <s v="-"/>
    <x v="0"/>
    <x v="0"/>
    <n v="2.0969998836517298"/>
    <n v="85"/>
    <n v="0"/>
    <n v="85"/>
    <x v="1"/>
    <x v="0"/>
    <m/>
    <x v="0"/>
    <m/>
    <x v="0"/>
    <m/>
    <x v="1"/>
    <x v="0"/>
    <x v="0"/>
    <x v="0"/>
    <m/>
    <n v="0"/>
    <n v="0"/>
    <n v="0"/>
    <x v="0"/>
    <m/>
  </r>
  <r>
    <x v="0"/>
    <x v="0"/>
    <x v="0"/>
    <x v="0"/>
    <n v="3510"/>
    <x v="160"/>
    <x v="8"/>
    <n v="2.0969998836517298"/>
    <n v="529424"/>
    <n v="177541"/>
    <s v="2.1.9"/>
    <x v="180"/>
    <s v="DT"/>
    <d v="2017-05-24T00:00:00"/>
    <x v="78"/>
    <s v="Y"/>
    <m/>
    <s v="Nil"/>
    <m/>
    <m/>
    <s v="Partial approval of details pursuant to Condition 19 (details of flexible commercial floorspace) relating to unit A2 (B1 office use) in the north end of Block A (Riverlight 5) only of planning permission 2011/3748, dated 15/12/11 (for the 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and approval of Condition 19 of the subsequent variation permissions 2013/4116, dated 29/11/13, 2013/6051, dated 05/03/14, 2014/2334, dated 08/08/14 and 2015/1200, dated 05/08/15."/>
    <x v="178"/>
    <s v="NB"/>
    <x v="0"/>
    <s v="OC"/>
    <m/>
    <d v="2011-12-15T00:00:00"/>
    <d v="2018-03-31T00:00:00"/>
    <d v="2018-03-31T00:00:00"/>
    <s v="C"/>
    <s v="BF"/>
    <x v="0"/>
    <m/>
    <d v="2011-12-15T00:00:00"/>
    <d v="2018-03-31T00:00:00"/>
    <m/>
    <m/>
    <m/>
    <m/>
    <m/>
    <m/>
    <n v="40"/>
    <m/>
    <m/>
    <n v="40"/>
    <m/>
    <m/>
    <n v="40"/>
    <m/>
    <m/>
    <m/>
    <m/>
    <m/>
    <m/>
    <m/>
    <m/>
    <m/>
    <m/>
    <m/>
    <m/>
    <m/>
    <m/>
    <m/>
    <m/>
    <m/>
    <m/>
    <x v="0"/>
    <x v="1"/>
    <x v="1"/>
    <m/>
    <m/>
    <m/>
    <m/>
    <m/>
    <m/>
    <n v="40"/>
    <x v="0"/>
    <m/>
    <m/>
    <m/>
    <m/>
    <n v="40"/>
    <x v="0"/>
    <m/>
    <m/>
    <m/>
    <m/>
    <s v="-"/>
    <s v="-"/>
    <s v="-"/>
    <s v="-"/>
    <s v="-"/>
    <s v="Other"/>
    <s v="-"/>
    <s v="-"/>
    <s v="-"/>
    <s v="-"/>
    <s v="-"/>
    <x v="1"/>
    <x v="0"/>
    <s v="-"/>
    <s v="-"/>
    <s v="-"/>
    <s v="-"/>
    <s v="-"/>
    <s v="-"/>
    <s v="-"/>
    <s v="-"/>
    <s v="-"/>
    <s v="-"/>
    <s v="-"/>
    <x v="0"/>
    <x v="0"/>
    <n v="2.0969998836517298"/>
    <n v="40"/>
    <n v="0"/>
    <n v="40"/>
    <x v="1"/>
    <x v="0"/>
    <m/>
    <x v="0"/>
    <m/>
    <x v="0"/>
    <m/>
    <x v="1"/>
    <x v="0"/>
    <x v="0"/>
    <x v="0"/>
    <m/>
    <n v="0"/>
    <n v="0"/>
    <n v="0"/>
    <x v="0"/>
    <m/>
  </r>
  <r>
    <x v="0"/>
    <x v="0"/>
    <x v="0"/>
    <x v="0"/>
    <n v="3510"/>
    <x v="160"/>
    <x v="8"/>
    <n v="2.0969998836517298"/>
    <n v="529424"/>
    <n v="177541"/>
    <s v="2.1.9"/>
    <x v="181"/>
    <s v="S96A"/>
    <d v="2018-01-12T00:00:00"/>
    <x v="148"/>
    <s v="Y"/>
    <m/>
    <s v="Nil"/>
    <m/>
    <m/>
    <s v="Non-Material Amendment to planning permission 2015/1200 dated 05/08/15 (for the redevelopment of the site to provide a residential-led mixed-use development of six buildings between twelve and twenty storeys (plus two basement levels) comprising 806 residential units, including affordable housing, flexible commercial uses at ground and first floor levels including retail, financial and professional services, restaurant/café and bar uses, healthcare facilities, a crèche and gallery space (A1/A2/A3/A4 and D1 uses), together with ancillary uses including a concierge/management suite, a business suite and leisure facilities, and associated car and bicycle parking and landscaping including provision of a riverside walk) Amendment comprises the change of use of 32sqm of B1 floor space at mezzanine level within Block E (Riverlight 2) to accommodate ancillary A3 restaurant/cafe floorspace."/>
    <x v="179"/>
    <s v="COU"/>
    <x v="2"/>
    <s v="OC"/>
    <m/>
    <d v="2011-12-15T00:00:00"/>
    <d v="2018-03-31T00:00:00"/>
    <d v="2018-03-31T00:00:00"/>
    <s v="C"/>
    <s v="BF"/>
    <x v="0"/>
    <m/>
    <d v="2011-12-15T00:00:00"/>
    <d v="2018-03-31T00:00:00"/>
    <m/>
    <m/>
    <n v="32"/>
    <m/>
    <m/>
    <n v="32"/>
    <m/>
    <m/>
    <m/>
    <m/>
    <m/>
    <m/>
    <m/>
    <m/>
    <m/>
    <m/>
    <m/>
    <m/>
    <m/>
    <m/>
    <m/>
    <m/>
    <n v="32"/>
    <m/>
    <m/>
    <m/>
    <m/>
    <n v="32"/>
    <m/>
    <m/>
    <m/>
    <x v="1"/>
    <x v="1"/>
    <x v="1"/>
    <m/>
    <m/>
    <n v="32"/>
    <m/>
    <m/>
    <n v="32"/>
    <n v="-32"/>
    <x v="1"/>
    <m/>
    <m/>
    <m/>
    <m/>
    <n v="-32"/>
    <x v="1"/>
    <m/>
    <m/>
    <m/>
    <m/>
    <s v="-"/>
    <s v="-"/>
    <s v="Café"/>
    <s v="-"/>
    <s v="-"/>
    <s v="-"/>
    <s v="-"/>
    <s v="-"/>
    <s v="-"/>
    <s v="-"/>
    <s v="-"/>
    <x v="1"/>
    <x v="0"/>
    <s v="-"/>
    <s v="-"/>
    <s v="-"/>
    <s v="-"/>
    <s v="-"/>
    <s v="Vacant"/>
    <s v="-"/>
    <s v="-"/>
    <s v="-"/>
    <s v="-"/>
    <s v="-"/>
    <x v="0"/>
    <x v="0"/>
    <n v="2.0969998836517298"/>
    <n v="32"/>
    <n v="32"/>
    <n v="0"/>
    <x v="1"/>
    <x v="0"/>
    <m/>
    <x v="0"/>
    <m/>
    <x v="0"/>
    <m/>
    <x v="1"/>
    <x v="0"/>
    <x v="0"/>
    <x v="0"/>
    <m/>
    <n v="0"/>
    <n v="0"/>
    <n v="0"/>
    <x v="0"/>
    <m/>
  </r>
  <r>
    <x v="2"/>
    <x v="5"/>
    <x v="5"/>
    <x v="1"/>
    <n v="3511"/>
    <x v="161"/>
    <x v="8"/>
    <n v="24.569999694824201"/>
    <n v="529369"/>
    <n v="177317"/>
    <s v="2.1.27"/>
    <x v="182"/>
    <s v="POLA"/>
    <d v="2014-05-15T00:00:00"/>
    <x v="149"/>
    <m/>
    <d v="2014-11-12T00:00:00"/>
    <s v="Nil"/>
    <m/>
    <m/>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x v="180"/>
    <s v="NB"/>
    <x v="0"/>
    <s v="UC"/>
    <m/>
    <d v="2017-03-31T00:00:00"/>
    <m/>
    <m/>
    <s v="C"/>
    <s v="BF"/>
    <x v="10"/>
    <s v="C"/>
    <d v="2017-03-31T00:00:00"/>
    <m/>
    <n v="785"/>
    <n v="785"/>
    <n v="785"/>
    <n v="785"/>
    <n v="784"/>
    <n v="3924"/>
    <n v="1042"/>
    <m/>
    <m/>
    <n v="1042"/>
    <m/>
    <m/>
    <n v="1042"/>
    <m/>
    <n v="1678"/>
    <n v="1678"/>
    <m/>
    <m/>
    <m/>
    <m/>
    <m/>
    <m/>
    <m/>
    <m/>
    <m/>
    <m/>
    <m/>
    <m/>
    <m/>
    <m/>
    <m/>
    <x v="1"/>
    <x v="1"/>
    <x v="0"/>
    <n v="785"/>
    <n v="785"/>
    <n v="785"/>
    <n v="785"/>
    <n v="784"/>
    <n v="3924"/>
    <n v="1042"/>
    <x v="0"/>
    <m/>
    <m/>
    <m/>
    <m/>
    <n v="1042"/>
    <x v="0"/>
    <m/>
    <m/>
    <n v="1678"/>
    <n v="1678"/>
    <s v="-"/>
    <s v="-"/>
    <s v="-"/>
    <s v="-"/>
    <s v="-"/>
    <s v="-"/>
    <s v="-"/>
    <s v="-"/>
    <s v="-"/>
    <s v="-"/>
    <s v="-"/>
    <x v="1"/>
    <x v="2"/>
    <s v="-"/>
    <s v="-"/>
    <s v="-"/>
    <s v="-"/>
    <s v="-"/>
    <s v="-"/>
    <s v="-"/>
    <s v="-"/>
    <s v="-"/>
    <s v="-"/>
    <s v="-"/>
    <x v="0"/>
    <x v="0"/>
    <n v="16.432999789714792"/>
    <n v="6644"/>
    <n v="0"/>
    <n v="6644"/>
    <x v="0"/>
    <x v="0"/>
    <m/>
    <x v="0"/>
    <m/>
    <x v="0"/>
    <m/>
    <x v="1"/>
    <x v="0"/>
    <x v="0"/>
    <x v="0"/>
    <m/>
    <n v="52215"/>
    <n v="0"/>
    <n v="52215"/>
    <x v="1"/>
    <m/>
  </r>
  <r>
    <x v="2"/>
    <x v="5"/>
    <x v="5"/>
    <x v="1"/>
    <n v="3511"/>
    <x v="161"/>
    <x v="8"/>
    <n v="24.569999694824201"/>
    <n v="529369"/>
    <n v="177317"/>
    <s v="2.1.27"/>
    <x v="182"/>
    <s v="POLA"/>
    <d v="2014-05-15T00:00:00"/>
    <x v="149"/>
    <m/>
    <d v="2014-11-12T00:00:00"/>
    <s v="Nil"/>
    <m/>
    <m/>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x v="180"/>
    <s v="NB"/>
    <x v="0"/>
    <s v="UC"/>
    <m/>
    <d v="2017-03-31T00:00:00"/>
    <m/>
    <m/>
    <s v="C"/>
    <s v="BF"/>
    <x v="11"/>
    <s v="C"/>
    <d v="2017-03-31T00:00:00"/>
    <m/>
    <n v="88"/>
    <n v="88"/>
    <n v="88"/>
    <n v="87"/>
    <n v="87"/>
    <n v="438"/>
    <n v="158"/>
    <m/>
    <m/>
    <n v="158"/>
    <m/>
    <m/>
    <n v="158"/>
    <m/>
    <m/>
    <m/>
    <m/>
    <m/>
    <m/>
    <m/>
    <m/>
    <m/>
    <m/>
    <m/>
    <m/>
    <m/>
    <m/>
    <m/>
    <m/>
    <m/>
    <m/>
    <x v="1"/>
    <x v="1"/>
    <x v="1"/>
    <n v="88"/>
    <n v="88"/>
    <n v="88"/>
    <n v="87"/>
    <n v="87"/>
    <n v="438"/>
    <n v="158"/>
    <x v="0"/>
    <m/>
    <m/>
    <m/>
    <m/>
    <n v="158"/>
    <x v="0"/>
    <m/>
    <m/>
    <m/>
    <m/>
    <s v="-"/>
    <s v="-"/>
    <s v="-"/>
    <s v="-"/>
    <s v="-"/>
    <s v="-"/>
    <s v="-"/>
    <s v="-"/>
    <s v="-"/>
    <s v="-"/>
    <s v="-"/>
    <x v="1"/>
    <x v="0"/>
    <s v="-"/>
    <s v="-"/>
    <s v="-"/>
    <s v="-"/>
    <s v="-"/>
    <s v="-"/>
    <s v="-"/>
    <s v="-"/>
    <s v="-"/>
    <s v="-"/>
    <s v="-"/>
    <x v="0"/>
    <x v="0"/>
    <n v="16.432999789714792"/>
    <n v="596"/>
    <n v="0"/>
    <n v="596"/>
    <x v="0"/>
    <x v="0"/>
    <m/>
    <x v="0"/>
    <m/>
    <x v="0"/>
    <m/>
    <x v="1"/>
    <x v="0"/>
    <x v="0"/>
    <x v="0"/>
    <m/>
    <n v="43729"/>
    <n v="0"/>
    <n v="43729"/>
    <x v="1"/>
    <m/>
  </r>
  <r>
    <x v="2"/>
    <x v="5"/>
    <x v="5"/>
    <x v="1"/>
    <n v="3511"/>
    <x v="161"/>
    <x v="8"/>
    <n v="24.569999694824201"/>
    <n v="529369"/>
    <n v="177317"/>
    <s v="2.1.27"/>
    <x v="182"/>
    <s v="POLA"/>
    <d v="2014-05-15T00:00:00"/>
    <x v="149"/>
    <m/>
    <d v="2014-11-12T00:00:00"/>
    <s v="Nil"/>
    <m/>
    <m/>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x v="180"/>
    <s v="NB"/>
    <x v="0"/>
    <s v="UC"/>
    <m/>
    <d v="2017-03-31T00:00:00"/>
    <m/>
    <m/>
    <s v="C"/>
    <s v="BF"/>
    <x v="12"/>
    <s v="C"/>
    <d v="2017-03-31T00:00:00"/>
    <m/>
    <m/>
    <m/>
    <m/>
    <m/>
    <m/>
    <m/>
    <m/>
    <m/>
    <m/>
    <m/>
    <m/>
    <m/>
    <m/>
    <m/>
    <m/>
    <m/>
    <m/>
    <m/>
    <m/>
    <m/>
    <m/>
    <m/>
    <m/>
    <m/>
    <m/>
    <m/>
    <m/>
    <m/>
    <m/>
    <m/>
    <m/>
    <x v="0"/>
    <x v="0"/>
    <x v="1"/>
    <m/>
    <m/>
    <m/>
    <m/>
    <m/>
    <m/>
    <m/>
    <x v="0"/>
    <m/>
    <m/>
    <m/>
    <m/>
    <m/>
    <x v="0"/>
    <m/>
    <m/>
    <m/>
    <m/>
    <s v="-"/>
    <s v="-"/>
    <s v="-"/>
    <s v="-"/>
    <s v="-"/>
    <s v="-"/>
    <s v="-"/>
    <s v="-"/>
    <s v="-"/>
    <s v="-"/>
    <s v="-"/>
    <x v="1"/>
    <x v="0"/>
    <s v="-"/>
    <s v="-"/>
    <s v="-"/>
    <s v="-"/>
    <s v="-"/>
    <s v="-"/>
    <s v="-"/>
    <s v="-"/>
    <s v="-"/>
    <s v="-"/>
    <s v="-"/>
    <x v="0"/>
    <x v="0"/>
    <n v="16.432999789714792"/>
    <n v="0"/>
    <n v="56183"/>
    <n v="-56183"/>
    <x v="0"/>
    <x v="0"/>
    <m/>
    <x v="0"/>
    <m/>
    <x v="0"/>
    <m/>
    <x v="1"/>
    <x v="0"/>
    <x v="0"/>
    <x v="0"/>
    <m/>
    <n v="0"/>
    <n v="0"/>
    <n v="0"/>
    <x v="0"/>
    <m/>
  </r>
  <r>
    <x v="2"/>
    <x v="5"/>
    <x v="5"/>
    <x v="1"/>
    <n v="3511"/>
    <x v="161"/>
    <x v="8"/>
    <n v="24.569999694824201"/>
    <n v="529369"/>
    <n v="177317"/>
    <s v="2.1.27"/>
    <x v="182"/>
    <s v="POLA"/>
    <d v="2014-05-15T00:00:00"/>
    <x v="149"/>
    <m/>
    <d v="2014-11-12T00:00:00"/>
    <s v="Nil"/>
    <m/>
    <m/>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x v="180"/>
    <s v="NB"/>
    <x v="0"/>
    <s v="UC"/>
    <m/>
    <d v="2017-03-31T00:00:00"/>
    <m/>
    <m/>
    <s v="C"/>
    <s v="BF"/>
    <x v="13"/>
    <s v="C"/>
    <d v="2017-03-31T00:00:00"/>
    <m/>
    <m/>
    <m/>
    <m/>
    <m/>
    <m/>
    <m/>
    <m/>
    <m/>
    <m/>
    <m/>
    <m/>
    <m/>
    <m/>
    <m/>
    <m/>
    <m/>
    <m/>
    <m/>
    <m/>
    <m/>
    <m/>
    <m/>
    <m/>
    <m/>
    <m/>
    <m/>
    <m/>
    <m/>
    <m/>
    <m/>
    <m/>
    <x v="0"/>
    <x v="0"/>
    <x v="1"/>
    <m/>
    <m/>
    <m/>
    <m/>
    <m/>
    <m/>
    <m/>
    <x v="0"/>
    <m/>
    <m/>
    <m/>
    <m/>
    <m/>
    <x v="0"/>
    <m/>
    <m/>
    <m/>
    <m/>
    <s v="-"/>
    <s v="-"/>
    <s v="-"/>
    <s v="-"/>
    <s v="-"/>
    <s v="-"/>
    <s v="-"/>
    <s v="-"/>
    <s v="-"/>
    <s v="-"/>
    <s v="-"/>
    <x v="1"/>
    <x v="0"/>
    <s v="-"/>
    <s v="-"/>
    <s v="-"/>
    <s v="-"/>
    <s v="-"/>
    <s v="-"/>
    <s v="-"/>
    <s v="-"/>
    <s v="-"/>
    <s v="-"/>
    <s v="-"/>
    <x v="0"/>
    <x v="0"/>
    <n v="16.432999789714792"/>
    <n v="0"/>
    <n v="28960"/>
    <n v="-28960"/>
    <x v="0"/>
    <x v="0"/>
    <m/>
    <x v="0"/>
    <m/>
    <x v="0"/>
    <m/>
    <x v="1"/>
    <x v="0"/>
    <x v="0"/>
    <x v="0"/>
    <m/>
    <n v="0"/>
    <n v="0"/>
    <n v="0"/>
    <x v="0"/>
    <m/>
  </r>
  <r>
    <x v="3"/>
    <x v="0"/>
    <x v="0"/>
    <x v="1"/>
    <n v="3511"/>
    <x v="161"/>
    <x v="8"/>
    <n v="24.569999694824201"/>
    <n v="529369"/>
    <n v="177317"/>
    <s v="2.1.27"/>
    <x v="182"/>
    <s v="POLA"/>
    <d v="2014-05-15T00:00:00"/>
    <x v="149"/>
    <m/>
    <d v="2014-11-12T00:00:00"/>
    <s v="Nil"/>
    <m/>
    <m/>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x v="180"/>
    <s v="NB"/>
    <x v="0"/>
    <s v="UC"/>
    <m/>
    <d v="2017-03-31T00:00:00"/>
    <m/>
    <m/>
    <s v="C"/>
    <s v="BF"/>
    <x v="14"/>
    <s v="C"/>
    <d v="2017-03-31T00:00:00"/>
    <m/>
    <n v="103"/>
    <n v="103"/>
    <n v="103"/>
    <n v="104"/>
    <n v="104"/>
    <n v="517"/>
    <m/>
    <m/>
    <m/>
    <m/>
    <m/>
    <m/>
    <m/>
    <m/>
    <m/>
    <m/>
    <m/>
    <m/>
    <m/>
    <m/>
    <m/>
    <m/>
    <m/>
    <m/>
    <m/>
    <m/>
    <m/>
    <m/>
    <m/>
    <m/>
    <m/>
    <x v="1"/>
    <x v="0"/>
    <x v="1"/>
    <n v="103"/>
    <n v="103"/>
    <n v="103"/>
    <n v="104"/>
    <n v="104"/>
    <n v="517"/>
    <m/>
    <x v="0"/>
    <m/>
    <m/>
    <m/>
    <m/>
    <m/>
    <x v="0"/>
    <m/>
    <m/>
    <m/>
    <m/>
    <s v="Not Known"/>
    <s v="Not Known"/>
    <s v="Not Known"/>
    <s v="Not Known"/>
    <s v="Not Known"/>
    <s v="-"/>
    <s v="-"/>
    <s v="-"/>
    <s v="-"/>
    <s v="-"/>
    <s v="-"/>
    <x v="1"/>
    <x v="0"/>
    <s v="-"/>
    <s v="-"/>
    <s v="-"/>
    <s v="-"/>
    <s v="-"/>
    <s v="-"/>
    <s v="-"/>
    <s v="-"/>
    <s v="-"/>
    <s v="-"/>
    <s v="-"/>
    <x v="0"/>
    <x v="0"/>
    <n v="16.432999789714792"/>
    <n v="517"/>
    <n v="0"/>
    <n v="517"/>
    <x v="0"/>
    <x v="0"/>
    <m/>
    <x v="0"/>
    <m/>
    <x v="0"/>
    <m/>
    <x v="1"/>
    <x v="0"/>
    <x v="0"/>
    <x v="0"/>
    <m/>
    <n v="41689"/>
    <n v="0"/>
    <n v="41689"/>
    <x v="1"/>
    <m/>
  </r>
  <r>
    <x v="2"/>
    <x v="5"/>
    <x v="5"/>
    <x v="1"/>
    <n v="3511"/>
    <x v="161"/>
    <x v="8"/>
    <n v="24.569999694824201"/>
    <n v="529369"/>
    <n v="177317"/>
    <s v="2.1.27"/>
    <x v="182"/>
    <s v="POLA"/>
    <d v="2014-05-15T00:00:00"/>
    <x v="149"/>
    <m/>
    <d v="2014-11-12T00:00:00"/>
    <s v="Nil"/>
    <m/>
    <m/>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x v="180"/>
    <s v="NB"/>
    <x v="0"/>
    <s v="UC"/>
    <m/>
    <d v="2017-03-31T00:00:00"/>
    <m/>
    <m/>
    <s v="C"/>
    <s v="BF"/>
    <x v="15"/>
    <s v="C"/>
    <d v="2017-03-31T00:00:00"/>
    <m/>
    <n v="248"/>
    <n v="248"/>
    <n v="248"/>
    <n v="249"/>
    <n v="248"/>
    <n v="1241"/>
    <n v="11423"/>
    <m/>
    <m/>
    <n v="11423"/>
    <m/>
    <m/>
    <n v="11423"/>
    <n v="1511"/>
    <m/>
    <n v="1511"/>
    <m/>
    <m/>
    <m/>
    <m/>
    <m/>
    <m/>
    <m/>
    <m/>
    <m/>
    <m/>
    <m/>
    <m/>
    <m/>
    <m/>
    <m/>
    <x v="1"/>
    <x v="1"/>
    <x v="0"/>
    <n v="248"/>
    <n v="248"/>
    <n v="248"/>
    <n v="249"/>
    <n v="248"/>
    <n v="1241"/>
    <n v="11423"/>
    <x v="0"/>
    <m/>
    <m/>
    <m/>
    <m/>
    <n v="11423"/>
    <x v="0"/>
    <m/>
    <n v="1511"/>
    <m/>
    <n v="1511"/>
    <s v="-"/>
    <s v="-"/>
    <s v="-"/>
    <s v="-"/>
    <s v="-"/>
    <s v="-"/>
    <s v="-"/>
    <s v="-"/>
    <s v="-"/>
    <s v="-"/>
    <s v="-"/>
    <x v="3"/>
    <x v="0"/>
    <s v="-"/>
    <s v="-"/>
    <s v="-"/>
    <s v="-"/>
    <s v="-"/>
    <s v="-"/>
    <s v="-"/>
    <s v="-"/>
    <s v="-"/>
    <s v="-"/>
    <s v="-"/>
    <x v="0"/>
    <x v="0"/>
    <n v="16.432999789714792"/>
    <n v="14175"/>
    <n v="0"/>
    <n v="14175"/>
    <x v="0"/>
    <x v="0"/>
    <m/>
    <x v="0"/>
    <m/>
    <x v="0"/>
    <m/>
    <x v="1"/>
    <x v="0"/>
    <x v="0"/>
    <x v="0"/>
    <m/>
    <n v="164821"/>
    <n v="0"/>
    <n v="164821"/>
    <x v="1"/>
    <m/>
  </r>
  <r>
    <x v="2"/>
    <x v="5"/>
    <x v="5"/>
    <x v="1"/>
    <n v="3511"/>
    <x v="161"/>
    <x v="8"/>
    <n v="24.569999694824201"/>
    <n v="529369"/>
    <n v="177317"/>
    <s v="2.1.27"/>
    <x v="183"/>
    <s v="S96A"/>
    <d v="2015-08-05T00:00:00"/>
    <x v="150"/>
    <m/>
    <m/>
    <s v="Nil"/>
    <m/>
    <m/>
    <s v="Non-material amendment (under Section 96a of the Town and Country Planning Act) of planning permission 2014/2810, dated 11/02/15 for:_x000d__x000a_ - the addition of a second storey to the 'Accommodation Block' located adjacent to the existing multi-storey car park; _x000d__x000a_ - introduction of a sprinkler tank adjacent to the 'Accommodation Block';_x000d__x000a_ - reduction in ridge height of the three main trading blocks, including alterations to the 'facade wrapping' to accommodate the height change;_x000d__x000a_ - reduction in size of the rooflights of the three main trading blocks;_x000d__x000a_ - increase width of the internal buyers walk; _x000d__x000a_ - reduction in size, change to the internal arrangement and change to the exterior walls and doors of the Interim Distribution Unit (IDU);_x000d__x000a_ - reduction in size of roof garden on Garden Heart Building; and_x000d__x000a_ - internal rearrangement at ground floor level of the Garden Heart building and Flower Market."/>
    <x v="181"/>
    <s v="NB"/>
    <x v="0"/>
    <s v="NSO"/>
    <m/>
    <m/>
    <m/>
    <m/>
    <s v="C"/>
    <s v="BF"/>
    <x v="16"/>
    <s v="C"/>
    <m/>
    <m/>
    <m/>
    <m/>
    <m/>
    <m/>
    <m/>
    <m/>
    <m/>
    <m/>
    <m/>
    <m/>
    <m/>
    <m/>
    <m/>
    <m/>
    <m/>
    <m/>
    <m/>
    <m/>
    <m/>
    <m/>
    <m/>
    <m/>
    <m/>
    <m/>
    <m/>
    <m/>
    <m/>
    <m/>
    <m/>
    <m/>
    <m/>
    <x v="0"/>
    <x v="0"/>
    <x v="1"/>
    <m/>
    <m/>
    <m/>
    <m/>
    <m/>
    <m/>
    <m/>
    <x v="0"/>
    <m/>
    <m/>
    <m/>
    <m/>
    <m/>
    <x v="0"/>
    <m/>
    <m/>
    <m/>
    <m/>
    <s v="-"/>
    <s v="-"/>
    <s v="-"/>
    <s v="-"/>
    <s v="-"/>
    <s v="-"/>
    <s v="-"/>
    <s v="-"/>
    <s v="-"/>
    <s v="-"/>
    <s v="-"/>
    <x v="1"/>
    <x v="0"/>
    <s v="-"/>
    <s v="-"/>
    <s v="-"/>
    <s v="-"/>
    <s v="-"/>
    <s v="-"/>
    <s v="-"/>
    <s v="-"/>
    <s v="-"/>
    <s v="-"/>
    <s v="-"/>
    <x v="0"/>
    <x v="0"/>
    <n v="24.569999694824201"/>
    <n v="6802"/>
    <n v="0"/>
    <n v="6802"/>
    <x v="0"/>
    <x v="0"/>
    <m/>
    <x v="0"/>
    <m/>
    <x v="0"/>
    <m/>
    <x v="1"/>
    <x v="0"/>
    <x v="0"/>
    <x v="0"/>
    <m/>
    <n v="0"/>
    <n v="0"/>
    <n v="0"/>
    <x v="0"/>
    <m/>
  </r>
  <r>
    <x v="2"/>
    <x v="5"/>
    <x v="5"/>
    <x v="1"/>
    <n v="3511"/>
    <x v="161"/>
    <x v="8"/>
    <n v="24.569999694824201"/>
    <n v="529369"/>
    <n v="177317"/>
    <s v="2.1.27"/>
    <x v="183"/>
    <s v="S96A"/>
    <d v="2015-08-05T00:00:00"/>
    <x v="150"/>
    <m/>
    <m/>
    <s v="Nil"/>
    <m/>
    <m/>
    <s v="Non-material amendment (under Section 96a of the Town and Country Planning Act) of planning permission 2014/2810, dated 11/02/15 for:_x000d__x000a_ - the addition of a second storey to the 'Accommodation Block' located adjacent to the existing multi-storey car park; _x000d__x000a_ - introduction of a sprinkler tank adjacent to the 'Accommodation Block';_x000d__x000a_ - reduction in ridge height of the three main trading blocks, including alterations to the 'facade wrapping' to accommodate the height change;_x000d__x000a_ - reduction in size of the rooflights of the three main trading blocks;_x000d__x000a_ - increase width of the internal buyers walk; _x000d__x000a_ - reduction in size, change to the internal arrangement and change to the exterior walls and doors of the Interim Distribution Unit (IDU);_x000d__x000a_ - reduction in size of roof garden on Garden Heart Building; and_x000d__x000a_ - internal rearrangement at ground floor level of the Garden Heart building and Flower Market."/>
    <x v="181"/>
    <s v="NB"/>
    <x v="0"/>
    <s v="NSO"/>
    <m/>
    <m/>
    <m/>
    <m/>
    <s v="C"/>
    <s v="BF"/>
    <x v="17"/>
    <s v="C"/>
    <m/>
    <m/>
    <m/>
    <m/>
    <m/>
    <m/>
    <m/>
    <m/>
    <m/>
    <m/>
    <m/>
    <m/>
    <m/>
    <m/>
    <m/>
    <m/>
    <m/>
    <m/>
    <m/>
    <m/>
    <m/>
    <m/>
    <m/>
    <m/>
    <m/>
    <m/>
    <m/>
    <m/>
    <m/>
    <m/>
    <m/>
    <m/>
    <m/>
    <x v="0"/>
    <x v="0"/>
    <x v="1"/>
    <m/>
    <m/>
    <m/>
    <m/>
    <m/>
    <m/>
    <m/>
    <x v="0"/>
    <m/>
    <m/>
    <m/>
    <m/>
    <m/>
    <x v="0"/>
    <m/>
    <m/>
    <m/>
    <m/>
    <s v="-"/>
    <s v="-"/>
    <s v="-"/>
    <s v="-"/>
    <s v="-"/>
    <s v="-"/>
    <s v="-"/>
    <s v="-"/>
    <s v="-"/>
    <s v="-"/>
    <s v="-"/>
    <x v="1"/>
    <x v="0"/>
    <s v="-"/>
    <s v="-"/>
    <s v="-"/>
    <s v="-"/>
    <s v="-"/>
    <s v="-"/>
    <s v="-"/>
    <s v="-"/>
    <s v="-"/>
    <s v="-"/>
    <s v="-"/>
    <x v="0"/>
    <x v="0"/>
    <n v="24.569999694824201"/>
    <n v="6425"/>
    <n v="0"/>
    <n v="6425"/>
    <x v="0"/>
    <x v="0"/>
    <m/>
    <x v="0"/>
    <m/>
    <x v="0"/>
    <m/>
    <x v="1"/>
    <x v="0"/>
    <x v="0"/>
    <x v="0"/>
    <m/>
    <n v="0"/>
    <n v="0"/>
    <n v="0"/>
    <x v="0"/>
    <m/>
  </r>
  <r>
    <x v="2"/>
    <x v="5"/>
    <x v="5"/>
    <x v="1"/>
    <n v="3511"/>
    <x v="161"/>
    <x v="8"/>
    <n v="24.569999694824201"/>
    <n v="529369"/>
    <n v="177317"/>
    <s v="2.1.27"/>
    <x v="183"/>
    <s v="S96A"/>
    <d v="2015-08-05T00:00:00"/>
    <x v="150"/>
    <m/>
    <m/>
    <s v="Nil"/>
    <m/>
    <m/>
    <s v="Non-material amendment (under Section 96a of the Town and Country Planning Act) of planning permission 2014/2810, dated 11/02/15 for:_x000d__x000a_ - the addition of a second storey to the 'Accommodation Block' located adjacent to the existing multi-storey car park; _x000d__x000a_ - introduction of a sprinkler tank adjacent to the 'Accommodation Block';_x000d__x000a_ - reduction in ridge height of the three main trading blocks, including alterations to the 'facade wrapping' to accommodate the height change;_x000d__x000a_ - reduction in size of the rooflights of the three main trading blocks;_x000d__x000a_ - increase width of the internal buyers walk; _x000d__x000a_ - reduction in size, change to the internal arrangement and change to the exterior walls and doors of the Interim Distribution Unit (IDU);_x000d__x000a_ - reduction in size of roof garden on Garden Heart Building; and_x000d__x000a_ - internal rearrangement at ground floor level of the Garden Heart building and Flower Market."/>
    <x v="181"/>
    <s v="NB"/>
    <x v="0"/>
    <s v="NSO"/>
    <m/>
    <m/>
    <m/>
    <m/>
    <s v="C"/>
    <s v="BF"/>
    <x v="18"/>
    <s v="C"/>
    <m/>
    <m/>
    <m/>
    <m/>
    <m/>
    <m/>
    <m/>
    <m/>
    <m/>
    <m/>
    <m/>
    <m/>
    <m/>
    <m/>
    <m/>
    <m/>
    <m/>
    <m/>
    <m/>
    <m/>
    <m/>
    <m/>
    <m/>
    <m/>
    <m/>
    <m/>
    <m/>
    <m/>
    <m/>
    <m/>
    <m/>
    <m/>
    <m/>
    <x v="0"/>
    <x v="0"/>
    <x v="1"/>
    <m/>
    <m/>
    <m/>
    <m/>
    <m/>
    <m/>
    <m/>
    <x v="0"/>
    <m/>
    <m/>
    <m/>
    <m/>
    <m/>
    <x v="0"/>
    <m/>
    <m/>
    <m/>
    <m/>
    <s v="-"/>
    <s v="-"/>
    <s v="-"/>
    <s v="-"/>
    <s v="-"/>
    <s v="-"/>
    <s v="-"/>
    <s v="-"/>
    <s v="-"/>
    <s v="-"/>
    <s v="-"/>
    <x v="1"/>
    <x v="0"/>
    <s v="-"/>
    <s v="-"/>
    <s v="-"/>
    <s v="-"/>
    <s v="-"/>
    <s v="-"/>
    <s v="-"/>
    <s v="-"/>
    <s v="-"/>
    <s v="-"/>
    <s v="-"/>
    <x v="0"/>
    <x v="0"/>
    <n v="24.569999694824201"/>
    <n v="47134"/>
    <n v="0"/>
    <n v="47134"/>
    <x v="0"/>
    <x v="0"/>
    <m/>
    <x v="0"/>
    <m/>
    <x v="0"/>
    <m/>
    <x v="1"/>
    <x v="0"/>
    <x v="0"/>
    <x v="0"/>
    <m/>
    <n v="0"/>
    <n v="0"/>
    <n v="0"/>
    <x v="0"/>
    <m/>
  </r>
  <r>
    <x v="2"/>
    <x v="5"/>
    <x v="5"/>
    <x v="1"/>
    <n v="3511"/>
    <x v="161"/>
    <x v="8"/>
    <n v="24.569999694824201"/>
    <n v="529369"/>
    <n v="177317"/>
    <s v="2.1.27"/>
    <x v="184"/>
    <s v="S96A"/>
    <d v="2015-11-16T00:00:00"/>
    <x v="151"/>
    <m/>
    <m/>
    <s v="Nil"/>
    <m/>
    <m/>
    <s v="Non-material amendment (under Section 96a of the Town and Country Planning Act) of planning permission 2014/2810, dated 11/02/15 for:_x000d__x000a_ - Relocation of the substation 32.5m further south along the south-east boundary into the Consolidation Area and a reduction in its footprint by 79sqm and a reduction in its height by 0.37m;_x000d__x000a_ - Amended siting of the Consolidation Area 5.3m further northwards with the northern end of the canopy structure extending 8.3m further northwards;_x000d__x000a_ - Relocation of the fork lift truck access to the Consolidation Area 34m northwards along the Market Loop Road;_x000d__x000a_ - Relocation of the Van Wash plant room from the north side of the Van Wash building to along the south-west boundary and enclosed within the extended acoustic barrier; and_x000d__x000a_- Increase in ground floor level of the Consolidation Area (including the height of the acoustic wall) by 0.92m, and which results in a 0.23m height increase to the Van Washes."/>
    <x v="182"/>
    <s v="NB"/>
    <x v="0"/>
    <s v="NSO"/>
    <m/>
    <m/>
    <m/>
    <m/>
    <s v="C"/>
    <s v="BF"/>
    <x v="19"/>
    <s v="C"/>
    <m/>
    <m/>
    <m/>
    <m/>
    <m/>
    <m/>
    <m/>
    <m/>
    <m/>
    <m/>
    <m/>
    <m/>
    <m/>
    <m/>
    <m/>
    <m/>
    <m/>
    <m/>
    <m/>
    <m/>
    <m/>
    <m/>
    <m/>
    <m/>
    <m/>
    <m/>
    <m/>
    <m/>
    <m/>
    <m/>
    <m/>
    <m/>
    <m/>
    <x v="0"/>
    <x v="0"/>
    <x v="1"/>
    <m/>
    <m/>
    <m/>
    <m/>
    <m/>
    <m/>
    <m/>
    <x v="0"/>
    <m/>
    <m/>
    <m/>
    <m/>
    <m/>
    <x v="0"/>
    <m/>
    <m/>
    <m/>
    <m/>
    <s v="-"/>
    <s v="-"/>
    <s v="-"/>
    <s v="-"/>
    <s v="-"/>
    <s v="-"/>
    <s v="-"/>
    <s v="-"/>
    <s v="-"/>
    <s v="-"/>
    <s v="-"/>
    <x v="1"/>
    <x v="0"/>
    <s v="-"/>
    <s v="-"/>
    <s v="-"/>
    <s v="-"/>
    <s v="-"/>
    <s v="-"/>
    <s v="-"/>
    <s v="-"/>
    <s v="-"/>
    <s v="-"/>
    <s v="-"/>
    <x v="0"/>
    <x v="0"/>
    <n v="24.569999694824201"/>
    <n v="1189"/>
    <n v="0"/>
    <n v="1189"/>
    <x v="0"/>
    <x v="0"/>
    <m/>
    <x v="0"/>
    <m/>
    <x v="0"/>
    <m/>
    <x v="1"/>
    <x v="0"/>
    <x v="0"/>
    <x v="0"/>
    <m/>
    <n v="0"/>
    <n v="0"/>
    <n v="0"/>
    <x v="0"/>
    <m/>
  </r>
  <r>
    <x v="2"/>
    <x v="0"/>
    <x v="0"/>
    <x v="1"/>
    <n v="3512"/>
    <x v="162"/>
    <x v="7"/>
    <n v="0.5"/>
    <n v="525279"/>
    <n v="175114"/>
    <s v="3.3.2"/>
    <x v="185"/>
    <s v="PF"/>
    <d v="2016-12-14T00:00:00"/>
    <x v="152"/>
    <m/>
    <m/>
    <s v="Nil"/>
    <m/>
    <m/>
    <s v="Change of use to allow flexible use for either A1 (shop), A2 (financial and professional services), A3 (food and drink), B1 (business), D1 (non-residential institutions) or D2 (assembly and leisure) use."/>
    <x v="183"/>
    <s v="COU"/>
    <x v="2"/>
    <s v="NSO"/>
    <m/>
    <m/>
    <m/>
    <m/>
    <s v="C"/>
    <s v="BF"/>
    <x v="0"/>
    <m/>
    <m/>
    <m/>
    <n v="315"/>
    <n v="222"/>
    <n v="222"/>
    <m/>
    <m/>
    <n v="759"/>
    <n v="222"/>
    <m/>
    <m/>
    <n v="222"/>
    <m/>
    <m/>
    <n v="222"/>
    <n v="222"/>
    <n v="223"/>
    <n v="445"/>
    <n v="315"/>
    <n v="66"/>
    <n v="55"/>
    <m/>
    <m/>
    <n v="436"/>
    <n v="50"/>
    <m/>
    <m/>
    <m/>
    <m/>
    <n v="50"/>
    <n v="940"/>
    <m/>
    <n v="940"/>
    <x v="1"/>
    <x v="1"/>
    <x v="0"/>
    <m/>
    <n v="156"/>
    <n v="167"/>
    <m/>
    <m/>
    <n v="323"/>
    <n v="172"/>
    <x v="0"/>
    <m/>
    <m/>
    <m/>
    <m/>
    <n v="172"/>
    <x v="0"/>
    <m/>
    <n v="-718"/>
    <n v="223"/>
    <n v="-495"/>
    <s v="Not Known"/>
    <s v="Not Known"/>
    <s v="Not Known"/>
    <s v="-"/>
    <s v="-"/>
    <s v="Not Known"/>
    <s v="-"/>
    <s v="-"/>
    <s v="-"/>
    <s v="-"/>
    <s v="-"/>
    <x v="5"/>
    <x v="3"/>
    <s v="Vacant"/>
    <s v="-"/>
    <s v="Vacant"/>
    <s v="-"/>
    <s v="-"/>
    <s v="Vacant"/>
    <s v="-"/>
    <s v="-"/>
    <s v="-"/>
    <s v="-"/>
    <s v="-"/>
    <x v="5"/>
    <x v="0"/>
    <n v="0.5"/>
    <n v="1426"/>
    <n v="1426"/>
    <n v="0"/>
    <x v="1"/>
    <x v="0"/>
    <m/>
    <x v="0"/>
    <m/>
    <x v="1"/>
    <s v="Osiers Road"/>
    <x v="0"/>
    <x v="0"/>
    <x v="0"/>
    <x v="0"/>
    <m/>
    <n v="0"/>
    <n v="0"/>
    <n v="0"/>
    <x v="0"/>
    <m/>
  </r>
  <r>
    <x v="3"/>
    <x v="0"/>
    <x v="0"/>
    <x v="1"/>
    <n v="3514"/>
    <x v="163"/>
    <x v="8"/>
    <n v="2.0199999809265101"/>
    <n v="528809"/>
    <n v="177181"/>
    <s v="2.1.4"/>
    <x v="186"/>
    <s v="PFLA"/>
    <d v="2015-02-04T00:00:00"/>
    <x v="153"/>
    <m/>
    <d v="2015-05-21T00:00:00"/>
    <s v="Nil"/>
    <m/>
    <m/>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x v="184"/>
    <s v="NB"/>
    <x v="0"/>
    <s v="UC"/>
    <m/>
    <d v="2016-10-19T00:00:00"/>
    <m/>
    <m/>
    <s v="C"/>
    <s v="BF"/>
    <x v="0"/>
    <m/>
    <d v="2016-10-19T00:00:00"/>
    <m/>
    <n v="507"/>
    <m/>
    <n v="218"/>
    <m/>
    <m/>
    <n v="725"/>
    <n v="2339"/>
    <m/>
    <m/>
    <n v="2339"/>
    <m/>
    <m/>
    <n v="2339"/>
    <n v="2780"/>
    <m/>
    <n v="2780"/>
    <m/>
    <m/>
    <m/>
    <m/>
    <m/>
    <m/>
    <m/>
    <m/>
    <m/>
    <m/>
    <m/>
    <m/>
    <m/>
    <m/>
    <m/>
    <x v="1"/>
    <x v="1"/>
    <x v="0"/>
    <n v="507"/>
    <m/>
    <n v="218"/>
    <m/>
    <m/>
    <n v="725"/>
    <n v="2339"/>
    <x v="0"/>
    <m/>
    <m/>
    <m/>
    <m/>
    <n v="2339"/>
    <x v="0"/>
    <m/>
    <n v="2780"/>
    <m/>
    <n v="2780"/>
    <s v="Not Known"/>
    <s v="-"/>
    <s v="Café"/>
    <s v="-"/>
    <s v="-"/>
    <s v="Not Known"/>
    <s v="-"/>
    <s v="-"/>
    <s v="-"/>
    <s v="-"/>
    <s v="-"/>
    <x v="0"/>
    <x v="0"/>
    <s v="-"/>
    <s v="-"/>
    <s v="-"/>
    <s v="-"/>
    <s v="-"/>
    <s v="-"/>
    <s v="-"/>
    <s v="-"/>
    <s v="-"/>
    <s v="-"/>
    <s v="-"/>
    <x v="0"/>
    <x v="0"/>
    <n v="0.10199999999999999"/>
    <n v="5844"/>
    <n v="0"/>
    <n v="5844"/>
    <x v="1"/>
    <x v="0"/>
    <m/>
    <x v="0"/>
    <m/>
    <x v="0"/>
    <m/>
    <x v="1"/>
    <x v="0"/>
    <x v="0"/>
    <x v="0"/>
    <m/>
    <n v="99010"/>
    <n v="0"/>
    <n v="99010"/>
    <x v="1"/>
    <m/>
  </r>
  <r>
    <x v="3"/>
    <x v="0"/>
    <x v="0"/>
    <x v="1"/>
    <n v="3514"/>
    <x v="163"/>
    <x v="8"/>
    <n v="2.0199999809265101"/>
    <n v="528809"/>
    <n v="177181"/>
    <s v="2.1.4"/>
    <x v="187"/>
    <s v="S73"/>
    <d v="2016-03-16T00:00:00"/>
    <x v="154"/>
    <m/>
    <m/>
    <s v="Nil"/>
    <m/>
    <m/>
    <s v="Minor Material Amendment pursuant to conditions 1 (approved drawings), 7 (phasing plan), 8 (unit number &amp; floorspace restrictions), 14 (restricted use of residents' gym) and 19 (landscape details) of planning permission 2015/5347, dated 05/02/2016 for amendments to the basement comprising reduction in the approved footprint and reorganisation of the layout; part excavation of an additional level of basement to provide a gym; internal alterations to residential ancillary areas and alterations to the unit mix to convert a 2-bed unit into a 3-bed unit in Block D; facade alterations incorporating external balconies above terrace levels, relocation of Block J entrance; additional plant and screening to roofs; reduction in area of the private roof terraces and provision of a communal roof terrace on Block E; internal increase in the A1 retail and flexible B1/D1 floorspaces; footprint reduction of Block M (A3 café use); additional office floorspace provided in Blocks A and F; amendments to landscaping and construction phasing plan; and rewording of commencement triggers to the Cultural Strategy in the Section 106 Agreement and to conditions 23 (external plant equipment details), 25 (external noise mitigation) and 26 (noise insulation measures)._x000d__x000a_Permission 2015/5347 was a Minor Material Amendment to permission 2015/0591, dated 18/09/15 for relocation of the existing onsite telecommunications equipment to the roof of Block J. (Permission 2015/0591 was for a mixed-use development comprising 839 residential units and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basement car and cycle parking and vehicular access."/>
    <x v="185"/>
    <s v="MIX"/>
    <x v="0"/>
    <s v="UC"/>
    <m/>
    <d v="2016-10-19T00:00:00"/>
    <m/>
    <m/>
    <s v="C"/>
    <s v="BF"/>
    <x v="0"/>
    <m/>
    <d v="2016-10-19T00:00:00"/>
    <m/>
    <n v="102"/>
    <m/>
    <n v="198"/>
    <m/>
    <m/>
    <n v="300"/>
    <n v="1885"/>
    <m/>
    <m/>
    <n v="1885"/>
    <m/>
    <m/>
    <n v="1885"/>
    <m/>
    <n v="1548"/>
    <n v="1548"/>
    <m/>
    <m/>
    <m/>
    <m/>
    <m/>
    <m/>
    <m/>
    <m/>
    <m/>
    <m/>
    <m/>
    <m/>
    <m/>
    <m/>
    <m/>
    <x v="1"/>
    <x v="1"/>
    <x v="0"/>
    <n v="102"/>
    <m/>
    <n v="198"/>
    <m/>
    <m/>
    <n v="300"/>
    <n v="1885"/>
    <x v="0"/>
    <m/>
    <m/>
    <m/>
    <m/>
    <n v="1885"/>
    <x v="0"/>
    <m/>
    <m/>
    <n v="1548"/>
    <n v="1548"/>
    <s v="Services"/>
    <s v="-"/>
    <s v="Café"/>
    <s v="-"/>
    <s v="-"/>
    <s v="Not Known"/>
    <s v="-"/>
    <s v="-"/>
    <s v="-"/>
    <s v="-"/>
    <s v="-"/>
    <x v="1"/>
    <x v="1"/>
    <s v="-"/>
    <s v="-"/>
    <s v="-"/>
    <s v="-"/>
    <s v="-"/>
    <s v="-"/>
    <s v="-"/>
    <s v="-"/>
    <s v="-"/>
    <s v="-"/>
    <s v="-"/>
    <x v="0"/>
    <x v="0"/>
    <n v="0"/>
    <n v="3733"/>
    <n v="0"/>
    <n v="3733"/>
    <x v="1"/>
    <x v="0"/>
    <m/>
    <x v="0"/>
    <m/>
    <x v="0"/>
    <m/>
    <x v="1"/>
    <x v="0"/>
    <x v="0"/>
    <x v="0"/>
    <m/>
    <n v="387"/>
    <n v="33"/>
    <n v="354"/>
    <x v="1"/>
    <m/>
  </r>
  <r>
    <x v="3"/>
    <x v="0"/>
    <x v="0"/>
    <x v="1"/>
    <n v="3514"/>
    <x v="163"/>
    <x v="8"/>
    <n v="2.0199999809265101"/>
    <n v="528809"/>
    <n v="177181"/>
    <s v="2.1.4"/>
    <x v="188"/>
    <s v="S96A"/>
    <d v="2016-10-25T00:00:00"/>
    <x v="155"/>
    <m/>
    <m/>
    <s v="Nil"/>
    <m/>
    <m/>
    <s v="Non Material Amendment to planning permission 2016/1517, dated 24/10/2016 for 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d basement car and cycle parking. An Environmental Statement was submitted with the application under The Town and Country Planning (Environmental Impact Assessment) Regulations 2011 (as amended 2015). (The amendments are to Block M (café) only and comprise façade alterations, the insertion of a mezzanine level resulting in 135sqm increase in floorspace and changes to the wording of Condition 8 (unit number &amp; floorspace restrictions) to reflect the new floorspace area of the cafe (Class A3) use)."/>
    <x v="186"/>
    <s v="EXT"/>
    <x v="1"/>
    <s v="UC"/>
    <m/>
    <d v="2016-10-19T00:00:00"/>
    <m/>
    <m/>
    <s v="C"/>
    <s v="BF"/>
    <x v="0"/>
    <m/>
    <d v="2016-10-19T00:00:00"/>
    <m/>
    <m/>
    <m/>
    <n v="135"/>
    <m/>
    <m/>
    <n v="135"/>
    <m/>
    <m/>
    <m/>
    <m/>
    <m/>
    <m/>
    <m/>
    <m/>
    <m/>
    <m/>
    <m/>
    <m/>
    <m/>
    <m/>
    <m/>
    <m/>
    <m/>
    <m/>
    <m/>
    <m/>
    <m/>
    <m/>
    <m/>
    <m/>
    <m/>
    <x v="1"/>
    <x v="0"/>
    <x v="1"/>
    <m/>
    <m/>
    <n v="135"/>
    <m/>
    <m/>
    <n v="135"/>
    <m/>
    <x v="0"/>
    <m/>
    <m/>
    <m/>
    <m/>
    <m/>
    <x v="0"/>
    <m/>
    <m/>
    <m/>
    <m/>
    <s v="-"/>
    <s v="-"/>
    <s v="Café"/>
    <s v="-"/>
    <s v="-"/>
    <s v="-"/>
    <s v="-"/>
    <s v="-"/>
    <s v="-"/>
    <s v="-"/>
    <s v="-"/>
    <x v="1"/>
    <x v="0"/>
    <s v="-"/>
    <s v="-"/>
    <s v="-"/>
    <s v="-"/>
    <s v="-"/>
    <s v="-"/>
    <s v="-"/>
    <s v="-"/>
    <s v="-"/>
    <s v="-"/>
    <s v="-"/>
    <x v="0"/>
    <x v="0"/>
    <n v="0"/>
    <n v="135"/>
    <n v="0"/>
    <n v="135"/>
    <x v="1"/>
    <x v="0"/>
    <m/>
    <x v="0"/>
    <m/>
    <x v="0"/>
    <m/>
    <x v="1"/>
    <x v="0"/>
    <x v="0"/>
    <x v="0"/>
    <m/>
    <n v="0"/>
    <n v="0"/>
    <n v="0"/>
    <x v="0"/>
    <m/>
  </r>
  <r>
    <x v="3"/>
    <x v="0"/>
    <x v="0"/>
    <x v="1"/>
    <n v="3514"/>
    <x v="163"/>
    <x v="8"/>
    <n v="2.0199999809265101"/>
    <n v="528809"/>
    <n v="177181"/>
    <s v="2.1.4"/>
    <x v="189"/>
    <s v="S73"/>
    <d v="2016-11-01T00:00:00"/>
    <x v="156"/>
    <s v="Y"/>
    <d v="2017-03-23T00:00:00"/>
    <s v="Nil"/>
    <m/>
    <m/>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x v="187"/>
    <s v="NB"/>
    <x v="0"/>
    <s v="UC"/>
    <m/>
    <d v="2016-10-19T00:00:00"/>
    <m/>
    <m/>
    <s v="C"/>
    <s v="BF"/>
    <x v="0"/>
    <m/>
    <d v="2016-10-19T00:00:00"/>
    <m/>
    <n v="527"/>
    <m/>
    <n v="135"/>
    <m/>
    <m/>
    <n v="662"/>
    <n v="459"/>
    <m/>
    <m/>
    <n v="459"/>
    <m/>
    <m/>
    <n v="459"/>
    <n v="473"/>
    <n v="331"/>
    <n v="804"/>
    <m/>
    <m/>
    <m/>
    <m/>
    <m/>
    <m/>
    <n v="394"/>
    <m/>
    <m/>
    <m/>
    <m/>
    <n v="394"/>
    <n v="395"/>
    <m/>
    <n v="395"/>
    <x v="1"/>
    <x v="1"/>
    <x v="0"/>
    <n v="527"/>
    <m/>
    <n v="135"/>
    <m/>
    <m/>
    <n v="662"/>
    <n v="65"/>
    <x v="0"/>
    <m/>
    <m/>
    <m/>
    <m/>
    <n v="65"/>
    <x v="0"/>
    <m/>
    <n v="78"/>
    <n v="331"/>
    <n v="409"/>
    <s v="Not Known"/>
    <s v="-"/>
    <s v="Café"/>
    <s v="-"/>
    <s v="-"/>
    <s v="Not Known"/>
    <s v="-"/>
    <s v="-"/>
    <s v="-"/>
    <s v="-"/>
    <s v="-"/>
    <x v="6"/>
    <x v="1"/>
    <s v="-"/>
    <s v="-"/>
    <s v="-"/>
    <s v="-"/>
    <s v="-"/>
    <s v="Not Known"/>
    <s v="-"/>
    <s v="-"/>
    <s v="-"/>
    <s v="-"/>
    <s v="-"/>
    <x v="7"/>
    <x v="0"/>
    <n v="0"/>
    <n v="1925"/>
    <n v="789"/>
    <n v="1136"/>
    <x v="1"/>
    <x v="0"/>
    <m/>
    <x v="0"/>
    <m/>
    <x v="0"/>
    <m/>
    <x v="1"/>
    <x v="0"/>
    <x v="0"/>
    <x v="0"/>
    <m/>
    <n v="5112"/>
    <n v="0"/>
    <n v="5112"/>
    <x v="1"/>
    <m/>
  </r>
  <r>
    <x v="2"/>
    <x v="0"/>
    <x v="0"/>
    <x v="1"/>
    <n v="3515"/>
    <x v="164"/>
    <x v="7"/>
    <n v="0.34999999403953602"/>
    <n v="524039"/>
    <n v="175460"/>
    <s v="6.1.1"/>
    <x v="190"/>
    <s v="PFLA"/>
    <d v="2015-01-06T00:00:00"/>
    <x v="157"/>
    <m/>
    <d v="2015-07-14T00:00:00"/>
    <s v="Nil"/>
    <m/>
    <m/>
    <s v="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
    <x v="188"/>
    <s v="NB"/>
    <x v="0"/>
    <s v="NSV"/>
    <m/>
    <m/>
    <m/>
    <m/>
    <s v="C"/>
    <s v="BF"/>
    <x v="0"/>
    <m/>
    <m/>
    <m/>
    <n v="1046"/>
    <n v="1046"/>
    <n v="1043"/>
    <m/>
    <m/>
    <n v="3135"/>
    <m/>
    <m/>
    <m/>
    <m/>
    <m/>
    <m/>
    <m/>
    <m/>
    <n v="447"/>
    <n v="447"/>
    <n v="3877"/>
    <n v="550"/>
    <m/>
    <m/>
    <m/>
    <n v="4427"/>
    <n v="128"/>
    <m/>
    <m/>
    <m/>
    <m/>
    <n v="128"/>
    <m/>
    <n v="1245"/>
    <n v="1245"/>
    <x v="1"/>
    <x v="1"/>
    <x v="0"/>
    <n v="-2831"/>
    <n v="496"/>
    <n v="1043"/>
    <m/>
    <m/>
    <n v="-1292"/>
    <n v="-128"/>
    <x v="1"/>
    <m/>
    <m/>
    <m/>
    <m/>
    <n v="-128"/>
    <x v="1"/>
    <m/>
    <m/>
    <n v="-798"/>
    <n v="-798"/>
    <s v="Not Known"/>
    <s v="Not Known"/>
    <s v="Not Known"/>
    <s v="-"/>
    <s v="-"/>
    <s v="-"/>
    <s v="-"/>
    <s v="-"/>
    <s v="-"/>
    <s v="-"/>
    <s v="-"/>
    <x v="1"/>
    <x v="2"/>
    <s v="Not Known"/>
    <s v="High Street Bank"/>
    <s v="-"/>
    <s v="-"/>
    <s v="-"/>
    <s v="Other"/>
    <s v="-"/>
    <s v="-"/>
    <s v="-"/>
    <s v="-"/>
    <s v="-"/>
    <x v="0"/>
    <x v="3"/>
    <n v="6.0000002384186013E-2"/>
    <n v="6897"/>
    <n v="5945"/>
    <n v="952"/>
    <x v="0"/>
    <x v="0"/>
    <m/>
    <x v="0"/>
    <m/>
    <x v="0"/>
    <m/>
    <x v="0"/>
    <x v="1"/>
    <x v="2"/>
    <x v="0"/>
    <m/>
    <n v="8601"/>
    <n v="193"/>
    <n v="8408"/>
    <x v="1"/>
    <m/>
  </r>
  <r>
    <x v="0"/>
    <x v="0"/>
    <x v="0"/>
    <x v="2"/>
    <n v="3516"/>
    <x v="165"/>
    <x v="8"/>
    <n v="1.2699999809265099"/>
    <n v="528672"/>
    <n v="177315"/>
    <s v="2.1.5"/>
    <x v="191"/>
    <s v="S73"/>
    <d v="2015-12-24T00:00:00"/>
    <x v="158"/>
    <m/>
    <d v="2016-02-24T00:00:00"/>
    <s v="Nil"/>
    <m/>
    <m/>
    <s v="Application pursuant to s73 for further variation of condition 13 (approved drawing numbers) to enable minor material amendment to planning permission granted 30 March 2012 (ref: 2011/2089, as amended) for demolition of the existing buildings, erection of two new buildings of up to 17-storeys and 15-storeys in height to provide 456 residential units (reduced by subsequent amendments to 448 dwellings) and 1,257sqm of commercial floor area comprising of office (B1 and A2), retail (A1) and café/restaurant (A3) uses, together with new pedestrian link and vehicular access, basement car and cycle parking, landscaping, excavation works and servicing. Amendment relates to the relocation of affordable business unit and the creation of two duplex residential apartments to Block L at ground and basement level."/>
    <x v="189"/>
    <s v="COU"/>
    <x v="2"/>
    <s v="CO"/>
    <m/>
    <d v="2014-07-08T00:00:00"/>
    <d v="2018-03-31T00:00:00"/>
    <m/>
    <s v="C"/>
    <s v="BF"/>
    <x v="0"/>
    <m/>
    <d v="2014-07-08T00:00:00"/>
    <d v="2018-03-31T00:00:00"/>
    <n v="146"/>
    <n v="146"/>
    <n v="146"/>
    <m/>
    <m/>
    <n v="438"/>
    <n v="391"/>
    <m/>
    <m/>
    <n v="391"/>
    <m/>
    <m/>
    <n v="391"/>
    <m/>
    <m/>
    <m/>
    <m/>
    <m/>
    <m/>
    <m/>
    <m/>
    <m/>
    <n v="16973"/>
    <m/>
    <m/>
    <m/>
    <m/>
    <n v="16973"/>
    <m/>
    <m/>
    <m/>
    <x v="1"/>
    <x v="1"/>
    <x v="1"/>
    <n v="146"/>
    <n v="146"/>
    <n v="146"/>
    <m/>
    <m/>
    <n v="438"/>
    <n v="-16582"/>
    <x v="1"/>
    <m/>
    <m/>
    <m/>
    <m/>
    <n v="-16582"/>
    <x v="1"/>
    <m/>
    <m/>
    <m/>
    <m/>
    <s v="-"/>
    <s v="-"/>
    <s v="-"/>
    <s v="-"/>
    <s v="-"/>
    <s v="-"/>
    <s v="-"/>
    <s v="-"/>
    <s v="-"/>
    <s v="-"/>
    <s v="-"/>
    <x v="1"/>
    <x v="0"/>
    <s v="-"/>
    <s v="-"/>
    <s v="-"/>
    <s v="-"/>
    <s v="-"/>
    <s v="-"/>
    <s v="-"/>
    <s v="-"/>
    <s v="-"/>
    <s v="-"/>
    <s v="-"/>
    <x v="0"/>
    <x v="0"/>
    <n v="1.7499968409532052E-2"/>
    <n v="829"/>
    <n v="16973"/>
    <n v="-16144"/>
    <x v="1"/>
    <x v="0"/>
    <m/>
    <x v="0"/>
    <m/>
    <x v="0"/>
    <m/>
    <x v="1"/>
    <x v="0"/>
    <x v="0"/>
    <x v="0"/>
    <m/>
    <n v="53789"/>
    <n v="0"/>
    <n v="53789"/>
    <x v="1"/>
    <m/>
  </r>
  <r>
    <x v="1"/>
    <x v="0"/>
    <x v="0"/>
    <x v="1"/>
    <n v="3516"/>
    <x v="165"/>
    <x v="8"/>
    <n v="1.2699999809265099"/>
    <n v="528672"/>
    <n v="177315"/>
    <s v="2.1.5"/>
    <x v="192"/>
    <s v="AF"/>
    <d v="2018-02-19T00:00:00"/>
    <x v="1"/>
    <m/>
    <m/>
    <s v="Nil"/>
    <m/>
    <m/>
    <s v="Change of use of part of the ground floor and first floor from class A1/A2/A3/B1 use (retail, financial and professional services, restaurant/café, business) to class D2 use (Assembly and Leisure) to allow for use as a gymnasium."/>
    <x v="190"/>
    <s v="COU"/>
    <x v="2"/>
    <s v="NSO"/>
    <m/>
    <m/>
    <m/>
    <m/>
    <s v="P"/>
    <s v="BF"/>
    <x v="0"/>
    <m/>
    <m/>
    <m/>
    <m/>
    <m/>
    <m/>
    <m/>
    <m/>
    <m/>
    <m/>
    <m/>
    <m/>
    <m/>
    <m/>
    <m/>
    <m/>
    <m/>
    <n v="278"/>
    <n v="278"/>
    <n v="93"/>
    <n v="93"/>
    <n v="92"/>
    <m/>
    <m/>
    <n v="278"/>
    <m/>
    <m/>
    <m/>
    <m/>
    <m/>
    <m/>
    <m/>
    <m/>
    <m/>
    <x v="1"/>
    <x v="0"/>
    <x v="0"/>
    <n v="-93"/>
    <n v="-93"/>
    <n v="-92"/>
    <m/>
    <m/>
    <n v="-278"/>
    <m/>
    <x v="0"/>
    <m/>
    <m/>
    <m/>
    <m/>
    <m/>
    <x v="0"/>
    <m/>
    <m/>
    <n v="278"/>
    <n v="278"/>
    <s v="-"/>
    <s v="-"/>
    <s v="-"/>
    <s v="-"/>
    <s v="-"/>
    <s v="-"/>
    <s v="-"/>
    <s v="-"/>
    <s v="-"/>
    <s v="-"/>
    <s v="-"/>
    <x v="1"/>
    <x v="2"/>
    <s v="Vacant"/>
    <s v="Vacant"/>
    <s v="Vacant"/>
    <s v="-"/>
    <s v="-"/>
    <s v="-"/>
    <s v="-"/>
    <s v="-"/>
    <s v="-"/>
    <s v="-"/>
    <s v="-"/>
    <x v="0"/>
    <x v="0"/>
    <n v="1.2699999809265099"/>
    <n v="278"/>
    <n v="278"/>
    <n v="0"/>
    <x v="1"/>
    <x v="0"/>
    <m/>
    <x v="0"/>
    <m/>
    <x v="0"/>
    <m/>
    <x v="1"/>
    <x v="0"/>
    <x v="0"/>
    <x v="0"/>
    <m/>
    <n v="0"/>
    <n v="0"/>
    <n v="0"/>
    <x v="0"/>
    <m/>
  </r>
  <r>
    <x v="0"/>
    <x v="0"/>
    <x v="0"/>
    <x v="2"/>
    <n v="3517"/>
    <x v="166"/>
    <x v="4"/>
    <n v="9.0999998152255998E-2"/>
    <n v="527208"/>
    <n v="177201"/>
    <s v="10.1.2"/>
    <x v="193"/>
    <s v="PF"/>
    <d v="2014-01-13T00:00:00"/>
    <x v="159"/>
    <m/>
    <m/>
    <s v="Nil"/>
    <m/>
    <m/>
    <s v="Alterations including erection of a three storey extension adjoining the Royal College of Art Building to be used for education purposes (Class D1)."/>
    <x v="191"/>
    <s v="NB"/>
    <x v="0"/>
    <s v="CO"/>
    <m/>
    <d v="2015-03-31T00:00:00"/>
    <d v="2018-03-31T00:00:00"/>
    <m/>
    <s v="C"/>
    <s v="BF"/>
    <x v="0"/>
    <m/>
    <d v="2015-03-31T00:00:00"/>
    <d v="2018-03-31T00:00:00"/>
    <m/>
    <m/>
    <m/>
    <m/>
    <m/>
    <m/>
    <m/>
    <m/>
    <m/>
    <m/>
    <m/>
    <m/>
    <m/>
    <n v="824"/>
    <m/>
    <n v="824"/>
    <m/>
    <m/>
    <m/>
    <m/>
    <m/>
    <m/>
    <m/>
    <m/>
    <m/>
    <m/>
    <m/>
    <m/>
    <m/>
    <m/>
    <m/>
    <x v="0"/>
    <x v="0"/>
    <x v="0"/>
    <m/>
    <m/>
    <m/>
    <m/>
    <m/>
    <m/>
    <m/>
    <x v="0"/>
    <m/>
    <m/>
    <m/>
    <m/>
    <m/>
    <x v="0"/>
    <m/>
    <n v="824"/>
    <m/>
    <n v="824"/>
    <s v="-"/>
    <s v="-"/>
    <s v="-"/>
    <s v="-"/>
    <s v="-"/>
    <s v="-"/>
    <s v="-"/>
    <s v="-"/>
    <s v="-"/>
    <s v="-"/>
    <s v="-"/>
    <x v="0"/>
    <x v="0"/>
    <s v="-"/>
    <s v="-"/>
    <s v="-"/>
    <s v="-"/>
    <s v="-"/>
    <s v="-"/>
    <s v="-"/>
    <s v="-"/>
    <s v="-"/>
    <s v="-"/>
    <s v="-"/>
    <x v="0"/>
    <x v="0"/>
    <n v="9.0999998152255998E-2"/>
    <n v="824"/>
    <n v="0"/>
    <n v="824"/>
    <x v="1"/>
    <x v="0"/>
    <m/>
    <x v="0"/>
    <m/>
    <x v="1"/>
    <s v="Howie Street"/>
    <x v="0"/>
    <x v="0"/>
    <x v="0"/>
    <x v="0"/>
    <m/>
    <n v="0"/>
    <n v="0"/>
    <n v="0"/>
    <x v="0"/>
    <m/>
  </r>
  <r>
    <x v="2"/>
    <x v="0"/>
    <x v="0"/>
    <x v="1"/>
    <n v="3517"/>
    <x v="166"/>
    <x v="4"/>
    <n v="9.0999998152255998E-2"/>
    <n v="527208"/>
    <n v="177201"/>
    <s v="10.1.2"/>
    <x v="194"/>
    <s v="PF"/>
    <d v="2016-02-25T00:00:00"/>
    <x v="160"/>
    <m/>
    <m/>
    <s v="Nil"/>
    <m/>
    <m/>
    <s v="Change of use of commercial unit B from business (Use Class B1) to pilates studio (Use Class D2)."/>
    <x v="192"/>
    <s v="COU"/>
    <x v="2"/>
    <s v="NSO"/>
    <m/>
    <m/>
    <m/>
    <m/>
    <s v="C"/>
    <s v="BF"/>
    <x v="0"/>
    <m/>
    <m/>
    <m/>
    <m/>
    <m/>
    <m/>
    <m/>
    <m/>
    <m/>
    <n v="230"/>
    <m/>
    <m/>
    <n v="230"/>
    <m/>
    <m/>
    <n v="230"/>
    <m/>
    <n v="82"/>
    <n v="82"/>
    <m/>
    <m/>
    <m/>
    <m/>
    <m/>
    <m/>
    <n v="312"/>
    <m/>
    <m/>
    <m/>
    <m/>
    <n v="312"/>
    <m/>
    <m/>
    <m/>
    <x v="0"/>
    <x v="1"/>
    <x v="0"/>
    <m/>
    <m/>
    <m/>
    <m/>
    <m/>
    <m/>
    <n v="-82"/>
    <x v="1"/>
    <m/>
    <m/>
    <m/>
    <m/>
    <n v="-82"/>
    <x v="1"/>
    <m/>
    <m/>
    <n v="82"/>
    <n v="82"/>
    <s v="-"/>
    <s v="-"/>
    <s v="-"/>
    <s v="-"/>
    <s v="-"/>
    <s v="Not Known"/>
    <s v="-"/>
    <s v="-"/>
    <s v="-"/>
    <s v="-"/>
    <s v="-"/>
    <x v="1"/>
    <x v="2"/>
    <s v="-"/>
    <s v="-"/>
    <s v="-"/>
    <s v="-"/>
    <s v="-"/>
    <s v="Not Known"/>
    <s v="-"/>
    <s v="-"/>
    <s v="-"/>
    <s v="-"/>
    <s v="-"/>
    <x v="0"/>
    <x v="0"/>
    <n v="9.0999998152255998E-2"/>
    <n v="312"/>
    <n v="312"/>
    <n v="0"/>
    <x v="1"/>
    <x v="0"/>
    <m/>
    <x v="0"/>
    <m/>
    <x v="1"/>
    <s v="Howie Street"/>
    <x v="0"/>
    <x v="0"/>
    <x v="0"/>
    <x v="0"/>
    <m/>
    <n v="0"/>
    <n v="0"/>
    <n v="0"/>
    <x v="0"/>
    <m/>
  </r>
  <r>
    <x v="3"/>
    <x v="0"/>
    <x v="0"/>
    <x v="1"/>
    <n v="3518"/>
    <x v="167"/>
    <x v="5"/>
    <n v="2.6150000095367401"/>
    <n v="525666"/>
    <n v="174804"/>
    <s v="3.1.2"/>
    <x v="195"/>
    <s v="POLA"/>
    <d v="2012-11-21T00:00:00"/>
    <x v="161"/>
    <m/>
    <d v="2013-07-23T00:00:00"/>
    <s v="Nil"/>
    <m/>
    <m/>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x v="193"/>
    <s v="NB"/>
    <x v="0"/>
    <s v="UC"/>
    <m/>
    <d v="2015-04-01T00:00:00"/>
    <m/>
    <m/>
    <s v="C"/>
    <s v="BF"/>
    <x v="0"/>
    <m/>
    <d v="2015-04-01T00:00:00"/>
    <m/>
    <n v="2329"/>
    <n v="2329"/>
    <n v="2329"/>
    <m/>
    <n v="2330"/>
    <n v="9317"/>
    <m/>
    <m/>
    <m/>
    <m/>
    <n v="212"/>
    <m/>
    <n v="212"/>
    <n v="647"/>
    <n v="507"/>
    <n v="1154"/>
    <m/>
    <m/>
    <m/>
    <m/>
    <m/>
    <m/>
    <m/>
    <m/>
    <n v="22859"/>
    <m/>
    <m/>
    <n v="22859"/>
    <m/>
    <m/>
    <m/>
    <x v="1"/>
    <x v="1"/>
    <x v="0"/>
    <n v="2329"/>
    <n v="2329"/>
    <n v="2329"/>
    <m/>
    <n v="2330"/>
    <n v="9317"/>
    <m/>
    <x v="0"/>
    <m/>
    <n v="-22859"/>
    <n v="212"/>
    <m/>
    <n v="-22647"/>
    <x v="1"/>
    <m/>
    <n v="647"/>
    <n v="507"/>
    <n v="1154"/>
    <s v="Not Known"/>
    <s v="Not Known"/>
    <s v="Not Known"/>
    <s v="-"/>
    <s v="Not Known"/>
    <s v="-"/>
    <s v="-"/>
    <s v="-"/>
    <s v="Not Known"/>
    <s v="-"/>
    <s v="-"/>
    <x v="5"/>
    <x v="1"/>
    <s v="-"/>
    <s v="-"/>
    <s v="-"/>
    <s v="-"/>
    <s v="-"/>
    <s v="-"/>
    <s v="-"/>
    <s v="Light Industrial"/>
    <s v="-"/>
    <s v="-"/>
    <s v="-"/>
    <x v="0"/>
    <x v="0"/>
    <n v="0.24399971961975009"/>
    <n v="10683"/>
    <n v="22859"/>
    <n v="-12176"/>
    <x v="0"/>
    <x v="0"/>
    <m/>
    <x v="0"/>
    <m/>
    <x v="1"/>
    <s v="Ram Brewey"/>
    <x v="0"/>
    <x v="1"/>
    <x v="4"/>
    <x v="0"/>
    <m/>
    <n v="79516"/>
    <n v="0"/>
    <n v="79516"/>
    <x v="1"/>
    <m/>
  </r>
  <r>
    <x v="3"/>
    <x v="0"/>
    <x v="0"/>
    <x v="1"/>
    <n v="3518"/>
    <x v="167"/>
    <x v="5"/>
    <n v="2.6150000095367401"/>
    <n v="525666"/>
    <n v="174804"/>
    <s v="3.1.2"/>
    <x v="196"/>
    <s v="S96A"/>
    <d v="2016-10-28T00:00:00"/>
    <x v="162"/>
    <m/>
    <m/>
    <s v="Nil"/>
    <m/>
    <m/>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d_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x v="194"/>
    <s v="NB"/>
    <x v="0"/>
    <s v="UC"/>
    <m/>
    <d v="2015-04-01T00:00:00"/>
    <m/>
    <m/>
    <s v="C"/>
    <s v="BF"/>
    <x v="0"/>
    <m/>
    <d v="2015-04-01T00:00:00"/>
    <m/>
    <m/>
    <m/>
    <m/>
    <m/>
    <m/>
    <m/>
    <m/>
    <m/>
    <m/>
    <m/>
    <m/>
    <m/>
    <m/>
    <m/>
    <m/>
    <m/>
    <m/>
    <m/>
    <m/>
    <m/>
    <m/>
    <m/>
    <m/>
    <m/>
    <m/>
    <m/>
    <m/>
    <m/>
    <m/>
    <m/>
    <m/>
    <x v="0"/>
    <x v="0"/>
    <x v="1"/>
    <m/>
    <m/>
    <m/>
    <m/>
    <m/>
    <m/>
    <m/>
    <x v="0"/>
    <m/>
    <m/>
    <m/>
    <m/>
    <m/>
    <x v="0"/>
    <m/>
    <m/>
    <m/>
    <m/>
    <s v="-"/>
    <s v="-"/>
    <s v="-"/>
    <s v="-"/>
    <s v="-"/>
    <s v="-"/>
    <s v="-"/>
    <s v="-"/>
    <s v="-"/>
    <s v="-"/>
    <s v="-"/>
    <x v="1"/>
    <x v="0"/>
    <s v="-"/>
    <s v="-"/>
    <s v="-"/>
    <s v="-"/>
    <s v="-"/>
    <s v="-"/>
    <s v="-"/>
    <s v="-"/>
    <s v="-"/>
    <s v="-"/>
    <s v="-"/>
    <x v="0"/>
    <x v="0"/>
    <n v="2.6150000095367401"/>
    <n v="55"/>
    <n v="0"/>
    <n v="55"/>
    <x v="0"/>
    <x v="0"/>
    <m/>
    <x v="0"/>
    <m/>
    <x v="1"/>
    <s v="Ram Brewey"/>
    <x v="0"/>
    <x v="1"/>
    <x v="4"/>
    <x v="0"/>
    <m/>
    <n v="5422"/>
    <n v="5385"/>
    <n v="37"/>
    <x v="1"/>
    <m/>
  </r>
  <r>
    <x v="3"/>
    <x v="0"/>
    <x v="0"/>
    <x v="1"/>
    <n v="3518"/>
    <x v="167"/>
    <x v="5"/>
    <n v="2.6150000095367401"/>
    <n v="525666"/>
    <n v="174804"/>
    <s v="3.1.2"/>
    <x v="197"/>
    <s v="PF"/>
    <d v="2017-10-16T00:00:00"/>
    <x v="163"/>
    <s v="Y"/>
    <m/>
    <s v="Nil"/>
    <m/>
    <m/>
    <s v="Partial demolition, internal and external alterations of the Grade II listed Brewers House and Grade II* listed Brewery Complex (Building 11) in connection to the change of use to comprise a Heritage Centre (Use Class D1), Restaurant (Use Class A3) and retained small scale Brewery (Micro Brewery, Use Class B2), and installation of plant and ventilation equipment, signage and lighting._x000d__x000a__x000d__x000a_Associated Listed Building Consent ref: 2017/5696."/>
    <x v="195"/>
    <s v="COU"/>
    <x v="2"/>
    <s v="UC"/>
    <m/>
    <d v="2015-04-01T00:00:00"/>
    <m/>
    <m/>
    <s v="C"/>
    <s v="BF"/>
    <x v="0"/>
    <m/>
    <d v="2015-04-01T00:00:00"/>
    <m/>
    <m/>
    <m/>
    <n v="377"/>
    <m/>
    <m/>
    <n v="377"/>
    <m/>
    <m/>
    <m/>
    <m/>
    <n v="336"/>
    <m/>
    <n v="336"/>
    <n v="205"/>
    <m/>
    <n v="205"/>
    <m/>
    <m/>
    <n v="377"/>
    <m/>
    <m/>
    <n v="377"/>
    <m/>
    <m/>
    <m/>
    <n v="212"/>
    <m/>
    <n v="212"/>
    <n v="647"/>
    <m/>
    <n v="647"/>
    <x v="1"/>
    <x v="1"/>
    <x v="0"/>
    <m/>
    <m/>
    <m/>
    <m/>
    <m/>
    <m/>
    <m/>
    <x v="0"/>
    <m/>
    <m/>
    <n v="124"/>
    <m/>
    <n v="124"/>
    <x v="0"/>
    <m/>
    <n v="-442"/>
    <m/>
    <n v="-442"/>
    <s v="-"/>
    <s v="-"/>
    <s v="Restaurant"/>
    <s v="-"/>
    <s v="-"/>
    <s v="-"/>
    <s v="-"/>
    <s v="-"/>
    <s v="General Industry"/>
    <s v="-"/>
    <s v="-"/>
    <x v="2"/>
    <x v="0"/>
    <s v="-"/>
    <s v="-"/>
    <s v="Restaurant"/>
    <s v="-"/>
    <s v="-"/>
    <s v="-"/>
    <s v="-"/>
    <s v="-"/>
    <s v="General Industry"/>
    <s v="-"/>
    <s v="-"/>
    <x v="2"/>
    <x v="0"/>
    <n v="2.6150000095367401"/>
    <n v="918"/>
    <n v="1236"/>
    <n v="-318"/>
    <x v="0"/>
    <x v="0"/>
    <m/>
    <x v="0"/>
    <m/>
    <x v="1"/>
    <s v="Ram Brewey"/>
    <x v="0"/>
    <x v="1"/>
    <x v="4"/>
    <x v="0"/>
    <m/>
    <n v="0"/>
    <n v="0"/>
    <n v="0"/>
    <x v="0"/>
    <m/>
  </r>
  <r>
    <x v="1"/>
    <x v="4"/>
    <x v="4"/>
    <x v="1"/>
    <n v="3519"/>
    <x v="168"/>
    <x v="5"/>
    <n v="1.41100001335144"/>
    <n v="525782"/>
    <n v="175172"/>
    <s v="3.7"/>
    <x v="198"/>
    <s v="SLA"/>
    <d v="2017-01-31T00:00:00"/>
    <x v="1"/>
    <m/>
    <d v="2018-01-25T00:00:00"/>
    <s v="Nil"/>
    <m/>
    <m/>
    <s v="Demolition of existing retail buildings and phased construction of 14 residential blocks (with 3 podiums) ranging from 8 to 15 storeys to provide a mixed use scheme including 517 residential units (Class C3), 5098 s.q.m. GIA of business (Class B1) and 2745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1 as amended."/>
    <x v="196"/>
    <s v="NB"/>
    <x v="0"/>
    <s v="NSO"/>
    <m/>
    <m/>
    <m/>
    <m/>
    <s v="P"/>
    <s v="BF"/>
    <x v="0"/>
    <m/>
    <m/>
    <m/>
    <n v="549"/>
    <n v="549"/>
    <n v="549"/>
    <n v="549"/>
    <m/>
    <n v="2196"/>
    <n v="5647"/>
    <m/>
    <m/>
    <n v="5647"/>
    <m/>
    <m/>
    <n v="5647"/>
    <m/>
    <m/>
    <m/>
    <n v="6309"/>
    <m/>
    <m/>
    <m/>
    <m/>
    <n v="6309"/>
    <m/>
    <m/>
    <m/>
    <m/>
    <m/>
    <m/>
    <m/>
    <m/>
    <m/>
    <x v="1"/>
    <x v="1"/>
    <x v="1"/>
    <n v="-5760"/>
    <n v="549"/>
    <n v="549"/>
    <n v="549"/>
    <m/>
    <n v="-4113"/>
    <n v="5647"/>
    <x v="0"/>
    <m/>
    <m/>
    <m/>
    <m/>
    <n v="5647"/>
    <x v="0"/>
    <m/>
    <m/>
    <m/>
    <m/>
    <s v="Not Known"/>
    <s v="Not Known"/>
    <s v="Not Known"/>
    <s v="Not Known"/>
    <s v="-"/>
    <s v="Not Known"/>
    <s v="-"/>
    <s v="-"/>
    <s v="-"/>
    <s v="-"/>
    <s v="-"/>
    <x v="1"/>
    <x v="0"/>
    <s v="Durables"/>
    <s v="-"/>
    <s v="-"/>
    <s v="-"/>
    <s v="-"/>
    <s v="-"/>
    <s v="-"/>
    <s v="-"/>
    <s v="-"/>
    <s v="-"/>
    <s v="-"/>
    <x v="0"/>
    <x v="0"/>
    <n v="0.90500003099441495"/>
    <n v="7843"/>
    <n v="6309"/>
    <n v="1534"/>
    <x v="1"/>
    <x v="0"/>
    <m/>
    <x v="0"/>
    <m/>
    <x v="0"/>
    <m/>
    <x v="0"/>
    <x v="0"/>
    <x v="0"/>
    <x v="0"/>
    <m/>
    <n v="35251"/>
    <n v="0"/>
    <n v="35251"/>
    <x v="1"/>
    <m/>
  </r>
  <r>
    <x v="3"/>
    <x v="0"/>
    <x v="0"/>
    <x v="1"/>
    <n v="3521"/>
    <x v="169"/>
    <x v="3"/>
    <n v="2.2699999809265101"/>
    <n v="527156"/>
    <n v="175243"/>
    <s v="4.1.5"/>
    <x v="199"/>
    <s v="PFLA"/>
    <d v="2012-04-18T00:00:00"/>
    <x v="164"/>
    <m/>
    <d v="2012-10-18T00:00:00"/>
    <s v="Nil"/>
    <m/>
    <m/>
    <s v="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x v="197"/>
    <s v="NB"/>
    <x v="0"/>
    <s v="UC"/>
    <m/>
    <d v="2013-01-30T00:00:00"/>
    <m/>
    <m/>
    <s v="C"/>
    <s v="BF"/>
    <x v="0"/>
    <m/>
    <d v="2013-01-30T00:00:00"/>
    <m/>
    <n v="95"/>
    <n v="95"/>
    <n v="95"/>
    <n v="95"/>
    <n v="95"/>
    <n v="475"/>
    <n v="94"/>
    <m/>
    <m/>
    <n v="94"/>
    <m/>
    <m/>
    <n v="94"/>
    <m/>
    <n v="530"/>
    <n v="530"/>
    <m/>
    <m/>
    <m/>
    <m/>
    <m/>
    <m/>
    <m/>
    <m/>
    <m/>
    <m/>
    <m/>
    <m/>
    <m/>
    <m/>
    <m/>
    <x v="1"/>
    <x v="1"/>
    <x v="0"/>
    <n v="95"/>
    <n v="95"/>
    <n v="95"/>
    <n v="95"/>
    <n v="95"/>
    <n v="475"/>
    <n v="94"/>
    <x v="0"/>
    <m/>
    <m/>
    <m/>
    <m/>
    <n v="94"/>
    <x v="0"/>
    <m/>
    <m/>
    <n v="530"/>
    <n v="530"/>
    <s v="Not Known"/>
    <s v="Not Known"/>
    <s v="Not Known"/>
    <s v="Not Known"/>
    <s v="Not Known"/>
    <s v="-"/>
    <s v="-"/>
    <s v="-"/>
    <s v="-"/>
    <s v="-"/>
    <s v="-"/>
    <x v="1"/>
    <x v="2"/>
    <s v="-"/>
    <s v="-"/>
    <s v="-"/>
    <s v="-"/>
    <s v="-"/>
    <s v="-"/>
    <s v="-"/>
    <s v="-"/>
    <s v="-"/>
    <s v="-"/>
    <s v="-"/>
    <x v="0"/>
    <x v="0"/>
    <n v="7.2999989613883098E-2"/>
    <n v="1099"/>
    <n v="0"/>
    <n v="1099"/>
    <x v="0"/>
    <x v="0"/>
    <m/>
    <x v="0"/>
    <m/>
    <x v="0"/>
    <m/>
    <x v="0"/>
    <x v="0"/>
    <x v="0"/>
    <x v="0"/>
    <m/>
    <n v="49268"/>
    <n v="16541"/>
    <n v="32727"/>
    <x v="1"/>
    <m/>
  </r>
  <r>
    <x v="1"/>
    <x v="4"/>
    <x v="4"/>
    <x v="1"/>
    <n v="3522"/>
    <x v="170"/>
    <x v="5"/>
    <n v="1"/>
    <n v="525912"/>
    <n v="175143"/>
    <s v="3.6"/>
    <x v="200"/>
    <s v="SLA"/>
    <d v="2017-01-04T00:00:00"/>
    <x v="1"/>
    <m/>
    <d v="2017-04-26T00:00:00"/>
    <s v="Nil"/>
    <m/>
    <m/>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x v="198"/>
    <s v="NB"/>
    <x v="0"/>
    <s v="NSO"/>
    <m/>
    <m/>
    <m/>
    <m/>
    <s v="P"/>
    <s v="BF"/>
    <x v="0"/>
    <m/>
    <m/>
    <m/>
    <n v="199"/>
    <n v="823"/>
    <n v="199"/>
    <m/>
    <n v="199"/>
    <n v="1420"/>
    <n v="824"/>
    <m/>
    <m/>
    <n v="824"/>
    <m/>
    <m/>
    <n v="824"/>
    <n v="164"/>
    <m/>
    <n v="164"/>
    <n v="3701"/>
    <m/>
    <m/>
    <m/>
    <m/>
    <n v="3701"/>
    <m/>
    <m/>
    <m/>
    <m/>
    <m/>
    <m/>
    <m/>
    <m/>
    <m/>
    <x v="1"/>
    <x v="1"/>
    <x v="0"/>
    <n v="-3502"/>
    <n v="823"/>
    <n v="199"/>
    <m/>
    <n v="199"/>
    <n v="-2281"/>
    <n v="824"/>
    <x v="0"/>
    <m/>
    <m/>
    <m/>
    <m/>
    <n v="824"/>
    <x v="0"/>
    <m/>
    <n v="164"/>
    <m/>
    <n v="164"/>
    <s v="-"/>
    <s v="-"/>
    <s v="-"/>
    <s v="-"/>
    <s v="-"/>
    <s v="-"/>
    <s v="-"/>
    <s v="-"/>
    <s v="-"/>
    <s v="-"/>
    <s v="-"/>
    <x v="1"/>
    <x v="0"/>
    <s v="Durables"/>
    <s v="-"/>
    <s v="-"/>
    <s v="-"/>
    <s v="-"/>
    <s v="-"/>
    <s v="-"/>
    <s v="-"/>
    <s v="-"/>
    <s v="-"/>
    <s v="-"/>
    <x v="0"/>
    <x v="0"/>
    <n v="7.1999989449976987E-2"/>
    <n v="2408"/>
    <n v="3701"/>
    <n v="-1293"/>
    <x v="1"/>
    <x v="0"/>
    <m/>
    <x v="0"/>
    <m/>
    <x v="0"/>
    <m/>
    <x v="0"/>
    <x v="0"/>
    <x v="0"/>
    <x v="0"/>
    <m/>
    <n v="26024"/>
    <n v="0"/>
    <n v="26024"/>
    <x v="1"/>
    <m/>
  </r>
  <r>
    <x v="3"/>
    <x v="0"/>
    <x v="0"/>
    <x v="1"/>
    <n v="3526"/>
    <x v="171"/>
    <x v="4"/>
    <n v="0.81999999284744296"/>
    <n v="526547"/>
    <n v="175744"/>
    <s v="10.4"/>
    <x v="201"/>
    <s v="S73"/>
    <d v="2017-07-12T00:00:00"/>
    <x v="165"/>
    <s v="Y"/>
    <d v="2017-09-20T00:00:00"/>
    <s v="Nil"/>
    <m/>
    <m/>
    <s v="Variation of condition 2 (in accordance with approved drawings) pursuant to planning permission dated 11/04/2017 ref 2016/5747 to allow the reduction in size of Blocks A and B; Relocation of stair and lift cores in Blocks A and B; Internal reconfiguration of plant and storage at basement level; Changes to the ground and first floor podium façade; Internal reconfiguration to the RAD ground floor, including additional studio space, relocation of studios, the shop and reception; Internal layout changes to Block C;  Changes to the façade on Block C; A drop-off zone along York Place and ground and first floor landscaping amendments."/>
    <x v="199"/>
    <s v="NB"/>
    <x v="0"/>
    <s v="UC"/>
    <m/>
    <d v="2017-07-21T00:00:00"/>
    <m/>
    <m/>
    <s v="C"/>
    <s v="BF"/>
    <x v="0"/>
    <m/>
    <d v="2017-07-21T00:00:00"/>
    <m/>
    <m/>
    <m/>
    <m/>
    <m/>
    <m/>
    <m/>
    <m/>
    <m/>
    <m/>
    <m/>
    <m/>
    <m/>
    <m/>
    <n v="6423"/>
    <m/>
    <n v="6423"/>
    <n v="5011"/>
    <m/>
    <m/>
    <m/>
    <m/>
    <n v="5011"/>
    <m/>
    <m/>
    <m/>
    <m/>
    <m/>
    <m/>
    <m/>
    <m/>
    <m/>
    <x v="1"/>
    <x v="0"/>
    <x v="0"/>
    <n v="-5011"/>
    <m/>
    <m/>
    <m/>
    <m/>
    <n v="-5011"/>
    <m/>
    <x v="0"/>
    <m/>
    <m/>
    <m/>
    <m/>
    <m/>
    <x v="0"/>
    <m/>
    <n v="6423"/>
    <m/>
    <n v="6423"/>
    <s v="-"/>
    <s v="-"/>
    <s v="-"/>
    <s v="-"/>
    <s v="-"/>
    <s v="-"/>
    <s v="-"/>
    <s v="-"/>
    <s v="-"/>
    <s v="-"/>
    <s v="-"/>
    <x v="0"/>
    <x v="0"/>
    <s v="Durables"/>
    <s v="-"/>
    <s v="-"/>
    <s v="-"/>
    <s v="-"/>
    <s v="-"/>
    <s v="-"/>
    <s v="-"/>
    <s v="-"/>
    <s v="-"/>
    <s v="-"/>
    <x v="0"/>
    <x v="0"/>
    <n v="0.10300000570714496"/>
    <n v="6423"/>
    <n v="5011"/>
    <n v="1412"/>
    <x v="1"/>
    <x v="0"/>
    <m/>
    <x v="0"/>
    <m/>
    <x v="0"/>
    <m/>
    <x v="0"/>
    <x v="0"/>
    <x v="0"/>
    <x v="0"/>
    <m/>
    <n v="29298"/>
    <n v="0"/>
    <n v="29298"/>
    <x v="1"/>
    <m/>
  </r>
  <r>
    <x v="0"/>
    <x v="0"/>
    <x v="0"/>
    <x v="2"/>
    <n v="3577"/>
    <x v="172"/>
    <x v="8"/>
    <n v="4.1000001132488299E-2"/>
    <n v="529035"/>
    <n v="176328"/>
    <m/>
    <x v="202"/>
    <s v="PF"/>
    <d v="2010-07-23T00:00:00"/>
    <x v="166"/>
    <m/>
    <m/>
    <s v="Nil"/>
    <m/>
    <m/>
    <s v="Demolition of existing public house building. Redevelopment of the site to provide a five-storey building with shops and a cafe/community area on the ground floor and nine flats above with balconies/terraces, with 10 basement parking spaces."/>
    <x v="200"/>
    <s v="NB"/>
    <x v="0"/>
    <s v="CO"/>
    <m/>
    <d v="2012-02-06T00:00:00"/>
    <d v="2017-12-18T00:00:00"/>
    <m/>
    <s v="C"/>
    <s v="BF"/>
    <x v="0"/>
    <m/>
    <d v="2012-02-06T00:00:00"/>
    <d v="2017-12-18T00:00:00"/>
    <n v="135"/>
    <m/>
    <n v="23"/>
    <m/>
    <m/>
    <n v="158"/>
    <m/>
    <m/>
    <m/>
    <m/>
    <m/>
    <m/>
    <m/>
    <n v="22"/>
    <m/>
    <n v="22"/>
    <m/>
    <m/>
    <n v="90"/>
    <n v="630"/>
    <m/>
    <n v="720"/>
    <m/>
    <m/>
    <m/>
    <m/>
    <m/>
    <m/>
    <m/>
    <m/>
    <m/>
    <x v="1"/>
    <x v="0"/>
    <x v="0"/>
    <n v="135"/>
    <m/>
    <n v="-67"/>
    <n v="-630"/>
    <m/>
    <n v="-562"/>
    <m/>
    <x v="0"/>
    <m/>
    <m/>
    <m/>
    <m/>
    <m/>
    <x v="0"/>
    <m/>
    <n v="22"/>
    <m/>
    <n v="22"/>
    <s v="Not Known"/>
    <s v="-"/>
    <s v="Café"/>
    <s v="-"/>
    <s v="-"/>
    <s v="-"/>
    <s v="-"/>
    <s v="-"/>
    <s v="-"/>
    <s v="-"/>
    <s v="-"/>
    <x v="4"/>
    <x v="0"/>
    <s v="-"/>
    <s v="-"/>
    <s v="Vacant"/>
    <s v="Vacant"/>
    <s v="-"/>
    <s v="-"/>
    <s v="-"/>
    <s v="-"/>
    <s v="-"/>
    <s v="-"/>
    <s v="-"/>
    <x v="0"/>
    <x v="0"/>
    <n v="8.0000013113021989E-3"/>
    <n v="180"/>
    <n v="720"/>
    <n v="-540"/>
    <x v="0"/>
    <x v="0"/>
    <m/>
    <x v="0"/>
    <m/>
    <x v="0"/>
    <m/>
    <x v="1"/>
    <x v="0"/>
    <x v="0"/>
    <x v="0"/>
    <m/>
    <n v="0"/>
    <n v="0"/>
    <n v="0"/>
    <x v="0"/>
    <m/>
  </r>
  <r>
    <x v="1"/>
    <x v="0"/>
    <x v="0"/>
    <x v="1"/>
    <n v="3588"/>
    <x v="173"/>
    <x v="6"/>
    <n v="1.4999999664723899E-2"/>
    <n v="528283"/>
    <n v="175682"/>
    <m/>
    <x v="203"/>
    <s v="AF"/>
    <d v="2017-12-01T00:00:00"/>
    <x v="1"/>
    <m/>
    <m/>
    <s v="Nil"/>
    <m/>
    <m/>
    <s v="Erection of a mansard roof extension to main rear roof and extensions at first, second and third floors and change of use of the property into 8-bedroom HMO (from Class C3 to Class Sui Genres)."/>
    <x v="201"/>
    <s v="MIX"/>
    <x v="0"/>
    <s v="NSO"/>
    <m/>
    <m/>
    <m/>
    <m/>
    <s v="P"/>
    <s v="BF"/>
    <x v="0"/>
    <m/>
    <m/>
    <m/>
    <m/>
    <m/>
    <m/>
    <m/>
    <m/>
    <m/>
    <m/>
    <m/>
    <m/>
    <m/>
    <m/>
    <m/>
    <m/>
    <m/>
    <m/>
    <m/>
    <m/>
    <m/>
    <m/>
    <m/>
    <m/>
    <m/>
    <m/>
    <m/>
    <m/>
    <m/>
    <m/>
    <m/>
    <m/>
    <m/>
    <m/>
    <x v="0"/>
    <x v="0"/>
    <x v="1"/>
    <m/>
    <m/>
    <m/>
    <m/>
    <m/>
    <m/>
    <m/>
    <x v="0"/>
    <m/>
    <m/>
    <m/>
    <m/>
    <m/>
    <x v="0"/>
    <m/>
    <m/>
    <m/>
    <m/>
    <s v="-"/>
    <s v="-"/>
    <s v="-"/>
    <s v="-"/>
    <s v="-"/>
    <s v="-"/>
    <s v="-"/>
    <s v="-"/>
    <s v="-"/>
    <s v="-"/>
    <s v="-"/>
    <x v="1"/>
    <x v="0"/>
    <s v="-"/>
    <s v="-"/>
    <s v="-"/>
    <s v="-"/>
    <s v="-"/>
    <s v="-"/>
    <s v="-"/>
    <s v="-"/>
    <s v="-"/>
    <s v="-"/>
    <s v="-"/>
    <x v="0"/>
    <x v="0"/>
    <n v="6.9999992847442887E-3"/>
    <n v="243"/>
    <n v="0"/>
    <n v="243"/>
    <x v="0"/>
    <x v="0"/>
    <m/>
    <x v="0"/>
    <m/>
    <x v="0"/>
    <m/>
    <x v="0"/>
    <x v="0"/>
    <x v="0"/>
    <x v="0"/>
    <m/>
    <n v="0"/>
    <n v="137"/>
    <n v="-137"/>
    <x v="0"/>
    <m/>
  </r>
  <r>
    <x v="3"/>
    <x v="0"/>
    <x v="0"/>
    <x v="1"/>
    <n v="3598"/>
    <x v="174"/>
    <x v="2"/>
    <n v="0.365000009536743"/>
    <n v="528192"/>
    <n v="173340"/>
    <m/>
    <x v="204"/>
    <s v="PF"/>
    <d v="2016-10-26T00:00:00"/>
    <x v="167"/>
    <m/>
    <m/>
    <s v="Nil"/>
    <m/>
    <m/>
    <s v="Demolition of single storey building and erection of replacement two-storey extension with basement including lightwell and roof terrace. New gated entrance."/>
    <x v="202"/>
    <s v="NB"/>
    <x v="0"/>
    <s v="UC"/>
    <m/>
    <d v="2018-03-31T00:00:00"/>
    <m/>
    <m/>
    <s v="C"/>
    <s v="BF"/>
    <x v="0"/>
    <m/>
    <d v="2018-03-31T00:00:00"/>
    <m/>
    <m/>
    <m/>
    <m/>
    <m/>
    <m/>
    <m/>
    <m/>
    <m/>
    <m/>
    <m/>
    <m/>
    <m/>
    <m/>
    <n v="227"/>
    <m/>
    <n v="227"/>
    <m/>
    <m/>
    <m/>
    <m/>
    <m/>
    <m/>
    <m/>
    <m/>
    <m/>
    <m/>
    <m/>
    <m/>
    <m/>
    <m/>
    <m/>
    <x v="0"/>
    <x v="0"/>
    <x v="0"/>
    <m/>
    <m/>
    <m/>
    <m/>
    <m/>
    <m/>
    <m/>
    <x v="0"/>
    <m/>
    <m/>
    <m/>
    <m/>
    <m/>
    <x v="0"/>
    <m/>
    <n v="227"/>
    <m/>
    <n v="227"/>
    <s v="-"/>
    <s v="-"/>
    <s v="-"/>
    <s v="-"/>
    <s v="-"/>
    <s v="-"/>
    <s v="-"/>
    <s v="-"/>
    <s v="-"/>
    <s v="-"/>
    <s v="-"/>
    <x v="0"/>
    <x v="0"/>
    <s v="-"/>
    <s v="-"/>
    <s v="-"/>
    <s v="-"/>
    <s v="-"/>
    <s v="-"/>
    <s v="-"/>
    <s v="-"/>
    <s v="-"/>
    <s v="-"/>
    <s v="-"/>
    <x v="0"/>
    <x v="0"/>
    <n v="0.365000009536743"/>
    <n v="227"/>
    <n v="0"/>
    <n v="227"/>
    <x v="0"/>
    <x v="0"/>
    <m/>
    <x v="0"/>
    <m/>
    <x v="0"/>
    <m/>
    <x v="0"/>
    <x v="0"/>
    <x v="0"/>
    <x v="0"/>
    <m/>
    <n v="0"/>
    <n v="0"/>
    <n v="0"/>
    <x v="0"/>
    <m/>
  </r>
  <r>
    <x v="3"/>
    <x v="2"/>
    <x v="2"/>
    <x v="1"/>
    <n v="3603"/>
    <x v="175"/>
    <x v="3"/>
    <n v="1.4000000432133701E-2"/>
    <n v="527109"/>
    <n v="174953"/>
    <m/>
    <x v="205"/>
    <s v="PANR"/>
    <d v="2017-05-08T00:00:00"/>
    <x v="78"/>
    <s v="Y"/>
    <m/>
    <s v="Nil"/>
    <m/>
    <m/>
    <s v="Determination as to whether prior notification is required for change of use from offices (Class B1a) to 9 x studio flats (Class C3)"/>
    <x v="203"/>
    <s v="COU"/>
    <x v="2"/>
    <s v="UC"/>
    <m/>
    <d v="2017-07-20T00:00:00"/>
    <m/>
    <m/>
    <s v="C"/>
    <s v="BF"/>
    <x v="0"/>
    <m/>
    <d v="2017-07-20T00:00:00"/>
    <m/>
    <m/>
    <m/>
    <m/>
    <m/>
    <m/>
    <m/>
    <m/>
    <m/>
    <m/>
    <m/>
    <m/>
    <m/>
    <m/>
    <m/>
    <m/>
    <m/>
    <m/>
    <m/>
    <m/>
    <m/>
    <m/>
    <m/>
    <n v="298"/>
    <m/>
    <m/>
    <m/>
    <m/>
    <n v="298"/>
    <m/>
    <m/>
    <m/>
    <x v="0"/>
    <x v="1"/>
    <x v="1"/>
    <m/>
    <m/>
    <m/>
    <m/>
    <m/>
    <m/>
    <n v="-298"/>
    <x v="1"/>
    <m/>
    <m/>
    <m/>
    <m/>
    <n v="-298"/>
    <x v="1"/>
    <m/>
    <m/>
    <m/>
    <m/>
    <s v="-"/>
    <s v="-"/>
    <s v="-"/>
    <s v="-"/>
    <s v="-"/>
    <s v="-"/>
    <s v="-"/>
    <s v="-"/>
    <s v="-"/>
    <s v="-"/>
    <s v="-"/>
    <x v="1"/>
    <x v="0"/>
    <s v="-"/>
    <s v="-"/>
    <s v="-"/>
    <s v="-"/>
    <s v="-"/>
    <s v="Financial or Professional Services"/>
    <s v="-"/>
    <s v="-"/>
    <s v="-"/>
    <s v="-"/>
    <s v="-"/>
    <x v="0"/>
    <x v="0"/>
    <n v="0"/>
    <n v="0"/>
    <n v="298"/>
    <n v="-298"/>
    <x v="0"/>
    <x v="0"/>
    <m/>
    <x v="0"/>
    <m/>
    <x v="0"/>
    <m/>
    <x v="0"/>
    <x v="0"/>
    <x v="0"/>
    <x v="0"/>
    <m/>
    <n v="298"/>
    <n v="0"/>
    <n v="298"/>
    <x v="1"/>
    <m/>
  </r>
  <r>
    <x v="2"/>
    <x v="0"/>
    <x v="0"/>
    <x v="1"/>
    <n v="3621"/>
    <x v="176"/>
    <x v="13"/>
    <n v="1.30000002682209E-2"/>
    <n v="526154"/>
    <n v="172573"/>
    <m/>
    <x v="206"/>
    <s v="PF"/>
    <d v="2015-03-04T00:00:00"/>
    <x v="168"/>
    <m/>
    <m/>
    <s v="Nil"/>
    <m/>
    <m/>
    <s v="Change of use of basement and ground floor from a shop (Class Use A1) to a shop and veterinary clinic (Class Uses  A1/D1)."/>
    <x v="204"/>
    <s v="COU"/>
    <x v="2"/>
    <s v="NSO"/>
    <m/>
    <m/>
    <m/>
    <m/>
    <s v="C"/>
    <s v="BF"/>
    <x v="0"/>
    <m/>
    <m/>
    <m/>
    <n v="37"/>
    <m/>
    <m/>
    <m/>
    <m/>
    <n v="37"/>
    <m/>
    <m/>
    <m/>
    <m/>
    <m/>
    <m/>
    <m/>
    <n v="38"/>
    <m/>
    <n v="38"/>
    <n v="75"/>
    <m/>
    <m/>
    <m/>
    <m/>
    <n v="75"/>
    <m/>
    <m/>
    <m/>
    <m/>
    <m/>
    <m/>
    <m/>
    <m/>
    <m/>
    <x v="1"/>
    <x v="0"/>
    <x v="0"/>
    <n v="-38"/>
    <m/>
    <m/>
    <m/>
    <m/>
    <n v="-38"/>
    <m/>
    <x v="0"/>
    <m/>
    <m/>
    <m/>
    <m/>
    <m/>
    <x v="0"/>
    <m/>
    <n v="38"/>
    <m/>
    <n v="38"/>
    <s v="Services"/>
    <s v="-"/>
    <s v="-"/>
    <s v="-"/>
    <s v="-"/>
    <s v="-"/>
    <s v="-"/>
    <s v="-"/>
    <s v="-"/>
    <s v="-"/>
    <s v="-"/>
    <x v="2"/>
    <x v="0"/>
    <s v="Vacant"/>
    <s v="-"/>
    <s v="-"/>
    <s v="-"/>
    <s v="-"/>
    <s v="-"/>
    <s v="-"/>
    <s v="-"/>
    <s v="-"/>
    <s v="-"/>
    <s v="-"/>
    <x v="0"/>
    <x v="0"/>
    <n v="1.30000002682209E-2"/>
    <n v="75"/>
    <n v="75"/>
    <n v="0"/>
    <x v="0"/>
    <x v="0"/>
    <m/>
    <x v="0"/>
    <m/>
    <x v="0"/>
    <m/>
    <x v="0"/>
    <x v="0"/>
    <x v="0"/>
    <x v="0"/>
    <m/>
    <n v="0"/>
    <n v="0"/>
    <n v="0"/>
    <x v="0"/>
    <m/>
  </r>
  <r>
    <x v="2"/>
    <x v="0"/>
    <x v="0"/>
    <x v="1"/>
    <n v="3645"/>
    <x v="177"/>
    <x v="17"/>
    <n v="1.60000007599592E-2"/>
    <n v="527903"/>
    <n v="172219"/>
    <m/>
    <x v="207"/>
    <s v="PF"/>
    <d v="2017-07-17T00:00:00"/>
    <x v="15"/>
    <s v="Y"/>
    <m/>
    <s v="Nil"/>
    <m/>
    <m/>
    <s v="Erection of part single part two-storey rear extension (plus basement) to create office accommodation (Class B1)."/>
    <x v="205"/>
    <s v="NB"/>
    <x v="0"/>
    <s v="NSO"/>
    <m/>
    <m/>
    <m/>
    <m/>
    <s v="C"/>
    <s v="BF"/>
    <x v="0"/>
    <m/>
    <m/>
    <m/>
    <m/>
    <m/>
    <m/>
    <m/>
    <m/>
    <m/>
    <n v="80"/>
    <m/>
    <m/>
    <n v="80"/>
    <m/>
    <m/>
    <n v="80"/>
    <m/>
    <m/>
    <m/>
    <m/>
    <m/>
    <m/>
    <m/>
    <m/>
    <m/>
    <m/>
    <m/>
    <m/>
    <m/>
    <m/>
    <m/>
    <m/>
    <m/>
    <m/>
    <x v="0"/>
    <x v="1"/>
    <x v="1"/>
    <m/>
    <m/>
    <m/>
    <m/>
    <m/>
    <m/>
    <n v="80"/>
    <x v="0"/>
    <m/>
    <m/>
    <m/>
    <m/>
    <n v="80"/>
    <x v="0"/>
    <m/>
    <m/>
    <m/>
    <m/>
    <s v="-"/>
    <s v="-"/>
    <s v="-"/>
    <s v="-"/>
    <s v="-"/>
    <s v="Not Known"/>
    <s v="-"/>
    <s v="-"/>
    <s v="-"/>
    <s v="-"/>
    <s v="-"/>
    <x v="1"/>
    <x v="0"/>
    <s v="-"/>
    <s v="-"/>
    <s v="-"/>
    <s v="-"/>
    <s v="-"/>
    <s v="-"/>
    <s v="-"/>
    <s v="-"/>
    <s v="-"/>
    <s v="-"/>
    <s v="-"/>
    <x v="0"/>
    <x v="0"/>
    <n v="1.60000007599592E-2"/>
    <n v="80"/>
    <n v="0"/>
    <n v="80"/>
    <x v="0"/>
    <x v="0"/>
    <m/>
    <x v="0"/>
    <m/>
    <x v="0"/>
    <m/>
    <x v="0"/>
    <x v="0"/>
    <x v="0"/>
    <x v="0"/>
    <m/>
    <n v="0"/>
    <n v="0"/>
    <n v="0"/>
    <x v="0"/>
    <m/>
  </r>
  <r>
    <x v="2"/>
    <x v="0"/>
    <x v="0"/>
    <x v="1"/>
    <n v="3652"/>
    <x v="178"/>
    <x v="4"/>
    <n v="5.2000001072883599E-2"/>
    <n v="527224"/>
    <n v="177200"/>
    <m/>
    <x v="208"/>
    <s v="PFLA"/>
    <d v="2015-03-05T00:00:00"/>
    <x v="169"/>
    <m/>
    <d v="2015-06-18T00:00:00"/>
    <s v="Nil"/>
    <m/>
    <m/>
    <s v="Erection of a two-storey extension above the front part of the building facing Howie Street and the erection of a part-four and part-eight storey extension to the central and northern part of the building to provide additional office (Use Class B1a) and ancillary floorspace."/>
    <x v="206"/>
    <s v="NB"/>
    <x v="0"/>
    <s v="NSO"/>
    <m/>
    <m/>
    <m/>
    <m/>
    <s v="C"/>
    <s v="BF"/>
    <x v="0"/>
    <m/>
    <m/>
    <m/>
    <m/>
    <m/>
    <m/>
    <m/>
    <m/>
    <m/>
    <n v="2036"/>
    <m/>
    <m/>
    <n v="2036"/>
    <m/>
    <m/>
    <n v="2036"/>
    <m/>
    <m/>
    <m/>
    <m/>
    <m/>
    <m/>
    <m/>
    <m/>
    <m/>
    <m/>
    <m/>
    <m/>
    <m/>
    <m/>
    <m/>
    <m/>
    <m/>
    <m/>
    <x v="0"/>
    <x v="1"/>
    <x v="1"/>
    <m/>
    <m/>
    <m/>
    <m/>
    <m/>
    <m/>
    <n v="2036"/>
    <x v="0"/>
    <m/>
    <m/>
    <m/>
    <m/>
    <n v="2036"/>
    <x v="0"/>
    <m/>
    <m/>
    <m/>
    <m/>
    <s v="-"/>
    <s v="-"/>
    <s v="-"/>
    <s v="-"/>
    <s v="-"/>
    <s v="Not Known"/>
    <s v="-"/>
    <s v="-"/>
    <s v="-"/>
    <s v="-"/>
    <s v="-"/>
    <x v="1"/>
    <x v="0"/>
    <s v="-"/>
    <s v="-"/>
    <s v="-"/>
    <s v="-"/>
    <s v="-"/>
    <s v="-"/>
    <s v="-"/>
    <s v="-"/>
    <s v="-"/>
    <s v="-"/>
    <s v="-"/>
    <x v="0"/>
    <x v="0"/>
    <n v="5.2000001072883599E-2"/>
    <n v="2036"/>
    <n v="0"/>
    <n v="2036"/>
    <x v="1"/>
    <x v="0"/>
    <m/>
    <x v="0"/>
    <m/>
    <x v="1"/>
    <s v="Howie Street"/>
    <x v="0"/>
    <x v="0"/>
    <x v="0"/>
    <x v="0"/>
    <m/>
    <n v="0"/>
    <n v="0"/>
    <n v="0"/>
    <x v="0"/>
    <m/>
  </r>
  <r>
    <x v="2"/>
    <x v="0"/>
    <x v="0"/>
    <x v="1"/>
    <n v="3652"/>
    <x v="178"/>
    <x v="4"/>
    <n v="5.2000001072883599E-2"/>
    <n v="527224"/>
    <n v="177200"/>
    <m/>
    <x v="209"/>
    <s v="PF"/>
    <d v="2015-12-29T00:00:00"/>
    <x v="170"/>
    <m/>
    <m/>
    <s v="Nil"/>
    <m/>
    <m/>
    <s v="Excavation to create a basement underneath the existing building."/>
    <x v="207"/>
    <s v="EXT"/>
    <x v="1"/>
    <s v="NSO"/>
    <m/>
    <m/>
    <m/>
    <m/>
    <s v="C"/>
    <s v="BF"/>
    <x v="0"/>
    <m/>
    <m/>
    <m/>
    <m/>
    <m/>
    <m/>
    <m/>
    <m/>
    <m/>
    <n v="669"/>
    <m/>
    <m/>
    <n v="669"/>
    <m/>
    <m/>
    <n v="669"/>
    <m/>
    <m/>
    <m/>
    <m/>
    <m/>
    <m/>
    <m/>
    <m/>
    <m/>
    <m/>
    <m/>
    <m/>
    <m/>
    <m/>
    <m/>
    <m/>
    <m/>
    <m/>
    <x v="0"/>
    <x v="1"/>
    <x v="1"/>
    <m/>
    <m/>
    <m/>
    <m/>
    <m/>
    <m/>
    <n v="669"/>
    <x v="0"/>
    <m/>
    <m/>
    <m/>
    <m/>
    <n v="669"/>
    <x v="0"/>
    <m/>
    <m/>
    <m/>
    <m/>
    <s v="-"/>
    <s v="-"/>
    <s v="-"/>
    <s v="-"/>
    <s v="-"/>
    <s v="Other"/>
    <s v="-"/>
    <s v="-"/>
    <s v="-"/>
    <s v="-"/>
    <s v="-"/>
    <x v="1"/>
    <x v="0"/>
    <s v="-"/>
    <s v="-"/>
    <s v="-"/>
    <s v="-"/>
    <s v="-"/>
    <s v="-"/>
    <s v="-"/>
    <s v="-"/>
    <s v="-"/>
    <s v="-"/>
    <s v="-"/>
    <x v="0"/>
    <x v="0"/>
    <n v="5.2000001072883599E-2"/>
    <n v="669"/>
    <n v="0"/>
    <n v="669"/>
    <x v="1"/>
    <x v="0"/>
    <m/>
    <x v="0"/>
    <m/>
    <x v="1"/>
    <s v="Howie Street"/>
    <x v="0"/>
    <x v="0"/>
    <x v="0"/>
    <x v="0"/>
    <m/>
    <n v="0"/>
    <n v="0"/>
    <n v="0"/>
    <x v="0"/>
    <m/>
  </r>
  <r>
    <x v="2"/>
    <x v="0"/>
    <x v="0"/>
    <x v="1"/>
    <n v="3652"/>
    <x v="178"/>
    <x v="4"/>
    <n v="5.2000001072883599E-2"/>
    <n v="527224"/>
    <n v="177200"/>
    <m/>
    <x v="210"/>
    <s v="PF"/>
    <d v="2016-02-12T00:00:00"/>
    <x v="171"/>
    <m/>
    <m/>
    <s v="Nil"/>
    <m/>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x v="208"/>
    <s v="NB"/>
    <x v="0"/>
    <s v="NSO"/>
    <m/>
    <m/>
    <m/>
    <m/>
    <s v="C"/>
    <s v="BF"/>
    <x v="0"/>
    <m/>
    <m/>
    <m/>
    <n v="27"/>
    <m/>
    <n v="27"/>
    <m/>
    <m/>
    <n v="54"/>
    <n v="26"/>
    <m/>
    <m/>
    <n v="26"/>
    <m/>
    <m/>
    <n v="26"/>
    <n v="26"/>
    <m/>
    <n v="26"/>
    <m/>
    <m/>
    <m/>
    <m/>
    <m/>
    <m/>
    <m/>
    <m/>
    <m/>
    <m/>
    <n v="97"/>
    <n v="97"/>
    <m/>
    <m/>
    <m/>
    <x v="1"/>
    <x v="1"/>
    <x v="0"/>
    <n v="27"/>
    <m/>
    <n v="27"/>
    <m/>
    <m/>
    <n v="54"/>
    <n v="26"/>
    <x v="0"/>
    <m/>
    <m/>
    <m/>
    <n v="-97"/>
    <n v="-71"/>
    <x v="1"/>
    <m/>
    <n v="26"/>
    <m/>
    <n v="26"/>
    <s v="Not Known"/>
    <s v="-"/>
    <s v="Not Known"/>
    <s v="-"/>
    <s v="-"/>
    <s v="Not Known"/>
    <s v="-"/>
    <s v="-"/>
    <s v="-"/>
    <s v="-"/>
    <s v="-"/>
    <x v="5"/>
    <x v="0"/>
    <s v="-"/>
    <s v="-"/>
    <s v="-"/>
    <s v="-"/>
    <s v="-"/>
    <s v="-"/>
    <s v="-"/>
    <s v="-"/>
    <s v="-"/>
    <s v="Distribution"/>
    <s v="-"/>
    <x v="0"/>
    <x v="0"/>
    <n v="1.0000001639127697E-2"/>
    <n v="106"/>
    <n v="97"/>
    <n v="9"/>
    <x v="1"/>
    <x v="0"/>
    <m/>
    <x v="0"/>
    <m/>
    <x v="1"/>
    <s v="Howie Street"/>
    <x v="0"/>
    <x v="0"/>
    <x v="0"/>
    <x v="0"/>
    <m/>
    <n v="483"/>
    <n v="0"/>
    <n v="483"/>
    <x v="1"/>
    <m/>
  </r>
  <r>
    <x v="2"/>
    <x v="0"/>
    <x v="0"/>
    <x v="1"/>
    <n v="3660"/>
    <x v="179"/>
    <x v="14"/>
    <n v="2.8000000864267301E-2"/>
    <n v="527153"/>
    <n v="171082"/>
    <m/>
    <x v="211"/>
    <s v="PF"/>
    <d v="2017-06-12T00:00:00"/>
    <x v="172"/>
    <s v="Y"/>
    <m/>
    <s v="Nil"/>
    <m/>
    <m/>
    <s v="Demolition of existing and erection of 2 x 3-bedroom houses (single-storey with basements) with associated cycle and refuse storage, car parking and landscaping."/>
    <x v="209"/>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81"/>
    <n v="-81"/>
    <x v="0"/>
    <x v="0"/>
    <m/>
    <x v="0"/>
    <m/>
    <x v="0"/>
    <m/>
    <x v="0"/>
    <x v="0"/>
    <x v="0"/>
    <x v="0"/>
    <m/>
    <n v="219"/>
    <n v="0"/>
    <n v="219"/>
    <x v="1"/>
    <m/>
  </r>
  <r>
    <x v="0"/>
    <x v="0"/>
    <x v="0"/>
    <x v="0"/>
    <n v="3673"/>
    <x v="180"/>
    <x v="13"/>
    <n v="0.27700001001357999"/>
    <n v="525765"/>
    <n v="174114"/>
    <m/>
    <x v="212"/>
    <s v="PF"/>
    <d v="2016-06-03T00:00:00"/>
    <x v="173"/>
    <m/>
    <m/>
    <s v="Nil"/>
    <m/>
    <m/>
    <s v="Demolition of four storey office building (Class B1a) fronting Garratt Lane and the erection of a part four, part five-storey front extension to provide storage floorspace (class B8); alterations to facade of retained building and reconfiguration of parking and associated landscaping."/>
    <x v="210"/>
    <s v="NB"/>
    <x v="0"/>
    <s v="OC"/>
    <m/>
    <d v="2017-03-31T00:00:00"/>
    <d v="2018-03-31T00:00:00"/>
    <d v="2018-03-31T00:00:00"/>
    <s v="C"/>
    <s v="BF"/>
    <x v="0"/>
    <m/>
    <d v="2017-03-31T00:00:00"/>
    <d v="2018-03-31T00:00:00"/>
    <m/>
    <m/>
    <m/>
    <m/>
    <m/>
    <m/>
    <m/>
    <m/>
    <m/>
    <m/>
    <m/>
    <n v="772"/>
    <n v="772"/>
    <m/>
    <m/>
    <m/>
    <m/>
    <m/>
    <m/>
    <m/>
    <m/>
    <m/>
    <n v="1965"/>
    <m/>
    <m/>
    <m/>
    <m/>
    <n v="1965"/>
    <m/>
    <m/>
    <m/>
    <x v="0"/>
    <x v="1"/>
    <x v="1"/>
    <m/>
    <m/>
    <m/>
    <m/>
    <m/>
    <m/>
    <n v="-1965"/>
    <x v="1"/>
    <m/>
    <m/>
    <m/>
    <n v="772"/>
    <n v="-1193"/>
    <x v="1"/>
    <m/>
    <m/>
    <m/>
    <m/>
    <s v="-"/>
    <s v="-"/>
    <s v="-"/>
    <s v="-"/>
    <s v="-"/>
    <s v="-"/>
    <s v="-"/>
    <s v="-"/>
    <s v="-"/>
    <s v="Storage"/>
    <s v="-"/>
    <x v="1"/>
    <x v="0"/>
    <s v="-"/>
    <s v="-"/>
    <s v="-"/>
    <s v="-"/>
    <s v="-"/>
    <s v="Vacant"/>
    <s v="-"/>
    <s v="-"/>
    <s v="-"/>
    <s v="-"/>
    <s v="-"/>
    <x v="0"/>
    <x v="0"/>
    <n v="0.27700001001357999"/>
    <n v="772"/>
    <n v="1965"/>
    <n v="-1193"/>
    <x v="0"/>
    <x v="0"/>
    <m/>
    <x v="1"/>
    <s v="Old Sergeant"/>
    <x v="0"/>
    <m/>
    <x v="0"/>
    <x v="0"/>
    <x v="0"/>
    <x v="0"/>
    <m/>
    <n v="0"/>
    <n v="0"/>
    <n v="0"/>
    <x v="0"/>
    <m/>
  </r>
  <r>
    <x v="0"/>
    <x v="0"/>
    <x v="0"/>
    <x v="0"/>
    <n v="3704"/>
    <x v="181"/>
    <x v="16"/>
    <n v="4.0000001899898104E-3"/>
    <n v="527795"/>
    <n v="171699"/>
    <m/>
    <x v="213"/>
    <s v="PF"/>
    <d v="2014-07-03T00:00:00"/>
    <x v="174"/>
    <m/>
    <m/>
    <s v="Nil"/>
    <m/>
    <m/>
    <s v="Change of use from store (Class B8) to a one-bedroom dwelling (Class C3)."/>
    <x v="211"/>
    <s v="COU"/>
    <x v="2"/>
    <s v="OC"/>
    <m/>
    <d v="2017-08-16T00:00:00"/>
    <d v="2017-12-11T00:00:00"/>
    <d v="2017-12-11T00:00:00"/>
    <s v="C"/>
    <s v="BF"/>
    <x v="0"/>
    <m/>
    <d v="2017-08-16T00:00:00"/>
    <d v="2017-12-11T00:00:00"/>
    <m/>
    <m/>
    <m/>
    <m/>
    <m/>
    <m/>
    <m/>
    <m/>
    <m/>
    <m/>
    <m/>
    <m/>
    <m/>
    <m/>
    <m/>
    <m/>
    <m/>
    <m/>
    <m/>
    <m/>
    <m/>
    <m/>
    <m/>
    <m/>
    <m/>
    <m/>
    <n v="51"/>
    <n v="51"/>
    <m/>
    <m/>
    <m/>
    <x v="0"/>
    <x v="1"/>
    <x v="1"/>
    <m/>
    <m/>
    <m/>
    <m/>
    <m/>
    <m/>
    <m/>
    <x v="0"/>
    <m/>
    <m/>
    <m/>
    <n v="-51"/>
    <n v="-51"/>
    <x v="1"/>
    <m/>
    <m/>
    <m/>
    <m/>
    <s v="-"/>
    <s v="-"/>
    <s v="-"/>
    <s v="-"/>
    <s v="-"/>
    <s v="-"/>
    <s v="-"/>
    <s v="-"/>
    <s v="-"/>
    <s v="-"/>
    <s v="-"/>
    <x v="1"/>
    <x v="0"/>
    <s v="-"/>
    <s v="-"/>
    <s v="-"/>
    <s v="-"/>
    <s v="-"/>
    <s v="-"/>
    <s v="-"/>
    <s v="-"/>
    <s v="-"/>
    <s v="Storage"/>
    <s v="-"/>
    <x v="0"/>
    <x v="0"/>
    <n v="0"/>
    <n v="0"/>
    <n v="51"/>
    <n v="-51"/>
    <x v="0"/>
    <x v="0"/>
    <m/>
    <x v="0"/>
    <m/>
    <x v="0"/>
    <m/>
    <x v="0"/>
    <x v="0"/>
    <x v="0"/>
    <x v="0"/>
    <m/>
    <n v="51"/>
    <n v="0"/>
    <n v="51"/>
    <x v="1"/>
    <m/>
  </r>
  <r>
    <x v="2"/>
    <x v="0"/>
    <x v="0"/>
    <x v="1"/>
    <n v="3726"/>
    <x v="182"/>
    <x v="13"/>
    <n v="1.7000000923872001E-2"/>
    <n v="525701"/>
    <n v="173658"/>
    <m/>
    <x v="214"/>
    <s v="PF"/>
    <d v="2017-06-30T00:00:00"/>
    <x v="175"/>
    <s v="Y"/>
    <m/>
    <s v="Nil"/>
    <m/>
    <m/>
    <s v="Erection of a two-storey detached house with associated landscaping and parking."/>
    <x v="212"/>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
    <n v="0"/>
    <n v="65"/>
    <n v="-65"/>
    <x v="0"/>
    <x v="0"/>
    <m/>
    <x v="0"/>
    <m/>
    <x v="0"/>
    <m/>
    <x v="0"/>
    <x v="0"/>
    <x v="0"/>
    <x v="0"/>
    <m/>
    <n v="126"/>
    <n v="0"/>
    <n v="126"/>
    <x v="1"/>
    <m/>
  </r>
  <r>
    <x v="0"/>
    <x v="0"/>
    <x v="0"/>
    <x v="0"/>
    <n v="3743"/>
    <x v="183"/>
    <x v="11"/>
    <n v="9.9999997764825804E-3"/>
    <n v="529002"/>
    <n v="173313"/>
    <m/>
    <x v="215"/>
    <s v="PF"/>
    <d v="2016-05-17T00:00:00"/>
    <x v="176"/>
    <m/>
    <m/>
    <s v="Nil"/>
    <m/>
    <m/>
    <s v="Conversion of ground floor minicab (use class sui generis) and upper floor flat to a 5-bedroom dwellinghouse, and replacement of shopfront with windows and front door."/>
    <x v="213"/>
    <s v="MIX"/>
    <x v="0"/>
    <s v="OC"/>
    <m/>
    <d v="2017-03-16T00:00:00"/>
    <d v="2017-06-29T00:00:00"/>
    <d v="2017-06-29T00:00:00"/>
    <s v="C"/>
    <s v="BF"/>
    <x v="0"/>
    <m/>
    <d v="2017-03-16T00:00:00"/>
    <d v="2017-06-29T00:00:00"/>
    <m/>
    <m/>
    <m/>
    <m/>
    <m/>
    <m/>
    <m/>
    <m/>
    <m/>
    <m/>
    <m/>
    <m/>
    <m/>
    <m/>
    <m/>
    <m/>
    <m/>
    <m/>
    <m/>
    <m/>
    <m/>
    <m/>
    <m/>
    <m/>
    <m/>
    <m/>
    <m/>
    <m/>
    <m/>
    <m/>
    <m/>
    <x v="0"/>
    <x v="0"/>
    <x v="1"/>
    <m/>
    <m/>
    <m/>
    <m/>
    <m/>
    <m/>
    <m/>
    <x v="0"/>
    <m/>
    <m/>
    <m/>
    <m/>
    <m/>
    <x v="0"/>
    <m/>
    <m/>
    <m/>
    <m/>
    <s v="-"/>
    <s v="-"/>
    <s v="-"/>
    <s v="-"/>
    <s v="-"/>
    <s v="-"/>
    <s v="-"/>
    <s v="-"/>
    <s v="-"/>
    <s v="-"/>
    <s v="-"/>
    <x v="1"/>
    <x v="0"/>
    <s v="-"/>
    <s v="-"/>
    <s v="-"/>
    <s v="-"/>
    <s v="-"/>
    <s v="-"/>
    <s v="-"/>
    <s v="-"/>
    <s v="-"/>
    <s v="-"/>
    <s v="-"/>
    <x v="0"/>
    <x v="0"/>
    <n v="0"/>
    <n v="0"/>
    <n v="30"/>
    <n v="-30"/>
    <x v="0"/>
    <x v="0"/>
    <m/>
    <x v="0"/>
    <m/>
    <x v="0"/>
    <m/>
    <x v="0"/>
    <x v="0"/>
    <x v="0"/>
    <x v="0"/>
    <m/>
    <n v="132"/>
    <n v="102"/>
    <n v="30"/>
    <x v="1"/>
    <m/>
  </r>
  <r>
    <x v="1"/>
    <x v="0"/>
    <x v="0"/>
    <x v="1"/>
    <n v="3744"/>
    <x v="184"/>
    <x v="5"/>
    <n v="9.6000000834464999E-2"/>
    <n v="525311"/>
    <n v="174903"/>
    <m/>
    <x v="216"/>
    <s v="AF"/>
    <d v="2017-10-23T00:00:00"/>
    <x v="1"/>
    <m/>
    <m/>
    <s v="Nil"/>
    <m/>
    <m/>
    <s v="Alterations including demolition of teaching block in west elevation of playground and erection of two-storey building (plus basement). Erection of extension (plus basement) to teaching block on east elevation of playground and extension at third floor level including erection of clock tower to main building; internal alterations to provide additional classrooms (21 in total) to allow for increase of pupils from 328 to 380 and increase in staff from 80 to 88 (REVISED PLANS)"/>
    <x v="214"/>
    <s v="NB"/>
    <x v="0"/>
    <s v="NSO"/>
    <m/>
    <m/>
    <m/>
    <m/>
    <s v="P"/>
    <s v="BF"/>
    <x v="0"/>
    <m/>
    <m/>
    <m/>
    <m/>
    <m/>
    <m/>
    <m/>
    <m/>
    <m/>
    <m/>
    <m/>
    <m/>
    <m/>
    <m/>
    <m/>
    <m/>
    <n v="785"/>
    <m/>
    <n v="785"/>
    <m/>
    <m/>
    <m/>
    <m/>
    <m/>
    <m/>
    <m/>
    <m/>
    <m/>
    <m/>
    <m/>
    <m/>
    <n v="1273"/>
    <m/>
    <n v="1273"/>
    <x v="0"/>
    <x v="0"/>
    <x v="0"/>
    <m/>
    <m/>
    <m/>
    <m/>
    <m/>
    <m/>
    <m/>
    <x v="0"/>
    <m/>
    <m/>
    <m/>
    <m/>
    <m/>
    <x v="0"/>
    <m/>
    <n v="-488"/>
    <m/>
    <n v="-488"/>
    <s v="-"/>
    <s v="-"/>
    <s v="-"/>
    <s v="-"/>
    <s v="-"/>
    <s v="-"/>
    <s v="-"/>
    <s v="-"/>
    <s v="-"/>
    <s v="-"/>
    <s v="-"/>
    <x v="0"/>
    <x v="0"/>
    <s v="-"/>
    <s v="-"/>
    <s v="-"/>
    <s v="-"/>
    <s v="-"/>
    <s v="-"/>
    <s v="-"/>
    <s v="-"/>
    <s v="-"/>
    <s v="-"/>
    <s v="-"/>
    <x v="6"/>
    <x v="0"/>
    <n v="9.6000000834464999E-2"/>
    <n v="785"/>
    <n v="1273"/>
    <n v="-488"/>
    <x v="0"/>
    <x v="0"/>
    <m/>
    <x v="0"/>
    <m/>
    <x v="0"/>
    <m/>
    <x v="0"/>
    <x v="0"/>
    <x v="0"/>
    <x v="0"/>
    <m/>
    <n v="0"/>
    <n v="0"/>
    <n v="0"/>
    <x v="0"/>
    <m/>
  </r>
  <r>
    <x v="3"/>
    <x v="0"/>
    <x v="0"/>
    <x v="1"/>
    <n v="3745"/>
    <x v="185"/>
    <x v="15"/>
    <n v="0.19799999892711601"/>
    <n v="529291"/>
    <n v="171210"/>
    <m/>
    <x v="217"/>
    <s v="PF"/>
    <d v="2015-12-23T00:00:00"/>
    <x v="171"/>
    <m/>
    <m/>
    <s v="Nil"/>
    <m/>
    <m/>
    <s v="Erection of 6 x 3-bedroom two-storey dwellings with associated access from Thrale Road, parking spaces, amenity and landscaping."/>
    <x v="215"/>
    <s v="NB"/>
    <x v="0"/>
    <s v="UC"/>
    <m/>
    <d v="2017-04-01T00:00:00"/>
    <m/>
    <m/>
    <s v="C"/>
    <s v="BF"/>
    <x v="0"/>
    <m/>
    <d v="2017-04-01T00:00:00"/>
    <m/>
    <m/>
    <m/>
    <m/>
    <m/>
    <m/>
    <m/>
    <m/>
    <m/>
    <m/>
    <m/>
    <m/>
    <m/>
    <m/>
    <m/>
    <m/>
    <m/>
    <m/>
    <m/>
    <m/>
    <m/>
    <m/>
    <m/>
    <m/>
    <m/>
    <m/>
    <m/>
    <n v="89"/>
    <n v="89"/>
    <m/>
    <m/>
    <m/>
    <x v="0"/>
    <x v="1"/>
    <x v="1"/>
    <m/>
    <m/>
    <m/>
    <m/>
    <m/>
    <m/>
    <m/>
    <x v="0"/>
    <m/>
    <m/>
    <m/>
    <n v="-89"/>
    <n v="-89"/>
    <x v="1"/>
    <m/>
    <m/>
    <m/>
    <m/>
    <s v="-"/>
    <s v="-"/>
    <s v="-"/>
    <s v="-"/>
    <s v="-"/>
    <s v="-"/>
    <s v="-"/>
    <s v="-"/>
    <s v="-"/>
    <s v="-"/>
    <s v="-"/>
    <x v="1"/>
    <x v="0"/>
    <s v="-"/>
    <s v="-"/>
    <s v="-"/>
    <s v="-"/>
    <s v="-"/>
    <s v="-"/>
    <s v="-"/>
    <s v="-"/>
    <s v="-"/>
    <s v="Vacant"/>
    <s v="-"/>
    <x v="0"/>
    <x v="0"/>
    <n v="0"/>
    <n v="0"/>
    <n v="525"/>
    <n v="-525"/>
    <x v="0"/>
    <x v="0"/>
    <m/>
    <x v="0"/>
    <m/>
    <x v="0"/>
    <m/>
    <x v="0"/>
    <x v="0"/>
    <x v="0"/>
    <x v="0"/>
    <m/>
    <n v="730"/>
    <n v="0"/>
    <n v="730"/>
    <x v="1"/>
    <m/>
  </r>
  <r>
    <x v="0"/>
    <x v="0"/>
    <x v="0"/>
    <x v="0"/>
    <n v="3756"/>
    <x v="186"/>
    <x v="8"/>
    <n v="6.7000001668930095E-2"/>
    <n v="529208"/>
    <n v="177206"/>
    <m/>
    <x v="218"/>
    <s v="PF"/>
    <d v="2016-02-11T00:00:00"/>
    <x v="177"/>
    <m/>
    <m/>
    <s v="Nil"/>
    <m/>
    <m/>
    <s v="Change of Use from Sui Generis - Laundrette to A1 - Shops"/>
    <x v="216"/>
    <s v="COU"/>
    <x v="2"/>
    <s v="OC"/>
    <m/>
    <d v="2017-04-01T00:00:00"/>
    <d v="2018-03-31T00:00:00"/>
    <d v="2018-03-31T00:00:00"/>
    <s v="C"/>
    <s v="BF"/>
    <x v="0"/>
    <m/>
    <d v="2017-04-01T00:00:00"/>
    <d v="2018-03-31T00:00:00"/>
    <n v="70"/>
    <m/>
    <m/>
    <m/>
    <m/>
    <n v="70"/>
    <m/>
    <m/>
    <m/>
    <m/>
    <m/>
    <m/>
    <m/>
    <m/>
    <m/>
    <m/>
    <m/>
    <m/>
    <m/>
    <m/>
    <m/>
    <m/>
    <m/>
    <m/>
    <m/>
    <m/>
    <m/>
    <m/>
    <m/>
    <m/>
    <m/>
    <x v="1"/>
    <x v="0"/>
    <x v="1"/>
    <n v="70"/>
    <m/>
    <m/>
    <m/>
    <m/>
    <n v="70"/>
    <m/>
    <x v="0"/>
    <m/>
    <m/>
    <m/>
    <m/>
    <m/>
    <x v="0"/>
    <m/>
    <m/>
    <m/>
    <m/>
    <s v="Consumables"/>
    <s v="-"/>
    <s v="-"/>
    <s v="-"/>
    <s v="-"/>
    <s v="-"/>
    <s v="-"/>
    <s v="-"/>
    <s v="-"/>
    <s v="-"/>
    <s v="-"/>
    <x v="1"/>
    <x v="0"/>
    <s v="-"/>
    <s v="-"/>
    <s v="-"/>
    <s v="-"/>
    <s v="-"/>
    <s v="-"/>
    <s v="-"/>
    <s v="-"/>
    <s v="-"/>
    <s v="-"/>
    <s v="-"/>
    <x v="0"/>
    <x v="0"/>
    <n v="6.7000001668930095E-2"/>
    <n v="70"/>
    <n v="70"/>
    <n v="0"/>
    <x v="0"/>
    <x v="0"/>
    <m/>
    <x v="0"/>
    <m/>
    <x v="0"/>
    <m/>
    <x v="1"/>
    <x v="0"/>
    <x v="0"/>
    <x v="0"/>
    <m/>
    <n v="0"/>
    <n v="0"/>
    <n v="0"/>
    <x v="0"/>
    <m/>
  </r>
  <r>
    <x v="2"/>
    <x v="0"/>
    <x v="0"/>
    <x v="1"/>
    <n v="3779"/>
    <x v="187"/>
    <x v="3"/>
    <n v="4.0000001899898104E-3"/>
    <n v="527389"/>
    <n v="175139"/>
    <m/>
    <x v="219"/>
    <s v="PF"/>
    <d v="2014-06-20T00:00:00"/>
    <x v="178"/>
    <m/>
    <m/>
    <s v="Nil"/>
    <m/>
    <m/>
    <s v="Alterations including the erection of single-storey rear/side extension."/>
    <x v="217"/>
    <s v="MIX"/>
    <x v="0"/>
    <s v="NSO"/>
    <m/>
    <m/>
    <m/>
    <m/>
    <s v="C"/>
    <s v="BF"/>
    <x v="0"/>
    <m/>
    <m/>
    <m/>
    <m/>
    <m/>
    <m/>
    <m/>
    <n v="52"/>
    <n v="52"/>
    <m/>
    <m/>
    <m/>
    <m/>
    <m/>
    <m/>
    <m/>
    <m/>
    <m/>
    <m/>
    <m/>
    <m/>
    <m/>
    <m/>
    <n v="37"/>
    <n v="37"/>
    <m/>
    <m/>
    <m/>
    <m/>
    <m/>
    <m/>
    <m/>
    <m/>
    <m/>
    <x v="1"/>
    <x v="0"/>
    <x v="1"/>
    <m/>
    <m/>
    <m/>
    <m/>
    <n v="15"/>
    <n v="15"/>
    <m/>
    <x v="0"/>
    <m/>
    <m/>
    <m/>
    <m/>
    <m/>
    <x v="0"/>
    <m/>
    <m/>
    <m/>
    <m/>
    <s v="-"/>
    <s v="-"/>
    <s v="-"/>
    <s v="-"/>
    <s v="Take-Aways"/>
    <s v="-"/>
    <s v="-"/>
    <s v="-"/>
    <s v="-"/>
    <s v="-"/>
    <s v="-"/>
    <x v="1"/>
    <x v="0"/>
    <s v="-"/>
    <s v="-"/>
    <s v="-"/>
    <s v="-"/>
    <s v="Vacant"/>
    <s v="-"/>
    <s v="-"/>
    <s v="-"/>
    <s v="-"/>
    <s v="-"/>
    <s v="-"/>
    <x v="0"/>
    <x v="0"/>
    <n v="4.0000001899898104E-3"/>
    <n v="52"/>
    <n v="37"/>
    <n v="15"/>
    <x v="0"/>
    <x v="0"/>
    <m/>
    <x v="0"/>
    <m/>
    <x v="0"/>
    <m/>
    <x v="0"/>
    <x v="1"/>
    <x v="1"/>
    <x v="0"/>
    <m/>
    <n v="0"/>
    <n v="0"/>
    <n v="0"/>
    <x v="0"/>
    <m/>
  </r>
  <r>
    <x v="1"/>
    <x v="0"/>
    <x v="0"/>
    <x v="1"/>
    <n v="3801"/>
    <x v="188"/>
    <x v="17"/>
    <n v="1.60000007599592E-2"/>
    <n v="527923"/>
    <n v="172241"/>
    <m/>
    <x v="220"/>
    <s v="AF"/>
    <d v="2017-11-07T00:00:00"/>
    <x v="1"/>
    <m/>
    <m/>
    <s v="Nil"/>
    <m/>
    <m/>
    <s v="Continued use as restaurant (A3)"/>
    <x v="218"/>
    <s v="COU"/>
    <x v="2"/>
    <s v="NSO"/>
    <m/>
    <m/>
    <m/>
    <m/>
    <s v="P"/>
    <s v="BF"/>
    <x v="0"/>
    <m/>
    <m/>
    <m/>
    <m/>
    <m/>
    <n v="147"/>
    <m/>
    <m/>
    <n v="147"/>
    <m/>
    <m/>
    <m/>
    <m/>
    <m/>
    <m/>
    <m/>
    <m/>
    <m/>
    <m/>
    <m/>
    <m/>
    <n v="147"/>
    <m/>
    <m/>
    <n v="147"/>
    <m/>
    <m/>
    <m/>
    <m/>
    <m/>
    <m/>
    <m/>
    <m/>
    <m/>
    <x v="1"/>
    <x v="0"/>
    <x v="1"/>
    <m/>
    <m/>
    <m/>
    <m/>
    <m/>
    <m/>
    <m/>
    <x v="0"/>
    <m/>
    <m/>
    <m/>
    <m/>
    <m/>
    <x v="0"/>
    <m/>
    <m/>
    <m/>
    <m/>
    <s v="-"/>
    <s v="-"/>
    <s v="Restaurant"/>
    <s v="-"/>
    <s v="-"/>
    <s v="-"/>
    <s v="-"/>
    <s v="-"/>
    <s v="-"/>
    <s v="-"/>
    <s v="-"/>
    <x v="1"/>
    <x v="0"/>
    <s v="-"/>
    <s v="-"/>
    <s v="Restaurant"/>
    <s v="-"/>
    <s v="-"/>
    <s v="-"/>
    <s v="-"/>
    <s v="-"/>
    <s v="-"/>
    <s v="-"/>
    <s v="-"/>
    <x v="0"/>
    <x v="0"/>
    <n v="1.60000007599592E-2"/>
    <n v="147"/>
    <n v="147"/>
    <n v="0"/>
    <x v="0"/>
    <x v="0"/>
    <m/>
    <x v="0"/>
    <m/>
    <x v="0"/>
    <m/>
    <x v="0"/>
    <x v="0"/>
    <x v="0"/>
    <x v="0"/>
    <m/>
    <n v="0"/>
    <n v="0"/>
    <n v="0"/>
    <x v="0"/>
    <m/>
  </r>
  <r>
    <x v="2"/>
    <x v="0"/>
    <x v="0"/>
    <x v="1"/>
    <n v="3832"/>
    <x v="189"/>
    <x v="13"/>
    <n v="1.30000002682209E-2"/>
    <n v="526244"/>
    <n v="172186"/>
    <m/>
    <x v="221"/>
    <s v="PF"/>
    <d v="2016-07-25T00:00:00"/>
    <x v="179"/>
    <m/>
    <m/>
    <s v="Nil"/>
    <m/>
    <m/>
    <s v="Change of use of ground floor shop (Class A1) to a restaurant/café  (Class A3). Erection of single-storey side and rear extensions and external staircase to first floor; alterations to shopfront and intallation of high level ventilation ducts at rear; use of forecourt for outdoor seating,"/>
    <x v="219"/>
    <s v="MIX"/>
    <x v="0"/>
    <s v="NSO"/>
    <m/>
    <m/>
    <m/>
    <m/>
    <s v="C"/>
    <s v="BF"/>
    <x v="0"/>
    <m/>
    <m/>
    <m/>
    <m/>
    <m/>
    <n v="100"/>
    <m/>
    <m/>
    <n v="100"/>
    <m/>
    <m/>
    <m/>
    <m/>
    <m/>
    <m/>
    <m/>
    <m/>
    <m/>
    <m/>
    <n v="50"/>
    <m/>
    <m/>
    <m/>
    <m/>
    <n v="50"/>
    <m/>
    <m/>
    <m/>
    <m/>
    <m/>
    <m/>
    <m/>
    <m/>
    <m/>
    <x v="1"/>
    <x v="0"/>
    <x v="1"/>
    <n v="-50"/>
    <m/>
    <n v="100"/>
    <m/>
    <m/>
    <n v="50"/>
    <m/>
    <x v="0"/>
    <m/>
    <m/>
    <m/>
    <m/>
    <m/>
    <x v="0"/>
    <m/>
    <m/>
    <m/>
    <m/>
    <s v="-"/>
    <s v="-"/>
    <s v="Restaurant"/>
    <s v="-"/>
    <s v="-"/>
    <s v="-"/>
    <s v="-"/>
    <s v="-"/>
    <s v="-"/>
    <s v="-"/>
    <s v="-"/>
    <x v="1"/>
    <x v="0"/>
    <s v="Other"/>
    <s v="-"/>
    <s v="-"/>
    <s v="-"/>
    <s v="-"/>
    <s v="-"/>
    <s v="-"/>
    <s v="-"/>
    <s v="-"/>
    <s v="-"/>
    <s v="-"/>
    <x v="0"/>
    <x v="0"/>
    <n v="1.30000002682209E-2"/>
    <n v="100"/>
    <n v="50"/>
    <n v="50"/>
    <x v="0"/>
    <x v="0"/>
    <m/>
    <x v="0"/>
    <m/>
    <x v="0"/>
    <m/>
    <x v="0"/>
    <x v="0"/>
    <x v="0"/>
    <x v="0"/>
    <m/>
    <n v="0"/>
    <n v="0"/>
    <n v="0"/>
    <x v="0"/>
    <m/>
  </r>
  <r>
    <x v="0"/>
    <x v="0"/>
    <x v="0"/>
    <x v="0"/>
    <n v="3845"/>
    <x v="190"/>
    <x v="2"/>
    <n v="1.09999999403954E-2"/>
    <n v="528714"/>
    <n v="173055"/>
    <m/>
    <x v="222"/>
    <s v="PF"/>
    <d v="2016-05-19T00:00:00"/>
    <x v="180"/>
    <m/>
    <m/>
    <s v="Nil"/>
    <m/>
    <m/>
    <s v="Change of use from retail (Class A1) to residential (Class C3) and erection of single-storey rear extension to create a 2-bedroom flat."/>
    <x v="220"/>
    <s v="MIX"/>
    <x v="0"/>
    <s v="OC"/>
    <m/>
    <d v="2016-11-03T00:00:00"/>
    <d v="2017-07-27T00:00:00"/>
    <d v="2017-07-27T00:00:00"/>
    <s v="C"/>
    <s v="BF"/>
    <x v="0"/>
    <m/>
    <d v="2016-11-03T00:00:00"/>
    <d v="2017-07-27T00:00:00"/>
    <m/>
    <m/>
    <m/>
    <m/>
    <m/>
    <m/>
    <m/>
    <m/>
    <m/>
    <m/>
    <m/>
    <m/>
    <m/>
    <m/>
    <m/>
    <m/>
    <n v="75"/>
    <m/>
    <m/>
    <m/>
    <m/>
    <n v="75"/>
    <m/>
    <m/>
    <m/>
    <m/>
    <m/>
    <m/>
    <m/>
    <m/>
    <m/>
    <x v="1"/>
    <x v="0"/>
    <x v="1"/>
    <n v="-75"/>
    <m/>
    <m/>
    <m/>
    <m/>
    <n v="-75"/>
    <m/>
    <x v="0"/>
    <m/>
    <m/>
    <m/>
    <m/>
    <m/>
    <x v="0"/>
    <m/>
    <m/>
    <m/>
    <m/>
    <s v="-"/>
    <s v="-"/>
    <s v="-"/>
    <s v="-"/>
    <s v="-"/>
    <s v="-"/>
    <s v="-"/>
    <s v="-"/>
    <s v="-"/>
    <s v="-"/>
    <s v="-"/>
    <x v="1"/>
    <x v="0"/>
    <s v="Not Known"/>
    <s v="-"/>
    <s v="-"/>
    <s v="-"/>
    <s v="-"/>
    <s v="-"/>
    <s v="-"/>
    <s v="-"/>
    <s v="-"/>
    <s v="-"/>
    <s v="-"/>
    <x v="0"/>
    <x v="0"/>
    <n v="6.9999997504055899E-3"/>
    <n v="0"/>
    <n v="75"/>
    <n v="-75"/>
    <x v="0"/>
    <x v="0"/>
    <m/>
    <x v="0"/>
    <m/>
    <x v="0"/>
    <m/>
    <x v="0"/>
    <x v="0"/>
    <x v="0"/>
    <x v="0"/>
    <m/>
    <n v="78"/>
    <n v="0"/>
    <n v="78"/>
    <x v="1"/>
    <m/>
  </r>
  <r>
    <x v="2"/>
    <x v="2"/>
    <x v="2"/>
    <x v="1"/>
    <n v="3860"/>
    <x v="191"/>
    <x v="12"/>
    <n v="4.6000000089407002E-2"/>
    <n v="525273"/>
    <n v="174622"/>
    <m/>
    <x v="223"/>
    <s v="PANR"/>
    <d v="2017-06-14T00:00:00"/>
    <x v="181"/>
    <s v="Y"/>
    <m/>
    <s v="Nil"/>
    <m/>
    <m/>
    <s v="Determination as to whether prior approval is required for change of use of office at ground, first and second floor floor levels from (Class B1a) to residential (Class C3) to provide 1 x 2-bedroom flat and 2 x 1-bedroom flats."/>
    <x v="221"/>
    <s v="COU"/>
    <x v="2"/>
    <s v="NSO"/>
    <m/>
    <m/>
    <m/>
    <m/>
    <s v="C"/>
    <s v="BF"/>
    <x v="0"/>
    <m/>
    <m/>
    <m/>
    <m/>
    <m/>
    <m/>
    <m/>
    <m/>
    <m/>
    <m/>
    <m/>
    <m/>
    <m/>
    <m/>
    <m/>
    <m/>
    <m/>
    <m/>
    <m/>
    <m/>
    <m/>
    <m/>
    <m/>
    <m/>
    <m/>
    <n v="207"/>
    <m/>
    <m/>
    <m/>
    <m/>
    <n v="207"/>
    <m/>
    <m/>
    <m/>
    <x v="0"/>
    <x v="1"/>
    <x v="1"/>
    <m/>
    <m/>
    <m/>
    <m/>
    <m/>
    <m/>
    <n v="-207"/>
    <x v="1"/>
    <m/>
    <m/>
    <m/>
    <m/>
    <n v="-207"/>
    <x v="1"/>
    <m/>
    <m/>
    <m/>
    <m/>
    <s v="-"/>
    <s v="-"/>
    <s v="-"/>
    <s v="-"/>
    <s v="-"/>
    <s v="-"/>
    <s v="-"/>
    <s v="-"/>
    <s v="-"/>
    <s v="-"/>
    <s v="-"/>
    <x v="1"/>
    <x v="0"/>
    <s v="-"/>
    <s v="-"/>
    <s v="-"/>
    <s v="-"/>
    <s v="-"/>
    <s v="Other"/>
    <s v="-"/>
    <s v="-"/>
    <s v="-"/>
    <s v="-"/>
    <s v="-"/>
    <x v="0"/>
    <x v="0"/>
    <n v="0"/>
    <n v="0"/>
    <n v="207"/>
    <n v="-207"/>
    <x v="0"/>
    <x v="0"/>
    <m/>
    <x v="0"/>
    <m/>
    <x v="0"/>
    <m/>
    <x v="0"/>
    <x v="0"/>
    <x v="0"/>
    <x v="0"/>
    <m/>
    <n v="207"/>
    <n v="0"/>
    <n v="207"/>
    <x v="1"/>
    <m/>
  </r>
  <r>
    <x v="3"/>
    <x v="0"/>
    <x v="0"/>
    <x v="1"/>
    <n v="3902"/>
    <x v="192"/>
    <x v="9"/>
    <n v="0.26300001144409202"/>
    <n v="526710"/>
    <n v="175659"/>
    <s v="4.1.6"/>
    <x v="224"/>
    <s v="PFLA"/>
    <d v="2009-04-28T00:00:00"/>
    <x v="182"/>
    <m/>
    <d v="2010-04-15T00:00:00"/>
    <s v="Nil"/>
    <m/>
    <m/>
    <s v="Demolition of all existing buildings on site including St Peter's Church hall and vicarage. Erection of new church and community building on 3 levels at the southern end of the site, and 69 residential units (including new vicarage) in buildings up to 8-storeys high at the northern end and western side of the site; basement car park for 58 vehicles accessed off Plough Road."/>
    <x v="222"/>
    <s v="NB"/>
    <x v="0"/>
    <s v="UC"/>
    <m/>
    <d v="2014-03-31T00:00:00"/>
    <m/>
    <m/>
    <s v="C"/>
    <s v="BF"/>
    <x v="0"/>
    <m/>
    <d v="2014-03-31T00:00:00"/>
    <m/>
    <m/>
    <m/>
    <m/>
    <m/>
    <m/>
    <m/>
    <m/>
    <m/>
    <m/>
    <m/>
    <m/>
    <m/>
    <m/>
    <n v="1250"/>
    <m/>
    <n v="1250"/>
    <n v="200"/>
    <m/>
    <m/>
    <m/>
    <m/>
    <n v="200"/>
    <m/>
    <m/>
    <m/>
    <m/>
    <m/>
    <m/>
    <n v="494"/>
    <m/>
    <n v="494"/>
    <x v="1"/>
    <x v="0"/>
    <x v="0"/>
    <n v="-200"/>
    <m/>
    <m/>
    <m/>
    <m/>
    <n v="-200"/>
    <m/>
    <x v="0"/>
    <m/>
    <m/>
    <m/>
    <m/>
    <m/>
    <x v="0"/>
    <m/>
    <n v="756"/>
    <m/>
    <n v="756"/>
    <s v="-"/>
    <s v="-"/>
    <s v="-"/>
    <s v="-"/>
    <s v="-"/>
    <s v="-"/>
    <s v="-"/>
    <s v="-"/>
    <s v="-"/>
    <s v="-"/>
    <s v="-"/>
    <x v="7"/>
    <x v="0"/>
    <s v="Not Known"/>
    <s v="-"/>
    <s v="-"/>
    <s v="-"/>
    <s v="-"/>
    <s v="-"/>
    <s v="-"/>
    <s v="-"/>
    <s v="-"/>
    <s v="-"/>
    <s v="-"/>
    <x v="4"/>
    <x v="0"/>
    <n v="0.15700000897049904"/>
    <n v="1250"/>
    <n v="694"/>
    <n v="556"/>
    <x v="0"/>
    <x v="0"/>
    <m/>
    <x v="0"/>
    <m/>
    <x v="0"/>
    <m/>
    <x v="0"/>
    <x v="0"/>
    <x v="0"/>
    <x v="0"/>
    <m/>
    <n v="4569"/>
    <n v="363"/>
    <n v="4206"/>
    <x v="1"/>
    <m/>
  </r>
  <r>
    <x v="2"/>
    <x v="0"/>
    <x v="0"/>
    <x v="1"/>
    <n v="3906"/>
    <x v="193"/>
    <x v="11"/>
    <n v="1.2000000104308101E-2"/>
    <n v="528674"/>
    <n v="173583"/>
    <m/>
    <x v="225"/>
    <s v="PF"/>
    <d v="2015-06-01T00:00:00"/>
    <x v="183"/>
    <m/>
    <m/>
    <s v="Nil"/>
    <m/>
    <m/>
    <s v="Erection of first floor extension above the existing single storey storage building (with access from Caistor Mews)."/>
    <x v="223"/>
    <s v="EXT"/>
    <x v="1"/>
    <s v="NSO"/>
    <m/>
    <m/>
    <m/>
    <m/>
    <s v="C"/>
    <s v="BF"/>
    <x v="0"/>
    <m/>
    <m/>
    <m/>
    <m/>
    <m/>
    <m/>
    <m/>
    <m/>
    <m/>
    <m/>
    <m/>
    <m/>
    <m/>
    <m/>
    <n v="18"/>
    <n v="18"/>
    <m/>
    <m/>
    <m/>
    <m/>
    <m/>
    <m/>
    <m/>
    <m/>
    <m/>
    <m/>
    <m/>
    <m/>
    <m/>
    <m/>
    <m/>
    <m/>
    <m/>
    <m/>
    <x v="0"/>
    <x v="1"/>
    <x v="1"/>
    <m/>
    <m/>
    <m/>
    <m/>
    <m/>
    <m/>
    <m/>
    <x v="0"/>
    <m/>
    <m/>
    <m/>
    <n v="18"/>
    <n v="18"/>
    <x v="0"/>
    <m/>
    <m/>
    <m/>
    <m/>
    <s v="-"/>
    <s v="-"/>
    <s v="-"/>
    <s v="-"/>
    <s v="-"/>
    <s v="-"/>
    <s v="-"/>
    <s v="-"/>
    <s v="-"/>
    <s v="Storage"/>
    <s v="-"/>
    <x v="1"/>
    <x v="0"/>
    <s v="-"/>
    <s v="-"/>
    <s v="-"/>
    <s v="-"/>
    <s v="-"/>
    <s v="-"/>
    <s v="-"/>
    <s v="-"/>
    <s v="-"/>
    <s v="-"/>
    <s v="-"/>
    <x v="0"/>
    <x v="0"/>
    <n v="1.2000000104308101E-2"/>
    <n v="18"/>
    <n v="0"/>
    <n v="18"/>
    <x v="0"/>
    <x v="0"/>
    <m/>
    <x v="0"/>
    <m/>
    <x v="0"/>
    <m/>
    <x v="0"/>
    <x v="1"/>
    <x v="5"/>
    <x v="0"/>
    <m/>
    <n v="0"/>
    <n v="0"/>
    <n v="0"/>
    <x v="0"/>
    <m/>
  </r>
  <r>
    <x v="0"/>
    <x v="0"/>
    <x v="0"/>
    <x v="0"/>
    <n v="3922"/>
    <x v="194"/>
    <x v="8"/>
    <n v="0.16200000047683699"/>
    <n v="528312"/>
    <n v="177443"/>
    <m/>
    <x v="226"/>
    <s v="PF"/>
    <d v="2016-06-24T00:00:00"/>
    <x v="184"/>
    <m/>
    <m/>
    <s v="Nil"/>
    <m/>
    <m/>
    <s v="Removal of portacabin-style shipping container. Erection of single-storey wooden outbuilding for use as a meeting room, classroom and craft store."/>
    <x v="224"/>
    <s v="NB"/>
    <x v="0"/>
    <s v="OC"/>
    <m/>
    <d v="2016-09-01T00:00:00"/>
    <d v="2018-03-31T00:00:00"/>
    <d v="2018-03-31T00:00:00"/>
    <s v="C"/>
    <s v="BF"/>
    <x v="0"/>
    <m/>
    <d v="2016-09-01T00:00:00"/>
    <d v="2018-03-31T00:00:00"/>
    <m/>
    <m/>
    <m/>
    <m/>
    <m/>
    <m/>
    <m/>
    <m/>
    <m/>
    <m/>
    <m/>
    <m/>
    <m/>
    <n v="28"/>
    <m/>
    <n v="28"/>
    <m/>
    <m/>
    <m/>
    <m/>
    <m/>
    <m/>
    <m/>
    <m/>
    <m/>
    <m/>
    <m/>
    <m/>
    <n v="24"/>
    <m/>
    <n v="24"/>
    <x v="0"/>
    <x v="0"/>
    <x v="0"/>
    <m/>
    <m/>
    <m/>
    <m/>
    <m/>
    <m/>
    <m/>
    <x v="0"/>
    <m/>
    <m/>
    <m/>
    <m/>
    <m/>
    <x v="0"/>
    <m/>
    <n v="4"/>
    <m/>
    <n v="4"/>
    <s v="-"/>
    <s v="-"/>
    <s v="-"/>
    <s v="-"/>
    <s v="-"/>
    <s v="-"/>
    <s v="-"/>
    <s v="-"/>
    <s v="-"/>
    <s v="-"/>
    <s v="-"/>
    <x v="0"/>
    <x v="0"/>
    <s v="-"/>
    <s v="-"/>
    <s v="-"/>
    <s v="-"/>
    <s v="-"/>
    <s v="-"/>
    <s v="-"/>
    <s v="-"/>
    <s v="-"/>
    <s v="-"/>
    <s v="-"/>
    <x v="6"/>
    <x v="0"/>
    <n v="0.16200000047683699"/>
    <n v="28"/>
    <n v="24"/>
    <n v="4"/>
    <x v="1"/>
    <x v="0"/>
    <m/>
    <x v="0"/>
    <m/>
    <x v="0"/>
    <m/>
    <x v="0"/>
    <x v="0"/>
    <x v="0"/>
    <x v="0"/>
    <m/>
    <n v="0"/>
    <n v="0"/>
    <n v="0"/>
    <x v="0"/>
    <m/>
  </r>
  <r>
    <x v="2"/>
    <x v="0"/>
    <x v="0"/>
    <x v="1"/>
    <n v="3938"/>
    <x v="195"/>
    <x v="8"/>
    <n v="1.03999996185303"/>
    <n v="529318"/>
    <n v="177190"/>
    <s v="2.1.14"/>
    <x v="227"/>
    <s v="PFLA"/>
    <d v="2016-06-30T00:00:00"/>
    <x v="185"/>
    <m/>
    <d v="2016-09-14T00:00:00"/>
    <s v="Nil"/>
    <m/>
    <m/>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x v="225"/>
    <s v="NB"/>
    <x v="0"/>
    <s v="NSO"/>
    <m/>
    <m/>
    <m/>
    <m/>
    <s v="C"/>
    <s v="BF"/>
    <x v="0"/>
    <s v="C"/>
    <m/>
    <m/>
    <n v="62"/>
    <m/>
    <n v="62"/>
    <m/>
    <m/>
    <n v="124"/>
    <n v="405"/>
    <n v="405"/>
    <n v="405"/>
    <n v="1215"/>
    <m/>
    <m/>
    <n v="1215"/>
    <n v="1924"/>
    <m/>
    <n v="1924"/>
    <m/>
    <m/>
    <m/>
    <m/>
    <m/>
    <m/>
    <m/>
    <m/>
    <n v="2196"/>
    <m/>
    <n v="2171"/>
    <n v="4367"/>
    <m/>
    <m/>
    <m/>
    <x v="1"/>
    <x v="1"/>
    <x v="0"/>
    <n v="62"/>
    <m/>
    <n v="62"/>
    <m/>
    <m/>
    <n v="124"/>
    <n v="405"/>
    <x v="0"/>
    <n v="405"/>
    <n v="-1791"/>
    <m/>
    <n v="-2171"/>
    <n v="-3152"/>
    <x v="1"/>
    <m/>
    <n v="1924"/>
    <m/>
    <n v="1924"/>
    <s v="Not Known"/>
    <s v="-"/>
    <s v="Not Known"/>
    <s v="-"/>
    <s v="-"/>
    <s v="Not Known"/>
    <s v="Not Known"/>
    <s v="Not Known"/>
    <s v="-"/>
    <s v="-"/>
    <s v="-"/>
    <x v="3"/>
    <x v="0"/>
    <s v="-"/>
    <s v="-"/>
    <s v="-"/>
    <s v="-"/>
    <s v="-"/>
    <s v="-"/>
    <s v="-"/>
    <s v="Vacant"/>
    <s v="-"/>
    <s v="Vacant"/>
    <s v="-"/>
    <x v="0"/>
    <x v="0"/>
    <n v="6.9999992847444958E-2"/>
    <n v="3654"/>
    <n v="5072"/>
    <n v="-1418"/>
    <x v="0"/>
    <x v="0"/>
    <m/>
    <x v="0"/>
    <m/>
    <x v="0"/>
    <m/>
    <x v="1"/>
    <x v="0"/>
    <x v="0"/>
    <x v="0"/>
    <m/>
    <n v="36918"/>
    <n v="0"/>
    <n v="36918"/>
    <x v="1"/>
    <m/>
  </r>
  <r>
    <x v="3"/>
    <x v="0"/>
    <x v="0"/>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0"/>
    <s v="C"/>
    <d v="2013-07-01T00:00:00"/>
    <m/>
    <m/>
    <m/>
    <m/>
    <m/>
    <m/>
    <m/>
    <m/>
    <m/>
    <m/>
    <m/>
    <m/>
    <m/>
    <m/>
    <m/>
    <m/>
    <m/>
    <m/>
    <m/>
    <m/>
    <m/>
    <m/>
    <m/>
    <m/>
    <m/>
    <m/>
    <m/>
    <n v="32314"/>
    <n v="32314"/>
    <m/>
    <m/>
    <m/>
    <x v="0"/>
    <x v="1"/>
    <x v="1"/>
    <m/>
    <m/>
    <m/>
    <m/>
    <m/>
    <m/>
    <m/>
    <x v="0"/>
    <m/>
    <m/>
    <m/>
    <n v="-32314"/>
    <n v="-32314"/>
    <x v="1"/>
    <m/>
    <m/>
    <m/>
    <m/>
    <s v="-"/>
    <s v="-"/>
    <s v="-"/>
    <s v="-"/>
    <s v="-"/>
    <s v="-"/>
    <s v="-"/>
    <s v="-"/>
    <s v="-"/>
    <s v="-"/>
    <s v="-"/>
    <x v="1"/>
    <x v="0"/>
    <s v="-"/>
    <s v="-"/>
    <s v="-"/>
    <s v="-"/>
    <s v="-"/>
    <s v="-"/>
    <s v="-"/>
    <s v="-"/>
    <s v="-"/>
    <s v="Distribution"/>
    <s v="-"/>
    <x v="0"/>
    <x v="0"/>
    <n v="2.2150001265108612"/>
    <n v="0"/>
    <n v="32314"/>
    <n v="-32314"/>
    <x v="0"/>
    <x v="0"/>
    <m/>
    <x v="0"/>
    <m/>
    <x v="0"/>
    <m/>
    <x v="1"/>
    <x v="0"/>
    <x v="0"/>
    <x v="0"/>
    <m/>
    <n v="0"/>
    <n v="0"/>
    <n v="0"/>
    <x v="0"/>
    <m/>
  </r>
  <r>
    <x v="2"/>
    <x v="5"/>
    <x v="5"/>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1"/>
    <s v="C"/>
    <d v="2013-07-01T00:00:00"/>
    <m/>
    <n v="44"/>
    <n v="44"/>
    <n v="44"/>
    <n v="44"/>
    <n v="43"/>
    <n v="219"/>
    <m/>
    <m/>
    <m/>
    <m/>
    <m/>
    <m/>
    <m/>
    <n v="44"/>
    <n v="44"/>
    <n v="88"/>
    <m/>
    <m/>
    <m/>
    <m/>
    <m/>
    <m/>
    <m/>
    <m/>
    <m/>
    <m/>
    <m/>
    <m/>
    <m/>
    <m/>
    <m/>
    <x v="1"/>
    <x v="0"/>
    <x v="0"/>
    <n v="44"/>
    <n v="44"/>
    <n v="44"/>
    <n v="44"/>
    <n v="43"/>
    <n v="219"/>
    <m/>
    <x v="0"/>
    <m/>
    <m/>
    <m/>
    <m/>
    <m/>
    <x v="0"/>
    <m/>
    <n v="44"/>
    <n v="44"/>
    <n v="88"/>
    <s v="Not Known"/>
    <s v="Not Known"/>
    <s v="Not Known"/>
    <s v="Not Known"/>
    <s v="Not Known"/>
    <s v="-"/>
    <s v="-"/>
    <s v="-"/>
    <s v="-"/>
    <s v="-"/>
    <s v="-"/>
    <x v="5"/>
    <x v="3"/>
    <s v="-"/>
    <s v="-"/>
    <s v="-"/>
    <s v="-"/>
    <s v="-"/>
    <s v="-"/>
    <s v="-"/>
    <s v="-"/>
    <s v="-"/>
    <s v="-"/>
    <s v="-"/>
    <x v="0"/>
    <x v="0"/>
    <n v="2.2150001265108612"/>
    <n v="307"/>
    <n v="0"/>
    <n v="307"/>
    <x v="0"/>
    <x v="0"/>
    <m/>
    <x v="0"/>
    <m/>
    <x v="0"/>
    <m/>
    <x v="1"/>
    <x v="0"/>
    <x v="0"/>
    <x v="0"/>
    <m/>
    <n v="9972"/>
    <n v="0"/>
    <n v="9972"/>
    <x v="1"/>
    <m/>
  </r>
  <r>
    <x v="2"/>
    <x v="5"/>
    <x v="5"/>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2"/>
    <s v="C"/>
    <d v="2013-07-01T00:00:00"/>
    <m/>
    <n v="217"/>
    <n v="217"/>
    <n v="217"/>
    <n v="217"/>
    <n v="217"/>
    <n v="1085"/>
    <m/>
    <m/>
    <m/>
    <m/>
    <m/>
    <m/>
    <m/>
    <n v="218"/>
    <n v="218"/>
    <n v="436"/>
    <m/>
    <m/>
    <m/>
    <m/>
    <m/>
    <m/>
    <m/>
    <m/>
    <m/>
    <m/>
    <m/>
    <m/>
    <m/>
    <m/>
    <m/>
    <x v="1"/>
    <x v="0"/>
    <x v="0"/>
    <n v="217"/>
    <n v="217"/>
    <n v="217"/>
    <n v="217"/>
    <n v="217"/>
    <n v="1085"/>
    <m/>
    <x v="0"/>
    <m/>
    <m/>
    <m/>
    <m/>
    <m/>
    <x v="0"/>
    <m/>
    <n v="218"/>
    <n v="218"/>
    <n v="436"/>
    <s v="-"/>
    <s v="-"/>
    <s v="-"/>
    <s v="-"/>
    <s v="-"/>
    <s v="-"/>
    <s v="-"/>
    <s v="-"/>
    <s v="-"/>
    <s v="-"/>
    <s v="-"/>
    <x v="1"/>
    <x v="0"/>
    <s v="-"/>
    <s v="-"/>
    <s v="-"/>
    <s v="-"/>
    <s v="-"/>
    <s v="-"/>
    <s v="-"/>
    <s v="-"/>
    <s v="-"/>
    <s v="-"/>
    <s v="-"/>
    <x v="0"/>
    <x v="0"/>
    <n v="2.2150001265108612"/>
    <n v="1521"/>
    <n v="0"/>
    <n v="1521"/>
    <x v="0"/>
    <x v="0"/>
    <m/>
    <x v="0"/>
    <m/>
    <x v="0"/>
    <m/>
    <x v="1"/>
    <x v="0"/>
    <x v="0"/>
    <x v="0"/>
    <m/>
    <n v="37801"/>
    <n v="0"/>
    <n v="37801"/>
    <x v="1"/>
    <m/>
  </r>
  <r>
    <x v="2"/>
    <x v="5"/>
    <x v="5"/>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3"/>
    <s v="C"/>
    <d v="2013-07-01T00:00:00"/>
    <m/>
    <n v="903"/>
    <n v="903"/>
    <n v="903"/>
    <n v="903"/>
    <n v="903"/>
    <n v="4515"/>
    <m/>
    <m/>
    <m/>
    <m/>
    <m/>
    <m/>
    <m/>
    <n v="903"/>
    <n v="902"/>
    <n v="1805"/>
    <m/>
    <m/>
    <m/>
    <m/>
    <m/>
    <m/>
    <m/>
    <m/>
    <m/>
    <m/>
    <m/>
    <m/>
    <m/>
    <m/>
    <m/>
    <x v="1"/>
    <x v="0"/>
    <x v="0"/>
    <n v="903"/>
    <n v="903"/>
    <n v="903"/>
    <n v="903"/>
    <n v="903"/>
    <n v="4515"/>
    <m/>
    <x v="0"/>
    <m/>
    <m/>
    <m/>
    <m/>
    <m/>
    <x v="0"/>
    <m/>
    <n v="903"/>
    <n v="902"/>
    <n v="1805"/>
    <s v="-"/>
    <s v="-"/>
    <s v="-"/>
    <s v="-"/>
    <s v="-"/>
    <s v="-"/>
    <s v="-"/>
    <s v="-"/>
    <s v="-"/>
    <s v="-"/>
    <s v="-"/>
    <x v="1"/>
    <x v="0"/>
    <s v="-"/>
    <s v="-"/>
    <s v="-"/>
    <s v="-"/>
    <s v="-"/>
    <s v="-"/>
    <s v="-"/>
    <s v="-"/>
    <s v="-"/>
    <s v="-"/>
    <s v="-"/>
    <x v="0"/>
    <x v="0"/>
    <n v="2.2150001265108612"/>
    <n v="6320"/>
    <n v="0"/>
    <n v="6320"/>
    <x v="0"/>
    <x v="0"/>
    <m/>
    <x v="0"/>
    <m/>
    <x v="0"/>
    <m/>
    <x v="1"/>
    <x v="0"/>
    <x v="0"/>
    <x v="0"/>
    <m/>
    <n v="23364"/>
    <n v="0"/>
    <n v="23364"/>
    <x v="1"/>
    <m/>
  </r>
  <r>
    <x v="2"/>
    <x v="5"/>
    <x v="5"/>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4"/>
    <s v="C"/>
    <d v="2013-07-01T00:00:00"/>
    <m/>
    <n v="169"/>
    <n v="169"/>
    <n v="169"/>
    <n v="169"/>
    <n v="169"/>
    <n v="845"/>
    <m/>
    <m/>
    <m/>
    <m/>
    <m/>
    <m/>
    <m/>
    <n v="169"/>
    <n v="170"/>
    <n v="339"/>
    <m/>
    <m/>
    <m/>
    <m/>
    <m/>
    <m/>
    <m/>
    <m/>
    <m/>
    <m/>
    <m/>
    <m/>
    <m/>
    <m/>
    <m/>
    <x v="1"/>
    <x v="0"/>
    <x v="0"/>
    <n v="169"/>
    <n v="169"/>
    <n v="169"/>
    <n v="169"/>
    <n v="169"/>
    <n v="845"/>
    <m/>
    <x v="0"/>
    <m/>
    <m/>
    <m/>
    <m/>
    <m/>
    <x v="0"/>
    <m/>
    <n v="169"/>
    <n v="170"/>
    <n v="339"/>
    <s v="-"/>
    <s v="-"/>
    <s v="-"/>
    <s v="-"/>
    <s v="-"/>
    <s v="-"/>
    <s v="-"/>
    <s v="-"/>
    <s v="-"/>
    <s v="-"/>
    <s v="-"/>
    <x v="1"/>
    <x v="0"/>
    <s v="-"/>
    <s v="-"/>
    <s v="-"/>
    <s v="-"/>
    <s v="-"/>
    <s v="-"/>
    <s v="-"/>
    <s v="-"/>
    <s v="-"/>
    <s v="-"/>
    <s v="-"/>
    <x v="0"/>
    <x v="0"/>
    <n v="2.2150001265108612"/>
    <n v="1184"/>
    <n v="0"/>
    <n v="1184"/>
    <x v="0"/>
    <x v="0"/>
    <m/>
    <x v="0"/>
    <m/>
    <x v="0"/>
    <m/>
    <x v="1"/>
    <x v="0"/>
    <x v="0"/>
    <x v="0"/>
    <m/>
    <n v="37425"/>
    <n v="0"/>
    <n v="37425"/>
    <x v="1"/>
    <m/>
  </r>
  <r>
    <x v="2"/>
    <x v="5"/>
    <x v="5"/>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5"/>
    <s v="C"/>
    <d v="2013-07-01T00:00:00"/>
    <m/>
    <n v="44"/>
    <n v="44"/>
    <n v="44"/>
    <n v="44"/>
    <n v="43"/>
    <n v="219"/>
    <m/>
    <m/>
    <m/>
    <m/>
    <m/>
    <m/>
    <m/>
    <n v="43"/>
    <n v="43"/>
    <n v="86"/>
    <m/>
    <m/>
    <m/>
    <m/>
    <m/>
    <m/>
    <m/>
    <m/>
    <m/>
    <m/>
    <m/>
    <m/>
    <m/>
    <m/>
    <m/>
    <x v="1"/>
    <x v="0"/>
    <x v="0"/>
    <n v="44"/>
    <n v="44"/>
    <n v="44"/>
    <n v="44"/>
    <n v="43"/>
    <n v="219"/>
    <m/>
    <x v="0"/>
    <m/>
    <m/>
    <m/>
    <m/>
    <m/>
    <x v="0"/>
    <m/>
    <n v="43"/>
    <n v="43"/>
    <n v="86"/>
    <s v="-"/>
    <s v="-"/>
    <s v="-"/>
    <s v="-"/>
    <s v="-"/>
    <s v="-"/>
    <s v="-"/>
    <s v="-"/>
    <s v="-"/>
    <s v="-"/>
    <s v="-"/>
    <x v="1"/>
    <x v="0"/>
    <s v="-"/>
    <s v="-"/>
    <s v="-"/>
    <s v="-"/>
    <s v="-"/>
    <s v="-"/>
    <s v="-"/>
    <s v="-"/>
    <s v="-"/>
    <s v="-"/>
    <s v="-"/>
    <x v="0"/>
    <x v="0"/>
    <n v="2.2150001265108612"/>
    <n v="305"/>
    <n v="0"/>
    <n v="305"/>
    <x v="0"/>
    <x v="0"/>
    <m/>
    <x v="0"/>
    <m/>
    <x v="0"/>
    <m/>
    <x v="1"/>
    <x v="0"/>
    <x v="0"/>
    <x v="0"/>
    <m/>
    <n v="26427"/>
    <n v="0"/>
    <n v="26427"/>
    <x v="1"/>
    <m/>
  </r>
  <r>
    <x v="2"/>
    <x v="5"/>
    <x v="5"/>
    <x v="1"/>
    <n v="3943"/>
    <x v="196"/>
    <x v="8"/>
    <n v="5.2300000190734899"/>
    <n v="529575"/>
    <n v="177401"/>
    <s v="2.1.18"/>
    <x v="228"/>
    <s v="S73"/>
    <d v="2016-04-21T00:00:00"/>
    <x v="186"/>
    <m/>
    <d v="2016-09-14T00:00:00"/>
    <s v="Nil"/>
    <m/>
    <m/>
    <s v="Minor Material Amendment pursuant to conditions 3 (Reserved Matters), 9 (Parameter Plans), 10 (GEA floorspace limits), 13 (residential unit limit), 18 (car parking space limit), 32 (B8 use restriction) and 41 (land &amp;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including provision of a primary school; storage &amp; distribution floorspace; associated basement parking and part of the 'Linear Park'. All matters reserved apart from the appearance and scale of Blocks B1, D1 &amp; G and two new access points from Nine Elms Lane. _x000d__x000a__x000d__x000a_(The amendments comprise the removal of the Delivery Office from Plot C; division of Plot C into two plots with new primary school on the southern half and residential on the northern half and new pedestrian route between the two; increase in the number of residential units from 1870 to 1950; revision to Plot A parameters to adjoin with the neighbouring development to the south; revisions to Plots E and F parameters to reflect neighbouring developments to the south and to increase visibility to the school site from within the Linear Park; increase in height of Blocks A-F by between 0.64m-1.95m within parameter limits; amendments to Linear Park layout/design including to vehicle crossovers, realignment of the school building and realignment of Plot E to widen the Park; relocation of school drop-off; removal of ENVAC refuse system; and revised Energy Strategy. An addendum to the Environmental Statement has been submitted under The Town &amp; Country Planning (Environmental Impact Assessment) Regulations 2011 (as amended)."/>
    <x v="226"/>
    <s v="NB"/>
    <x v="0"/>
    <s v="UC"/>
    <d v="2013-07-01T00:00:00"/>
    <d v="2013-07-01T00:00:00"/>
    <m/>
    <m/>
    <s v="C"/>
    <s v="BF"/>
    <x v="26"/>
    <s v="C"/>
    <d v="2013-07-01T00:00:00"/>
    <m/>
    <n v="66"/>
    <n v="66"/>
    <n v="66"/>
    <n v="66"/>
    <n v="66"/>
    <n v="330"/>
    <m/>
    <m/>
    <m/>
    <m/>
    <m/>
    <m/>
    <m/>
    <n v="66"/>
    <n v="66"/>
    <n v="132"/>
    <m/>
    <m/>
    <m/>
    <m/>
    <m/>
    <m/>
    <m/>
    <m/>
    <m/>
    <m/>
    <m/>
    <m/>
    <m/>
    <m/>
    <m/>
    <x v="1"/>
    <x v="0"/>
    <x v="0"/>
    <n v="66"/>
    <n v="66"/>
    <n v="66"/>
    <n v="66"/>
    <n v="66"/>
    <n v="330"/>
    <m/>
    <x v="0"/>
    <m/>
    <m/>
    <m/>
    <m/>
    <m/>
    <x v="0"/>
    <m/>
    <n v="66"/>
    <n v="66"/>
    <n v="132"/>
    <s v="-"/>
    <s v="-"/>
    <s v="-"/>
    <s v="-"/>
    <s v="-"/>
    <s v="-"/>
    <s v="-"/>
    <s v="-"/>
    <s v="-"/>
    <s v="-"/>
    <s v="-"/>
    <x v="1"/>
    <x v="0"/>
    <s v="-"/>
    <s v="-"/>
    <s v="-"/>
    <s v="-"/>
    <s v="-"/>
    <s v="-"/>
    <s v="-"/>
    <s v="-"/>
    <s v="-"/>
    <s v="-"/>
    <s v="-"/>
    <x v="0"/>
    <x v="0"/>
    <n v="2.2150001265108612"/>
    <n v="462"/>
    <n v="0"/>
    <n v="462"/>
    <x v="0"/>
    <x v="0"/>
    <m/>
    <x v="0"/>
    <m/>
    <x v="0"/>
    <m/>
    <x v="1"/>
    <x v="0"/>
    <x v="0"/>
    <x v="0"/>
    <m/>
    <n v="17911"/>
    <n v="0"/>
    <n v="17911"/>
    <x v="1"/>
    <m/>
  </r>
  <r>
    <x v="3"/>
    <x v="0"/>
    <x v="0"/>
    <x v="1"/>
    <n v="3944"/>
    <x v="197"/>
    <x v="8"/>
    <n v="1.0700000524520901"/>
    <n v="529725"/>
    <n v="177404"/>
    <s v="2.1.19"/>
    <x v="229"/>
    <s v="S73"/>
    <d v="2016-10-26T00:00:00"/>
    <x v="187"/>
    <m/>
    <m/>
    <s v="Nil"/>
    <m/>
    <m/>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x v="227"/>
    <s v="NB"/>
    <x v="0"/>
    <s v="UC"/>
    <d v="2015-03-31T00:00:00"/>
    <d v="2015-04-01T00:00:00"/>
    <m/>
    <m/>
    <s v="C"/>
    <s v="BF"/>
    <x v="0"/>
    <m/>
    <d v="2015-04-01T00:00:00"/>
    <m/>
    <n v="312"/>
    <n v="312"/>
    <n v="312"/>
    <m/>
    <m/>
    <n v="936"/>
    <n v="312"/>
    <m/>
    <m/>
    <n v="312"/>
    <m/>
    <m/>
    <n v="312"/>
    <n v="561"/>
    <n v="561"/>
    <n v="1122"/>
    <m/>
    <m/>
    <m/>
    <m/>
    <m/>
    <m/>
    <m/>
    <m/>
    <m/>
    <m/>
    <n v="9375"/>
    <n v="9375"/>
    <m/>
    <m/>
    <m/>
    <x v="1"/>
    <x v="1"/>
    <x v="0"/>
    <n v="312"/>
    <n v="312"/>
    <n v="312"/>
    <m/>
    <m/>
    <n v="936"/>
    <n v="312"/>
    <x v="0"/>
    <m/>
    <m/>
    <m/>
    <n v="-9375"/>
    <n v="-9063"/>
    <x v="1"/>
    <m/>
    <n v="561"/>
    <n v="561"/>
    <n v="1122"/>
    <s v="Not Known"/>
    <s v="Not Known"/>
    <s v="Restaurant"/>
    <s v="-"/>
    <s v="-"/>
    <s v="Not Known"/>
    <s v="-"/>
    <s v="-"/>
    <s v="-"/>
    <s v="-"/>
    <s v="-"/>
    <x v="4"/>
    <x v="3"/>
    <s v="-"/>
    <s v="-"/>
    <s v="-"/>
    <s v="-"/>
    <s v="-"/>
    <s v="-"/>
    <s v="-"/>
    <s v="-"/>
    <s v="-"/>
    <s v="Storage"/>
    <s v="-"/>
    <x v="0"/>
    <x v="0"/>
    <n v="3.4000050276520088E-2"/>
    <n v="2370"/>
    <n v="9375"/>
    <n v="-7005"/>
    <x v="0"/>
    <x v="0"/>
    <m/>
    <x v="0"/>
    <m/>
    <x v="0"/>
    <m/>
    <x v="1"/>
    <x v="0"/>
    <x v="0"/>
    <x v="0"/>
    <m/>
    <n v="62540"/>
    <n v="0"/>
    <n v="62540"/>
    <x v="1"/>
    <m/>
  </r>
  <r>
    <x v="1"/>
    <x v="0"/>
    <x v="0"/>
    <x v="1"/>
    <n v="3961"/>
    <x v="198"/>
    <x v="14"/>
    <n v="0.56000000238418601"/>
    <n v="527645"/>
    <n v="171873"/>
    <s v="5.1"/>
    <x v="230"/>
    <s v="AF"/>
    <d v="2017-08-24T00:00:00"/>
    <x v="1"/>
    <m/>
    <m/>
    <s v="Nil"/>
    <m/>
    <m/>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x v="228"/>
    <s v="NB"/>
    <x v="0"/>
    <s v="NSO"/>
    <m/>
    <m/>
    <m/>
    <m/>
    <s v="P"/>
    <s v="BF"/>
    <x v="0"/>
    <m/>
    <m/>
    <m/>
    <n v="214"/>
    <n v="204"/>
    <n v="367"/>
    <n v="1320"/>
    <m/>
    <n v="2105"/>
    <m/>
    <m/>
    <m/>
    <m/>
    <m/>
    <m/>
    <m/>
    <n v="87"/>
    <n v="86"/>
    <n v="173"/>
    <n v="3898"/>
    <m/>
    <n v="176"/>
    <m/>
    <m/>
    <n v="4074"/>
    <m/>
    <m/>
    <m/>
    <m/>
    <m/>
    <m/>
    <m/>
    <m/>
    <m/>
    <x v="1"/>
    <x v="0"/>
    <x v="0"/>
    <n v="-3684"/>
    <n v="204"/>
    <n v="191"/>
    <n v="1320"/>
    <m/>
    <n v="-1969"/>
    <m/>
    <x v="0"/>
    <m/>
    <m/>
    <m/>
    <m/>
    <m/>
    <x v="0"/>
    <n v="4154"/>
    <n v="87"/>
    <n v="86"/>
    <n v="173"/>
    <s v="Not Known"/>
    <s v="Not Known"/>
    <s v="Restaurant"/>
    <s v="Not Known"/>
    <s v="-"/>
    <s v="-"/>
    <s v="-"/>
    <s v="-"/>
    <s v="-"/>
    <s v="-"/>
    <s v="Hotel"/>
    <x v="5"/>
    <x v="3"/>
    <s v="Services"/>
    <s v="-"/>
    <s v="Restaurant"/>
    <s v="-"/>
    <s v="-"/>
    <s v="-"/>
    <s v="-"/>
    <s v="-"/>
    <s v="-"/>
    <s v="-"/>
    <s v="-"/>
    <x v="0"/>
    <x v="0"/>
    <n v="0.35400000214576699"/>
    <n v="6432"/>
    <n v="6132"/>
    <n v="300"/>
    <x v="0"/>
    <x v="0"/>
    <m/>
    <x v="0"/>
    <m/>
    <x v="0"/>
    <m/>
    <x v="0"/>
    <x v="1"/>
    <x v="3"/>
    <x v="0"/>
    <m/>
    <n v="3728"/>
    <n v="0"/>
    <n v="3728"/>
    <x v="1"/>
    <m/>
  </r>
  <r>
    <x v="2"/>
    <x v="2"/>
    <x v="2"/>
    <x v="1"/>
    <n v="3975"/>
    <x v="199"/>
    <x v="4"/>
    <n v="0.25099998712539701"/>
    <n v="526857"/>
    <n v="176315"/>
    <m/>
    <x v="231"/>
    <s v="PANR"/>
    <d v="2015-10-07T00:00:00"/>
    <x v="188"/>
    <m/>
    <m/>
    <s v="Nil"/>
    <m/>
    <m/>
    <s v="Determination as to whether prior approval is required for change of use from office (Class B1a) to 1 x 1-bedroom residential unit (Class C3)."/>
    <x v="169"/>
    <s v="COU"/>
    <x v="2"/>
    <s v="NSV"/>
    <m/>
    <m/>
    <m/>
    <m/>
    <s v="C"/>
    <s v="BF"/>
    <x v="0"/>
    <m/>
    <m/>
    <m/>
    <m/>
    <m/>
    <m/>
    <m/>
    <m/>
    <m/>
    <m/>
    <m/>
    <m/>
    <m/>
    <m/>
    <m/>
    <m/>
    <m/>
    <m/>
    <m/>
    <m/>
    <m/>
    <m/>
    <m/>
    <m/>
    <m/>
    <n v="48"/>
    <m/>
    <m/>
    <m/>
    <m/>
    <n v="48"/>
    <m/>
    <m/>
    <m/>
    <x v="0"/>
    <x v="1"/>
    <x v="1"/>
    <m/>
    <m/>
    <m/>
    <m/>
    <m/>
    <m/>
    <n v="-48"/>
    <x v="1"/>
    <m/>
    <m/>
    <m/>
    <m/>
    <n v="-48"/>
    <x v="1"/>
    <m/>
    <m/>
    <m/>
    <m/>
    <s v="-"/>
    <s v="-"/>
    <s v="-"/>
    <s v="-"/>
    <s v="-"/>
    <s v="-"/>
    <s v="-"/>
    <s v="-"/>
    <s v="-"/>
    <s v="-"/>
    <s v="-"/>
    <x v="1"/>
    <x v="0"/>
    <s v="-"/>
    <s v="-"/>
    <s v="-"/>
    <s v="-"/>
    <s v="-"/>
    <s v="Vacant"/>
    <s v="-"/>
    <s v="-"/>
    <s v="-"/>
    <s v="-"/>
    <s v="-"/>
    <x v="0"/>
    <x v="0"/>
    <n v="0.24599998723715572"/>
    <n v="0"/>
    <n v="48"/>
    <n v="-48"/>
    <x v="0"/>
    <x v="0"/>
    <m/>
    <x v="0"/>
    <m/>
    <x v="1"/>
    <s v="Gwynne Road"/>
    <x v="0"/>
    <x v="0"/>
    <x v="0"/>
    <x v="0"/>
    <m/>
    <n v="48"/>
    <n v="0"/>
    <n v="48"/>
    <x v="1"/>
    <m/>
  </r>
  <r>
    <x v="3"/>
    <x v="0"/>
    <x v="0"/>
    <x v="1"/>
    <n v="3978"/>
    <x v="200"/>
    <x v="5"/>
    <n v="0.158999994397163"/>
    <n v="526357"/>
    <n v="174832"/>
    <s v="9.5"/>
    <x v="232"/>
    <s v="PFLA"/>
    <d v="2016-11-07T00:00:00"/>
    <x v="137"/>
    <s v="Y"/>
    <d v="2017-03-23T00:00:00"/>
    <s v="Nil"/>
    <m/>
    <m/>
    <s v="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
    <x v="229"/>
    <s v="NB"/>
    <x v="0"/>
    <s v="UC"/>
    <m/>
    <d v="2017-07-20T00:00:00"/>
    <m/>
    <m/>
    <s v="C"/>
    <s v="BF"/>
    <x v="0"/>
    <m/>
    <d v="2017-07-20T00:00:00"/>
    <m/>
    <m/>
    <m/>
    <m/>
    <m/>
    <m/>
    <m/>
    <m/>
    <m/>
    <m/>
    <m/>
    <m/>
    <m/>
    <m/>
    <m/>
    <m/>
    <m/>
    <m/>
    <m/>
    <m/>
    <m/>
    <m/>
    <m/>
    <m/>
    <m/>
    <n v="1031"/>
    <m/>
    <m/>
    <n v="1031"/>
    <m/>
    <m/>
    <m/>
    <x v="0"/>
    <x v="1"/>
    <x v="1"/>
    <m/>
    <m/>
    <m/>
    <m/>
    <m/>
    <m/>
    <m/>
    <x v="0"/>
    <m/>
    <n v="-1031"/>
    <m/>
    <m/>
    <n v="-1031"/>
    <x v="1"/>
    <m/>
    <m/>
    <m/>
    <m/>
    <s v="-"/>
    <s v="-"/>
    <s v="-"/>
    <s v="-"/>
    <s v="-"/>
    <s v="-"/>
    <s v="-"/>
    <s v="-"/>
    <s v="-"/>
    <s v="-"/>
    <s v="-"/>
    <x v="1"/>
    <x v="0"/>
    <s v="-"/>
    <s v="-"/>
    <s v="-"/>
    <s v="-"/>
    <s v="-"/>
    <s v="-"/>
    <s v="-"/>
    <s v="Vacant"/>
    <s v="-"/>
    <s v="-"/>
    <s v="-"/>
    <x v="0"/>
    <x v="0"/>
    <n v="0.158999994397163"/>
    <n v="0"/>
    <n v="3442"/>
    <n v="-3442"/>
    <x v="0"/>
    <x v="0"/>
    <m/>
    <x v="0"/>
    <m/>
    <x v="0"/>
    <m/>
    <x v="0"/>
    <x v="0"/>
    <x v="0"/>
    <x v="0"/>
    <m/>
    <n v="0"/>
    <n v="0"/>
    <n v="0"/>
    <x v="0"/>
    <m/>
  </r>
  <r>
    <x v="1"/>
    <x v="4"/>
    <x v="4"/>
    <x v="1"/>
    <n v="3980"/>
    <x v="201"/>
    <x v="4"/>
    <n v="0.79000002145767201"/>
    <n v="526592"/>
    <n v="175883"/>
    <s v="10.2"/>
    <x v="233"/>
    <s v="SLA"/>
    <d v="2017-02-22T00:00:00"/>
    <x v="1"/>
    <m/>
    <d v="2017-07-20T00:00:00"/>
    <s v="Nil"/>
    <m/>
    <m/>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x v="230"/>
    <s v="NB"/>
    <x v="0"/>
    <s v="NSO"/>
    <m/>
    <m/>
    <m/>
    <m/>
    <s v="P"/>
    <s v="BF"/>
    <x v="0"/>
    <m/>
    <m/>
    <m/>
    <n v="4277"/>
    <n v="155"/>
    <n v="155"/>
    <n v="156"/>
    <m/>
    <n v="4743"/>
    <n v="7649"/>
    <m/>
    <m/>
    <n v="7649"/>
    <m/>
    <m/>
    <n v="7649"/>
    <m/>
    <m/>
    <m/>
    <n v="2865"/>
    <m/>
    <m/>
    <m/>
    <m/>
    <n v="2865"/>
    <n v="615"/>
    <m/>
    <m/>
    <m/>
    <m/>
    <n v="615"/>
    <m/>
    <m/>
    <m/>
    <x v="1"/>
    <x v="1"/>
    <x v="1"/>
    <n v="1412"/>
    <n v="155"/>
    <n v="155"/>
    <n v="156"/>
    <m/>
    <n v="1878"/>
    <n v="7034"/>
    <x v="0"/>
    <m/>
    <m/>
    <m/>
    <m/>
    <n v="7034"/>
    <x v="0"/>
    <m/>
    <m/>
    <m/>
    <m/>
    <s v="Not Known"/>
    <s v="Not Known"/>
    <s v="Not Known"/>
    <s v="Not Known"/>
    <s v="-"/>
    <s v="Other"/>
    <s v="-"/>
    <s v="-"/>
    <s v="-"/>
    <s v="-"/>
    <s v="-"/>
    <x v="1"/>
    <x v="0"/>
    <s v="Services"/>
    <s v="-"/>
    <s v="-"/>
    <s v="-"/>
    <s v="-"/>
    <s v="Other"/>
    <s v="-"/>
    <s v="-"/>
    <s v="-"/>
    <s v="-"/>
    <s v="-"/>
    <x v="0"/>
    <x v="0"/>
    <n v="0.153"/>
    <n v="12392"/>
    <n v="3856"/>
    <n v="8536"/>
    <x v="1"/>
    <x v="0"/>
    <m/>
    <x v="0"/>
    <m/>
    <x v="0"/>
    <m/>
    <x v="0"/>
    <x v="0"/>
    <x v="0"/>
    <x v="0"/>
    <m/>
    <n v="17718"/>
    <n v="0"/>
    <n v="17718"/>
    <x v="1"/>
    <m/>
  </r>
  <r>
    <x v="2"/>
    <x v="0"/>
    <x v="0"/>
    <x v="1"/>
    <n v="3992"/>
    <x v="202"/>
    <x v="14"/>
    <n v="1.9999999552965199E-2"/>
    <n v="527556"/>
    <n v="171684"/>
    <m/>
    <x v="234"/>
    <s v="PF"/>
    <d v="2016-07-18T00:00:00"/>
    <x v="189"/>
    <m/>
    <m/>
    <s v="Nil"/>
    <m/>
    <m/>
    <s v="Change of use from Smoothie Bar (Class Use A1) to a Nail and Beauty Bar (Class Use Sui Generis)"/>
    <x v="231"/>
    <s v="COU"/>
    <x v="2"/>
    <s v="NSO"/>
    <m/>
    <m/>
    <m/>
    <m/>
    <s v="C"/>
    <s v="BF"/>
    <x v="0"/>
    <m/>
    <m/>
    <m/>
    <m/>
    <m/>
    <m/>
    <m/>
    <m/>
    <m/>
    <m/>
    <m/>
    <m/>
    <m/>
    <m/>
    <m/>
    <m/>
    <m/>
    <m/>
    <m/>
    <n v="44"/>
    <m/>
    <m/>
    <m/>
    <m/>
    <n v="44"/>
    <m/>
    <m/>
    <m/>
    <m/>
    <m/>
    <m/>
    <m/>
    <m/>
    <m/>
    <x v="1"/>
    <x v="0"/>
    <x v="1"/>
    <n v="-44"/>
    <m/>
    <m/>
    <m/>
    <m/>
    <n v="-44"/>
    <m/>
    <x v="0"/>
    <m/>
    <m/>
    <m/>
    <m/>
    <m/>
    <x v="0"/>
    <m/>
    <m/>
    <m/>
    <m/>
    <s v="-"/>
    <s v="-"/>
    <s v="-"/>
    <s v="-"/>
    <s v="-"/>
    <s v="-"/>
    <s v="-"/>
    <s v="-"/>
    <s v="-"/>
    <s v="-"/>
    <s v="-"/>
    <x v="1"/>
    <x v="0"/>
    <s v="Consumables"/>
    <s v="-"/>
    <s v="-"/>
    <s v="-"/>
    <s v="-"/>
    <s v="-"/>
    <s v="-"/>
    <s v="-"/>
    <s v="-"/>
    <s v="-"/>
    <s v="-"/>
    <x v="0"/>
    <x v="0"/>
    <n v="1.9999999552965199E-2"/>
    <n v="44"/>
    <n v="44"/>
    <n v="0"/>
    <x v="0"/>
    <x v="0"/>
    <m/>
    <x v="0"/>
    <m/>
    <x v="0"/>
    <m/>
    <x v="0"/>
    <x v="1"/>
    <x v="3"/>
    <x v="0"/>
    <m/>
    <n v="0"/>
    <n v="0"/>
    <n v="0"/>
    <x v="0"/>
    <m/>
  </r>
  <r>
    <x v="0"/>
    <x v="0"/>
    <x v="0"/>
    <x v="0"/>
    <n v="4000"/>
    <x v="203"/>
    <x v="13"/>
    <n v="8.9999996125698107E-3"/>
    <n v="526061"/>
    <n v="173002"/>
    <m/>
    <x v="235"/>
    <s v="PF"/>
    <d v="2016-07-12T00:00:00"/>
    <x v="190"/>
    <m/>
    <m/>
    <s v="Nil"/>
    <m/>
    <m/>
    <s v="Erection of a single-storey rear extension and three roof mounted air conditioning  units."/>
    <x v="232"/>
    <s v="MIX"/>
    <x v="0"/>
    <s v="OC"/>
    <m/>
    <d v="2016-11-29T00:00:00"/>
    <d v="2017-06-07T00:00:00"/>
    <d v="2017-06-07T00:00:00"/>
    <s v="C"/>
    <s v="BF"/>
    <x v="0"/>
    <m/>
    <d v="2016-11-29T00:00:00"/>
    <d v="2017-06-07T00:00:00"/>
    <m/>
    <m/>
    <n v="20"/>
    <m/>
    <m/>
    <n v="20"/>
    <m/>
    <m/>
    <m/>
    <m/>
    <m/>
    <m/>
    <m/>
    <m/>
    <m/>
    <m/>
    <m/>
    <m/>
    <m/>
    <m/>
    <m/>
    <m/>
    <m/>
    <m/>
    <m/>
    <m/>
    <n v="13"/>
    <n v="13"/>
    <m/>
    <m/>
    <m/>
    <x v="1"/>
    <x v="1"/>
    <x v="1"/>
    <m/>
    <m/>
    <n v="20"/>
    <m/>
    <m/>
    <n v="20"/>
    <m/>
    <x v="0"/>
    <m/>
    <m/>
    <m/>
    <n v="-13"/>
    <n v="-13"/>
    <x v="1"/>
    <m/>
    <m/>
    <m/>
    <m/>
    <s v="-"/>
    <s v="-"/>
    <s v="Other"/>
    <s v="-"/>
    <s v="-"/>
    <s v="-"/>
    <s v="-"/>
    <s v="-"/>
    <s v="-"/>
    <s v="-"/>
    <s v="-"/>
    <x v="1"/>
    <x v="0"/>
    <s v="-"/>
    <s v="-"/>
    <s v="-"/>
    <s v="-"/>
    <s v="-"/>
    <s v="-"/>
    <s v="-"/>
    <s v="-"/>
    <s v="-"/>
    <s v="Storage"/>
    <s v="-"/>
    <x v="0"/>
    <x v="0"/>
    <n v="8.9999996125698107E-3"/>
    <n v="20"/>
    <n v="13"/>
    <n v="7"/>
    <x v="0"/>
    <x v="0"/>
    <m/>
    <x v="0"/>
    <m/>
    <x v="0"/>
    <m/>
    <x v="0"/>
    <x v="0"/>
    <x v="0"/>
    <x v="1"/>
    <s v="Earlsfield"/>
    <n v="0"/>
    <n v="0"/>
    <n v="0"/>
    <x v="0"/>
    <m/>
  </r>
  <r>
    <x v="0"/>
    <x v="2"/>
    <x v="2"/>
    <x v="0"/>
    <n v="4043"/>
    <x v="204"/>
    <x v="3"/>
    <n v="1.2000000104308101E-2"/>
    <n v="527663"/>
    <n v="174334"/>
    <m/>
    <x v="236"/>
    <s v="PANR"/>
    <d v="2017-02-14T00:00:00"/>
    <x v="137"/>
    <s v="Y"/>
    <m/>
    <s v="Nil"/>
    <m/>
    <m/>
    <s v="Determination as to whether prior approval is required for change of use of rear part of ground and first floors from retail (Class A1) to 1 x 1-bedroom residential unit (Class C3), with associated external alterations."/>
    <x v="233"/>
    <s v="COU"/>
    <x v="2"/>
    <s v="OC"/>
    <m/>
    <d v="2017-07-20T00:00:00"/>
    <d v="2018-03-26T00:00:00"/>
    <d v="2018-03-26T00:00:00"/>
    <s v="C"/>
    <s v="BF"/>
    <x v="0"/>
    <m/>
    <d v="2017-07-20T00:00:00"/>
    <d v="2018-03-26T00:00:00"/>
    <n v="38"/>
    <m/>
    <m/>
    <m/>
    <m/>
    <n v="38"/>
    <m/>
    <m/>
    <m/>
    <m/>
    <m/>
    <m/>
    <m/>
    <m/>
    <m/>
    <m/>
    <n v="95"/>
    <m/>
    <m/>
    <m/>
    <m/>
    <n v="95"/>
    <m/>
    <m/>
    <m/>
    <m/>
    <m/>
    <m/>
    <m/>
    <m/>
    <m/>
    <x v="1"/>
    <x v="0"/>
    <x v="1"/>
    <n v="-57"/>
    <m/>
    <m/>
    <m/>
    <m/>
    <n v="-57"/>
    <m/>
    <x v="0"/>
    <m/>
    <m/>
    <m/>
    <m/>
    <m/>
    <x v="0"/>
    <m/>
    <m/>
    <m/>
    <m/>
    <s v="Not Known"/>
    <s v="-"/>
    <s v="-"/>
    <s v="-"/>
    <s v="-"/>
    <s v="-"/>
    <s v="-"/>
    <s v="-"/>
    <s v="-"/>
    <s v="-"/>
    <s v="-"/>
    <x v="1"/>
    <x v="0"/>
    <s v="Not Known"/>
    <s v="-"/>
    <s v="-"/>
    <s v="-"/>
    <s v="-"/>
    <s v="-"/>
    <s v="-"/>
    <s v="-"/>
    <s v="-"/>
    <s v="-"/>
    <s v="-"/>
    <x v="0"/>
    <x v="0"/>
    <n v="3.9999997243284902E-3"/>
    <n v="38"/>
    <n v="95"/>
    <n v="-57"/>
    <x v="0"/>
    <x v="0"/>
    <m/>
    <x v="0"/>
    <m/>
    <x v="0"/>
    <m/>
    <x v="0"/>
    <x v="0"/>
    <x v="0"/>
    <x v="0"/>
    <m/>
    <n v="57"/>
    <n v="0"/>
    <n v="57"/>
    <x v="1"/>
    <m/>
  </r>
  <r>
    <x v="0"/>
    <x v="2"/>
    <x v="2"/>
    <x v="0"/>
    <n v="4047"/>
    <x v="205"/>
    <x v="7"/>
    <n v="8.0000003799796104E-3"/>
    <n v="524590"/>
    <n v="175197"/>
    <m/>
    <x v="237"/>
    <s v="PANR"/>
    <d v="2015-05-15T00:00:00"/>
    <x v="52"/>
    <m/>
    <m/>
    <s v="Nil"/>
    <m/>
    <m/>
    <s v="Determination as to whether prior approval is required for change of use from office (Class B1a) to a two bedroom residential unit (Class C3)."/>
    <x v="234"/>
    <s v="COU"/>
    <x v="2"/>
    <s v="OC"/>
    <m/>
    <d v="2017-05-02T00:00:00"/>
    <d v="2018-01-08T00:00:00"/>
    <d v="2018-01-08T00:00:00"/>
    <s v="C"/>
    <s v="BF"/>
    <x v="0"/>
    <m/>
    <d v="2017-05-02T00:00:00"/>
    <d v="2018-01-08T00:00:00"/>
    <m/>
    <m/>
    <m/>
    <m/>
    <m/>
    <m/>
    <m/>
    <m/>
    <m/>
    <m/>
    <m/>
    <m/>
    <m/>
    <m/>
    <m/>
    <m/>
    <m/>
    <m/>
    <m/>
    <m/>
    <m/>
    <m/>
    <n v="71"/>
    <m/>
    <m/>
    <m/>
    <m/>
    <n v="71"/>
    <m/>
    <m/>
    <m/>
    <x v="0"/>
    <x v="1"/>
    <x v="1"/>
    <m/>
    <m/>
    <m/>
    <m/>
    <m/>
    <m/>
    <n v="-71"/>
    <x v="1"/>
    <m/>
    <m/>
    <m/>
    <m/>
    <n v="-71"/>
    <x v="1"/>
    <m/>
    <m/>
    <m/>
    <m/>
    <s v="-"/>
    <s v="-"/>
    <s v="-"/>
    <s v="-"/>
    <s v="-"/>
    <s v="-"/>
    <s v="-"/>
    <s v="-"/>
    <s v="-"/>
    <s v="-"/>
    <s v="-"/>
    <x v="1"/>
    <x v="0"/>
    <s v="-"/>
    <s v="-"/>
    <s v="-"/>
    <s v="-"/>
    <s v="-"/>
    <s v="Vacant"/>
    <s v="-"/>
    <s v="-"/>
    <s v="-"/>
    <s v="-"/>
    <s v="-"/>
    <x v="0"/>
    <x v="0"/>
    <n v="0"/>
    <n v="0"/>
    <n v="71"/>
    <n v="-71"/>
    <x v="0"/>
    <x v="0"/>
    <m/>
    <x v="0"/>
    <m/>
    <x v="0"/>
    <m/>
    <x v="0"/>
    <x v="0"/>
    <x v="0"/>
    <x v="0"/>
    <m/>
    <n v="71"/>
    <n v="0"/>
    <n v="71"/>
    <x v="1"/>
    <m/>
  </r>
  <r>
    <x v="2"/>
    <x v="0"/>
    <x v="0"/>
    <x v="1"/>
    <n v="4056"/>
    <x v="206"/>
    <x v="3"/>
    <n v="8.9999996125698107E-3"/>
    <n v="527655"/>
    <n v="174876"/>
    <m/>
    <x v="238"/>
    <s v="PF"/>
    <d v="2016-06-08T00:00:00"/>
    <x v="142"/>
    <m/>
    <m/>
    <s v="Nil"/>
    <m/>
    <m/>
    <s v="Excavation to create basement to provide additional commercial space."/>
    <x v="235"/>
    <s v="NB"/>
    <x v="0"/>
    <s v="NSO"/>
    <m/>
    <m/>
    <m/>
    <m/>
    <s v="C"/>
    <s v="BF"/>
    <x v="0"/>
    <m/>
    <m/>
    <m/>
    <m/>
    <n v="17"/>
    <m/>
    <m/>
    <m/>
    <n v="17"/>
    <m/>
    <m/>
    <m/>
    <m/>
    <m/>
    <m/>
    <m/>
    <m/>
    <m/>
    <m/>
    <m/>
    <m/>
    <m/>
    <m/>
    <m/>
    <m/>
    <m/>
    <m/>
    <m/>
    <m/>
    <m/>
    <m/>
    <m/>
    <m/>
    <m/>
    <x v="1"/>
    <x v="0"/>
    <x v="1"/>
    <m/>
    <n v="17"/>
    <m/>
    <m/>
    <m/>
    <n v="17"/>
    <m/>
    <x v="0"/>
    <m/>
    <m/>
    <m/>
    <m/>
    <m/>
    <x v="0"/>
    <m/>
    <m/>
    <m/>
    <m/>
    <s v="-"/>
    <s v="Estate Agent"/>
    <s v="-"/>
    <s v="-"/>
    <s v="-"/>
    <s v="-"/>
    <s v="-"/>
    <s v="-"/>
    <s v="-"/>
    <s v="-"/>
    <s v="-"/>
    <x v="1"/>
    <x v="0"/>
    <s v="-"/>
    <s v="-"/>
    <s v="-"/>
    <s v="-"/>
    <s v="-"/>
    <s v="-"/>
    <s v="-"/>
    <s v="-"/>
    <s v="-"/>
    <s v="-"/>
    <s v="-"/>
    <x v="0"/>
    <x v="0"/>
    <n v="8.9999996125698107E-3"/>
    <n v="17"/>
    <n v="0"/>
    <n v="17"/>
    <x v="0"/>
    <x v="0"/>
    <m/>
    <x v="0"/>
    <m/>
    <x v="0"/>
    <m/>
    <x v="0"/>
    <x v="0"/>
    <x v="0"/>
    <x v="0"/>
    <m/>
    <n v="0"/>
    <n v="0"/>
    <n v="0"/>
    <x v="0"/>
    <m/>
  </r>
  <r>
    <x v="2"/>
    <x v="2"/>
    <x v="2"/>
    <x v="1"/>
    <n v="4056"/>
    <x v="206"/>
    <x v="3"/>
    <n v="8.9999996125698107E-3"/>
    <n v="527655"/>
    <n v="174876"/>
    <m/>
    <x v="239"/>
    <s v="PANR"/>
    <d v="2017-01-13T00:00:00"/>
    <x v="191"/>
    <m/>
    <m/>
    <s v="Nil"/>
    <m/>
    <m/>
    <s v="Determination as to whether prior approval is required for change of use from financial and professional services (Class A2) to residential (Class C3) to provide 1x1 studio flat at ground floor level."/>
    <x v="236"/>
    <s v="COU"/>
    <x v="2"/>
    <s v="NSO"/>
    <m/>
    <m/>
    <m/>
    <m/>
    <s v="C"/>
    <s v="BF"/>
    <x v="0"/>
    <m/>
    <m/>
    <m/>
    <m/>
    <m/>
    <m/>
    <m/>
    <m/>
    <m/>
    <m/>
    <m/>
    <m/>
    <m/>
    <m/>
    <m/>
    <m/>
    <m/>
    <m/>
    <m/>
    <m/>
    <n v="19"/>
    <m/>
    <m/>
    <m/>
    <n v="19"/>
    <m/>
    <m/>
    <m/>
    <m/>
    <m/>
    <m/>
    <m/>
    <m/>
    <m/>
    <x v="1"/>
    <x v="0"/>
    <x v="1"/>
    <m/>
    <n v="-19"/>
    <m/>
    <m/>
    <m/>
    <n v="-19"/>
    <m/>
    <x v="0"/>
    <m/>
    <m/>
    <m/>
    <m/>
    <m/>
    <x v="0"/>
    <m/>
    <m/>
    <m/>
    <m/>
    <s v="-"/>
    <s v="-"/>
    <s v="-"/>
    <s v="-"/>
    <s v="-"/>
    <s v="-"/>
    <s v="-"/>
    <s v="-"/>
    <s v="-"/>
    <s v="-"/>
    <s v="-"/>
    <x v="1"/>
    <x v="0"/>
    <s v="-"/>
    <s v="Estate Agent"/>
    <s v="-"/>
    <s v="-"/>
    <s v="-"/>
    <s v="-"/>
    <s v="-"/>
    <s v="-"/>
    <s v="-"/>
    <s v="-"/>
    <s v="-"/>
    <x v="0"/>
    <x v="0"/>
    <n v="6.9999995175749107E-3"/>
    <n v="0"/>
    <n v="19"/>
    <n v="-19"/>
    <x v="0"/>
    <x v="0"/>
    <m/>
    <x v="0"/>
    <m/>
    <x v="0"/>
    <m/>
    <x v="0"/>
    <x v="0"/>
    <x v="0"/>
    <x v="0"/>
    <m/>
    <n v="19"/>
    <n v="0"/>
    <n v="19"/>
    <x v="1"/>
    <m/>
  </r>
  <r>
    <x v="2"/>
    <x v="0"/>
    <x v="0"/>
    <x v="1"/>
    <n v="4084"/>
    <x v="207"/>
    <x v="2"/>
    <n v="1.2000000104308101E-2"/>
    <n v="527971"/>
    <n v="172408"/>
    <m/>
    <x v="240"/>
    <s v="PF"/>
    <d v="2016-08-12T00:00:00"/>
    <x v="192"/>
    <m/>
    <m/>
    <s v="Nil"/>
    <m/>
    <m/>
    <s v="Alterations including demolition of rear elevation, mansard roof extension to create an additional storey of residential accommodation, erection of part single, part two storey rear extension, excavation of basement and  conversion of ground floor shop from Sui Generis (mini-cab office) to part Class A2 (financial and professional services) and part Class C3 (residential) to create 2 x 2-bedroom flats."/>
    <x v="237"/>
    <s v="MIX"/>
    <x v="0"/>
    <s v="NSV"/>
    <m/>
    <m/>
    <m/>
    <m/>
    <s v="C"/>
    <s v="BF"/>
    <x v="0"/>
    <m/>
    <m/>
    <m/>
    <m/>
    <n v="36"/>
    <m/>
    <m/>
    <m/>
    <n v="36"/>
    <m/>
    <m/>
    <m/>
    <m/>
    <m/>
    <m/>
    <m/>
    <m/>
    <m/>
    <m/>
    <m/>
    <m/>
    <m/>
    <m/>
    <m/>
    <m/>
    <m/>
    <m/>
    <m/>
    <m/>
    <m/>
    <m/>
    <m/>
    <m/>
    <m/>
    <x v="1"/>
    <x v="0"/>
    <x v="1"/>
    <m/>
    <n v="36"/>
    <m/>
    <m/>
    <m/>
    <n v="36"/>
    <m/>
    <x v="0"/>
    <m/>
    <m/>
    <m/>
    <m/>
    <m/>
    <x v="0"/>
    <m/>
    <m/>
    <m/>
    <m/>
    <s v="-"/>
    <s v="Not Known"/>
    <s v="-"/>
    <s v="-"/>
    <s v="-"/>
    <s v="-"/>
    <s v="-"/>
    <s v="-"/>
    <s v="-"/>
    <s v="-"/>
    <s v="-"/>
    <x v="1"/>
    <x v="0"/>
    <s v="-"/>
    <s v="-"/>
    <s v="-"/>
    <s v="-"/>
    <s v="-"/>
    <s v="-"/>
    <s v="-"/>
    <s v="-"/>
    <s v="-"/>
    <s v="-"/>
    <s v="-"/>
    <x v="0"/>
    <x v="0"/>
    <n v="6.0000000521540408E-3"/>
    <n v="36"/>
    <n v="39"/>
    <n v="-3"/>
    <x v="0"/>
    <x v="0"/>
    <m/>
    <x v="0"/>
    <m/>
    <x v="0"/>
    <m/>
    <x v="0"/>
    <x v="0"/>
    <x v="0"/>
    <x v="1"/>
    <s v="Tooting Bec"/>
    <n v="143"/>
    <n v="36"/>
    <n v="107"/>
    <x v="1"/>
    <m/>
  </r>
  <r>
    <x v="2"/>
    <x v="0"/>
    <x v="0"/>
    <x v="1"/>
    <n v="4089"/>
    <x v="208"/>
    <x v="7"/>
    <n v="1.4000000432133701E-2"/>
    <n v="523671"/>
    <n v="175184"/>
    <m/>
    <x v="241"/>
    <s v="PF"/>
    <d v="2017-07-25T00:00:00"/>
    <x v="193"/>
    <s v="Y"/>
    <m/>
    <s v="Nil"/>
    <m/>
    <m/>
    <s v="Alterations including excavation to enlarge basement with formation of front lightwell and single-storey rear extension in connection with change of use of rear part of ground floor from restaurant (Class A3) to a 2-bedroom flat (Class C3)."/>
    <x v="238"/>
    <s v="MIX"/>
    <x v="0"/>
    <s v="NSO"/>
    <m/>
    <m/>
    <m/>
    <m/>
    <s v="C"/>
    <s v="BF"/>
    <x v="0"/>
    <m/>
    <m/>
    <m/>
    <m/>
    <m/>
    <n v="84"/>
    <m/>
    <m/>
    <n v="84"/>
    <m/>
    <m/>
    <m/>
    <m/>
    <m/>
    <m/>
    <m/>
    <m/>
    <m/>
    <m/>
    <m/>
    <m/>
    <n v="72"/>
    <m/>
    <m/>
    <n v="72"/>
    <m/>
    <m/>
    <m/>
    <m/>
    <m/>
    <m/>
    <m/>
    <m/>
    <m/>
    <x v="1"/>
    <x v="0"/>
    <x v="1"/>
    <m/>
    <m/>
    <n v="12"/>
    <m/>
    <m/>
    <n v="12"/>
    <m/>
    <x v="0"/>
    <m/>
    <m/>
    <m/>
    <m/>
    <m/>
    <x v="0"/>
    <m/>
    <m/>
    <m/>
    <m/>
    <s v="-"/>
    <s v="-"/>
    <s v="Restaurant"/>
    <s v="-"/>
    <s v="-"/>
    <s v="-"/>
    <s v="-"/>
    <s v="-"/>
    <s v="-"/>
    <s v="-"/>
    <s v="-"/>
    <x v="1"/>
    <x v="0"/>
    <s v="-"/>
    <s v="-"/>
    <s v="Restaurant"/>
    <s v="-"/>
    <s v="-"/>
    <s v="-"/>
    <s v="-"/>
    <s v="-"/>
    <s v="-"/>
    <s v="-"/>
    <s v="-"/>
    <x v="0"/>
    <x v="0"/>
    <n v="9.0000005438924113E-3"/>
    <n v="84"/>
    <n v="72"/>
    <n v="12"/>
    <x v="0"/>
    <x v="0"/>
    <m/>
    <x v="0"/>
    <m/>
    <x v="0"/>
    <m/>
    <x v="0"/>
    <x v="1"/>
    <x v="2"/>
    <x v="0"/>
    <m/>
    <n v="90"/>
    <n v="0"/>
    <n v="90"/>
    <x v="1"/>
    <m/>
  </r>
  <r>
    <x v="2"/>
    <x v="0"/>
    <x v="0"/>
    <x v="1"/>
    <n v="4116"/>
    <x v="209"/>
    <x v="15"/>
    <n v="1.60000007599592E-2"/>
    <n v="529336"/>
    <n v="171126"/>
    <m/>
    <x v="242"/>
    <s v="PF"/>
    <d v="2015-02-16T00:00:00"/>
    <x v="41"/>
    <m/>
    <m/>
    <s v="Nil"/>
    <m/>
    <m/>
    <s v="Conversion of rear part of ground floor shop to provide a self-contained one-bedroomed flat;  erection of single-storey rear extension and alterations including an additional door to the front elevation."/>
    <x v="239"/>
    <s v="MIX"/>
    <x v="0"/>
    <s v="NSO"/>
    <m/>
    <m/>
    <m/>
    <m/>
    <s v="C"/>
    <s v="BF"/>
    <x v="0"/>
    <m/>
    <m/>
    <m/>
    <n v="108"/>
    <m/>
    <m/>
    <m/>
    <m/>
    <n v="108"/>
    <m/>
    <m/>
    <m/>
    <m/>
    <m/>
    <m/>
    <m/>
    <m/>
    <m/>
    <m/>
    <n v="158"/>
    <m/>
    <m/>
    <m/>
    <m/>
    <n v="158"/>
    <m/>
    <m/>
    <m/>
    <m/>
    <m/>
    <m/>
    <m/>
    <m/>
    <m/>
    <x v="1"/>
    <x v="0"/>
    <x v="1"/>
    <n v="-50"/>
    <m/>
    <m/>
    <m/>
    <m/>
    <n v="-50"/>
    <m/>
    <x v="0"/>
    <m/>
    <m/>
    <m/>
    <m/>
    <m/>
    <x v="0"/>
    <m/>
    <m/>
    <m/>
    <m/>
    <s v="Not Known"/>
    <s v="-"/>
    <s v="-"/>
    <s v="-"/>
    <s v="-"/>
    <s v="-"/>
    <s v="-"/>
    <s v="-"/>
    <s v="-"/>
    <s v="-"/>
    <s v="-"/>
    <x v="1"/>
    <x v="0"/>
    <s v="Not Known"/>
    <s v="-"/>
    <s v="-"/>
    <s v="-"/>
    <s v="-"/>
    <s v="-"/>
    <s v="-"/>
    <s v="-"/>
    <s v="-"/>
    <s v="-"/>
    <s v="-"/>
    <x v="0"/>
    <x v="0"/>
    <n v="1.0000000707805139E-2"/>
    <n v="108"/>
    <n v="158"/>
    <n v="-50"/>
    <x v="0"/>
    <x v="0"/>
    <m/>
    <x v="0"/>
    <m/>
    <x v="0"/>
    <m/>
    <x v="0"/>
    <x v="0"/>
    <x v="0"/>
    <x v="1"/>
    <s v="Mitcham Lane"/>
    <n v="56"/>
    <n v="0"/>
    <n v="56"/>
    <x v="1"/>
    <m/>
  </r>
  <r>
    <x v="2"/>
    <x v="0"/>
    <x v="0"/>
    <x v="1"/>
    <n v="4122"/>
    <x v="210"/>
    <x v="11"/>
    <n v="7.0000002160668399E-3"/>
    <n v="529138"/>
    <n v="174076"/>
    <m/>
    <x v="243"/>
    <s v="PF"/>
    <d v="2017-02-24T00:00:00"/>
    <x v="194"/>
    <s v="Y"/>
    <m/>
    <s v="Nil"/>
    <m/>
    <m/>
    <s v="Erection of two-storey 3-bedroom house (with loft level accommodation provided via a rear dormer) to the end of the Hazelbourne Road terrace."/>
    <x v="240"/>
    <s v="NB"/>
    <x v="0"/>
    <s v="NSV"/>
    <m/>
    <m/>
    <m/>
    <m/>
    <s v="C"/>
    <s v="BF"/>
    <x v="0"/>
    <m/>
    <m/>
    <m/>
    <m/>
    <m/>
    <m/>
    <m/>
    <m/>
    <m/>
    <m/>
    <m/>
    <m/>
    <m/>
    <m/>
    <m/>
    <m/>
    <m/>
    <m/>
    <m/>
    <m/>
    <m/>
    <m/>
    <m/>
    <m/>
    <m/>
    <m/>
    <m/>
    <m/>
    <m/>
    <n v="30"/>
    <n v="30"/>
    <m/>
    <m/>
    <m/>
    <x v="0"/>
    <x v="1"/>
    <x v="1"/>
    <m/>
    <m/>
    <m/>
    <m/>
    <m/>
    <m/>
    <m/>
    <x v="0"/>
    <m/>
    <m/>
    <m/>
    <n v="-30"/>
    <n v="-30"/>
    <x v="1"/>
    <m/>
    <m/>
    <m/>
    <m/>
    <s v="-"/>
    <s v="-"/>
    <s v="-"/>
    <s v="-"/>
    <s v="-"/>
    <s v="-"/>
    <s v="-"/>
    <s v="-"/>
    <s v="-"/>
    <s v="-"/>
    <s v="-"/>
    <x v="1"/>
    <x v="0"/>
    <s v="-"/>
    <s v="-"/>
    <s v="-"/>
    <s v="-"/>
    <s v="-"/>
    <s v="-"/>
    <s v="-"/>
    <s v="-"/>
    <s v="-"/>
    <s v="Storage"/>
    <s v="-"/>
    <x v="0"/>
    <x v="0"/>
    <n v="0"/>
    <n v="0"/>
    <n v="30"/>
    <n v="-30"/>
    <x v="0"/>
    <x v="0"/>
    <m/>
    <x v="0"/>
    <m/>
    <x v="0"/>
    <m/>
    <x v="0"/>
    <x v="0"/>
    <x v="0"/>
    <x v="0"/>
    <m/>
    <n v="162"/>
    <n v="0"/>
    <n v="162"/>
    <x v="1"/>
    <m/>
  </r>
  <r>
    <x v="3"/>
    <x v="0"/>
    <x v="0"/>
    <x v="1"/>
    <n v="4150"/>
    <x v="211"/>
    <x v="3"/>
    <n v="6.0000000521540598E-3"/>
    <n v="527485"/>
    <n v="175037"/>
    <m/>
    <x v="244"/>
    <s v="PF"/>
    <d v="2015-09-30T00:00:00"/>
    <x v="195"/>
    <m/>
    <m/>
    <s v="Nil"/>
    <m/>
    <m/>
    <s v="Erection of extensions over ground floor offices and over ground floor fitness centre to create two office (Class B1) extensions."/>
    <x v="241"/>
    <s v="EXT"/>
    <x v="1"/>
    <s v="UC"/>
    <m/>
    <d v="2018-03-31T00:00:00"/>
    <m/>
    <m/>
    <s v="C"/>
    <s v="BF"/>
    <x v="0"/>
    <m/>
    <d v="2018-03-31T00:00:00"/>
    <m/>
    <m/>
    <m/>
    <m/>
    <m/>
    <m/>
    <m/>
    <n v="117"/>
    <m/>
    <m/>
    <n v="117"/>
    <m/>
    <m/>
    <n v="117"/>
    <m/>
    <m/>
    <m/>
    <m/>
    <m/>
    <m/>
    <m/>
    <m/>
    <m/>
    <m/>
    <m/>
    <m/>
    <m/>
    <m/>
    <m/>
    <m/>
    <m/>
    <m/>
    <x v="0"/>
    <x v="1"/>
    <x v="1"/>
    <m/>
    <m/>
    <m/>
    <m/>
    <m/>
    <m/>
    <n v="117"/>
    <x v="0"/>
    <m/>
    <m/>
    <m/>
    <m/>
    <n v="117"/>
    <x v="0"/>
    <m/>
    <m/>
    <m/>
    <m/>
    <s v="-"/>
    <s v="-"/>
    <s v="-"/>
    <s v="-"/>
    <s v="-"/>
    <s v="Financial or Professional Services"/>
    <s v="-"/>
    <s v="-"/>
    <s v="-"/>
    <s v="-"/>
    <s v="-"/>
    <x v="1"/>
    <x v="0"/>
    <s v="-"/>
    <s v="-"/>
    <s v="-"/>
    <s v="-"/>
    <s v="-"/>
    <s v="-"/>
    <s v="-"/>
    <s v="-"/>
    <s v="-"/>
    <s v="-"/>
    <s v="-"/>
    <x v="0"/>
    <x v="0"/>
    <n v="6.0000000521540598E-3"/>
    <n v="117"/>
    <n v="0"/>
    <n v="117"/>
    <x v="0"/>
    <x v="0"/>
    <m/>
    <x v="0"/>
    <m/>
    <x v="0"/>
    <m/>
    <x v="0"/>
    <x v="1"/>
    <x v="1"/>
    <x v="0"/>
    <m/>
    <n v="0"/>
    <n v="0"/>
    <n v="0"/>
    <x v="0"/>
    <m/>
  </r>
  <r>
    <x v="3"/>
    <x v="2"/>
    <x v="2"/>
    <x v="1"/>
    <n v="4167"/>
    <x v="212"/>
    <x v="1"/>
    <n v="3.7999998778104803E-2"/>
    <n v="522501"/>
    <n v="173758"/>
    <m/>
    <x v="245"/>
    <s v="PAG"/>
    <d v="2016-10-25T00:00:00"/>
    <x v="167"/>
    <m/>
    <m/>
    <s v="Nil"/>
    <m/>
    <m/>
    <s v="Determination as to whether prior approval is required for change of use of office at first floor level from (Class B1a) to residential (Class C3) to provide 1 x 2-bedroom  and 1 x 1-bedroom flats."/>
    <x v="242"/>
    <s v="COU"/>
    <x v="2"/>
    <s v="UC"/>
    <m/>
    <d v="2018-03-31T00:00:00"/>
    <m/>
    <m/>
    <s v="C"/>
    <s v="BF"/>
    <x v="0"/>
    <m/>
    <d v="2018-03-31T00:00:00"/>
    <m/>
    <m/>
    <m/>
    <m/>
    <m/>
    <m/>
    <m/>
    <m/>
    <m/>
    <m/>
    <m/>
    <m/>
    <m/>
    <m/>
    <m/>
    <m/>
    <m/>
    <m/>
    <m/>
    <m/>
    <m/>
    <m/>
    <m/>
    <n v="128"/>
    <m/>
    <m/>
    <m/>
    <m/>
    <n v="128"/>
    <m/>
    <m/>
    <m/>
    <x v="0"/>
    <x v="1"/>
    <x v="1"/>
    <m/>
    <m/>
    <m/>
    <m/>
    <m/>
    <m/>
    <n v="-128"/>
    <x v="1"/>
    <m/>
    <m/>
    <m/>
    <m/>
    <n v="-128"/>
    <x v="1"/>
    <m/>
    <m/>
    <m/>
    <m/>
    <s v="-"/>
    <s v="-"/>
    <s v="-"/>
    <s v="-"/>
    <s v="-"/>
    <s v="-"/>
    <s v="-"/>
    <s v="-"/>
    <s v="-"/>
    <s v="-"/>
    <s v="-"/>
    <x v="1"/>
    <x v="0"/>
    <s v="-"/>
    <s v="-"/>
    <s v="-"/>
    <s v="-"/>
    <s v="-"/>
    <s v="Other"/>
    <s v="-"/>
    <s v="-"/>
    <s v="-"/>
    <s v="-"/>
    <s v="-"/>
    <x v="0"/>
    <x v="0"/>
    <n v="2.5999998673796702E-2"/>
    <n v="0"/>
    <n v="128"/>
    <n v="-128"/>
    <x v="0"/>
    <x v="0"/>
    <m/>
    <x v="0"/>
    <m/>
    <x v="0"/>
    <m/>
    <x v="0"/>
    <x v="0"/>
    <x v="0"/>
    <x v="0"/>
    <m/>
    <n v="128"/>
    <n v="0"/>
    <n v="128"/>
    <x v="1"/>
    <m/>
  </r>
  <r>
    <x v="3"/>
    <x v="0"/>
    <x v="0"/>
    <x v="1"/>
    <n v="4167"/>
    <x v="212"/>
    <x v="1"/>
    <n v="3.7999998778104803E-2"/>
    <n v="522501"/>
    <n v="173758"/>
    <m/>
    <x v="246"/>
    <s v="PF"/>
    <d v="2017-01-13T00:00:00"/>
    <x v="191"/>
    <m/>
    <m/>
    <s v="Nil"/>
    <m/>
    <m/>
    <s v="Alterations including erection of extension at ground floor level in connection with change of use from clinic (Class D1) to 2 x 2-bedroom flats (Class C3)."/>
    <x v="243"/>
    <s v="MIX"/>
    <x v="0"/>
    <s v="UC"/>
    <m/>
    <d v="2018-03-31T00:00:00"/>
    <m/>
    <m/>
    <s v="C"/>
    <s v="BF"/>
    <x v="0"/>
    <m/>
    <d v="2018-03-31T00:00:00"/>
    <m/>
    <m/>
    <m/>
    <m/>
    <m/>
    <m/>
    <m/>
    <m/>
    <m/>
    <m/>
    <m/>
    <m/>
    <m/>
    <m/>
    <m/>
    <m/>
    <m/>
    <m/>
    <m/>
    <m/>
    <m/>
    <m/>
    <m/>
    <m/>
    <m/>
    <m/>
    <m/>
    <m/>
    <m/>
    <n v="116"/>
    <m/>
    <n v="116"/>
    <x v="0"/>
    <x v="0"/>
    <x v="0"/>
    <m/>
    <m/>
    <m/>
    <m/>
    <m/>
    <m/>
    <m/>
    <x v="0"/>
    <m/>
    <m/>
    <m/>
    <m/>
    <m/>
    <x v="0"/>
    <m/>
    <n v="-116"/>
    <m/>
    <n v="-116"/>
    <s v="-"/>
    <s v="-"/>
    <s v="-"/>
    <s v="-"/>
    <s v="-"/>
    <s v="-"/>
    <s v="-"/>
    <s v="-"/>
    <s v="-"/>
    <s v="-"/>
    <s v="-"/>
    <x v="1"/>
    <x v="0"/>
    <s v="-"/>
    <s v="-"/>
    <s v="-"/>
    <s v="-"/>
    <s v="-"/>
    <s v="-"/>
    <s v="-"/>
    <s v="-"/>
    <s v="-"/>
    <s v="-"/>
    <s v="-"/>
    <x v="5"/>
    <x v="0"/>
    <n v="1.8999999389052401E-2"/>
    <n v="0"/>
    <n v="116"/>
    <n v="-116"/>
    <x v="0"/>
    <x v="0"/>
    <m/>
    <x v="0"/>
    <m/>
    <x v="0"/>
    <m/>
    <x v="0"/>
    <x v="0"/>
    <x v="0"/>
    <x v="0"/>
    <m/>
    <n v="168"/>
    <n v="0"/>
    <n v="168"/>
    <x v="1"/>
    <m/>
  </r>
  <r>
    <x v="2"/>
    <x v="0"/>
    <x v="0"/>
    <x v="1"/>
    <n v="4173"/>
    <x v="213"/>
    <x v="12"/>
    <n v="1.4000000432133701E-2"/>
    <n v="525437"/>
    <n v="174675"/>
    <m/>
    <x v="247"/>
    <s v="PF"/>
    <d v="2017-08-08T00:00:00"/>
    <x v="196"/>
    <s v="Y"/>
    <m/>
    <s v="Nil"/>
    <m/>
    <m/>
    <s v="Demolition of building behind a retained facade. Erection of a four-storey building to provide two ground floor retail units with 2 x1-bedroom flats and 2 x 2-bedroom flat above. Formation of two roof terraces."/>
    <x v="244"/>
    <s v="NB"/>
    <x v="0"/>
    <s v="NSO"/>
    <m/>
    <m/>
    <m/>
    <m/>
    <s v="C"/>
    <s v="BF"/>
    <x v="0"/>
    <m/>
    <m/>
    <m/>
    <n v="97"/>
    <m/>
    <m/>
    <m/>
    <m/>
    <n v="97"/>
    <m/>
    <m/>
    <m/>
    <m/>
    <m/>
    <m/>
    <m/>
    <m/>
    <m/>
    <m/>
    <n v="117"/>
    <m/>
    <m/>
    <m/>
    <m/>
    <n v="117"/>
    <m/>
    <m/>
    <m/>
    <m/>
    <m/>
    <m/>
    <m/>
    <m/>
    <m/>
    <x v="1"/>
    <x v="0"/>
    <x v="1"/>
    <n v="-20"/>
    <m/>
    <m/>
    <m/>
    <m/>
    <n v="-20"/>
    <m/>
    <x v="0"/>
    <m/>
    <m/>
    <m/>
    <m/>
    <m/>
    <x v="0"/>
    <m/>
    <m/>
    <m/>
    <m/>
    <s v="Not Known"/>
    <s v="-"/>
    <s v="-"/>
    <s v="-"/>
    <s v="-"/>
    <s v="-"/>
    <s v="-"/>
    <s v="-"/>
    <s v="-"/>
    <s v="-"/>
    <s v="-"/>
    <x v="1"/>
    <x v="0"/>
    <s v="Vacant"/>
    <s v="-"/>
    <s v="-"/>
    <s v="-"/>
    <s v="-"/>
    <s v="-"/>
    <s v="-"/>
    <s v="-"/>
    <s v="-"/>
    <s v="-"/>
    <s v="-"/>
    <x v="0"/>
    <x v="0"/>
    <n v="0"/>
    <n v="97"/>
    <n v="117"/>
    <n v="-20"/>
    <x v="0"/>
    <x v="0"/>
    <m/>
    <x v="0"/>
    <m/>
    <x v="0"/>
    <m/>
    <x v="0"/>
    <x v="1"/>
    <x v="4"/>
    <x v="0"/>
    <m/>
    <n v="274"/>
    <n v="95"/>
    <n v="179"/>
    <x v="1"/>
    <m/>
  </r>
  <r>
    <x v="3"/>
    <x v="2"/>
    <x v="2"/>
    <x v="1"/>
    <n v="4205"/>
    <x v="214"/>
    <x v="2"/>
    <n v="1.78100001811981"/>
    <n v="527989"/>
    <n v="173844"/>
    <m/>
    <x v="248"/>
    <s v="PAG"/>
    <d v="2016-05-25T00:00:00"/>
    <x v="197"/>
    <m/>
    <m/>
    <s v="Nil"/>
    <m/>
    <m/>
    <s v="Determination as to whether prior approval is required for change of use of part of the Shalom Bungalow from care home (Class C2) to registered nursery (Class D1)."/>
    <x v="245"/>
    <s v="COU"/>
    <x v="2"/>
    <s v="UC"/>
    <m/>
    <d v="2017-04-01T00:00:00"/>
    <m/>
    <m/>
    <s v="C"/>
    <s v="BF"/>
    <x v="0"/>
    <m/>
    <d v="2017-04-01T00:00:00"/>
    <m/>
    <m/>
    <m/>
    <m/>
    <m/>
    <m/>
    <m/>
    <m/>
    <m/>
    <m/>
    <m/>
    <m/>
    <m/>
    <m/>
    <n v="75"/>
    <m/>
    <n v="75"/>
    <m/>
    <m/>
    <m/>
    <m/>
    <m/>
    <m/>
    <m/>
    <m/>
    <m/>
    <m/>
    <m/>
    <m/>
    <m/>
    <m/>
    <m/>
    <x v="0"/>
    <x v="0"/>
    <x v="0"/>
    <m/>
    <m/>
    <m/>
    <m/>
    <m/>
    <m/>
    <m/>
    <x v="0"/>
    <m/>
    <m/>
    <m/>
    <m/>
    <m/>
    <x v="0"/>
    <m/>
    <n v="75"/>
    <m/>
    <n v="75"/>
    <s v="-"/>
    <s v="-"/>
    <s v="-"/>
    <s v="-"/>
    <s v="-"/>
    <s v="-"/>
    <s v="-"/>
    <s v="-"/>
    <s v="-"/>
    <s v="-"/>
    <s v="-"/>
    <x v="6"/>
    <x v="0"/>
    <s v="-"/>
    <s v="-"/>
    <s v="-"/>
    <s v="-"/>
    <s v="-"/>
    <s v="-"/>
    <s v="-"/>
    <s v="-"/>
    <s v="-"/>
    <s v="-"/>
    <s v="-"/>
    <x v="0"/>
    <x v="0"/>
    <n v="1.78100001811981"/>
    <n v="75"/>
    <n v="0"/>
    <n v="75"/>
    <x v="0"/>
    <x v="0"/>
    <m/>
    <x v="0"/>
    <m/>
    <x v="0"/>
    <m/>
    <x v="0"/>
    <x v="0"/>
    <x v="0"/>
    <x v="0"/>
    <m/>
    <n v="0"/>
    <n v="0"/>
    <n v="0"/>
    <x v="0"/>
    <m/>
  </r>
  <r>
    <x v="2"/>
    <x v="0"/>
    <x v="0"/>
    <x v="1"/>
    <n v="4207"/>
    <x v="215"/>
    <x v="17"/>
    <n v="4.9999998882412902E-3"/>
    <n v="528913"/>
    <n v="173014"/>
    <m/>
    <x v="249"/>
    <s v="PF"/>
    <d v="2016-06-14T00:00:00"/>
    <x v="198"/>
    <s v="Y"/>
    <m/>
    <s v="Nil"/>
    <m/>
    <m/>
    <s v="Erection of single-storey side extension in connection with conversion of garage into 1 x studio flat, alterations to front boundary and provision of cycle and bin store in front garden."/>
    <x v="246"/>
    <s v="MIX"/>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29"/>
    <n v="-29"/>
    <x v="0"/>
    <x v="0"/>
    <m/>
    <x v="0"/>
    <m/>
    <x v="0"/>
    <m/>
    <x v="0"/>
    <x v="0"/>
    <x v="0"/>
    <x v="0"/>
    <m/>
    <n v="39"/>
    <n v="0"/>
    <n v="39"/>
    <x v="1"/>
    <m/>
  </r>
  <r>
    <x v="2"/>
    <x v="0"/>
    <x v="0"/>
    <x v="1"/>
    <n v="4229"/>
    <x v="216"/>
    <x v="5"/>
    <n v="8.9999996125698107E-3"/>
    <n v="525819"/>
    <n v="174910"/>
    <m/>
    <x v="250"/>
    <s v="PF"/>
    <d v="2016-03-15T00:00:00"/>
    <x v="199"/>
    <m/>
    <m/>
    <s v="Nil"/>
    <m/>
    <m/>
    <s v="Demolition of building and garage (Class A1 and C3 use). Erection of two-storey building and single storey rear extension, together with enlargement of existing basement, in connection with use of building as an office/professional services (class B1/A2)."/>
    <x v="247"/>
    <s v="MIX"/>
    <x v="0"/>
    <s v="NSV"/>
    <m/>
    <m/>
    <m/>
    <m/>
    <s v="C"/>
    <s v="BF"/>
    <x v="0"/>
    <m/>
    <m/>
    <m/>
    <m/>
    <n v="129"/>
    <m/>
    <m/>
    <m/>
    <n v="129"/>
    <n v="80"/>
    <m/>
    <m/>
    <n v="80"/>
    <m/>
    <m/>
    <n v="80"/>
    <m/>
    <m/>
    <m/>
    <n v="48"/>
    <m/>
    <m/>
    <m/>
    <m/>
    <n v="48"/>
    <m/>
    <m/>
    <m/>
    <m/>
    <m/>
    <m/>
    <m/>
    <m/>
    <m/>
    <x v="1"/>
    <x v="1"/>
    <x v="1"/>
    <n v="-48"/>
    <n v="129"/>
    <m/>
    <m/>
    <m/>
    <n v="81"/>
    <n v="80"/>
    <x v="0"/>
    <m/>
    <m/>
    <m/>
    <m/>
    <n v="80"/>
    <x v="0"/>
    <m/>
    <m/>
    <m/>
    <m/>
    <s v="-"/>
    <s v="Not Known"/>
    <s v="-"/>
    <s v="-"/>
    <s v="-"/>
    <s v="Not Known"/>
    <s v="-"/>
    <s v="-"/>
    <s v="-"/>
    <s v="-"/>
    <s v="-"/>
    <x v="1"/>
    <x v="0"/>
    <s v="Vacant"/>
    <s v="-"/>
    <s v="-"/>
    <s v="-"/>
    <s v="-"/>
    <s v="-"/>
    <s v="-"/>
    <s v="-"/>
    <s v="-"/>
    <s v="-"/>
    <s v="-"/>
    <x v="0"/>
    <x v="0"/>
    <n v="8.9999996125698107E-3"/>
    <n v="209"/>
    <n v="48"/>
    <n v="161"/>
    <x v="0"/>
    <x v="0"/>
    <m/>
    <x v="0"/>
    <m/>
    <x v="0"/>
    <m/>
    <x v="0"/>
    <x v="0"/>
    <x v="0"/>
    <x v="0"/>
    <m/>
    <n v="0"/>
    <n v="64"/>
    <n v="-64"/>
    <x v="0"/>
    <m/>
  </r>
  <r>
    <x v="2"/>
    <x v="0"/>
    <x v="0"/>
    <x v="1"/>
    <n v="4252"/>
    <x v="217"/>
    <x v="4"/>
    <n v="6.0000000521540598E-3"/>
    <n v="527344"/>
    <n v="176643"/>
    <m/>
    <x v="251"/>
    <s v="PF"/>
    <d v="2015-01-19T00:00:00"/>
    <x v="200"/>
    <m/>
    <m/>
    <s v="Nil"/>
    <m/>
    <m/>
    <s v="Erection of roof extension over existing single-storey addition to create an additional storey and change of use from offices (Use Class B1a) to a 2-bedroom dwellinghouse (Use Class C3)."/>
    <x v="248"/>
    <s v="MIX"/>
    <x v="0"/>
    <s v="NSO"/>
    <m/>
    <m/>
    <m/>
    <m/>
    <s v="C"/>
    <s v="BF"/>
    <x v="0"/>
    <m/>
    <m/>
    <m/>
    <m/>
    <m/>
    <m/>
    <m/>
    <m/>
    <m/>
    <m/>
    <m/>
    <m/>
    <m/>
    <m/>
    <m/>
    <m/>
    <m/>
    <m/>
    <m/>
    <m/>
    <m/>
    <m/>
    <m/>
    <m/>
    <m/>
    <n v="64"/>
    <m/>
    <m/>
    <m/>
    <m/>
    <n v="64"/>
    <m/>
    <m/>
    <m/>
    <x v="0"/>
    <x v="1"/>
    <x v="1"/>
    <m/>
    <m/>
    <m/>
    <m/>
    <m/>
    <m/>
    <n v="-64"/>
    <x v="1"/>
    <m/>
    <m/>
    <m/>
    <m/>
    <n v="-64"/>
    <x v="1"/>
    <m/>
    <m/>
    <m/>
    <m/>
    <s v="-"/>
    <s v="-"/>
    <s v="-"/>
    <s v="-"/>
    <s v="-"/>
    <s v="-"/>
    <s v="-"/>
    <s v="-"/>
    <s v="-"/>
    <s v="-"/>
    <s v="-"/>
    <x v="1"/>
    <x v="0"/>
    <s v="-"/>
    <s v="-"/>
    <s v="-"/>
    <s v="-"/>
    <s v="-"/>
    <s v="Not Known"/>
    <s v="-"/>
    <s v="-"/>
    <s v="-"/>
    <s v="-"/>
    <s v="-"/>
    <x v="0"/>
    <x v="0"/>
    <n v="0"/>
    <n v="0"/>
    <n v="64"/>
    <n v="-64"/>
    <x v="0"/>
    <x v="0"/>
    <m/>
    <x v="0"/>
    <m/>
    <x v="0"/>
    <m/>
    <x v="0"/>
    <x v="0"/>
    <x v="0"/>
    <x v="0"/>
    <m/>
    <n v="85"/>
    <n v="0"/>
    <n v="85"/>
    <x v="1"/>
    <m/>
  </r>
  <r>
    <x v="3"/>
    <x v="0"/>
    <x v="0"/>
    <x v="1"/>
    <n v="4260"/>
    <x v="218"/>
    <x v="13"/>
    <n v="3.4000001847744002E-2"/>
    <n v="526461"/>
    <n v="172543"/>
    <m/>
    <x v="252"/>
    <s v="PF"/>
    <d v="2013-10-21T00:00:00"/>
    <x v="201"/>
    <m/>
    <m/>
    <s v="Nil"/>
    <m/>
    <m/>
    <s v="Demolition of rear addition and alterations including erection of part single part two-storey front, side, rear extensions to rear addition, alterations to front and side ground floor elevations and enclosure of front and side forecourt in connection with use as three flats."/>
    <x v="249"/>
    <s v="MIX"/>
    <x v="0"/>
    <s v="UC"/>
    <m/>
    <d v="2018-03-31T00:00:00"/>
    <m/>
    <m/>
    <s v="C"/>
    <s v="BF"/>
    <x v="0"/>
    <m/>
    <d v="2018-03-31T00:00:00"/>
    <m/>
    <m/>
    <m/>
    <m/>
    <m/>
    <m/>
    <m/>
    <m/>
    <m/>
    <m/>
    <m/>
    <m/>
    <m/>
    <m/>
    <m/>
    <m/>
    <m/>
    <n v="41"/>
    <m/>
    <m/>
    <m/>
    <m/>
    <n v="41"/>
    <m/>
    <m/>
    <m/>
    <m/>
    <m/>
    <m/>
    <m/>
    <m/>
    <m/>
    <x v="1"/>
    <x v="0"/>
    <x v="1"/>
    <n v="-41"/>
    <m/>
    <m/>
    <m/>
    <m/>
    <n v="-41"/>
    <m/>
    <x v="0"/>
    <m/>
    <m/>
    <m/>
    <m/>
    <m/>
    <x v="0"/>
    <m/>
    <m/>
    <m/>
    <m/>
    <s v="-"/>
    <s v="-"/>
    <s v="-"/>
    <s v="-"/>
    <s v="-"/>
    <s v="-"/>
    <s v="-"/>
    <s v="-"/>
    <s v="-"/>
    <s v="-"/>
    <s v="-"/>
    <x v="1"/>
    <x v="0"/>
    <s v="Consumables"/>
    <s v="-"/>
    <s v="-"/>
    <s v="-"/>
    <s v="-"/>
    <s v="-"/>
    <s v="-"/>
    <s v="-"/>
    <s v="-"/>
    <s v="-"/>
    <s v="-"/>
    <x v="0"/>
    <x v="0"/>
    <n v="0"/>
    <n v="0"/>
    <n v="41"/>
    <n v="-41"/>
    <x v="0"/>
    <x v="0"/>
    <m/>
    <x v="0"/>
    <m/>
    <x v="0"/>
    <m/>
    <x v="0"/>
    <x v="0"/>
    <x v="0"/>
    <x v="0"/>
    <m/>
    <n v="334"/>
    <n v="131"/>
    <n v="203"/>
    <x v="1"/>
    <m/>
  </r>
  <r>
    <x v="1"/>
    <x v="0"/>
    <x v="0"/>
    <x v="1"/>
    <n v="4280"/>
    <x v="219"/>
    <x v="5"/>
    <n v="1.8999999389052401E-2"/>
    <n v="524989"/>
    <n v="174632"/>
    <m/>
    <x v="253"/>
    <s v="AF"/>
    <d v="2018-03-15T00:00:00"/>
    <x v="1"/>
    <m/>
    <m/>
    <s v="Nil"/>
    <m/>
    <m/>
    <s v="Alterations including raising the ridge height by 2.1 metres of existing outbuilding  in connection with the change of use of outbuilding from Storage (Class B8) to school (Class D1). Opening hours proposed as 09:00- 19:00 hrs Mondays, Tuesdays and Thursdays and 09:00- 14:00 hrs on Saturdays."/>
    <x v="250"/>
    <s v="COU"/>
    <x v="2"/>
    <s v="NSO"/>
    <m/>
    <m/>
    <m/>
    <m/>
    <s v="P"/>
    <s v="BF"/>
    <x v="0"/>
    <m/>
    <m/>
    <m/>
    <m/>
    <m/>
    <m/>
    <m/>
    <m/>
    <m/>
    <m/>
    <m/>
    <m/>
    <m/>
    <m/>
    <m/>
    <m/>
    <n v="22"/>
    <m/>
    <n v="22"/>
    <m/>
    <m/>
    <m/>
    <m/>
    <m/>
    <m/>
    <m/>
    <m/>
    <m/>
    <m/>
    <n v="25"/>
    <n v="25"/>
    <m/>
    <m/>
    <m/>
    <x v="0"/>
    <x v="1"/>
    <x v="0"/>
    <m/>
    <m/>
    <m/>
    <m/>
    <m/>
    <m/>
    <m/>
    <x v="0"/>
    <m/>
    <m/>
    <m/>
    <n v="-25"/>
    <n v="-25"/>
    <x v="1"/>
    <m/>
    <n v="22"/>
    <m/>
    <n v="22"/>
    <s v="-"/>
    <s v="-"/>
    <s v="-"/>
    <s v="-"/>
    <s v="-"/>
    <s v="-"/>
    <s v="-"/>
    <s v="-"/>
    <s v="-"/>
    <s v="-"/>
    <s v="-"/>
    <x v="0"/>
    <x v="0"/>
    <s v="-"/>
    <s v="-"/>
    <s v="-"/>
    <s v="-"/>
    <s v="-"/>
    <s v="-"/>
    <s v="-"/>
    <s v="-"/>
    <s v="-"/>
    <s v="Vacant"/>
    <s v="-"/>
    <x v="0"/>
    <x v="0"/>
    <n v="1.8999999389052401E-2"/>
    <n v="22"/>
    <n v="25"/>
    <n v="-3"/>
    <x v="0"/>
    <x v="0"/>
    <m/>
    <x v="0"/>
    <m/>
    <x v="0"/>
    <m/>
    <x v="0"/>
    <x v="0"/>
    <x v="0"/>
    <x v="0"/>
    <m/>
    <n v="0"/>
    <n v="0"/>
    <n v="0"/>
    <x v="0"/>
    <m/>
  </r>
  <r>
    <x v="3"/>
    <x v="0"/>
    <x v="0"/>
    <x v="1"/>
    <n v="4308"/>
    <x v="220"/>
    <x v="11"/>
    <n v="0.21799999475479101"/>
    <n v="528260"/>
    <n v="174215"/>
    <m/>
    <x v="254"/>
    <s v="PF"/>
    <d v="2014-05-29T00:00:00"/>
    <x v="202"/>
    <m/>
    <m/>
    <s v="Nil"/>
    <m/>
    <m/>
    <s v="Construction of 8no. mews houses (two terraces of 4 houses) in two- and three-storey buildings, including associated car parking, bin stores and landscaping."/>
    <x v="251"/>
    <s v="NB"/>
    <x v="0"/>
    <s v="UC"/>
    <m/>
    <d v="2016-09-30T00:00:00"/>
    <m/>
    <m/>
    <s v="C"/>
    <s v="BF"/>
    <x v="0"/>
    <m/>
    <d v="2016-09-30T00:00:00"/>
    <m/>
    <m/>
    <m/>
    <m/>
    <m/>
    <m/>
    <m/>
    <m/>
    <m/>
    <m/>
    <m/>
    <m/>
    <m/>
    <m/>
    <m/>
    <m/>
    <m/>
    <m/>
    <m/>
    <m/>
    <m/>
    <m/>
    <m/>
    <m/>
    <m/>
    <m/>
    <m/>
    <m/>
    <m/>
    <m/>
    <m/>
    <m/>
    <x v="0"/>
    <x v="0"/>
    <x v="1"/>
    <m/>
    <m/>
    <m/>
    <m/>
    <m/>
    <m/>
    <m/>
    <x v="0"/>
    <m/>
    <m/>
    <m/>
    <m/>
    <m/>
    <x v="0"/>
    <m/>
    <m/>
    <m/>
    <m/>
    <s v="-"/>
    <s v="-"/>
    <s v="-"/>
    <s v="-"/>
    <s v="-"/>
    <s v="-"/>
    <s v="-"/>
    <s v="-"/>
    <s v="-"/>
    <s v="-"/>
    <s v="-"/>
    <x v="1"/>
    <x v="0"/>
    <s v="-"/>
    <s v="-"/>
    <s v="-"/>
    <s v="-"/>
    <s v="-"/>
    <s v="-"/>
    <s v="-"/>
    <s v="-"/>
    <s v="-"/>
    <s v="-"/>
    <s v="-"/>
    <x v="0"/>
    <x v="0"/>
    <n v="0"/>
    <n v="0"/>
    <n v="37"/>
    <n v="-37"/>
    <x v="0"/>
    <x v="0"/>
    <m/>
    <x v="0"/>
    <m/>
    <x v="0"/>
    <m/>
    <x v="0"/>
    <x v="0"/>
    <x v="0"/>
    <x v="0"/>
    <m/>
    <n v="1780"/>
    <n v="0"/>
    <n v="1780"/>
    <x v="1"/>
    <m/>
  </r>
  <r>
    <x v="2"/>
    <x v="2"/>
    <x v="2"/>
    <x v="1"/>
    <n v="4314"/>
    <x v="221"/>
    <x v="4"/>
    <n v="4.9999998882412902E-3"/>
    <n v="527097"/>
    <n v="176190"/>
    <m/>
    <x v="255"/>
    <s v="PAG"/>
    <d v="2016-02-04T00:00:00"/>
    <x v="203"/>
    <m/>
    <m/>
    <s v="Nil"/>
    <m/>
    <m/>
    <s v="Determination as to whether prior approval is required for change of use from office (Class B1a) to one residential unit (Class C3)."/>
    <x v="252"/>
    <s v="COU"/>
    <x v="2"/>
    <s v="NSV"/>
    <m/>
    <m/>
    <m/>
    <m/>
    <s v="C"/>
    <s v="BF"/>
    <x v="0"/>
    <m/>
    <m/>
    <m/>
    <m/>
    <m/>
    <m/>
    <m/>
    <m/>
    <m/>
    <m/>
    <m/>
    <m/>
    <m/>
    <m/>
    <m/>
    <m/>
    <m/>
    <m/>
    <m/>
    <m/>
    <m/>
    <m/>
    <m/>
    <m/>
    <m/>
    <n v="51"/>
    <m/>
    <m/>
    <m/>
    <m/>
    <n v="51"/>
    <m/>
    <m/>
    <m/>
    <x v="0"/>
    <x v="1"/>
    <x v="1"/>
    <m/>
    <m/>
    <m/>
    <m/>
    <m/>
    <m/>
    <n v="-51"/>
    <x v="1"/>
    <m/>
    <m/>
    <m/>
    <m/>
    <n v="-51"/>
    <x v="1"/>
    <m/>
    <m/>
    <m/>
    <m/>
    <s v="-"/>
    <s v="-"/>
    <s v="-"/>
    <s v="-"/>
    <s v="-"/>
    <s v="-"/>
    <s v="-"/>
    <s v="-"/>
    <s v="-"/>
    <s v="-"/>
    <s v="-"/>
    <x v="1"/>
    <x v="0"/>
    <s v="-"/>
    <s v="-"/>
    <s v="-"/>
    <s v="-"/>
    <s v="-"/>
    <s v="Not Known"/>
    <s v="-"/>
    <s v="-"/>
    <s v="-"/>
    <s v="-"/>
    <s v="-"/>
    <x v="0"/>
    <x v="0"/>
    <n v="0"/>
    <n v="0"/>
    <n v="51"/>
    <n v="-51"/>
    <x v="0"/>
    <x v="0"/>
    <m/>
    <x v="0"/>
    <m/>
    <x v="0"/>
    <m/>
    <x v="0"/>
    <x v="0"/>
    <x v="0"/>
    <x v="0"/>
    <m/>
    <n v="51"/>
    <n v="0"/>
    <n v="51"/>
    <x v="1"/>
    <m/>
  </r>
  <r>
    <x v="2"/>
    <x v="0"/>
    <x v="0"/>
    <x v="1"/>
    <n v="4316"/>
    <x v="222"/>
    <x v="16"/>
    <n v="0.108999997377396"/>
    <n v="527567"/>
    <n v="171576"/>
    <s v="5.2"/>
    <x v="256"/>
    <s v="PFLA"/>
    <d v="2014-11-20T00:00:00"/>
    <x v="204"/>
    <m/>
    <d v="2015-05-21T00:00:00"/>
    <s v="Nil"/>
    <m/>
    <m/>
    <s v="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
    <x v="253"/>
    <s v="NB"/>
    <x v="0"/>
    <s v="NSO"/>
    <m/>
    <m/>
    <m/>
    <m/>
    <s v="C"/>
    <s v="BF"/>
    <x v="0"/>
    <m/>
    <m/>
    <m/>
    <n v="510"/>
    <m/>
    <m/>
    <m/>
    <m/>
    <n v="510"/>
    <n v="327"/>
    <m/>
    <m/>
    <n v="327"/>
    <m/>
    <m/>
    <n v="327"/>
    <m/>
    <m/>
    <m/>
    <n v="510"/>
    <m/>
    <m/>
    <m/>
    <m/>
    <n v="510"/>
    <n v="327"/>
    <m/>
    <m/>
    <m/>
    <m/>
    <n v="327"/>
    <m/>
    <m/>
    <m/>
    <x v="1"/>
    <x v="1"/>
    <x v="1"/>
    <m/>
    <m/>
    <m/>
    <m/>
    <m/>
    <m/>
    <m/>
    <x v="0"/>
    <m/>
    <m/>
    <m/>
    <m/>
    <m/>
    <x v="0"/>
    <m/>
    <m/>
    <m/>
    <m/>
    <s v="Consumables"/>
    <s v="-"/>
    <s v="-"/>
    <s v="-"/>
    <s v="-"/>
    <s v="Not Known"/>
    <s v="-"/>
    <s v="-"/>
    <s v="-"/>
    <s v="-"/>
    <s v="-"/>
    <x v="1"/>
    <x v="0"/>
    <s v="Consumables"/>
    <s v="-"/>
    <s v="-"/>
    <s v="-"/>
    <s v="-"/>
    <s v="Not Known"/>
    <s v="-"/>
    <s v="-"/>
    <s v="-"/>
    <s v="-"/>
    <s v="-"/>
    <x v="0"/>
    <x v="0"/>
    <n v="3.8999998010695411E-2"/>
    <n v="1164"/>
    <n v="1164"/>
    <n v="0"/>
    <x v="0"/>
    <x v="0"/>
    <m/>
    <x v="0"/>
    <m/>
    <x v="0"/>
    <m/>
    <x v="0"/>
    <x v="1"/>
    <x v="3"/>
    <x v="0"/>
    <m/>
    <n v="1206"/>
    <n v="0"/>
    <n v="1206"/>
    <x v="1"/>
    <m/>
  </r>
  <r>
    <x v="0"/>
    <x v="0"/>
    <x v="0"/>
    <x v="0"/>
    <n v="4331"/>
    <x v="223"/>
    <x v="5"/>
    <n v="0.49900001287460299"/>
    <n v="526157"/>
    <n v="174292"/>
    <m/>
    <x v="257"/>
    <s v="PF"/>
    <d v="2014-03-03T00:00:00"/>
    <x v="205"/>
    <m/>
    <m/>
    <s v="Nil"/>
    <m/>
    <m/>
    <s v="Demolition of two-storey existing teaching block at front of school; erection of two-storey extension at the front of the school (comprising of a new hall and three classrooms); alterations and extension to School Keepers House; internal refurbishments to existing building; installation of replacement front boundary and entrance with associated landscaping."/>
    <x v="254"/>
    <s v="NB"/>
    <x v="0"/>
    <s v="OC"/>
    <m/>
    <d v="2015-03-26T00:00:00"/>
    <d v="2018-03-31T00:00:00"/>
    <d v="2018-03-31T00:00:00"/>
    <s v="C"/>
    <s v="BF"/>
    <x v="0"/>
    <m/>
    <d v="2015-03-26T00:00:00"/>
    <d v="2018-03-31T00:00:00"/>
    <m/>
    <m/>
    <m/>
    <m/>
    <m/>
    <m/>
    <m/>
    <m/>
    <m/>
    <m/>
    <m/>
    <m/>
    <m/>
    <n v="533"/>
    <m/>
    <n v="533"/>
    <m/>
    <m/>
    <m/>
    <m/>
    <m/>
    <m/>
    <m/>
    <m/>
    <m/>
    <m/>
    <m/>
    <m/>
    <n v="151"/>
    <m/>
    <n v="151"/>
    <x v="0"/>
    <x v="0"/>
    <x v="0"/>
    <m/>
    <m/>
    <m/>
    <m/>
    <m/>
    <m/>
    <m/>
    <x v="0"/>
    <m/>
    <m/>
    <m/>
    <m/>
    <m/>
    <x v="0"/>
    <m/>
    <n v="382"/>
    <m/>
    <n v="382"/>
    <s v="-"/>
    <s v="-"/>
    <s v="-"/>
    <s v="-"/>
    <s v="-"/>
    <s v="-"/>
    <s v="-"/>
    <s v="-"/>
    <s v="-"/>
    <s v="-"/>
    <s v="-"/>
    <x v="0"/>
    <x v="0"/>
    <s v="-"/>
    <s v="-"/>
    <s v="-"/>
    <s v="-"/>
    <s v="-"/>
    <s v="-"/>
    <s v="-"/>
    <s v="-"/>
    <s v="-"/>
    <s v="-"/>
    <s v="-"/>
    <x v="6"/>
    <x v="0"/>
    <n v="0.49900001287460299"/>
    <n v="533"/>
    <n v="151"/>
    <n v="382"/>
    <x v="0"/>
    <x v="0"/>
    <m/>
    <x v="0"/>
    <m/>
    <x v="0"/>
    <m/>
    <x v="0"/>
    <x v="0"/>
    <x v="0"/>
    <x v="0"/>
    <m/>
    <n v="0"/>
    <n v="0"/>
    <n v="0"/>
    <x v="0"/>
    <m/>
  </r>
  <r>
    <x v="0"/>
    <x v="0"/>
    <x v="0"/>
    <x v="0"/>
    <n v="4344"/>
    <x v="224"/>
    <x v="5"/>
    <n v="2.19999998807907E-2"/>
    <n v="525827"/>
    <n v="175063"/>
    <m/>
    <x v="258"/>
    <s v="PF"/>
    <d v="2017-01-03T00:00:00"/>
    <x v="206"/>
    <m/>
    <m/>
    <s v="Nil"/>
    <m/>
    <m/>
    <s v="Change of use from use from rental and repair of motorcycles and scooters with ancillary retail and office floorspace (Sui Generis) to light industrial (B1(c)), general industrial (B2) and/or storage and distribution (B8)."/>
    <x v="255"/>
    <s v="COU"/>
    <x v="2"/>
    <s v="OC"/>
    <m/>
    <d v="2017-03-31T00:00:00"/>
    <d v="2018-03-31T00:00:00"/>
    <d v="2018-03-31T00:00:00"/>
    <s v="C"/>
    <s v="BF"/>
    <x v="0"/>
    <m/>
    <d v="2017-03-31T00:00:00"/>
    <d v="2018-03-31T00:00:00"/>
    <m/>
    <m/>
    <m/>
    <m/>
    <m/>
    <m/>
    <m/>
    <m/>
    <n v="189"/>
    <n v="189"/>
    <m/>
    <m/>
    <n v="189"/>
    <m/>
    <m/>
    <m/>
    <m/>
    <m/>
    <m/>
    <m/>
    <m/>
    <m/>
    <m/>
    <m/>
    <m/>
    <m/>
    <m/>
    <m/>
    <m/>
    <m/>
    <m/>
    <x v="0"/>
    <x v="1"/>
    <x v="1"/>
    <m/>
    <m/>
    <m/>
    <m/>
    <m/>
    <m/>
    <m/>
    <x v="0"/>
    <m/>
    <n v="189"/>
    <m/>
    <m/>
    <n v="189"/>
    <x v="0"/>
    <m/>
    <m/>
    <m/>
    <m/>
    <s v="-"/>
    <s v="-"/>
    <s v="-"/>
    <s v="-"/>
    <s v="-"/>
    <s v="-"/>
    <s v="-"/>
    <s v="Light Industrial"/>
    <s v="General Industry"/>
    <s v="Storage"/>
    <s v="-"/>
    <x v="1"/>
    <x v="0"/>
    <s v="-"/>
    <s v="-"/>
    <s v="-"/>
    <s v="-"/>
    <s v="-"/>
    <s v="-"/>
    <s v="-"/>
    <s v="-"/>
    <s v="-"/>
    <s v="-"/>
    <s v="-"/>
    <x v="0"/>
    <x v="0"/>
    <n v="2.19999998807907E-2"/>
    <n v="189"/>
    <n v="189"/>
    <n v="0"/>
    <x v="0"/>
    <x v="0"/>
    <m/>
    <x v="1"/>
    <s v="Central Wandsworth"/>
    <x v="0"/>
    <m/>
    <x v="0"/>
    <x v="0"/>
    <x v="0"/>
    <x v="0"/>
    <m/>
    <n v="0"/>
    <n v="0"/>
    <n v="0"/>
    <x v="0"/>
    <m/>
  </r>
  <r>
    <x v="2"/>
    <x v="0"/>
    <x v="0"/>
    <x v="1"/>
    <n v="4350"/>
    <x v="225"/>
    <x v="10"/>
    <n v="0.519999980926514"/>
    <n v="524906"/>
    <n v="173919"/>
    <m/>
    <x v="259"/>
    <s v="PF"/>
    <d v="2017-12-06T00:00:00"/>
    <x v="207"/>
    <s v="Y"/>
    <m/>
    <s v="Nil"/>
    <m/>
    <m/>
    <s v="Erection of a single-storey rear extension to provide a nursery for 24 children to operate 09:00 to 18:00; relocation of recycling store."/>
    <x v="256"/>
    <s v="NB"/>
    <x v="0"/>
    <s v="NSO"/>
    <m/>
    <m/>
    <m/>
    <m/>
    <s v="C"/>
    <s v="BF"/>
    <x v="0"/>
    <m/>
    <m/>
    <m/>
    <m/>
    <m/>
    <m/>
    <m/>
    <m/>
    <m/>
    <m/>
    <m/>
    <m/>
    <m/>
    <m/>
    <m/>
    <m/>
    <n v="116"/>
    <m/>
    <n v="116"/>
    <m/>
    <m/>
    <m/>
    <m/>
    <m/>
    <m/>
    <m/>
    <m/>
    <m/>
    <m/>
    <m/>
    <m/>
    <m/>
    <m/>
    <m/>
    <x v="0"/>
    <x v="0"/>
    <x v="0"/>
    <m/>
    <m/>
    <m/>
    <m/>
    <m/>
    <m/>
    <m/>
    <x v="0"/>
    <m/>
    <m/>
    <m/>
    <m/>
    <m/>
    <x v="0"/>
    <m/>
    <n v="116"/>
    <m/>
    <n v="116"/>
    <s v="-"/>
    <s v="-"/>
    <s v="-"/>
    <s v="-"/>
    <s v="-"/>
    <s v="-"/>
    <s v="-"/>
    <s v="-"/>
    <s v="-"/>
    <s v="-"/>
    <s v="-"/>
    <x v="6"/>
    <x v="0"/>
    <s v="-"/>
    <s v="-"/>
    <s v="-"/>
    <s v="-"/>
    <s v="-"/>
    <s v="-"/>
    <s v="-"/>
    <s v="-"/>
    <s v="-"/>
    <s v="-"/>
    <s v="-"/>
    <x v="0"/>
    <x v="0"/>
    <n v="0.519999980926514"/>
    <n v="116"/>
    <n v="0"/>
    <n v="116"/>
    <x v="0"/>
    <x v="0"/>
    <m/>
    <x v="0"/>
    <m/>
    <x v="0"/>
    <m/>
    <x v="0"/>
    <x v="0"/>
    <x v="0"/>
    <x v="0"/>
    <m/>
    <n v="0"/>
    <n v="0"/>
    <n v="0"/>
    <x v="0"/>
    <m/>
  </r>
  <r>
    <x v="3"/>
    <x v="0"/>
    <x v="0"/>
    <x v="1"/>
    <n v="4359"/>
    <x v="226"/>
    <x v="5"/>
    <n v="4.3000001460313797E-2"/>
    <n v="526586"/>
    <n v="174964"/>
    <m/>
    <x v="260"/>
    <s v="PF"/>
    <d v="2016-03-22T00:00:00"/>
    <x v="208"/>
    <m/>
    <m/>
    <s v="Nil"/>
    <m/>
    <m/>
    <s v="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
    <x v="257"/>
    <s v="NB"/>
    <x v="0"/>
    <s v="UC"/>
    <m/>
    <d v="2016-03-30T00:00:00"/>
    <m/>
    <m/>
    <s v="C"/>
    <s v="BF"/>
    <x v="0"/>
    <m/>
    <d v="2016-03-30T00:00:00"/>
    <m/>
    <n v="85"/>
    <n v="85"/>
    <n v="86"/>
    <n v="86"/>
    <m/>
    <n v="342"/>
    <m/>
    <m/>
    <m/>
    <m/>
    <m/>
    <m/>
    <m/>
    <m/>
    <m/>
    <m/>
    <m/>
    <m/>
    <m/>
    <n v="298"/>
    <m/>
    <n v="298"/>
    <m/>
    <m/>
    <m/>
    <m/>
    <m/>
    <m/>
    <m/>
    <m/>
    <m/>
    <x v="1"/>
    <x v="0"/>
    <x v="1"/>
    <n v="85"/>
    <n v="85"/>
    <n v="86"/>
    <n v="-212"/>
    <m/>
    <n v="44"/>
    <m/>
    <x v="0"/>
    <m/>
    <m/>
    <m/>
    <m/>
    <m/>
    <x v="0"/>
    <m/>
    <m/>
    <m/>
    <m/>
    <s v="Not Known"/>
    <s v="Not Known"/>
    <s v="Not Known"/>
    <s v="Public House"/>
    <s v="-"/>
    <s v="-"/>
    <s v="-"/>
    <s v="-"/>
    <s v="-"/>
    <s v="-"/>
    <s v="-"/>
    <x v="1"/>
    <x v="0"/>
    <s v="-"/>
    <s v="-"/>
    <s v="-"/>
    <s v="Public House"/>
    <s v="-"/>
    <s v="-"/>
    <s v="-"/>
    <s v="-"/>
    <s v="-"/>
    <s v="-"/>
    <s v="-"/>
    <x v="0"/>
    <x v="0"/>
    <n v="1.0999999940395397E-2"/>
    <n v="342"/>
    <n v="298"/>
    <n v="44"/>
    <x v="0"/>
    <x v="0"/>
    <m/>
    <x v="0"/>
    <m/>
    <x v="0"/>
    <m/>
    <x v="0"/>
    <x v="0"/>
    <x v="0"/>
    <x v="0"/>
    <m/>
    <n v="453"/>
    <n v="146"/>
    <n v="307"/>
    <x v="1"/>
    <m/>
  </r>
  <r>
    <x v="3"/>
    <x v="0"/>
    <x v="0"/>
    <x v="1"/>
    <n v="4368"/>
    <x v="227"/>
    <x v="6"/>
    <n v="9.9999997764825804E-3"/>
    <n v="528539"/>
    <n v="175783"/>
    <m/>
    <x v="261"/>
    <s v="PF"/>
    <d v="2015-10-16T00:00:00"/>
    <x v="209"/>
    <m/>
    <m/>
    <s v="Nil"/>
    <m/>
    <m/>
    <s v="Alterations in connection with the use of the upper floors as 2 flats (1 x three-bedroom and 1 x 1-bedroom) including erection of front and rear roof extension to provide an additional floor of accommodation."/>
    <x v="258"/>
    <s v="MIX"/>
    <x v="0"/>
    <s v="UC"/>
    <m/>
    <d v="2016-03-16T00:00:00"/>
    <m/>
    <m/>
    <s v="C"/>
    <s v="BF"/>
    <x v="0"/>
    <m/>
    <d v="2016-03-16T00:00:00"/>
    <m/>
    <n v="81"/>
    <m/>
    <m/>
    <m/>
    <m/>
    <n v="81"/>
    <m/>
    <m/>
    <m/>
    <m/>
    <m/>
    <m/>
    <m/>
    <m/>
    <m/>
    <m/>
    <n v="69"/>
    <m/>
    <m/>
    <m/>
    <m/>
    <n v="69"/>
    <m/>
    <m/>
    <m/>
    <m/>
    <m/>
    <m/>
    <m/>
    <m/>
    <m/>
    <x v="1"/>
    <x v="0"/>
    <x v="1"/>
    <n v="12"/>
    <m/>
    <m/>
    <m/>
    <m/>
    <n v="12"/>
    <m/>
    <x v="0"/>
    <m/>
    <m/>
    <m/>
    <m/>
    <m/>
    <x v="0"/>
    <m/>
    <m/>
    <m/>
    <m/>
    <s v="Not Known"/>
    <s v="-"/>
    <s v="-"/>
    <s v="-"/>
    <s v="-"/>
    <s v="-"/>
    <s v="-"/>
    <s v="-"/>
    <s v="-"/>
    <s v="-"/>
    <s v="-"/>
    <x v="1"/>
    <x v="0"/>
    <s v="Not Known"/>
    <s v="-"/>
    <s v="-"/>
    <s v="-"/>
    <s v="-"/>
    <s v="-"/>
    <s v="-"/>
    <s v="-"/>
    <s v="-"/>
    <s v="-"/>
    <s v="-"/>
    <x v="0"/>
    <x v="0"/>
    <n v="2.9999995604157404E-3"/>
    <n v="81"/>
    <n v="69"/>
    <n v="12"/>
    <x v="0"/>
    <x v="0"/>
    <m/>
    <x v="0"/>
    <m/>
    <x v="0"/>
    <m/>
    <x v="0"/>
    <x v="0"/>
    <x v="0"/>
    <x v="1"/>
    <s v="Lavender Hill/Queenstown Road"/>
    <n v="130"/>
    <n v="0"/>
    <n v="130"/>
    <x v="1"/>
    <m/>
  </r>
  <r>
    <x v="0"/>
    <x v="0"/>
    <x v="0"/>
    <x v="0"/>
    <n v="4388"/>
    <x v="228"/>
    <x v="18"/>
    <n v="0.23199999332428001"/>
    <n v="526630"/>
    <n v="172980"/>
    <m/>
    <x v="262"/>
    <s v="PF"/>
    <d v="2017-11-27T00:00:00"/>
    <x v="210"/>
    <s v="Y"/>
    <m/>
    <s v="Nil"/>
    <m/>
    <m/>
    <s v="Erection of replacement single storey sports building to house indoor cricket nets with associated boundary treatment and formation of pedestrian access from Fieldview."/>
    <x v="259"/>
    <s v="NB"/>
    <x v="0"/>
    <s v="OC"/>
    <m/>
    <d v="2018-01-18T00:00:00"/>
    <d v="2018-03-31T00:00:00"/>
    <d v="2018-03-31T00:00:00"/>
    <s v="C"/>
    <s v="BF"/>
    <x v="0"/>
    <m/>
    <d v="2018-01-18T00:00:00"/>
    <d v="2018-03-31T00:00:00"/>
    <m/>
    <m/>
    <m/>
    <m/>
    <m/>
    <m/>
    <m/>
    <m/>
    <m/>
    <m/>
    <m/>
    <m/>
    <m/>
    <m/>
    <n v="341"/>
    <n v="341"/>
    <m/>
    <m/>
    <m/>
    <m/>
    <m/>
    <m/>
    <m/>
    <m/>
    <m/>
    <m/>
    <m/>
    <m/>
    <m/>
    <n v="95"/>
    <n v="95"/>
    <x v="0"/>
    <x v="0"/>
    <x v="0"/>
    <m/>
    <m/>
    <m/>
    <m/>
    <m/>
    <m/>
    <m/>
    <x v="0"/>
    <m/>
    <m/>
    <m/>
    <m/>
    <m/>
    <x v="0"/>
    <m/>
    <m/>
    <n v="246"/>
    <n v="246"/>
    <s v="-"/>
    <s v="-"/>
    <s v="-"/>
    <s v="-"/>
    <s v="-"/>
    <s v="-"/>
    <s v="-"/>
    <s v="-"/>
    <s v="-"/>
    <s v="-"/>
    <s v="-"/>
    <x v="1"/>
    <x v="1"/>
    <s v="-"/>
    <s v="-"/>
    <s v="-"/>
    <s v="-"/>
    <s v="-"/>
    <s v="-"/>
    <s v="-"/>
    <s v="-"/>
    <s v="-"/>
    <s v="-"/>
    <s v="-"/>
    <x v="0"/>
    <x v="2"/>
    <n v="0.23199999332428001"/>
    <n v="341"/>
    <n v="95"/>
    <n v="246"/>
    <x v="0"/>
    <x v="0"/>
    <m/>
    <x v="0"/>
    <m/>
    <x v="0"/>
    <m/>
    <x v="0"/>
    <x v="0"/>
    <x v="0"/>
    <x v="0"/>
    <m/>
    <n v="0"/>
    <n v="0"/>
    <n v="0"/>
    <x v="0"/>
    <m/>
  </r>
  <r>
    <x v="0"/>
    <x v="0"/>
    <x v="0"/>
    <x v="2"/>
    <n v="4419"/>
    <x v="229"/>
    <x v="7"/>
    <n v="3.7999998778104803E-2"/>
    <n v="523893"/>
    <n v="175089"/>
    <m/>
    <x v="263"/>
    <s v="PF"/>
    <d v="2016-12-20T00:00:00"/>
    <x v="211"/>
    <s v="Y"/>
    <m/>
    <s v="Nil"/>
    <m/>
    <m/>
    <s v="Erection of a 5-storey building (plus basement) to provide a 34-room hotel on the upper floors, with access from Upper Richmond Road; rear balconies at first, second, third and fourth floor levels and front roof terrace at fourth floor level. Ground floor to include a separate surgery (Class D1), cafe (Class A3) and hotel lobby; associated refuse and cycle storage."/>
    <x v="260"/>
    <s v="NB"/>
    <x v="0"/>
    <s v="CO"/>
    <m/>
    <d v="2017-04-27T00:00:00"/>
    <d v="2018-03-31T00:00:00"/>
    <m/>
    <s v="C"/>
    <s v="BF"/>
    <x v="0"/>
    <m/>
    <d v="2017-04-27T00:00:00"/>
    <d v="2018-03-31T00:00:00"/>
    <m/>
    <m/>
    <n v="79"/>
    <m/>
    <m/>
    <n v="79"/>
    <m/>
    <m/>
    <m/>
    <m/>
    <m/>
    <m/>
    <m/>
    <n v="130"/>
    <m/>
    <n v="130"/>
    <n v="214"/>
    <m/>
    <m/>
    <m/>
    <m/>
    <n v="214"/>
    <n v="220"/>
    <m/>
    <m/>
    <m/>
    <m/>
    <n v="220"/>
    <m/>
    <m/>
    <m/>
    <x v="1"/>
    <x v="1"/>
    <x v="0"/>
    <n v="-214"/>
    <m/>
    <n v="79"/>
    <m/>
    <m/>
    <n v="-135"/>
    <n v="-220"/>
    <x v="1"/>
    <m/>
    <m/>
    <m/>
    <m/>
    <n v="-220"/>
    <x v="1"/>
    <n v="1272"/>
    <n v="130"/>
    <m/>
    <n v="130"/>
    <s v="-"/>
    <s v="-"/>
    <s v="-"/>
    <s v="-"/>
    <s v="-"/>
    <s v="-"/>
    <s v="-"/>
    <s v="-"/>
    <s v="-"/>
    <s v="-"/>
    <s v="-"/>
    <x v="1"/>
    <x v="0"/>
    <s v="Vacant"/>
    <s v="-"/>
    <s v="-"/>
    <s v="-"/>
    <s v="-"/>
    <s v="Vacant"/>
    <s v="-"/>
    <s v="-"/>
    <s v="-"/>
    <s v="-"/>
    <s v="-"/>
    <x v="0"/>
    <x v="0"/>
    <n v="3.7999998778104803E-2"/>
    <n v="1481"/>
    <n v="434"/>
    <n v="1047"/>
    <x v="0"/>
    <x v="0"/>
    <m/>
    <x v="0"/>
    <m/>
    <x v="0"/>
    <m/>
    <x v="0"/>
    <x v="1"/>
    <x v="2"/>
    <x v="0"/>
    <m/>
    <n v="0"/>
    <n v="0"/>
    <n v="0"/>
    <x v="0"/>
    <m/>
  </r>
  <r>
    <x v="2"/>
    <x v="0"/>
    <x v="0"/>
    <x v="1"/>
    <n v="4425"/>
    <x v="230"/>
    <x v="14"/>
    <n v="8.0000003799796104E-3"/>
    <n v="527763"/>
    <n v="172100"/>
    <m/>
    <x v="264"/>
    <s v="PF"/>
    <d v="2013-06-10T00:00:00"/>
    <x v="212"/>
    <m/>
    <m/>
    <s v="Nil"/>
    <m/>
    <m/>
    <s v="Alterations to the rear addition, in association with the use of rear part for provision of toilet and shower facilities."/>
    <x v="261"/>
    <s v="EXT"/>
    <x v="1"/>
    <s v="NSO"/>
    <m/>
    <m/>
    <m/>
    <m/>
    <s v="C"/>
    <s v="BF"/>
    <x v="0"/>
    <m/>
    <m/>
    <m/>
    <m/>
    <m/>
    <m/>
    <m/>
    <m/>
    <m/>
    <m/>
    <m/>
    <m/>
    <m/>
    <m/>
    <m/>
    <m/>
    <m/>
    <m/>
    <m/>
    <m/>
    <m/>
    <m/>
    <m/>
    <m/>
    <m/>
    <m/>
    <m/>
    <m/>
    <m/>
    <m/>
    <m/>
    <m/>
    <m/>
    <m/>
    <x v="0"/>
    <x v="0"/>
    <x v="1"/>
    <m/>
    <m/>
    <m/>
    <m/>
    <m/>
    <m/>
    <m/>
    <x v="0"/>
    <m/>
    <m/>
    <m/>
    <m/>
    <m/>
    <x v="0"/>
    <m/>
    <m/>
    <m/>
    <m/>
    <s v="-"/>
    <s v="-"/>
    <s v="-"/>
    <s v="-"/>
    <s v="-"/>
    <s v="-"/>
    <s v="-"/>
    <s v="-"/>
    <s v="-"/>
    <s v="-"/>
    <s v="-"/>
    <x v="1"/>
    <x v="0"/>
    <s v="-"/>
    <s v="-"/>
    <s v="-"/>
    <s v="-"/>
    <s v="-"/>
    <s v="-"/>
    <s v="-"/>
    <s v="-"/>
    <s v="-"/>
    <s v="-"/>
    <s v="-"/>
    <x v="0"/>
    <x v="0"/>
    <n v="8.0000003799796104E-3"/>
    <n v="11"/>
    <n v="0"/>
    <n v="11"/>
    <x v="0"/>
    <x v="0"/>
    <m/>
    <x v="0"/>
    <m/>
    <x v="0"/>
    <m/>
    <x v="0"/>
    <x v="0"/>
    <x v="0"/>
    <x v="0"/>
    <m/>
    <n v="0"/>
    <n v="0"/>
    <n v="0"/>
    <x v="0"/>
    <m/>
  </r>
  <r>
    <x v="3"/>
    <x v="0"/>
    <x v="0"/>
    <x v="1"/>
    <n v="4432"/>
    <x v="231"/>
    <x v="7"/>
    <n v="0.13600000739097601"/>
    <n v="525103"/>
    <n v="175205"/>
    <m/>
    <x v="265"/>
    <s v="PFLA"/>
    <d v="2010-01-22T00:00:00"/>
    <x v="213"/>
    <m/>
    <d v="2010-04-15T00:00:00"/>
    <s v="Nil"/>
    <m/>
    <m/>
    <s v="Demolition of existing office building. Erection of an 8-storey plus basement block to provide commercial floorspace (Use Classes A2, B1 and D1) together with 29 flats  (including 8 affordable) with 29 car parking spaces, cycle spaces and associated landscaping."/>
    <x v="262"/>
    <s v="NB"/>
    <x v="0"/>
    <s v="UC"/>
    <d v="2013-03-14T00:00:00"/>
    <d v="2013-03-14T00:00:00"/>
    <m/>
    <m/>
    <s v="C"/>
    <s v="BF"/>
    <x v="0"/>
    <m/>
    <d v="2013-03-14T00:00:00"/>
    <m/>
    <m/>
    <n v="84"/>
    <m/>
    <m/>
    <m/>
    <n v="84"/>
    <n v="83"/>
    <m/>
    <m/>
    <n v="83"/>
    <m/>
    <m/>
    <n v="83"/>
    <n v="83"/>
    <m/>
    <n v="83"/>
    <m/>
    <m/>
    <m/>
    <m/>
    <m/>
    <m/>
    <n v="1185"/>
    <m/>
    <m/>
    <m/>
    <m/>
    <n v="1185"/>
    <m/>
    <m/>
    <m/>
    <x v="1"/>
    <x v="1"/>
    <x v="0"/>
    <m/>
    <n v="84"/>
    <m/>
    <m/>
    <m/>
    <n v="84"/>
    <n v="-1102"/>
    <x v="1"/>
    <m/>
    <m/>
    <m/>
    <m/>
    <n v="-1102"/>
    <x v="1"/>
    <m/>
    <n v="83"/>
    <m/>
    <n v="83"/>
    <s v="-"/>
    <s v="Not Known"/>
    <s v="-"/>
    <s v="-"/>
    <s v="-"/>
    <s v="Not Known"/>
    <s v="-"/>
    <s v="-"/>
    <s v="-"/>
    <s v="-"/>
    <s v="-"/>
    <x v="5"/>
    <x v="0"/>
    <s v="-"/>
    <s v="-"/>
    <s v="-"/>
    <s v="-"/>
    <s v="-"/>
    <s v="Vacant"/>
    <s v="-"/>
    <s v="-"/>
    <s v="-"/>
    <s v="-"/>
    <s v="-"/>
    <x v="0"/>
    <x v="0"/>
    <n v="2.6000004261732004E-2"/>
    <n v="250"/>
    <n v="1185"/>
    <n v="-935"/>
    <x v="1"/>
    <x v="0"/>
    <m/>
    <x v="0"/>
    <m/>
    <x v="0"/>
    <m/>
    <x v="0"/>
    <x v="0"/>
    <x v="0"/>
    <x v="0"/>
    <m/>
    <n v="2777"/>
    <n v="0"/>
    <n v="2777"/>
    <x v="1"/>
    <m/>
  </r>
  <r>
    <x v="2"/>
    <x v="0"/>
    <x v="0"/>
    <x v="1"/>
    <n v="4438"/>
    <x v="232"/>
    <x v="7"/>
    <n v="1.4000000432133701E-2"/>
    <n v="524309"/>
    <n v="174961"/>
    <m/>
    <x v="266"/>
    <s v="PF"/>
    <d v="2017-03-10T00:00:00"/>
    <x v="214"/>
    <s v="Y"/>
    <m/>
    <s v="Nil"/>
    <m/>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x v="263"/>
    <s v="EXT"/>
    <x v="1"/>
    <s v="NSO"/>
    <m/>
    <m/>
    <m/>
    <m/>
    <s v="C"/>
    <s v="BF"/>
    <x v="0"/>
    <m/>
    <m/>
    <m/>
    <n v="44"/>
    <m/>
    <m/>
    <m/>
    <m/>
    <n v="44"/>
    <m/>
    <m/>
    <m/>
    <m/>
    <m/>
    <m/>
    <m/>
    <m/>
    <m/>
    <m/>
    <n v="84"/>
    <m/>
    <m/>
    <m/>
    <m/>
    <n v="84"/>
    <m/>
    <m/>
    <m/>
    <m/>
    <m/>
    <m/>
    <m/>
    <m/>
    <m/>
    <x v="1"/>
    <x v="0"/>
    <x v="1"/>
    <n v="-40"/>
    <m/>
    <m/>
    <m/>
    <m/>
    <n v="-40"/>
    <m/>
    <x v="0"/>
    <m/>
    <m/>
    <m/>
    <m/>
    <m/>
    <x v="0"/>
    <m/>
    <m/>
    <m/>
    <m/>
    <s v="Consumables"/>
    <s v="-"/>
    <s v="-"/>
    <s v="-"/>
    <s v="-"/>
    <s v="-"/>
    <s v="-"/>
    <s v="-"/>
    <s v="-"/>
    <s v="-"/>
    <s v="-"/>
    <x v="1"/>
    <x v="0"/>
    <s v="Consumables"/>
    <s v="-"/>
    <s v="-"/>
    <s v="-"/>
    <s v="-"/>
    <s v="-"/>
    <s v="-"/>
    <s v="-"/>
    <s v="-"/>
    <s v="-"/>
    <s v="-"/>
    <x v="0"/>
    <x v="0"/>
    <n v="3.0000004917383003E-3"/>
    <n v="44"/>
    <n v="84"/>
    <n v="-40"/>
    <x v="0"/>
    <x v="0"/>
    <m/>
    <x v="0"/>
    <m/>
    <x v="0"/>
    <m/>
    <x v="0"/>
    <x v="1"/>
    <x v="2"/>
    <x v="0"/>
    <m/>
    <n v="183"/>
    <n v="66"/>
    <n v="117"/>
    <x v="1"/>
    <m/>
  </r>
  <r>
    <x v="0"/>
    <x v="0"/>
    <x v="0"/>
    <x v="0"/>
    <n v="4445"/>
    <x v="233"/>
    <x v="9"/>
    <n v="1.2000000104308101E-2"/>
    <n v="527402"/>
    <n v="176327"/>
    <m/>
    <x v="267"/>
    <s v="PF"/>
    <d v="2017-07-21T00:00:00"/>
    <x v="215"/>
    <s v="Y"/>
    <m/>
    <s v="Nil"/>
    <m/>
    <m/>
    <s v="Alterations including erection of single storey side extension and installation of new shopfront."/>
    <x v="264"/>
    <s v="NB"/>
    <x v="0"/>
    <s v="OC"/>
    <m/>
    <d v="2017-09-15T00:00:00"/>
    <d v="2018-03-31T00:00:00"/>
    <d v="2018-03-31T00:00:00"/>
    <s v="C"/>
    <s v="BF"/>
    <x v="0"/>
    <m/>
    <d v="2017-09-15T00:00:00"/>
    <d v="2018-03-31T00:00:00"/>
    <n v="21"/>
    <m/>
    <m/>
    <m/>
    <m/>
    <n v="21"/>
    <m/>
    <m/>
    <m/>
    <m/>
    <m/>
    <m/>
    <m/>
    <m/>
    <m/>
    <m/>
    <m/>
    <m/>
    <m/>
    <m/>
    <m/>
    <m/>
    <m/>
    <m/>
    <m/>
    <m/>
    <m/>
    <m/>
    <m/>
    <m/>
    <m/>
    <x v="1"/>
    <x v="0"/>
    <x v="1"/>
    <n v="21"/>
    <m/>
    <m/>
    <m/>
    <m/>
    <n v="21"/>
    <m/>
    <x v="0"/>
    <m/>
    <m/>
    <m/>
    <m/>
    <m/>
    <x v="0"/>
    <m/>
    <m/>
    <m/>
    <m/>
    <s v="Consumables"/>
    <s v="-"/>
    <s v="-"/>
    <s v="-"/>
    <s v="-"/>
    <s v="-"/>
    <s v="-"/>
    <s v="-"/>
    <s v="-"/>
    <s v="-"/>
    <s v="-"/>
    <x v="1"/>
    <x v="0"/>
    <s v="-"/>
    <s v="-"/>
    <s v="-"/>
    <s v="-"/>
    <s v="-"/>
    <s v="-"/>
    <s v="-"/>
    <s v="-"/>
    <s v="-"/>
    <s v="-"/>
    <s v="-"/>
    <x v="0"/>
    <x v="0"/>
    <n v="1.2000000104308101E-2"/>
    <n v="21"/>
    <n v="0"/>
    <n v="21"/>
    <x v="0"/>
    <x v="0"/>
    <m/>
    <x v="0"/>
    <m/>
    <x v="0"/>
    <m/>
    <x v="0"/>
    <x v="0"/>
    <x v="0"/>
    <x v="1"/>
    <s v="Battersea Park Road"/>
    <n v="0"/>
    <n v="0"/>
    <n v="0"/>
    <x v="0"/>
    <m/>
  </r>
  <r>
    <x v="0"/>
    <x v="0"/>
    <x v="0"/>
    <x v="0"/>
    <n v="4462"/>
    <x v="234"/>
    <x v="7"/>
    <n v="0.56099998950958296"/>
    <n v="524690"/>
    <n v="175115"/>
    <m/>
    <x v="268"/>
    <s v="PF"/>
    <d v="2015-05-15T00:00:00"/>
    <x v="216"/>
    <m/>
    <m/>
    <s v="Nil"/>
    <m/>
    <m/>
    <s v="Erection of single-storey extension to existing classroom fronting Skelgill Road."/>
    <x v="265"/>
    <s v="NB"/>
    <x v="0"/>
    <s v="OC"/>
    <m/>
    <d v="2017-04-30T00:00:00"/>
    <d v="2018-03-31T00:00:00"/>
    <d v="2018-03-31T00:00:00"/>
    <s v="C"/>
    <s v="BF"/>
    <x v="0"/>
    <m/>
    <d v="2017-04-30T00:00:00"/>
    <d v="2018-03-31T00:00:00"/>
    <m/>
    <m/>
    <m/>
    <m/>
    <m/>
    <m/>
    <m/>
    <m/>
    <m/>
    <m/>
    <m/>
    <m/>
    <m/>
    <n v="80"/>
    <m/>
    <n v="80"/>
    <m/>
    <m/>
    <m/>
    <m/>
    <m/>
    <m/>
    <m/>
    <m/>
    <m/>
    <m/>
    <m/>
    <m/>
    <m/>
    <m/>
    <m/>
    <x v="0"/>
    <x v="0"/>
    <x v="0"/>
    <m/>
    <m/>
    <m/>
    <m/>
    <m/>
    <m/>
    <m/>
    <x v="0"/>
    <m/>
    <m/>
    <m/>
    <m/>
    <m/>
    <x v="0"/>
    <m/>
    <n v="80"/>
    <m/>
    <n v="80"/>
    <s v="-"/>
    <s v="-"/>
    <s v="-"/>
    <s v="-"/>
    <s v="-"/>
    <s v="-"/>
    <s v="-"/>
    <s v="-"/>
    <s v="-"/>
    <s v="-"/>
    <s v="-"/>
    <x v="0"/>
    <x v="0"/>
    <s v="-"/>
    <s v="-"/>
    <s v="-"/>
    <s v="-"/>
    <s v="-"/>
    <s v="-"/>
    <s v="-"/>
    <s v="-"/>
    <s v="-"/>
    <s v="-"/>
    <s v="-"/>
    <x v="0"/>
    <x v="0"/>
    <n v="0.56099998950958296"/>
    <n v="80"/>
    <n v="0"/>
    <n v="80"/>
    <x v="0"/>
    <x v="0"/>
    <m/>
    <x v="0"/>
    <m/>
    <x v="0"/>
    <m/>
    <x v="0"/>
    <x v="0"/>
    <x v="0"/>
    <x v="0"/>
    <m/>
    <n v="0"/>
    <n v="0"/>
    <n v="0"/>
    <x v="0"/>
    <m/>
  </r>
  <r>
    <x v="0"/>
    <x v="0"/>
    <x v="0"/>
    <x v="0"/>
    <n v="4471"/>
    <x v="235"/>
    <x v="4"/>
    <n v="0.71399998664856001"/>
    <n v="526878"/>
    <n v="176605"/>
    <m/>
    <x v="269"/>
    <s v="PF"/>
    <d v="2016-08-22T00:00:00"/>
    <x v="155"/>
    <m/>
    <m/>
    <s v="Nil"/>
    <m/>
    <m/>
    <s v="Demolition of part of exisitng building; erection of a new single store link extension and refubishment of existing sections to create new dining hall, transport office, caterers store; extend existing kitchen, new second floor level to rear section to provide additional classrooms; internal alterations replacement windows, relocation of internal partitions and new substation building to rear grounds."/>
    <x v="266"/>
    <s v="NB"/>
    <x v="0"/>
    <s v="OC"/>
    <m/>
    <d v="2017-04-01T00:00:00"/>
    <d v="2018-03-31T00:00:00"/>
    <d v="2018-03-31T00:00:00"/>
    <s v="C"/>
    <s v="BF"/>
    <x v="0"/>
    <m/>
    <d v="2017-04-01T00:00:00"/>
    <d v="2018-03-31T00:00:00"/>
    <m/>
    <m/>
    <m/>
    <m/>
    <m/>
    <m/>
    <m/>
    <m/>
    <m/>
    <m/>
    <m/>
    <m/>
    <m/>
    <n v="914"/>
    <m/>
    <n v="914"/>
    <m/>
    <m/>
    <m/>
    <m/>
    <m/>
    <m/>
    <m/>
    <m/>
    <m/>
    <m/>
    <m/>
    <m/>
    <n v="175"/>
    <m/>
    <n v="175"/>
    <x v="0"/>
    <x v="0"/>
    <x v="0"/>
    <m/>
    <m/>
    <m/>
    <m/>
    <m/>
    <m/>
    <m/>
    <x v="0"/>
    <m/>
    <m/>
    <m/>
    <m/>
    <m/>
    <x v="0"/>
    <m/>
    <n v="739"/>
    <m/>
    <n v="739"/>
    <s v="-"/>
    <s v="-"/>
    <s v="-"/>
    <s v="-"/>
    <s v="-"/>
    <s v="-"/>
    <s v="-"/>
    <s v="-"/>
    <s v="-"/>
    <s v="-"/>
    <s v="-"/>
    <x v="0"/>
    <x v="0"/>
    <s v="-"/>
    <s v="-"/>
    <s v="-"/>
    <s v="-"/>
    <s v="-"/>
    <s v="-"/>
    <s v="-"/>
    <s v="-"/>
    <s v="-"/>
    <s v="-"/>
    <s v="-"/>
    <x v="6"/>
    <x v="0"/>
    <n v="0.71399998664856001"/>
    <n v="914"/>
    <n v="175"/>
    <n v="739"/>
    <x v="0"/>
    <x v="0"/>
    <m/>
    <x v="0"/>
    <m/>
    <x v="0"/>
    <m/>
    <x v="0"/>
    <x v="0"/>
    <x v="0"/>
    <x v="0"/>
    <m/>
    <n v="0"/>
    <n v="0"/>
    <n v="0"/>
    <x v="0"/>
    <m/>
  </r>
  <r>
    <x v="2"/>
    <x v="0"/>
    <x v="0"/>
    <x v="1"/>
    <n v="4474"/>
    <x v="236"/>
    <x v="16"/>
    <n v="0.19099999964237199"/>
    <n v="527533"/>
    <n v="171477"/>
    <s v="5.2"/>
    <x v="270"/>
    <s v="PFLA"/>
    <d v="2014-09-09T00:00:00"/>
    <x v="217"/>
    <m/>
    <d v="2015-09-16T00:00:00"/>
    <s v="Nil"/>
    <m/>
    <m/>
    <s v="Conversion of existing building at first, second, and third floor levels into 19 self contained apartments."/>
    <x v="267"/>
    <s v="COU"/>
    <x v="2"/>
    <s v="NSO"/>
    <m/>
    <m/>
    <m/>
    <m/>
    <s v="C"/>
    <s v="BF"/>
    <x v="0"/>
    <m/>
    <m/>
    <m/>
    <n v="704"/>
    <m/>
    <m/>
    <m/>
    <m/>
    <n v="704"/>
    <m/>
    <m/>
    <m/>
    <m/>
    <m/>
    <m/>
    <m/>
    <m/>
    <m/>
    <m/>
    <n v="2040"/>
    <m/>
    <m/>
    <m/>
    <m/>
    <n v="2040"/>
    <m/>
    <m/>
    <m/>
    <m/>
    <m/>
    <m/>
    <m/>
    <m/>
    <m/>
    <x v="1"/>
    <x v="0"/>
    <x v="1"/>
    <n v="-1336"/>
    <m/>
    <m/>
    <m/>
    <m/>
    <n v="-1336"/>
    <m/>
    <x v="0"/>
    <m/>
    <m/>
    <m/>
    <m/>
    <m/>
    <x v="0"/>
    <m/>
    <m/>
    <m/>
    <m/>
    <s v="Vacant"/>
    <s v="-"/>
    <s v="-"/>
    <s v="-"/>
    <s v="-"/>
    <s v="-"/>
    <s v="-"/>
    <s v="-"/>
    <s v="-"/>
    <s v="-"/>
    <s v="-"/>
    <x v="1"/>
    <x v="0"/>
    <s v="Vacant"/>
    <s v="-"/>
    <s v="-"/>
    <s v="-"/>
    <s v="-"/>
    <s v="-"/>
    <s v="-"/>
    <s v="-"/>
    <s v="-"/>
    <s v="-"/>
    <s v="-"/>
    <x v="0"/>
    <x v="0"/>
    <n v="4.7999996691941993E-2"/>
    <n v="704"/>
    <n v="2040"/>
    <n v="-1336"/>
    <x v="0"/>
    <x v="0"/>
    <m/>
    <x v="0"/>
    <m/>
    <x v="0"/>
    <m/>
    <x v="0"/>
    <x v="1"/>
    <x v="3"/>
    <x v="0"/>
    <m/>
    <n v="1336"/>
    <n v="0"/>
    <n v="1336"/>
    <x v="1"/>
    <m/>
  </r>
  <r>
    <x v="1"/>
    <x v="0"/>
    <x v="0"/>
    <x v="1"/>
    <n v="4477"/>
    <x v="237"/>
    <x v="12"/>
    <n v="4.6000000089407002E-2"/>
    <n v="525396"/>
    <n v="173608"/>
    <m/>
    <x v="271"/>
    <s v="AF"/>
    <d v="2016-04-28T00:00:00"/>
    <x v="1"/>
    <m/>
    <m/>
    <s v="Nil"/>
    <m/>
    <m/>
    <s v="Erection of two-storey extension to front of warehouse under existing retained roof."/>
    <x v="268"/>
    <s v="NB"/>
    <x v="0"/>
    <s v="NSO"/>
    <m/>
    <m/>
    <m/>
    <m/>
    <s v="P"/>
    <s v="BF"/>
    <x v="0"/>
    <m/>
    <m/>
    <m/>
    <m/>
    <m/>
    <m/>
    <m/>
    <m/>
    <m/>
    <n v="90"/>
    <m/>
    <m/>
    <n v="90"/>
    <m/>
    <m/>
    <n v="90"/>
    <m/>
    <m/>
    <m/>
    <m/>
    <m/>
    <m/>
    <m/>
    <m/>
    <m/>
    <m/>
    <m/>
    <m/>
    <m/>
    <m/>
    <m/>
    <m/>
    <m/>
    <m/>
    <x v="0"/>
    <x v="1"/>
    <x v="1"/>
    <m/>
    <m/>
    <m/>
    <m/>
    <m/>
    <m/>
    <n v="90"/>
    <x v="0"/>
    <m/>
    <m/>
    <m/>
    <m/>
    <n v="90"/>
    <x v="0"/>
    <m/>
    <m/>
    <m/>
    <m/>
    <s v="-"/>
    <s v="-"/>
    <s v="-"/>
    <s v="-"/>
    <s v="-"/>
    <s v="Financial or Professional Services"/>
    <s v="-"/>
    <s v="-"/>
    <s v="-"/>
    <s v="-"/>
    <s v="-"/>
    <x v="1"/>
    <x v="0"/>
    <s v="-"/>
    <s v="-"/>
    <s v="-"/>
    <s v="-"/>
    <s v="-"/>
    <s v="-"/>
    <s v="-"/>
    <s v="-"/>
    <s v="-"/>
    <s v="-"/>
    <s v="-"/>
    <x v="0"/>
    <x v="0"/>
    <n v="4.6000000089407002E-2"/>
    <n v="90"/>
    <n v="0"/>
    <n v="90"/>
    <x v="0"/>
    <x v="0"/>
    <m/>
    <x v="1"/>
    <s v="Kimber Road"/>
    <x v="0"/>
    <m/>
    <x v="0"/>
    <x v="0"/>
    <x v="0"/>
    <x v="0"/>
    <m/>
    <n v="0"/>
    <n v="0"/>
    <n v="0"/>
    <x v="0"/>
    <m/>
  </r>
  <r>
    <x v="3"/>
    <x v="0"/>
    <x v="0"/>
    <x v="1"/>
    <n v="4478"/>
    <x v="238"/>
    <x v="7"/>
    <n v="0.35299998521804798"/>
    <n v="523671"/>
    <n v="175619"/>
    <m/>
    <x v="272"/>
    <s v="PF"/>
    <d v="2016-09-14T00:00:00"/>
    <x v="20"/>
    <m/>
    <m/>
    <s v="Nil"/>
    <m/>
    <m/>
    <s v="Erection of two-storey extension at first and second floor levels to the main school building at the northern end of the site.."/>
    <x v="269"/>
    <s v="EXT"/>
    <x v="1"/>
    <s v="UC"/>
    <m/>
    <d v="2017-03-31T00:00:00"/>
    <m/>
    <m/>
    <s v="C"/>
    <s v="BF"/>
    <x v="0"/>
    <m/>
    <d v="2017-03-31T00:00:00"/>
    <m/>
    <m/>
    <m/>
    <m/>
    <m/>
    <m/>
    <m/>
    <m/>
    <m/>
    <m/>
    <m/>
    <m/>
    <m/>
    <m/>
    <n v="119"/>
    <m/>
    <n v="119"/>
    <m/>
    <m/>
    <m/>
    <m/>
    <m/>
    <m/>
    <m/>
    <m/>
    <m/>
    <m/>
    <m/>
    <m/>
    <n v="76"/>
    <m/>
    <n v="76"/>
    <x v="0"/>
    <x v="0"/>
    <x v="0"/>
    <m/>
    <m/>
    <m/>
    <m/>
    <m/>
    <m/>
    <m/>
    <x v="0"/>
    <m/>
    <m/>
    <m/>
    <m/>
    <m/>
    <x v="0"/>
    <m/>
    <n v="43"/>
    <m/>
    <n v="43"/>
    <s v="-"/>
    <s v="-"/>
    <s v="-"/>
    <s v="-"/>
    <s v="-"/>
    <s v="-"/>
    <s v="-"/>
    <s v="-"/>
    <s v="-"/>
    <s v="-"/>
    <s v="-"/>
    <x v="0"/>
    <x v="0"/>
    <s v="-"/>
    <s v="-"/>
    <s v="-"/>
    <s v="-"/>
    <s v="-"/>
    <s v="-"/>
    <s v="-"/>
    <s v="-"/>
    <s v="-"/>
    <s v="-"/>
    <s v="-"/>
    <x v="6"/>
    <x v="0"/>
    <n v="0.35299998521804798"/>
    <n v="119"/>
    <n v="76"/>
    <n v="43"/>
    <x v="0"/>
    <x v="0"/>
    <m/>
    <x v="0"/>
    <m/>
    <x v="0"/>
    <m/>
    <x v="0"/>
    <x v="0"/>
    <x v="0"/>
    <x v="0"/>
    <m/>
    <n v="0"/>
    <n v="0"/>
    <n v="0"/>
    <x v="0"/>
    <m/>
  </r>
  <r>
    <x v="3"/>
    <x v="0"/>
    <x v="0"/>
    <x v="1"/>
    <n v="4482"/>
    <x v="239"/>
    <x v="7"/>
    <n v="0.34000000357627902"/>
    <n v="525443"/>
    <n v="175090"/>
    <s v="3.3.4"/>
    <x v="273"/>
    <s v="PFLA"/>
    <d v="2016-10-25T00:00:00"/>
    <x v="218"/>
    <s v="Y"/>
    <d v="2017-03-23T00:00:00"/>
    <s v="Nil"/>
    <m/>
    <m/>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x v="270"/>
    <s v="NB"/>
    <x v="0"/>
    <s v="UC"/>
    <m/>
    <d v="2017-10-01T00:00:00"/>
    <m/>
    <m/>
    <s v="C"/>
    <s v="BF"/>
    <x v="0"/>
    <m/>
    <d v="2017-10-01T00:00:00"/>
    <m/>
    <n v="154"/>
    <n v="154"/>
    <n v="154"/>
    <m/>
    <m/>
    <n v="462"/>
    <n v="155"/>
    <m/>
    <m/>
    <n v="155"/>
    <m/>
    <m/>
    <n v="155"/>
    <n v="155"/>
    <n v="155"/>
    <n v="310"/>
    <m/>
    <m/>
    <m/>
    <m/>
    <m/>
    <m/>
    <m/>
    <m/>
    <m/>
    <m/>
    <n v="1512"/>
    <n v="1512"/>
    <m/>
    <m/>
    <m/>
    <x v="1"/>
    <x v="1"/>
    <x v="0"/>
    <n v="154"/>
    <n v="154"/>
    <n v="154"/>
    <m/>
    <m/>
    <n v="462"/>
    <n v="155"/>
    <x v="0"/>
    <m/>
    <m/>
    <m/>
    <n v="-1512"/>
    <n v="-1357"/>
    <x v="1"/>
    <m/>
    <n v="155"/>
    <n v="155"/>
    <n v="310"/>
    <s v="Not Known"/>
    <s v="Not Known"/>
    <s v="Not Known"/>
    <s v="-"/>
    <s v="-"/>
    <s v="Not Known"/>
    <s v="-"/>
    <s v="-"/>
    <s v="-"/>
    <s v="-"/>
    <s v="-"/>
    <x v="4"/>
    <x v="3"/>
    <s v="-"/>
    <s v="-"/>
    <s v="-"/>
    <s v="-"/>
    <s v="-"/>
    <s v="-"/>
    <s v="-"/>
    <s v="-"/>
    <s v="-"/>
    <s v="Storage"/>
    <s v="-"/>
    <x v="0"/>
    <x v="0"/>
    <n v="1.9999995827675587E-2"/>
    <n v="1779"/>
    <n v="1512"/>
    <n v="267"/>
    <x v="1"/>
    <x v="0"/>
    <m/>
    <x v="0"/>
    <m/>
    <x v="1"/>
    <s v="Osiers Road"/>
    <x v="0"/>
    <x v="0"/>
    <x v="0"/>
    <x v="0"/>
    <m/>
    <n v="10778"/>
    <n v="0"/>
    <n v="10778"/>
    <x v="1"/>
    <m/>
  </r>
  <r>
    <x v="2"/>
    <x v="2"/>
    <x v="2"/>
    <x v="1"/>
    <n v="4506"/>
    <x v="240"/>
    <x v="7"/>
    <n v="3.0000000260770299E-3"/>
    <n v="525112"/>
    <n v="175239"/>
    <m/>
    <x v="274"/>
    <s v="PANR"/>
    <d v="2017-03-20T00:00:00"/>
    <x v="219"/>
    <s v="Y"/>
    <m/>
    <s v="Nil"/>
    <m/>
    <m/>
    <s v="Determination as to whether prior approval is required for change of use of offices (Class B1a) to residential (class C3) to provide 1 dwelling house"/>
    <x v="169"/>
    <s v="COU"/>
    <x v="2"/>
    <s v="NSO"/>
    <m/>
    <m/>
    <m/>
    <m/>
    <s v="C"/>
    <s v="BF"/>
    <x v="0"/>
    <m/>
    <m/>
    <m/>
    <m/>
    <m/>
    <m/>
    <m/>
    <m/>
    <m/>
    <m/>
    <m/>
    <m/>
    <m/>
    <m/>
    <m/>
    <m/>
    <m/>
    <m/>
    <m/>
    <m/>
    <m/>
    <m/>
    <m/>
    <m/>
    <m/>
    <n v="57"/>
    <m/>
    <m/>
    <m/>
    <m/>
    <n v="57"/>
    <m/>
    <m/>
    <m/>
    <x v="0"/>
    <x v="1"/>
    <x v="1"/>
    <m/>
    <m/>
    <m/>
    <m/>
    <m/>
    <m/>
    <n v="-57"/>
    <x v="1"/>
    <m/>
    <m/>
    <m/>
    <m/>
    <n v="-57"/>
    <x v="1"/>
    <m/>
    <m/>
    <m/>
    <m/>
    <s v="-"/>
    <s v="-"/>
    <s v="-"/>
    <s v="-"/>
    <s v="-"/>
    <s v="-"/>
    <s v="-"/>
    <s v="-"/>
    <s v="-"/>
    <s v="-"/>
    <s v="-"/>
    <x v="1"/>
    <x v="0"/>
    <s v="-"/>
    <s v="-"/>
    <s v="-"/>
    <s v="-"/>
    <s v="-"/>
    <s v="Not Known"/>
    <s v="-"/>
    <s v="-"/>
    <s v="-"/>
    <s v="-"/>
    <s v="-"/>
    <x v="0"/>
    <x v="0"/>
    <n v="1.9999999785795799E-3"/>
    <n v="0"/>
    <n v="57"/>
    <n v="-57"/>
    <x v="1"/>
    <x v="0"/>
    <m/>
    <x v="0"/>
    <m/>
    <x v="0"/>
    <m/>
    <x v="0"/>
    <x v="0"/>
    <x v="0"/>
    <x v="0"/>
    <m/>
    <n v="57"/>
    <n v="0"/>
    <n v="57"/>
    <x v="1"/>
    <m/>
  </r>
  <r>
    <x v="2"/>
    <x v="5"/>
    <x v="5"/>
    <x v="1"/>
    <n v="4509"/>
    <x v="241"/>
    <x v="8"/>
    <n v="1.12999999523163"/>
    <n v="529156"/>
    <n v="177572"/>
    <s v="2.1.6"/>
    <x v="275"/>
    <s v="POLA"/>
    <d v="2016-02-08T00:00:00"/>
    <x v="220"/>
    <m/>
    <d v="2016-02-24T00:00:00"/>
    <s v="Nil"/>
    <m/>
    <m/>
    <s v="Demolition of the existing waste transfer station and associated structures; retention of the existing dock and the redevelopment of the site to provide a new enclosed waste transfer station and associated facilities (Use Class sui generis), with new buildings above the waste transfer station containing residential and ancillary residential facilities (Use Class C3); provision of areas of hard and soft landscaping and a new riverfront path; works to provide vehicular accesses on Cringle Street; provision of basement car parking, related works to integrate the development with the adjoining Battersea Power Station masterplan development and other associated works. (Application for outline planning permission with detailed elements provided in relation to the new waste transfer station). An Environmental Statement has been submitted with the application under the Town and Country Planning (Environmental Impact Assessment) (Amendment) Regulations 2015."/>
    <x v="271"/>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56000000238418701"/>
    <n v="11078"/>
    <n v="8799"/>
    <n v="2279"/>
    <x v="1"/>
    <x v="0"/>
    <m/>
    <x v="0"/>
    <m/>
    <x v="0"/>
    <m/>
    <x v="1"/>
    <x v="0"/>
    <x v="0"/>
    <x v="0"/>
    <m/>
    <n v="57012"/>
    <n v="0"/>
    <n v="57012"/>
    <x v="1"/>
    <m/>
  </r>
  <r>
    <x v="2"/>
    <x v="0"/>
    <x v="0"/>
    <x v="1"/>
    <n v="4509"/>
    <x v="241"/>
    <x v="8"/>
    <n v="1.12999999523163"/>
    <n v="529156"/>
    <n v="177572"/>
    <s v="2.1.6"/>
    <x v="276"/>
    <s v="S73"/>
    <d v="2017-01-20T00:00:00"/>
    <x v="221"/>
    <s v="Y"/>
    <d v="2017-03-23T00:00:00"/>
    <s v="Nil"/>
    <m/>
    <m/>
    <s v="Application under Section 73 of the Town and Country Planning Act (as amended) for amendments to planning permission (ref:2015/6357) dated 4th July 2016 for demolition of the existing waste transfer station and associated structures; retention of the existing dock and redevelopment of the site to provide a new enclosed waste transfer station and associated facilities (use class Sui Generis) with new buildings located above the transfer station containing residential and ancillary residential facilities (Use Class C3); provision of areas of hard and soft landscaping and a new riverfront path; works to provide vehicular accesses on Cringle Street; provision of basement car parking, related works to integrate the development with the adjoining  Battersea Power Station Masterplan development and other associated works (application for outline planning permission with detailed elements provided in relation to the new waste transfer station). (The Amendments include the introduction of flexible A1/A3/D2 uses in place of the ancillary wharf use)."/>
    <x v="272"/>
    <s v="NB"/>
    <x v="0"/>
    <s v="NSO"/>
    <m/>
    <m/>
    <m/>
    <m/>
    <s v="C"/>
    <s v="BF"/>
    <x v="0"/>
    <m/>
    <m/>
    <m/>
    <n v="1585"/>
    <m/>
    <n v="1585"/>
    <m/>
    <m/>
    <n v="3170"/>
    <m/>
    <m/>
    <m/>
    <m/>
    <m/>
    <m/>
    <m/>
    <m/>
    <n v="1584"/>
    <n v="1584"/>
    <m/>
    <m/>
    <m/>
    <m/>
    <m/>
    <m/>
    <m/>
    <m/>
    <m/>
    <m/>
    <m/>
    <m/>
    <m/>
    <m/>
    <m/>
    <x v="1"/>
    <x v="0"/>
    <x v="0"/>
    <n v="1585"/>
    <m/>
    <n v="1585"/>
    <m/>
    <m/>
    <n v="3170"/>
    <m/>
    <x v="0"/>
    <m/>
    <m/>
    <m/>
    <m/>
    <m/>
    <x v="0"/>
    <m/>
    <m/>
    <n v="1584"/>
    <n v="1584"/>
    <s v="Not Known"/>
    <s v="-"/>
    <s v="Not Known"/>
    <s v="-"/>
    <s v="-"/>
    <s v="-"/>
    <s v="-"/>
    <s v="-"/>
    <s v="-"/>
    <s v="-"/>
    <s v="-"/>
    <x v="1"/>
    <x v="3"/>
    <s v="-"/>
    <s v="-"/>
    <s v="-"/>
    <s v="-"/>
    <s v="-"/>
    <s v="-"/>
    <s v="-"/>
    <s v="-"/>
    <s v="-"/>
    <s v="-"/>
    <s v="-"/>
    <x v="0"/>
    <x v="0"/>
    <n v="0"/>
    <n v="4754"/>
    <n v="3136"/>
    <n v="1618"/>
    <x v="1"/>
    <x v="0"/>
    <m/>
    <x v="0"/>
    <m/>
    <x v="0"/>
    <m/>
    <x v="1"/>
    <x v="0"/>
    <x v="0"/>
    <x v="0"/>
    <m/>
    <n v="0"/>
    <n v="0"/>
    <n v="0"/>
    <x v="0"/>
    <m/>
  </r>
  <r>
    <x v="2"/>
    <x v="2"/>
    <x v="2"/>
    <x v="1"/>
    <n v="4513"/>
    <x v="242"/>
    <x v="7"/>
    <n v="0.38999998569488498"/>
    <n v="525336"/>
    <n v="175122"/>
    <s v="3.3.3"/>
    <x v="277"/>
    <s v="PANR"/>
    <d v="2016-12-19T00:00:00"/>
    <x v="222"/>
    <m/>
    <m/>
    <s v="Nil"/>
    <m/>
    <m/>
    <s v="Demolition of former industrial buildings."/>
    <x v="273"/>
    <s v="NB"/>
    <x v="0"/>
    <s v="NSO"/>
    <m/>
    <m/>
    <m/>
    <m/>
    <s v="C"/>
    <s v="BF"/>
    <x v="0"/>
    <m/>
    <m/>
    <m/>
    <m/>
    <m/>
    <m/>
    <m/>
    <m/>
    <m/>
    <m/>
    <m/>
    <m/>
    <m/>
    <m/>
    <m/>
    <m/>
    <m/>
    <m/>
    <m/>
    <m/>
    <m/>
    <m/>
    <m/>
    <m/>
    <m/>
    <n v="1261"/>
    <m/>
    <m/>
    <n v="1261"/>
    <n v="1261"/>
    <n v="3783"/>
    <m/>
    <m/>
    <m/>
    <x v="0"/>
    <x v="1"/>
    <x v="1"/>
    <m/>
    <m/>
    <m/>
    <m/>
    <m/>
    <m/>
    <n v="-1261"/>
    <x v="1"/>
    <m/>
    <m/>
    <n v="-1261"/>
    <n v="-1261"/>
    <n v="-3783"/>
    <x v="1"/>
    <m/>
    <m/>
    <m/>
    <m/>
    <s v="-"/>
    <s v="-"/>
    <s v="-"/>
    <s v="-"/>
    <s v="-"/>
    <s v="-"/>
    <s v="-"/>
    <s v="-"/>
    <s v="-"/>
    <s v="-"/>
    <s v="-"/>
    <x v="1"/>
    <x v="0"/>
    <s v="-"/>
    <s v="-"/>
    <s v="-"/>
    <s v="-"/>
    <s v="-"/>
    <s v="Not Known"/>
    <s v="-"/>
    <s v="-"/>
    <s v="General Industry"/>
    <s v="Storage"/>
    <s v="-"/>
    <x v="0"/>
    <x v="0"/>
    <n v="0.38999998569488498"/>
    <n v="3783"/>
    <n v="3783"/>
    <n v="0"/>
    <x v="1"/>
    <x v="0"/>
    <m/>
    <x v="0"/>
    <m/>
    <x v="1"/>
    <s v="Osiers Road"/>
    <x v="0"/>
    <x v="0"/>
    <x v="0"/>
    <x v="0"/>
    <m/>
    <n v="0"/>
    <n v="0"/>
    <n v="0"/>
    <x v="0"/>
    <m/>
  </r>
  <r>
    <x v="1"/>
    <x v="4"/>
    <x v="4"/>
    <x v="1"/>
    <n v="4554"/>
    <x v="243"/>
    <x v="10"/>
    <n v="0.43599998950958302"/>
    <n v="524645"/>
    <n v="174015"/>
    <m/>
    <x v="278"/>
    <s v="SLA"/>
    <d v="2015-11-27T00:00:00"/>
    <x v="1"/>
    <m/>
    <d v="2016-03-23T00:00:00"/>
    <s v="Nil"/>
    <m/>
    <m/>
    <s v="Redevelopment of part of the site including the partial demolition of existing west wing of the administration block and hall to create 1263 sqm of additional floorspace, including the erection of a two-storey extension to the administration block,  a new multi-purpose hall with single-storey extension for replacement kitchen, replacement garage and bin store, new facade and internal alterations to retained office accommodation, new vehicular access off Melrose Road and use of 65 Melrose Road as ancillary residential accommodation together with landscape improvements including felling of 5 trees."/>
    <x v="274"/>
    <s v="NB"/>
    <x v="0"/>
    <s v="NSO"/>
    <m/>
    <m/>
    <m/>
    <m/>
    <s v="P"/>
    <s v="BF"/>
    <x v="0"/>
    <m/>
    <m/>
    <m/>
    <m/>
    <m/>
    <m/>
    <m/>
    <m/>
    <m/>
    <n v="987"/>
    <m/>
    <m/>
    <n v="987"/>
    <m/>
    <m/>
    <n v="987"/>
    <n v="1231"/>
    <m/>
    <n v="1231"/>
    <m/>
    <m/>
    <m/>
    <m/>
    <m/>
    <m/>
    <n v="242"/>
    <m/>
    <m/>
    <m/>
    <m/>
    <n v="242"/>
    <n v="954"/>
    <m/>
    <n v="954"/>
    <x v="0"/>
    <x v="1"/>
    <x v="0"/>
    <m/>
    <m/>
    <m/>
    <m/>
    <m/>
    <m/>
    <n v="745"/>
    <x v="0"/>
    <m/>
    <m/>
    <m/>
    <m/>
    <n v="745"/>
    <x v="0"/>
    <m/>
    <n v="277"/>
    <m/>
    <n v="277"/>
    <s v="-"/>
    <s v="-"/>
    <s v="-"/>
    <s v="-"/>
    <s v="-"/>
    <s v="Other"/>
    <s v="-"/>
    <s v="-"/>
    <s v="-"/>
    <s v="-"/>
    <s v="-"/>
    <x v="4"/>
    <x v="0"/>
    <s v="-"/>
    <s v="-"/>
    <s v="-"/>
    <s v="-"/>
    <s v="-"/>
    <s v="Other"/>
    <s v="-"/>
    <s v="-"/>
    <s v="-"/>
    <s v="-"/>
    <s v="-"/>
    <x v="3"/>
    <x v="0"/>
    <n v="0.43599998950958302"/>
    <n v="3134"/>
    <n v="1871"/>
    <n v="1263"/>
    <x v="0"/>
    <x v="0"/>
    <m/>
    <x v="0"/>
    <m/>
    <x v="0"/>
    <m/>
    <x v="0"/>
    <x v="0"/>
    <x v="0"/>
    <x v="0"/>
    <m/>
    <n v="0"/>
    <n v="0"/>
    <n v="0"/>
    <x v="0"/>
    <m/>
  </r>
  <r>
    <x v="3"/>
    <x v="2"/>
    <x v="2"/>
    <x v="1"/>
    <n v="4592"/>
    <x v="244"/>
    <x v="12"/>
    <n v="0.11900000274181401"/>
    <n v="525349"/>
    <n v="174610"/>
    <m/>
    <x v="279"/>
    <s v="PAG"/>
    <d v="2016-05-03T00:00:00"/>
    <x v="223"/>
    <m/>
    <m/>
    <s v="Nil"/>
    <m/>
    <m/>
    <s v="Change of use of offices on part of ground, mezzanine and first floor and all other upper levels (2-4) from (Class B1a) to residential (Class C3) to provide 61 residential units."/>
    <x v="275"/>
    <s v="COU"/>
    <x v="2"/>
    <s v="UC"/>
    <m/>
    <d v="2018-03-31T00:00:00"/>
    <m/>
    <m/>
    <s v="C"/>
    <s v="BF"/>
    <x v="0"/>
    <m/>
    <d v="2018-03-31T00:00:00"/>
    <m/>
    <m/>
    <m/>
    <m/>
    <m/>
    <m/>
    <m/>
    <m/>
    <m/>
    <m/>
    <m/>
    <m/>
    <m/>
    <m/>
    <m/>
    <m/>
    <m/>
    <m/>
    <m/>
    <m/>
    <m/>
    <m/>
    <m/>
    <n v="3723"/>
    <m/>
    <m/>
    <m/>
    <m/>
    <n v="3723"/>
    <m/>
    <m/>
    <m/>
    <x v="0"/>
    <x v="1"/>
    <x v="1"/>
    <m/>
    <m/>
    <m/>
    <m/>
    <m/>
    <m/>
    <n v="-3723"/>
    <x v="1"/>
    <m/>
    <m/>
    <m/>
    <m/>
    <n v="-3723"/>
    <x v="1"/>
    <m/>
    <m/>
    <m/>
    <m/>
    <s v="-"/>
    <s v="-"/>
    <s v="-"/>
    <s v="-"/>
    <s v="-"/>
    <s v="-"/>
    <s v="-"/>
    <s v="-"/>
    <s v="-"/>
    <s v="-"/>
    <s v="-"/>
    <x v="1"/>
    <x v="0"/>
    <s v="-"/>
    <s v="-"/>
    <s v="-"/>
    <s v="-"/>
    <s v="-"/>
    <s v="Not Known"/>
    <s v="-"/>
    <s v="-"/>
    <s v="-"/>
    <s v="-"/>
    <s v="-"/>
    <x v="0"/>
    <x v="0"/>
    <n v="2.4000003933906902E-2"/>
    <n v="0"/>
    <n v="3723"/>
    <n v="-3723"/>
    <x v="0"/>
    <x v="0"/>
    <m/>
    <x v="0"/>
    <m/>
    <x v="0"/>
    <m/>
    <x v="0"/>
    <x v="1"/>
    <x v="4"/>
    <x v="0"/>
    <m/>
    <n v="3723"/>
    <n v="0"/>
    <n v="3723"/>
    <x v="1"/>
    <m/>
  </r>
  <r>
    <x v="1"/>
    <x v="0"/>
    <x v="0"/>
    <x v="1"/>
    <n v="4620"/>
    <x v="245"/>
    <x v="7"/>
    <n v="0.15000000596046401"/>
    <n v="524407"/>
    <n v="175278"/>
    <m/>
    <x v="280"/>
    <s v="AF"/>
    <d v="2018-02-22T00:00:00"/>
    <x v="1"/>
    <m/>
    <m/>
    <s v="Nil"/>
    <m/>
    <m/>
    <s v="Change of use of part of the ground floor from retail (Class A1) to office (Class B1) including internal alterations."/>
    <x v="276"/>
    <s v="COU"/>
    <x v="2"/>
    <s v="NSO"/>
    <m/>
    <m/>
    <m/>
    <m/>
    <s v="P"/>
    <s v="BF"/>
    <x v="0"/>
    <m/>
    <m/>
    <m/>
    <m/>
    <m/>
    <m/>
    <m/>
    <m/>
    <m/>
    <n v="48"/>
    <m/>
    <m/>
    <n v="48"/>
    <m/>
    <m/>
    <n v="48"/>
    <m/>
    <m/>
    <m/>
    <n v="48"/>
    <m/>
    <m/>
    <m/>
    <m/>
    <n v="48"/>
    <m/>
    <m/>
    <m/>
    <m/>
    <m/>
    <m/>
    <m/>
    <m/>
    <m/>
    <x v="1"/>
    <x v="1"/>
    <x v="1"/>
    <n v="-48"/>
    <m/>
    <m/>
    <m/>
    <m/>
    <n v="-48"/>
    <n v="48"/>
    <x v="0"/>
    <m/>
    <m/>
    <m/>
    <m/>
    <n v="48"/>
    <x v="0"/>
    <m/>
    <m/>
    <m/>
    <m/>
    <s v="-"/>
    <s v="-"/>
    <s v="-"/>
    <s v="-"/>
    <s v="-"/>
    <s v="Financial or Professional Services"/>
    <s v="-"/>
    <s v="-"/>
    <s v="-"/>
    <s v="-"/>
    <s v="-"/>
    <x v="1"/>
    <x v="0"/>
    <s v="Services"/>
    <s v="-"/>
    <s v="-"/>
    <s v="-"/>
    <s v="-"/>
    <s v="-"/>
    <s v="-"/>
    <s v="-"/>
    <s v="-"/>
    <s v="-"/>
    <s v="-"/>
    <x v="0"/>
    <x v="0"/>
    <n v="0.15000000596046401"/>
    <n v="48"/>
    <n v="48"/>
    <n v="0"/>
    <x v="0"/>
    <x v="0"/>
    <m/>
    <x v="0"/>
    <m/>
    <x v="0"/>
    <m/>
    <x v="0"/>
    <x v="0"/>
    <x v="0"/>
    <x v="0"/>
    <m/>
    <n v="0"/>
    <n v="0"/>
    <n v="0"/>
    <x v="0"/>
    <m/>
  </r>
  <r>
    <x v="3"/>
    <x v="0"/>
    <x v="0"/>
    <x v="1"/>
    <n v="4640"/>
    <x v="246"/>
    <x v="7"/>
    <n v="3.7999998778104803E-2"/>
    <n v="524103"/>
    <n v="175546"/>
    <m/>
    <x v="281"/>
    <s v="PF"/>
    <d v="2015-01-26T00:00:00"/>
    <x v="13"/>
    <m/>
    <m/>
    <s v="Nil"/>
    <m/>
    <m/>
    <s v="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
    <x v="277"/>
    <s v="MIX"/>
    <x v="0"/>
    <s v="UC"/>
    <m/>
    <d v="2017-04-27T00:00:00"/>
    <m/>
    <m/>
    <s v="C"/>
    <s v="BF"/>
    <x v="0"/>
    <m/>
    <d v="2017-04-27T00:00:00"/>
    <m/>
    <m/>
    <m/>
    <n v="457"/>
    <m/>
    <m/>
    <n v="457"/>
    <n v="278"/>
    <m/>
    <m/>
    <n v="278"/>
    <m/>
    <m/>
    <n v="278"/>
    <m/>
    <m/>
    <m/>
    <m/>
    <m/>
    <n v="448"/>
    <m/>
    <m/>
    <n v="448"/>
    <n v="267"/>
    <m/>
    <m/>
    <m/>
    <m/>
    <n v="267"/>
    <m/>
    <m/>
    <m/>
    <x v="1"/>
    <x v="1"/>
    <x v="1"/>
    <m/>
    <m/>
    <n v="9"/>
    <m/>
    <m/>
    <n v="9"/>
    <n v="11"/>
    <x v="0"/>
    <m/>
    <m/>
    <m/>
    <m/>
    <n v="11"/>
    <x v="0"/>
    <m/>
    <m/>
    <m/>
    <m/>
    <s v="-"/>
    <s v="-"/>
    <s v="Restaurant"/>
    <s v="-"/>
    <s v="-"/>
    <s v="Not Known"/>
    <s v="-"/>
    <s v="-"/>
    <s v="-"/>
    <s v="-"/>
    <s v="-"/>
    <x v="1"/>
    <x v="0"/>
    <s v="-"/>
    <s v="-"/>
    <s v="Restaurant"/>
    <s v="-"/>
    <s v="-"/>
    <s v="Not Known"/>
    <s v="-"/>
    <s v="-"/>
    <s v="-"/>
    <s v="-"/>
    <s v="-"/>
    <x v="0"/>
    <x v="0"/>
    <n v="2.6999998837709403E-2"/>
    <n v="735"/>
    <n v="715"/>
    <n v="20"/>
    <x v="0"/>
    <x v="0"/>
    <m/>
    <x v="0"/>
    <m/>
    <x v="0"/>
    <m/>
    <x v="0"/>
    <x v="1"/>
    <x v="2"/>
    <x v="0"/>
    <m/>
    <n v="312"/>
    <n v="0"/>
    <n v="312"/>
    <x v="1"/>
    <m/>
  </r>
  <r>
    <x v="2"/>
    <x v="0"/>
    <x v="0"/>
    <x v="1"/>
    <n v="4704"/>
    <x v="247"/>
    <x v="16"/>
    <n v="1.4000000432133701E-2"/>
    <n v="527580"/>
    <n v="171643"/>
    <s v="5.2"/>
    <x v="282"/>
    <s v="PF"/>
    <d v="2015-06-22T00:00:00"/>
    <x v="224"/>
    <m/>
    <m/>
    <s v="Nil"/>
    <m/>
    <m/>
    <s v="Erection of mansard roof extension to main front roof and external alterations to front elevation; erection of two-storey rear extension (with french doors and safety railings at second floor); formation of roof terrace at rear first floor level in conjunction with the conversion of the upper floors into two self-contained flats (2 x 2 bedroom units)."/>
    <x v="278"/>
    <s v="MIX"/>
    <x v="0"/>
    <s v="NSV"/>
    <m/>
    <m/>
    <m/>
    <m/>
    <s v="C"/>
    <s v="BF"/>
    <x v="0"/>
    <m/>
    <m/>
    <m/>
    <n v="125"/>
    <m/>
    <m/>
    <m/>
    <m/>
    <n v="125"/>
    <m/>
    <m/>
    <m/>
    <m/>
    <m/>
    <m/>
    <m/>
    <m/>
    <m/>
    <m/>
    <n v="135"/>
    <m/>
    <m/>
    <m/>
    <m/>
    <n v="135"/>
    <m/>
    <m/>
    <m/>
    <m/>
    <m/>
    <m/>
    <m/>
    <m/>
    <m/>
    <x v="1"/>
    <x v="0"/>
    <x v="1"/>
    <n v="-10"/>
    <m/>
    <m/>
    <m/>
    <m/>
    <n v="-10"/>
    <m/>
    <x v="0"/>
    <m/>
    <m/>
    <m/>
    <m/>
    <m/>
    <x v="0"/>
    <m/>
    <m/>
    <m/>
    <m/>
    <s v="Not Known"/>
    <s v="-"/>
    <s v="-"/>
    <s v="-"/>
    <s v="-"/>
    <s v="-"/>
    <s v="-"/>
    <s v="-"/>
    <s v="-"/>
    <s v="-"/>
    <s v="-"/>
    <x v="1"/>
    <x v="0"/>
    <s v="Not Known"/>
    <s v="-"/>
    <s v="-"/>
    <s v="-"/>
    <s v="-"/>
    <s v="-"/>
    <s v="-"/>
    <s v="-"/>
    <s v="-"/>
    <s v="-"/>
    <s v="-"/>
    <x v="0"/>
    <x v="0"/>
    <n v="6.0000000521540902E-3"/>
    <n v="125"/>
    <n v="235"/>
    <n v="-110"/>
    <x v="0"/>
    <x v="0"/>
    <m/>
    <x v="0"/>
    <m/>
    <x v="0"/>
    <m/>
    <x v="0"/>
    <x v="1"/>
    <x v="3"/>
    <x v="0"/>
    <m/>
    <n v="162"/>
    <n v="0"/>
    <n v="162"/>
    <x v="1"/>
    <m/>
  </r>
  <r>
    <x v="3"/>
    <x v="2"/>
    <x v="2"/>
    <x v="1"/>
    <n v="4707"/>
    <x v="248"/>
    <x v="12"/>
    <n v="6.0000000521540598E-3"/>
    <n v="525177"/>
    <n v="173402"/>
    <m/>
    <x v="283"/>
    <s v="PANR"/>
    <d v="2016-05-16T00:00:00"/>
    <x v="225"/>
    <m/>
    <m/>
    <s v="Nil"/>
    <m/>
    <m/>
    <s v="Determination as to whether prior approval is required for change of use of office at ground floor level from (Class B1a) to residential (Class C3) to provide 1 bedroom self-contained flat"/>
    <x v="279"/>
    <s v="COU"/>
    <x v="2"/>
    <s v="UC"/>
    <m/>
    <d v="2017-10-31T00:00:00"/>
    <m/>
    <m/>
    <s v="C"/>
    <s v="BF"/>
    <x v="0"/>
    <m/>
    <d v="2017-10-31T00:00:00"/>
    <m/>
    <m/>
    <m/>
    <m/>
    <m/>
    <m/>
    <m/>
    <m/>
    <m/>
    <m/>
    <m/>
    <m/>
    <m/>
    <m/>
    <m/>
    <m/>
    <m/>
    <m/>
    <m/>
    <m/>
    <m/>
    <m/>
    <m/>
    <n v="43"/>
    <m/>
    <m/>
    <m/>
    <m/>
    <n v="43"/>
    <m/>
    <m/>
    <m/>
    <x v="0"/>
    <x v="1"/>
    <x v="1"/>
    <m/>
    <m/>
    <m/>
    <m/>
    <m/>
    <m/>
    <n v="-43"/>
    <x v="1"/>
    <m/>
    <m/>
    <m/>
    <m/>
    <n v="-43"/>
    <x v="1"/>
    <m/>
    <m/>
    <m/>
    <m/>
    <s v="-"/>
    <s v="-"/>
    <s v="-"/>
    <s v="-"/>
    <s v="-"/>
    <s v="-"/>
    <s v="-"/>
    <s v="-"/>
    <s v="-"/>
    <s v="-"/>
    <s v="-"/>
    <x v="1"/>
    <x v="0"/>
    <s v="-"/>
    <s v="-"/>
    <s v="-"/>
    <s v="-"/>
    <s v="-"/>
    <s v="Vacant"/>
    <s v="-"/>
    <s v="-"/>
    <s v="-"/>
    <s v="-"/>
    <s v="-"/>
    <x v="0"/>
    <x v="0"/>
    <n v="3.9999999571591598E-3"/>
    <n v="0"/>
    <n v="43"/>
    <n v="-43"/>
    <x v="0"/>
    <x v="0"/>
    <m/>
    <x v="0"/>
    <m/>
    <x v="0"/>
    <m/>
    <x v="0"/>
    <x v="0"/>
    <x v="0"/>
    <x v="0"/>
    <m/>
    <n v="43"/>
    <n v="0"/>
    <n v="43"/>
    <x v="1"/>
    <m/>
  </r>
  <r>
    <x v="3"/>
    <x v="0"/>
    <x v="0"/>
    <x v="1"/>
    <n v="4717"/>
    <x v="249"/>
    <x v="5"/>
    <n v="0.67000001668930098"/>
    <n v="525735"/>
    <n v="174565"/>
    <s v="3.1.4"/>
    <x v="284"/>
    <s v="PFLA"/>
    <d v="2014-10-08T00:00:00"/>
    <x v="216"/>
    <m/>
    <d v="2014-12-16T00:00:00"/>
    <s v="Nil"/>
    <m/>
    <m/>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x v="280"/>
    <s v="NB"/>
    <x v="0"/>
    <s v="UC"/>
    <m/>
    <d v="2016-06-01T00:00:00"/>
    <m/>
    <m/>
    <s v="C"/>
    <s v="BF"/>
    <x v="0"/>
    <m/>
    <d v="2016-06-01T00:00:00"/>
    <m/>
    <n v="212"/>
    <n v="212"/>
    <n v="212"/>
    <n v="212"/>
    <n v="212"/>
    <n v="1060"/>
    <n v="210"/>
    <m/>
    <m/>
    <n v="210"/>
    <m/>
    <m/>
    <n v="210"/>
    <n v="1276"/>
    <m/>
    <n v="1276"/>
    <m/>
    <m/>
    <m/>
    <m/>
    <m/>
    <m/>
    <n v="5684"/>
    <m/>
    <m/>
    <m/>
    <m/>
    <n v="5684"/>
    <n v="7439"/>
    <m/>
    <n v="7439"/>
    <x v="1"/>
    <x v="1"/>
    <x v="0"/>
    <n v="212"/>
    <n v="212"/>
    <n v="212"/>
    <n v="212"/>
    <n v="212"/>
    <n v="1060"/>
    <n v="-5474"/>
    <x v="1"/>
    <m/>
    <m/>
    <m/>
    <m/>
    <n v="-5474"/>
    <x v="1"/>
    <m/>
    <n v="-6163"/>
    <m/>
    <n v="-6163"/>
    <s v="Not Known"/>
    <s v="Not Known"/>
    <s v="Not Known"/>
    <s v="Not Known"/>
    <s v="Not Known"/>
    <s v="Not Known"/>
    <s v="-"/>
    <s v="-"/>
    <s v="-"/>
    <s v="-"/>
    <s v="-"/>
    <x v="5"/>
    <x v="0"/>
    <s v="-"/>
    <s v="-"/>
    <s v="-"/>
    <s v="-"/>
    <s v="-"/>
    <s v="Other"/>
    <s v="-"/>
    <s v="-"/>
    <s v="-"/>
    <s v="-"/>
    <s v="-"/>
    <x v="6"/>
    <x v="0"/>
    <n v="-0.19499999284744296"/>
    <n v="2546"/>
    <n v="13123"/>
    <n v="-10577"/>
    <x v="0"/>
    <x v="0"/>
    <m/>
    <x v="0"/>
    <m/>
    <x v="0"/>
    <m/>
    <x v="0"/>
    <x v="1"/>
    <x v="4"/>
    <x v="0"/>
    <m/>
    <n v="14109"/>
    <n v="0"/>
    <n v="14109"/>
    <x v="1"/>
    <m/>
  </r>
  <r>
    <x v="3"/>
    <x v="0"/>
    <x v="0"/>
    <x v="1"/>
    <n v="4717"/>
    <x v="249"/>
    <x v="5"/>
    <n v="0.67000001668930098"/>
    <n v="525735"/>
    <n v="174565"/>
    <s v="3.1.4"/>
    <x v="285"/>
    <s v="S96A"/>
    <d v="2016-05-03T00:00:00"/>
    <x v="226"/>
    <m/>
    <m/>
    <s v="Nil"/>
    <m/>
    <m/>
    <s v="Non-material amendment to planning permission dated 08/07/2015 ref 2014/5149 (Demolition of existing buildings and erection of four new buildings ranging in height from 4 to 26 storeys to provide 201 residential units, 2,458sq.m of commercial floor space (Class A1,A2,A3, A4 and A5,B1(a) and D1 (relocation of Wandsworth Library) and associated parking, access routes, amenity space, public realm works and alterations to the adjacent Old Burial Ground on Garratt Lane) to removal and replacement of substations on site, reduce the height of blocks by between 300mm-1050mm, alterations to shopfront of block D, provision of caretaker room  in block D, alteration to access of basement car park; reconfigured basement plan including increase in car parking spaces; relocation od staircase in block A; alterations to layout of residential units; removal of one lift in block A; basement extract ventilation proposed to block A/ B; lift over-run and roof plant indicated; alterations to fenestration; increase in gym floorspace and commercial bin store provided in block D."/>
    <x v="281"/>
    <s v="CON"/>
    <x v="2"/>
    <s v="UC"/>
    <m/>
    <d v="2016-07-05T00:00:00"/>
    <m/>
    <m/>
    <s v="C"/>
    <s v="BF"/>
    <x v="0"/>
    <m/>
    <d v="2016-07-05T00:00:00"/>
    <m/>
    <n v="93"/>
    <n v="93"/>
    <n v="93"/>
    <n v="92"/>
    <n v="92"/>
    <n v="463"/>
    <n v="92"/>
    <m/>
    <m/>
    <n v="92"/>
    <m/>
    <m/>
    <n v="92"/>
    <n v="130"/>
    <m/>
    <n v="130"/>
    <n v="82"/>
    <n v="82"/>
    <n v="82"/>
    <n v="81"/>
    <n v="81"/>
    <n v="408"/>
    <n v="81"/>
    <m/>
    <m/>
    <m/>
    <m/>
    <n v="81"/>
    <n v="83"/>
    <m/>
    <n v="83"/>
    <x v="1"/>
    <x v="1"/>
    <x v="0"/>
    <n v="11"/>
    <n v="11"/>
    <n v="11"/>
    <n v="11"/>
    <n v="11"/>
    <n v="55"/>
    <n v="11"/>
    <x v="0"/>
    <m/>
    <m/>
    <m/>
    <m/>
    <n v="11"/>
    <x v="0"/>
    <m/>
    <n v="47"/>
    <m/>
    <n v="47"/>
    <s v="Not Known"/>
    <s v="Not Known"/>
    <s v="Not Known"/>
    <s v="Not Known"/>
    <s v="Not Known"/>
    <s v="Not Known"/>
    <s v="-"/>
    <s v="-"/>
    <s v="-"/>
    <s v="-"/>
    <s v="-"/>
    <x v="2"/>
    <x v="0"/>
    <s v="Not Known"/>
    <s v="Not Known"/>
    <s v="Not Known"/>
    <s v="Not Known"/>
    <s v="Not Known"/>
    <s v="Not Known"/>
    <s v="-"/>
    <s v="-"/>
    <s v="-"/>
    <s v="-"/>
    <s v="-"/>
    <x v="2"/>
    <x v="0"/>
    <n v="0"/>
    <n v="685"/>
    <n v="572"/>
    <n v="113"/>
    <x v="0"/>
    <x v="0"/>
    <m/>
    <x v="0"/>
    <m/>
    <x v="0"/>
    <m/>
    <x v="0"/>
    <x v="1"/>
    <x v="4"/>
    <x v="0"/>
    <m/>
    <n v="7"/>
    <n v="0"/>
    <n v="7"/>
    <x v="1"/>
    <m/>
  </r>
  <r>
    <x v="3"/>
    <x v="0"/>
    <x v="0"/>
    <x v="1"/>
    <n v="4718"/>
    <x v="250"/>
    <x v="8"/>
    <n v="5.71000003814697"/>
    <n v="529643"/>
    <n v="177593"/>
    <s v="2.1.16"/>
    <x v="286"/>
    <s v="S73"/>
    <d v="2014-03-03T00:00:00"/>
    <x v="227"/>
    <m/>
    <m/>
    <s v="Nil"/>
    <m/>
    <m/>
    <s v="Minor-material amendments (under S73 of Town and Country Planning Act) to pp_x000d__x000a_2011/1815 granted 30/03/2012 for demolition of all existing buildings and_x000d__x000a_construction of a mixed use redevelopment to provide residential units, including_x000d__x000a_affordable housing, retail, financial and professional services, cafe/restaurant, bar_x000d__x000a_and hot food take-away uses, car showrooms, office floorspace and flexible_x000d__x000a_workspace, a hotel, community uses and assembly and leisure uses, associated_x000d__x000a_basement and ground level parking and servicing; energy centres; new vehicle and_x000d__x000a_pedestrian access and circulation; and new public amenity space and landscaping_x000d__x000a_including part of the 'Linear Park'.  Amendments relate to plot A09 only, and include introduction of business centre and resident's cinema at ground floor level, and relocating swimming pool to first floor podium level, and elevational changes.  Involving amendments to conditions 61 (approved drawings) and 10 part J (assembly  &amp; leisure maximum floorspace)."/>
    <x v="282"/>
    <s v="NB"/>
    <x v="0"/>
    <s v="UC"/>
    <m/>
    <d v="2013-01-01T00:00:00"/>
    <m/>
    <m/>
    <s v="C"/>
    <s v="BF"/>
    <x v="20"/>
    <s v="C"/>
    <d v="2013-01-01T00:00:00"/>
    <m/>
    <m/>
    <m/>
    <m/>
    <m/>
    <m/>
    <m/>
    <m/>
    <m/>
    <m/>
    <m/>
    <m/>
    <m/>
    <m/>
    <m/>
    <m/>
    <m/>
    <m/>
    <m/>
    <m/>
    <m/>
    <m/>
    <m/>
    <m/>
    <m/>
    <m/>
    <m/>
    <n v="33607"/>
    <n v="33607"/>
    <m/>
    <m/>
    <m/>
    <x v="0"/>
    <x v="1"/>
    <x v="1"/>
    <m/>
    <m/>
    <m/>
    <m/>
    <m/>
    <m/>
    <m/>
    <x v="0"/>
    <m/>
    <m/>
    <m/>
    <n v="-33607"/>
    <n v="-33607"/>
    <x v="1"/>
    <m/>
    <m/>
    <m/>
    <m/>
    <s v="-"/>
    <s v="-"/>
    <s v="-"/>
    <s v="-"/>
    <s v="-"/>
    <s v="-"/>
    <s v="-"/>
    <s v="-"/>
    <s v="-"/>
    <s v="-"/>
    <s v="-"/>
    <x v="1"/>
    <x v="0"/>
    <s v="-"/>
    <s v="-"/>
    <s v="-"/>
    <s v="-"/>
    <s v="-"/>
    <s v="-"/>
    <s v="-"/>
    <s v="-"/>
    <s v="-"/>
    <s v="Storage"/>
    <s v="-"/>
    <x v="0"/>
    <x v="0"/>
    <n v="0"/>
    <n v="0"/>
    <n v="33607"/>
    <n v="-33607"/>
    <x v="0"/>
    <x v="0"/>
    <m/>
    <x v="0"/>
    <m/>
    <x v="0"/>
    <m/>
    <x v="1"/>
    <x v="0"/>
    <x v="0"/>
    <x v="0"/>
    <m/>
    <n v="0"/>
    <n v="0"/>
    <n v="0"/>
    <x v="0"/>
    <m/>
  </r>
  <r>
    <x v="3"/>
    <x v="0"/>
    <x v="0"/>
    <x v="1"/>
    <n v="4718"/>
    <x v="250"/>
    <x v="8"/>
    <n v="5.71000003814697"/>
    <n v="529643"/>
    <n v="177593"/>
    <s v="2.1.16"/>
    <x v="287"/>
    <s v="DT"/>
    <d v="2015-08-13T00:00:00"/>
    <x v="228"/>
    <s v="Y"/>
    <m/>
    <s v="Nil"/>
    <m/>
    <m/>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x v="283"/>
    <s v="NB"/>
    <x v="0"/>
    <s v="UC"/>
    <m/>
    <d v="2016-09-01T00:00:00"/>
    <m/>
    <m/>
    <s v="C"/>
    <s v="BF"/>
    <x v="27"/>
    <s v="C"/>
    <d v="2016-09-01T00:00:00"/>
    <m/>
    <n v="121"/>
    <n v="121"/>
    <n v="121"/>
    <n v="120"/>
    <n v="120"/>
    <n v="603"/>
    <n v="414"/>
    <m/>
    <m/>
    <n v="414"/>
    <m/>
    <m/>
    <n v="414"/>
    <m/>
    <m/>
    <m/>
    <m/>
    <m/>
    <m/>
    <m/>
    <m/>
    <m/>
    <m/>
    <m/>
    <m/>
    <m/>
    <m/>
    <m/>
    <m/>
    <m/>
    <m/>
    <x v="1"/>
    <x v="1"/>
    <x v="1"/>
    <n v="121"/>
    <n v="121"/>
    <n v="121"/>
    <n v="120"/>
    <n v="120"/>
    <n v="603"/>
    <n v="414"/>
    <x v="0"/>
    <m/>
    <m/>
    <m/>
    <m/>
    <n v="414"/>
    <x v="0"/>
    <m/>
    <m/>
    <m/>
    <m/>
    <s v="-"/>
    <s v="-"/>
    <s v="-"/>
    <s v="-"/>
    <s v="-"/>
    <s v="-"/>
    <s v="-"/>
    <s v="-"/>
    <s v="-"/>
    <s v="-"/>
    <s v="-"/>
    <x v="1"/>
    <x v="0"/>
    <s v="-"/>
    <s v="-"/>
    <s v="-"/>
    <s v="-"/>
    <s v="-"/>
    <s v="-"/>
    <s v="-"/>
    <s v="-"/>
    <s v="-"/>
    <s v="-"/>
    <s v="-"/>
    <x v="0"/>
    <x v="0"/>
    <n v="0"/>
    <n v="1017"/>
    <n v="0"/>
    <n v="1017"/>
    <x v="0"/>
    <x v="0"/>
    <m/>
    <x v="0"/>
    <m/>
    <x v="0"/>
    <m/>
    <x v="1"/>
    <x v="0"/>
    <x v="0"/>
    <x v="0"/>
    <m/>
    <n v="29259"/>
    <n v="0"/>
    <n v="29259"/>
    <x v="1"/>
    <m/>
  </r>
  <r>
    <x v="3"/>
    <x v="0"/>
    <x v="0"/>
    <x v="1"/>
    <n v="4718"/>
    <x v="250"/>
    <x v="8"/>
    <n v="5.71000003814697"/>
    <n v="529643"/>
    <n v="177593"/>
    <s v="2.1.16"/>
    <x v="287"/>
    <s v="DT"/>
    <d v="2015-08-13T00:00:00"/>
    <x v="228"/>
    <s v="Y"/>
    <m/>
    <s v="Nil"/>
    <m/>
    <m/>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x v="283"/>
    <s v="NB"/>
    <x v="0"/>
    <s v="UC"/>
    <m/>
    <d v="2016-09-01T00:00:00"/>
    <m/>
    <m/>
    <s v="C"/>
    <s v="BF"/>
    <x v="28"/>
    <s v="C"/>
    <d v="2016-09-01T00:00:00"/>
    <m/>
    <n v="125"/>
    <n v="125"/>
    <n v="125"/>
    <n v="124"/>
    <n v="124"/>
    <n v="623"/>
    <n v="80"/>
    <m/>
    <m/>
    <n v="80"/>
    <m/>
    <m/>
    <n v="80"/>
    <m/>
    <m/>
    <m/>
    <m/>
    <m/>
    <m/>
    <m/>
    <m/>
    <m/>
    <m/>
    <m/>
    <m/>
    <m/>
    <m/>
    <m/>
    <m/>
    <m/>
    <m/>
    <x v="1"/>
    <x v="1"/>
    <x v="1"/>
    <n v="125"/>
    <n v="125"/>
    <n v="125"/>
    <n v="124"/>
    <n v="124"/>
    <n v="623"/>
    <n v="80"/>
    <x v="0"/>
    <m/>
    <m/>
    <m/>
    <m/>
    <n v="80"/>
    <x v="0"/>
    <m/>
    <m/>
    <m/>
    <m/>
    <s v="-"/>
    <s v="-"/>
    <s v="-"/>
    <s v="-"/>
    <s v="-"/>
    <s v="-"/>
    <s v="-"/>
    <s v="-"/>
    <s v="-"/>
    <s v="-"/>
    <s v="-"/>
    <x v="1"/>
    <x v="0"/>
    <s v="-"/>
    <s v="-"/>
    <s v="-"/>
    <s v="-"/>
    <s v="-"/>
    <s v="-"/>
    <s v="-"/>
    <s v="-"/>
    <s v="-"/>
    <s v="-"/>
    <s v="-"/>
    <x v="0"/>
    <x v="0"/>
    <n v="0"/>
    <n v="703"/>
    <n v="0"/>
    <n v="703"/>
    <x v="0"/>
    <x v="0"/>
    <m/>
    <x v="0"/>
    <m/>
    <x v="0"/>
    <m/>
    <x v="1"/>
    <x v="0"/>
    <x v="0"/>
    <x v="0"/>
    <m/>
    <n v="26323"/>
    <n v="0"/>
    <n v="26323"/>
    <x v="1"/>
    <m/>
  </r>
  <r>
    <x v="3"/>
    <x v="0"/>
    <x v="0"/>
    <x v="1"/>
    <n v="4718"/>
    <x v="250"/>
    <x v="8"/>
    <n v="5.71000003814697"/>
    <n v="529643"/>
    <n v="177593"/>
    <s v="2.1.16"/>
    <x v="287"/>
    <s v="DT"/>
    <d v="2015-08-13T00:00:00"/>
    <x v="228"/>
    <s v="Y"/>
    <m/>
    <s v="Nil"/>
    <m/>
    <m/>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x v="283"/>
    <s v="NB"/>
    <x v="0"/>
    <s v="UC"/>
    <m/>
    <d v="2016-09-01T00:00:00"/>
    <m/>
    <m/>
    <s v="C"/>
    <s v="BF"/>
    <x v="29"/>
    <s v="C"/>
    <d v="2016-09-01T00:00:00"/>
    <m/>
    <n v="128"/>
    <n v="128"/>
    <n v="128"/>
    <n v="127"/>
    <n v="127"/>
    <n v="638"/>
    <n v="613"/>
    <m/>
    <m/>
    <n v="613"/>
    <m/>
    <m/>
    <n v="613"/>
    <n v="375"/>
    <n v="376"/>
    <n v="751"/>
    <m/>
    <m/>
    <m/>
    <m/>
    <m/>
    <m/>
    <m/>
    <m/>
    <m/>
    <m/>
    <m/>
    <m/>
    <m/>
    <m/>
    <m/>
    <x v="1"/>
    <x v="1"/>
    <x v="0"/>
    <n v="128"/>
    <n v="128"/>
    <n v="128"/>
    <n v="127"/>
    <n v="127"/>
    <n v="638"/>
    <n v="613"/>
    <x v="0"/>
    <m/>
    <m/>
    <m/>
    <m/>
    <n v="613"/>
    <x v="0"/>
    <m/>
    <n v="375"/>
    <n v="376"/>
    <n v="751"/>
    <s v="-"/>
    <s v="-"/>
    <s v="-"/>
    <s v="-"/>
    <s v="-"/>
    <s v="-"/>
    <s v="-"/>
    <s v="-"/>
    <s v="-"/>
    <s v="-"/>
    <s v="-"/>
    <x v="1"/>
    <x v="0"/>
    <s v="-"/>
    <s v="-"/>
    <s v="-"/>
    <s v="-"/>
    <s v="-"/>
    <s v="-"/>
    <s v="-"/>
    <s v="-"/>
    <s v="-"/>
    <s v="-"/>
    <s v="-"/>
    <x v="0"/>
    <x v="0"/>
    <n v="0"/>
    <n v="2002"/>
    <n v="0"/>
    <n v="2002"/>
    <x v="0"/>
    <x v="0"/>
    <m/>
    <x v="0"/>
    <m/>
    <x v="0"/>
    <m/>
    <x v="1"/>
    <x v="0"/>
    <x v="0"/>
    <x v="0"/>
    <m/>
    <n v="35518"/>
    <n v="0"/>
    <n v="35518"/>
    <x v="1"/>
    <m/>
  </r>
  <r>
    <x v="2"/>
    <x v="5"/>
    <x v="5"/>
    <x v="1"/>
    <n v="4718"/>
    <x v="250"/>
    <x v="8"/>
    <n v="5.71000003814697"/>
    <n v="529643"/>
    <n v="177593"/>
    <s v="2.1.16"/>
    <x v="288"/>
    <s v="S73"/>
    <d v="2015-10-06T00:00:00"/>
    <x v="229"/>
    <s v="Y"/>
    <d v="2015-12-15T00:00:00"/>
    <s v="Nil"/>
    <m/>
    <m/>
    <s v="Proposal seeks amendments to the approved development specification and condition 10; revised ground uses parameter plan; revised vertical parameter plan and revised horizontal parameter plan."/>
    <x v="284"/>
    <s v="NB"/>
    <x v="0"/>
    <s v="NSO"/>
    <m/>
    <m/>
    <m/>
    <m/>
    <s v="C"/>
    <s v="BF"/>
    <x v="30"/>
    <s v="C"/>
    <m/>
    <m/>
    <n v="305"/>
    <n v="305"/>
    <n v="305"/>
    <n v="305"/>
    <n v="306"/>
    <n v="1526"/>
    <n v="29"/>
    <m/>
    <m/>
    <n v="29"/>
    <m/>
    <m/>
    <n v="29"/>
    <m/>
    <m/>
    <m/>
    <m/>
    <m/>
    <m/>
    <m/>
    <m/>
    <m/>
    <m/>
    <m/>
    <m/>
    <m/>
    <m/>
    <m/>
    <m/>
    <m/>
    <m/>
    <x v="1"/>
    <x v="1"/>
    <x v="1"/>
    <n v="305"/>
    <n v="305"/>
    <n v="305"/>
    <n v="305"/>
    <n v="306"/>
    <n v="1526"/>
    <n v="29"/>
    <x v="0"/>
    <m/>
    <m/>
    <m/>
    <m/>
    <n v="29"/>
    <x v="0"/>
    <n v="16450"/>
    <m/>
    <m/>
    <m/>
    <s v="-"/>
    <s v="-"/>
    <s v="-"/>
    <s v="-"/>
    <s v="-"/>
    <s v="-"/>
    <s v="-"/>
    <s v="-"/>
    <s v="-"/>
    <s v="-"/>
    <s v="-"/>
    <x v="1"/>
    <x v="0"/>
    <s v="-"/>
    <s v="-"/>
    <s v="-"/>
    <s v="-"/>
    <s v="-"/>
    <s v="-"/>
    <s v="-"/>
    <s v="-"/>
    <s v="-"/>
    <s v="-"/>
    <s v="-"/>
    <x v="0"/>
    <x v="0"/>
    <n v="0"/>
    <n v="19140"/>
    <n v="0"/>
    <n v="19140"/>
    <x v="0"/>
    <x v="0"/>
    <m/>
    <x v="0"/>
    <m/>
    <x v="0"/>
    <m/>
    <x v="1"/>
    <x v="0"/>
    <x v="0"/>
    <x v="0"/>
    <m/>
    <n v="0"/>
    <n v="0"/>
    <n v="0"/>
    <x v="0"/>
    <m/>
  </r>
  <r>
    <x v="3"/>
    <x v="0"/>
    <x v="0"/>
    <x v="1"/>
    <n v="4718"/>
    <x v="250"/>
    <x v="8"/>
    <n v="5.71000003814697"/>
    <n v="529643"/>
    <n v="177593"/>
    <s v="2.1.16"/>
    <x v="289"/>
    <s v="DT"/>
    <d v="2015-10-06T00:00:00"/>
    <x v="230"/>
    <s v="Y"/>
    <d v="2015-12-15T00:00:00"/>
    <s v="Nil"/>
    <m/>
    <m/>
    <s v="Details of Reserved Matters (scale, layout, access, external appearance and landscaping) for plot A01 of Phase 3,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x v="285"/>
    <s v="NB"/>
    <x v="0"/>
    <s v="UC"/>
    <m/>
    <d v="2017-08-14T00:00:00"/>
    <m/>
    <m/>
    <s v="C"/>
    <s v="BF"/>
    <x v="31"/>
    <s v="C"/>
    <d v="2017-08-14T00:00:00"/>
    <m/>
    <n v="29"/>
    <n v="29"/>
    <n v="29"/>
    <n v="30"/>
    <n v="30"/>
    <n v="147"/>
    <n v="802"/>
    <m/>
    <m/>
    <n v="802"/>
    <m/>
    <m/>
    <n v="802"/>
    <m/>
    <m/>
    <m/>
    <m/>
    <m/>
    <m/>
    <m/>
    <m/>
    <m/>
    <m/>
    <m/>
    <m/>
    <m/>
    <m/>
    <m/>
    <m/>
    <m/>
    <m/>
    <x v="1"/>
    <x v="1"/>
    <x v="1"/>
    <n v="29"/>
    <n v="29"/>
    <n v="29"/>
    <n v="30"/>
    <n v="30"/>
    <n v="147"/>
    <n v="802"/>
    <x v="0"/>
    <m/>
    <m/>
    <m/>
    <m/>
    <n v="802"/>
    <x v="0"/>
    <m/>
    <m/>
    <m/>
    <m/>
    <s v="-"/>
    <s v="-"/>
    <s v="-"/>
    <s v="-"/>
    <s v="-"/>
    <s v="-"/>
    <s v="-"/>
    <s v="-"/>
    <s v="-"/>
    <s v="-"/>
    <s v="-"/>
    <x v="1"/>
    <x v="0"/>
    <s v="-"/>
    <s v="-"/>
    <s v="-"/>
    <s v="-"/>
    <s v="-"/>
    <s v="-"/>
    <s v="-"/>
    <s v="-"/>
    <s v="-"/>
    <s v="-"/>
    <s v="-"/>
    <x v="0"/>
    <x v="0"/>
    <n v="0"/>
    <n v="949"/>
    <n v="0"/>
    <n v="949"/>
    <x v="0"/>
    <x v="0"/>
    <m/>
    <x v="0"/>
    <m/>
    <x v="0"/>
    <m/>
    <x v="1"/>
    <x v="0"/>
    <x v="0"/>
    <x v="0"/>
    <m/>
    <n v="23999"/>
    <n v="0"/>
    <n v="23999"/>
    <x v="1"/>
    <m/>
  </r>
  <r>
    <x v="2"/>
    <x v="0"/>
    <x v="0"/>
    <x v="1"/>
    <n v="4718"/>
    <x v="250"/>
    <x v="8"/>
    <n v="5.71000003814697"/>
    <n v="529643"/>
    <n v="177593"/>
    <s v="2.1.16"/>
    <x v="290"/>
    <s v="S96A"/>
    <d v="2017-06-28T00:00:00"/>
    <x v="125"/>
    <s v="Y"/>
    <m/>
    <s v="Nil"/>
    <m/>
    <m/>
    <s v="Non Material Amendment (S96) to the Reserved Matters (scale, layout, access, external appearance and landscaping) for plot A02 of Phase 3 approved under application reference 2015/4932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Amendments sought include (i) Re-design the ground floor and mezzanine levels (ii) Enlarge the 10th floor to recover the office space lost on ground floor and mezzanine (iii) Re-design the core (iv) Underground car parking has been replaced by surface parking along the eastern edge of the building providing 6 bays"/>
    <x v="286"/>
    <s v="NB"/>
    <x v="0"/>
    <s v="NSO"/>
    <m/>
    <m/>
    <m/>
    <m/>
    <s v="C"/>
    <s v="BF"/>
    <x v="32"/>
    <s v="C"/>
    <m/>
    <m/>
    <m/>
    <m/>
    <m/>
    <m/>
    <m/>
    <m/>
    <n v="18336"/>
    <m/>
    <m/>
    <n v="18336"/>
    <m/>
    <m/>
    <n v="18336"/>
    <m/>
    <m/>
    <m/>
    <m/>
    <m/>
    <m/>
    <m/>
    <m/>
    <m/>
    <m/>
    <m/>
    <m/>
    <m/>
    <m/>
    <m/>
    <m/>
    <m/>
    <m/>
    <x v="0"/>
    <x v="1"/>
    <x v="1"/>
    <m/>
    <m/>
    <m/>
    <m/>
    <m/>
    <m/>
    <n v="18336"/>
    <x v="0"/>
    <m/>
    <m/>
    <m/>
    <m/>
    <n v="18336"/>
    <x v="0"/>
    <m/>
    <m/>
    <m/>
    <m/>
    <s v="-"/>
    <s v="-"/>
    <s v="-"/>
    <s v="-"/>
    <s v="-"/>
    <s v="-"/>
    <s v="-"/>
    <s v="-"/>
    <s v="-"/>
    <s v="-"/>
    <s v="-"/>
    <x v="1"/>
    <x v="0"/>
    <s v="-"/>
    <s v="-"/>
    <s v="-"/>
    <s v="-"/>
    <s v="-"/>
    <s v="-"/>
    <s v="-"/>
    <s v="-"/>
    <s v="-"/>
    <s v="-"/>
    <s v="-"/>
    <x v="0"/>
    <x v="0"/>
    <n v="0"/>
    <n v="18336"/>
    <n v="0"/>
    <n v="18336"/>
    <x v="0"/>
    <x v="0"/>
    <m/>
    <x v="0"/>
    <m/>
    <x v="0"/>
    <m/>
    <x v="1"/>
    <x v="0"/>
    <x v="0"/>
    <x v="0"/>
    <m/>
    <n v="0"/>
    <n v="0"/>
    <n v="0"/>
    <x v="0"/>
    <m/>
  </r>
  <r>
    <x v="0"/>
    <x v="0"/>
    <x v="0"/>
    <x v="2"/>
    <n v="4718"/>
    <x v="250"/>
    <x v="8"/>
    <n v="5.71000003814697"/>
    <n v="529643"/>
    <n v="177593"/>
    <s v="2.1.16"/>
    <x v="291"/>
    <s v="S96A"/>
    <d v="2017-02-16T00:00:00"/>
    <x v="231"/>
    <s v="Y"/>
    <m/>
    <s v="Nil"/>
    <m/>
    <m/>
    <s v="Non-material amendment (under Section 96a of the Town and Country Planning Act) of planning permission 2011/1815 (as amended) dated 30/03/12 (for the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changes comprise the change of the lobby in Unit 2 to A2/A3/A4; omission of a office unit (Use Class B1) in Unit 3 in Plot A11, and the change of use of Unit 7 in Plot A09 from office (Use Class B1) to retail/restaurant use (Use Class A1/ A3)."/>
    <x v="287"/>
    <s v="COU"/>
    <x v="2"/>
    <s v="UC"/>
    <m/>
    <d v="2013-01-01T00:00:00"/>
    <m/>
    <m/>
    <s v="C"/>
    <s v="BF"/>
    <x v="33"/>
    <s v="C"/>
    <d v="2013-01-01T00:00:00"/>
    <d v="2017-04-01T00:00:00"/>
    <n v="788"/>
    <n v="736"/>
    <n v="789"/>
    <n v="736"/>
    <n v="735"/>
    <n v="3784"/>
    <m/>
    <m/>
    <m/>
    <m/>
    <m/>
    <m/>
    <m/>
    <n v="696"/>
    <n v="696"/>
    <n v="1392"/>
    <m/>
    <m/>
    <m/>
    <m/>
    <m/>
    <m/>
    <m/>
    <m/>
    <m/>
    <m/>
    <m/>
    <m/>
    <m/>
    <m/>
    <m/>
    <x v="1"/>
    <x v="0"/>
    <x v="0"/>
    <n v="788"/>
    <n v="736"/>
    <n v="789"/>
    <n v="736"/>
    <n v="735"/>
    <n v="3784"/>
    <m/>
    <x v="0"/>
    <m/>
    <m/>
    <m/>
    <m/>
    <m/>
    <x v="0"/>
    <m/>
    <n v="696"/>
    <n v="696"/>
    <n v="1392"/>
    <s v="-"/>
    <s v="-"/>
    <s v="-"/>
    <s v="-"/>
    <s v="-"/>
    <s v="-"/>
    <s v="-"/>
    <s v="-"/>
    <s v="-"/>
    <s v="-"/>
    <s v="-"/>
    <x v="1"/>
    <x v="0"/>
    <s v="-"/>
    <s v="-"/>
    <s v="-"/>
    <s v="-"/>
    <s v="-"/>
    <s v="-"/>
    <s v="-"/>
    <s v="-"/>
    <s v="-"/>
    <s v="-"/>
    <s v="-"/>
    <x v="0"/>
    <x v="0"/>
    <n v="0"/>
    <n v="5176"/>
    <n v="0"/>
    <n v="5176"/>
    <x v="0"/>
    <x v="0"/>
    <m/>
    <x v="0"/>
    <m/>
    <x v="0"/>
    <m/>
    <x v="1"/>
    <x v="0"/>
    <x v="0"/>
    <x v="0"/>
    <m/>
    <n v="35123"/>
    <n v="0"/>
    <n v="35123"/>
    <x v="1"/>
    <m/>
  </r>
  <r>
    <x v="0"/>
    <x v="0"/>
    <x v="0"/>
    <x v="2"/>
    <n v="4718"/>
    <x v="250"/>
    <x v="8"/>
    <n v="5.71000003814697"/>
    <n v="529643"/>
    <n v="177593"/>
    <s v="2.1.16"/>
    <x v="291"/>
    <s v="S96A"/>
    <d v="2017-02-16T00:00:00"/>
    <x v="231"/>
    <s v="Y"/>
    <m/>
    <s v="Nil"/>
    <m/>
    <m/>
    <s v="Non-material amendment (under Section 96a of the Town and Country Planning Act) of planning permission 2011/1815 (as amended) dated 30/03/12 (for the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changes comprise the change of the lobby in Unit 2 to A2/A3/A4; omission of a office unit (Use Class B1) in Unit 3 in Plot A11, and the change of use of Unit 7 in Plot A09 from office (Use Class B1) to retail/restaurant use (Use Class A1/ A3)."/>
    <x v="287"/>
    <s v="COU"/>
    <x v="2"/>
    <s v="UC"/>
    <m/>
    <d v="2013-01-01T00:00:00"/>
    <m/>
    <m/>
    <s v="C"/>
    <s v="BF"/>
    <x v="34"/>
    <s v="C"/>
    <d v="2013-06-23T00:00:00"/>
    <d v="2017-04-01T00:00:00"/>
    <n v="27"/>
    <n v="338"/>
    <n v="217"/>
    <n v="217"/>
    <n v="27"/>
    <n v="826"/>
    <m/>
    <m/>
    <m/>
    <m/>
    <m/>
    <m/>
    <m/>
    <m/>
    <m/>
    <m/>
    <m/>
    <m/>
    <m/>
    <m/>
    <m/>
    <m/>
    <m/>
    <m/>
    <m/>
    <m/>
    <m/>
    <m/>
    <m/>
    <m/>
    <m/>
    <x v="1"/>
    <x v="0"/>
    <x v="1"/>
    <n v="27"/>
    <n v="338"/>
    <n v="217"/>
    <n v="217"/>
    <n v="27"/>
    <n v="826"/>
    <m/>
    <x v="0"/>
    <m/>
    <m/>
    <m/>
    <m/>
    <m/>
    <x v="0"/>
    <m/>
    <m/>
    <m/>
    <m/>
    <s v="-"/>
    <s v="-"/>
    <s v="-"/>
    <s v="-"/>
    <s v="-"/>
    <s v="-"/>
    <s v="-"/>
    <s v="-"/>
    <s v="-"/>
    <s v="-"/>
    <s v="-"/>
    <x v="1"/>
    <x v="0"/>
    <s v="-"/>
    <s v="-"/>
    <s v="-"/>
    <s v="-"/>
    <s v="-"/>
    <s v="-"/>
    <s v="-"/>
    <s v="-"/>
    <s v="-"/>
    <s v="-"/>
    <s v="-"/>
    <x v="0"/>
    <x v="0"/>
    <n v="0"/>
    <n v="984"/>
    <n v="0"/>
    <n v="984"/>
    <x v="0"/>
    <x v="0"/>
    <m/>
    <x v="0"/>
    <m/>
    <x v="0"/>
    <m/>
    <x v="1"/>
    <x v="0"/>
    <x v="0"/>
    <x v="0"/>
    <m/>
    <n v="19433"/>
    <n v="0"/>
    <n v="19433"/>
    <x v="1"/>
    <m/>
  </r>
  <r>
    <x v="0"/>
    <x v="0"/>
    <x v="0"/>
    <x v="2"/>
    <n v="4718"/>
    <x v="250"/>
    <x v="8"/>
    <n v="5.71000003814697"/>
    <n v="529643"/>
    <n v="177593"/>
    <s v="2.1.16"/>
    <x v="291"/>
    <s v="S96A"/>
    <d v="2017-02-16T00:00:00"/>
    <x v="231"/>
    <s v="Y"/>
    <m/>
    <s v="Nil"/>
    <m/>
    <m/>
    <s v="Non-material amendment (under Section 96a of the Town and Country Planning Act) of planning permission 2011/1815 (as amended) dated 30/03/12 (for the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changes comprise the change of the lobby in Unit 2 to A2/A3/A4; omission of a office unit (Use Class B1) in Unit 3 in Plot A11, and the change of use of Unit 7 in Plot A09 from office (Use Class B1) to retail/restaurant use (Use Class A1/ A3)."/>
    <x v="287"/>
    <s v="COU"/>
    <x v="2"/>
    <s v="UC"/>
    <m/>
    <d v="2013-01-01T00:00:00"/>
    <m/>
    <m/>
    <s v="C"/>
    <s v="BF"/>
    <x v="35"/>
    <s v="C"/>
    <d v="2013-08-14T00:00:00"/>
    <d v="2017-04-01T00:00:00"/>
    <n v="30"/>
    <n v="150"/>
    <n v="150"/>
    <n v="149"/>
    <n v="119"/>
    <n v="598"/>
    <m/>
    <m/>
    <m/>
    <m/>
    <m/>
    <m/>
    <m/>
    <m/>
    <m/>
    <m/>
    <m/>
    <m/>
    <m/>
    <m/>
    <m/>
    <m/>
    <m/>
    <m/>
    <m/>
    <m/>
    <m/>
    <m/>
    <m/>
    <m/>
    <m/>
    <x v="1"/>
    <x v="0"/>
    <x v="1"/>
    <n v="30"/>
    <n v="150"/>
    <n v="150"/>
    <n v="149"/>
    <n v="119"/>
    <n v="598"/>
    <m/>
    <x v="0"/>
    <m/>
    <m/>
    <m/>
    <m/>
    <m/>
    <x v="0"/>
    <m/>
    <m/>
    <m/>
    <m/>
    <s v="-"/>
    <s v="-"/>
    <s v="-"/>
    <s v="-"/>
    <s v="-"/>
    <s v="-"/>
    <s v="-"/>
    <s v="-"/>
    <s v="-"/>
    <s v="-"/>
    <s v="-"/>
    <x v="1"/>
    <x v="0"/>
    <s v="-"/>
    <s v="-"/>
    <s v="-"/>
    <s v="-"/>
    <s v="-"/>
    <s v="-"/>
    <s v="-"/>
    <s v="-"/>
    <s v="-"/>
    <s v="-"/>
    <s v="-"/>
    <x v="0"/>
    <x v="0"/>
    <n v="0"/>
    <n v="598"/>
    <n v="0"/>
    <n v="598"/>
    <x v="0"/>
    <x v="0"/>
    <m/>
    <x v="0"/>
    <m/>
    <x v="0"/>
    <m/>
    <x v="1"/>
    <x v="0"/>
    <x v="0"/>
    <x v="0"/>
    <m/>
    <n v="17465"/>
    <n v="0"/>
    <n v="17465"/>
    <x v="1"/>
    <m/>
  </r>
  <r>
    <x v="2"/>
    <x v="0"/>
    <x v="0"/>
    <x v="1"/>
    <n v="4718"/>
    <x v="250"/>
    <x v="8"/>
    <n v="5.71000003814697"/>
    <n v="529643"/>
    <n v="177593"/>
    <s v="2.1.16"/>
    <x v="292"/>
    <s v="PF"/>
    <d v="2017-12-11T00:00:00"/>
    <x v="232"/>
    <s v="Y"/>
    <m/>
    <s v="Nil"/>
    <m/>
    <m/>
    <s v="The use of Unit 2 Plot A10 within Phase 1 of the Embassy Gardens Development as a flexible A2 (Financial and Professional Services), A3 (Restaurant/Café) A4 (Drinking Establishment) with opening hours of 7.00 to 24.00 Mon to Sunday."/>
    <x v="288"/>
    <s v="NB"/>
    <x v="0"/>
    <s v="NSO"/>
    <m/>
    <m/>
    <m/>
    <m/>
    <s v="C"/>
    <s v="BF"/>
    <x v="34"/>
    <m/>
    <m/>
    <m/>
    <m/>
    <n v="33"/>
    <n v="33"/>
    <n v="33"/>
    <m/>
    <n v="99"/>
    <m/>
    <m/>
    <m/>
    <m/>
    <m/>
    <m/>
    <m/>
    <m/>
    <m/>
    <m/>
    <m/>
    <n v="98"/>
    <m/>
    <m/>
    <m/>
    <n v="98"/>
    <m/>
    <m/>
    <m/>
    <m/>
    <m/>
    <m/>
    <m/>
    <m/>
    <m/>
    <x v="1"/>
    <x v="0"/>
    <x v="1"/>
    <m/>
    <n v="-65"/>
    <n v="33"/>
    <n v="33"/>
    <m/>
    <n v="1"/>
    <m/>
    <x v="0"/>
    <m/>
    <m/>
    <m/>
    <m/>
    <m/>
    <x v="0"/>
    <m/>
    <m/>
    <m/>
    <m/>
    <s v="-"/>
    <s v="Not Known"/>
    <s v="Café"/>
    <s v="Bar"/>
    <s v="-"/>
    <s v="-"/>
    <s v="-"/>
    <s v="-"/>
    <s v="-"/>
    <s v="-"/>
    <s v="-"/>
    <x v="1"/>
    <x v="0"/>
    <s v="-"/>
    <s v="Vacant"/>
    <s v="-"/>
    <s v="-"/>
    <s v="-"/>
    <s v="-"/>
    <s v="-"/>
    <s v="-"/>
    <s v="-"/>
    <s v="-"/>
    <s v="-"/>
    <x v="0"/>
    <x v="0"/>
    <n v="0"/>
    <n v="99"/>
    <n v="98"/>
    <n v="1"/>
    <x v="0"/>
    <x v="0"/>
    <m/>
    <x v="0"/>
    <m/>
    <x v="0"/>
    <m/>
    <x v="1"/>
    <x v="0"/>
    <x v="0"/>
    <x v="0"/>
    <m/>
    <n v="0"/>
    <n v="0"/>
    <n v="0"/>
    <x v="0"/>
    <m/>
  </r>
  <r>
    <x v="1"/>
    <x v="0"/>
    <x v="0"/>
    <x v="1"/>
    <n v="4718"/>
    <x v="250"/>
    <x v="8"/>
    <n v="5.71000003814697"/>
    <n v="529643"/>
    <n v="177593"/>
    <s v="2.1.16"/>
    <x v="293"/>
    <s v="AF"/>
    <d v="2018-02-16T00:00:00"/>
    <x v="1"/>
    <m/>
    <m/>
    <s v="Nil"/>
    <m/>
    <m/>
    <s v="The change of use of Unit 1B to create two self-contained units comprising a beauty salon/cafe (A1 and A3 Use) and an indoor cycling studio (D2 Use) and associated external alterations."/>
    <x v="289"/>
    <s v="COU"/>
    <x v="2"/>
    <s v="NSO"/>
    <m/>
    <m/>
    <m/>
    <m/>
    <s v="P"/>
    <s v="BF"/>
    <x v="0"/>
    <m/>
    <m/>
    <m/>
    <n v="123"/>
    <m/>
    <n v="123"/>
    <m/>
    <m/>
    <n v="246"/>
    <m/>
    <m/>
    <m/>
    <m/>
    <m/>
    <m/>
    <m/>
    <m/>
    <n v="301"/>
    <n v="301"/>
    <m/>
    <m/>
    <m/>
    <m/>
    <m/>
    <m/>
    <m/>
    <m/>
    <m/>
    <m/>
    <m/>
    <m/>
    <m/>
    <m/>
    <m/>
    <x v="1"/>
    <x v="0"/>
    <x v="0"/>
    <n v="123"/>
    <m/>
    <n v="123"/>
    <m/>
    <m/>
    <n v="246"/>
    <m/>
    <x v="0"/>
    <m/>
    <m/>
    <m/>
    <m/>
    <m/>
    <x v="0"/>
    <m/>
    <m/>
    <n v="301"/>
    <n v="301"/>
    <s v="Services"/>
    <s v="-"/>
    <s v="Café"/>
    <s v="-"/>
    <s v="-"/>
    <s v="-"/>
    <s v="-"/>
    <s v="-"/>
    <s v="-"/>
    <s v="-"/>
    <s v="-"/>
    <x v="1"/>
    <x v="1"/>
    <s v="-"/>
    <s v="-"/>
    <s v="-"/>
    <s v="-"/>
    <s v="-"/>
    <s v="-"/>
    <s v="-"/>
    <s v="-"/>
    <s v="-"/>
    <s v="-"/>
    <s v="-"/>
    <x v="0"/>
    <x v="0"/>
    <n v="0"/>
    <n v="547"/>
    <n v="547"/>
    <n v="0"/>
    <x v="0"/>
    <x v="0"/>
    <m/>
    <x v="0"/>
    <m/>
    <x v="0"/>
    <m/>
    <x v="1"/>
    <x v="0"/>
    <x v="0"/>
    <x v="0"/>
    <m/>
    <n v="0"/>
    <n v="0"/>
    <n v="0"/>
    <x v="0"/>
    <m/>
  </r>
  <r>
    <x v="3"/>
    <x v="0"/>
    <x v="0"/>
    <x v="1"/>
    <n v="4722"/>
    <x v="251"/>
    <x v="2"/>
    <n v="0.25499999523162797"/>
    <n v="528478"/>
    <n v="173353"/>
    <m/>
    <x v="294"/>
    <s v="PF"/>
    <d v="2014-01-29T00:00:00"/>
    <x v="233"/>
    <m/>
    <m/>
    <s v="Nil"/>
    <m/>
    <m/>
    <s v="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
    <x v="290"/>
    <s v="NB"/>
    <x v="0"/>
    <s v="UC"/>
    <d v="2017-03-31T00:00:00"/>
    <d v="2017-03-31T00:00:00"/>
    <m/>
    <m/>
    <s v="C"/>
    <s v="BF"/>
    <x v="0"/>
    <m/>
    <d v="2017-03-31T00:00:00"/>
    <m/>
    <n v="570"/>
    <m/>
    <m/>
    <m/>
    <m/>
    <n v="570"/>
    <m/>
    <m/>
    <m/>
    <m/>
    <m/>
    <m/>
    <m/>
    <m/>
    <n v="1170"/>
    <n v="1170"/>
    <n v="539"/>
    <m/>
    <m/>
    <m/>
    <m/>
    <n v="539"/>
    <m/>
    <m/>
    <m/>
    <m/>
    <m/>
    <m/>
    <m/>
    <m/>
    <m/>
    <x v="1"/>
    <x v="0"/>
    <x v="0"/>
    <n v="31"/>
    <m/>
    <m/>
    <m/>
    <m/>
    <n v="31"/>
    <m/>
    <x v="0"/>
    <m/>
    <m/>
    <m/>
    <m/>
    <m/>
    <x v="0"/>
    <m/>
    <m/>
    <n v="1170"/>
    <n v="1170"/>
    <s v="Not Known"/>
    <s v="-"/>
    <s v="-"/>
    <s v="-"/>
    <s v="-"/>
    <s v="-"/>
    <s v="-"/>
    <s v="-"/>
    <s v="-"/>
    <s v="-"/>
    <s v="-"/>
    <x v="1"/>
    <x v="1"/>
    <s v="Not Known"/>
    <s v="-"/>
    <s v="-"/>
    <s v="-"/>
    <s v="-"/>
    <s v="-"/>
    <s v="-"/>
    <s v="-"/>
    <s v="-"/>
    <s v="-"/>
    <s v="-"/>
    <x v="0"/>
    <x v="0"/>
    <n v="0.14199999719858097"/>
    <n v="1740"/>
    <n v="539"/>
    <n v="1201"/>
    <x v="0"/>
    <x v="0"/>
    <m/>
    <x v="0"/>
    <m/>
    <x v="0"/>
    <m/>
    <x v="0"/>
    <x v="1"/>
    <x v="5"/>
    <x v="0"/>
    <m/>
    <n v="789"/>
    <n v="0"/>
    <n v="789"/>
    <x v="1"/>
    <m/>
  </r>
  <r>
    <x v="1"/>
    <x v="1"/>
    <x v="1"/>
    <x v="1"/>
    <n v="4734"/>
    <x v="252"/>
    <x v="17"/>
    <n v="3.9999999105930301E-2"/>
    <n v="528758"/>
    <n v="172374"/>
    <m/>
    <x v="295"/>
    <s v="RP"/>
    <d v="2017-08-16T00:00:00"/>
    <x v="193"/>
    <s v="Y"/>
    <m/>
    <s v="APP"/>
    <d v="2017-11-22T00:00:00"/>
    <m/>
    <s v="Part Change of Use of Basement Residential Swimming Pool (Class C3) to Residential Swimming Pool and Swimming School (Class C3/D2)"/>
    <x v="291"/>
    <s v="COU"/>
    <x v="2"/>
    <s v="NSO"/>
    <m/>
    <m/>
    <m/>
    <m/>
    <s v="C"/>
    <s v="BF"/>
    <x v="0"/>
    <m/>
    <m/>
    <m/>
    <m/>
    <m/>
    <m/>
    <m/>
    <m/>
    <m/>
    <m/>
    <m/>
    <m/>
    <m/>
    <m/>
    <m/>
    <m/>
    <m/>
    <n v="44"/>
    <n v="44"/>
    <m/>
    <m/>
    <m/>
    <m/>
    <m/>
    <m/>
    <m/>
    <m/>
    <m/>
    <m/>
    <m/>
    <m/>
    <m/>
    <m/>
    <m/>
    <x v="0"/>
    <x v="0"/>
    <x v="0"/>
    <m/>
    <m/>
    <m/>
    <m/>
    <m/>
    <m/>
    <m/>
    <x v="0"/>
    <m/>
    <m/>
    <m/>
    <m/>
    <m/>
    <x v="0"/>
    <m/>
    <m/>
    <n v="44"/>
    <n v="44"/>
    <s v="-"/>
    <s v="-"/>
    <s v="-"/>
    <s v="-"/>
    <s v="-"/>
    <s v="-"/>
    <s v="-"/>
    <s v="-"/>
    <s v="-"/>
    <s v="-"/>
    <s v="-"/>
    <x v="1"/>
    <x v="2"/>
    <s v="-"/>
    <s v="-"/>
    <s v="-"/>
    <s v="-"/>
    <s v="-"/>
    <s v="-"/>
    <s v="-"/>
    <s v="-"/>
    <s v="-"/>
    <s v="-"/>
    <s v="-"/>
    <x v="0"/>
    <x v="0"/>
    <n v="3.9999999105930301E-2"/>
    <n v="44"/>
    <n v="0"/>
    <n v="44"/>
    <x v="0"/>
    <x v="0"/>
    <m/>
    <x v="0"/>
    <m/>
    <x v="0"/>
    <m/>
    <x v="0"/>
    <x v="0"/>
    <x v="0"/>
    <x v="0"/>
    <m/>
    <n v="44"/>
    <n v="88"/>
    <n v="-44"/>
    <x v="0"/>
    <m/>
  </r>
  <r>
    <x v="3"/>
    <x v="0"/>
    <x v="0"/>
    <x v="1"/>
    <n v="4746"/>
    <x v="253"/>
    <x v="15"/>
    <n v="3.29999998211861E-2"/>
    <n v="528869"/>
    <n v="170872"/>
    <m/>
    <x v="296"/>
    <s v="PF"/>
    <d v="2013-06-05T00:00:00"/>
    <x v="234"/>
    <m/>
    <m/>
    <s v="Nil"/>
    <m/>
    <m/>
    <s v="Erection of two semi-detached dwellings with private gardens following the demolition of existing garages."/>
    <x v="292"/>
    <s v="NB"/>
    <x v="0"/>
    <s v="UC"/>
    <m/>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74"/>
    <n v="-74"/>
    <x v="0"/>
    <x v="0"/>
    <m/>
    <x v="0"/>
    <m/>
    <x v="0"/>
    <m/>
    <x v="0"/>
    <x v="0"/>
    <x v="0"/>
    <x v="0"/>
    <m/>
    <n v="483"/>
    <n v="0"/>
    <n v="483"/>
    <x v="1"/>
    <m/>
  </r>
  <r>
    <x v="0"/>
    <x v="0"/>
    <x v="0"/>
    <x v="0"/>
    <n v="4748"/>
    <x v="254"/>
    <x v="15"/>
    <n v="1.4000000432133701E-2"/>
    <n v="529231"/>
    <n v="171142"/>
    <m/>
    <x v="297"/>
    <s v="PF"/>
    <d v="2014-05-14T00:00:00"/>
    <x v="235"/>
    <m/>
    <m/>
    <s v="Nil"/>
    <m/>
    <m/>
    <s v="Part change of use of A2 Use Class commercial unit to C3 Use Class to form 1 x one-bedroom self contained flat. Including the demolition of a single-storey extension to the rear and the erection of a single-storey extension to rear together with other alterations."/>
    <x v="293"/>
    <s v="COU"/>
    <x v="2"/>
    <s v="OC"/>
    <m/>
    <d v="2015-09-30T00:00:00"/>
    <d v="2017-07-04T00:00:00"/>
    <d v="2017-07-04T00:00:00"/>
    <s v="C"/>
    <s v="BF"/>
    <x v="0"/>
    <m/>
    <d v="2015-09-30T00:00:00"/>
    <d v="2017-07-04T00:00:00"/>
    <m/>
    <n v="38"/>
    <m/>
    <m/>
    <m/>
    <n v="38"/>
    <m/>
    <m/>
    <m/>
    <m/>
    <m/>
    <m/>
    <m/>
    <m/>
    <m/>
    <m/>
    <m/>
    <n v="125"/>
    <m/>
    <m/>
    <m/>
    <n v="125"/>
    <m/>
    <m/>
    <m/>
    <m/>
    <m/>
    <m/>
    <m/>
    <m/>
    <m/>
    <x v="1"/>
    <x v="0"/>
    <x v="1"/>
    <m/>
    <n v="-87"/>
    <m/>
    <m/>
    <m/>
    <n v="-87"/>
    <m/>
    <x v="0"/>
    <m/>
    <m/>
    <m/>
    <m/>
    <m/>
    <x v="0"/>
    <m/>
    <m/>
    <m/>
    <m/>
    <s v="-"/>
    <s v="Not Known"/>
    <s v="-"/>
    <s v="-"/>
    <s v="-"/>
    <s v="-"/>
    <s v="-"/>
    <s v="-"/>
    <s v="-"/>
    <s v="-"/>
    <s v="-"/>
    <x v="1"/>
    <x v="0"/>
    <s v="-"/>
    <s v="Not Known"/>
    <s v="-"/>
    <s v="-"/>
    <s v="-"/>
    <s v="-"/>
    <s v="-"/>
    <s v="-"/>
    <s v="-"/>
    <s v="-"/>
    <s v="-"/>
    <x v="0"/>
    <x v="0"/>
    <n v="9.0000005438924113E-3"/>
    <n v="38"/>
    <n v="125"/>
    <n v="-87"/>
    <x v="0"/>
    <x v="0"/>
    <m/>
    <x v="0"/>
    <m/>
    <x v="0"/>
    <m/>
    <x v="0"/>
    <x v="0"/>
    <x v="0"/>
    <x v="1"/>
    <s v="Mitcham Lane"/>
    <n v="87"/>
    <n v="0"/>
    <n v="87"/>
    <x v="1"/>
    <m/>
  </r>
  <r>
    <x v="0"/>
    <x v="0"/>
    <x v="0"/>
    <x v="0"/>
    <n v="4748"/>
    <x v="254"/>
    <x v="15"/>
    <n v="1.4000000432133701E-2"/>
    <n v="529231"/>
    <n v="171142"/>
    <m/>
    <x v="298"/>
    <s v="PF"/>
    <d v="2017-05-31T00:00:00"/>
    <x v="236"/>
    <s v="Y"/>
    <m/>
    <s v="Nil"/>
    <m/>
    <m/>
    <s v="Alterations including change from 1 x 1-bedroom to 1 x 2-bedroom flat; part change of use of A2 Use Class commercial unit to C3 Use Class to provide additional floor area for 2-bedroom flat; alterations to rear elevation."/>
    <x v="294"/>
    <s v="MIX"/>
    <x v="0"/>
    <s v="OC"/>
    <m/>
    <d v="2017-07-26T00:00:00"/>
    <d v="2017-07-26T00:00:00"/>
    <d v="2017-07-26T00:00:00"/>
    <s v="C"/>
    <s v="BF"/>
    <x v="0"/>
    <m/>
    <d v="2017-07-26T00:00:00"/>
    <d v="2017-07-26T00:00:00"/>
    <m/>
    <n v="62"/>
    <m/>
    <m/>
    <m/>
    <n v="62"/>
    <m/>
    <m/>
    <m/>
    <m/>
    <m/>
    <m/>
    <m/>
    <m/>
    <m/>
    <m/>
    <m/>
    <n v="86"/>
    <m/>
    <m/>
    <m/>
    <n v="86"/>
    <m/>
    <m/>
    <m/>
    <m/>
    <m/>
    <m/>
    <m/>
    <m/>
    <m/>
    <x v="1"/>
    <x v="0"/>
    <x v="1"/>
    <m/>
    <n v="-24"/>
    <m/>
    <m/>
    <m/>
    <n v="-24"/>
    <m/>
    <x v="0"/>
    <m/>
    <m/>
    <m/>
    <m/>
    <m/>
    <x v="0"/>
    <m/>
    <m/>
    <m/>
    <m/>
    <s v="-"/>
    <s v="Not Known"/>
    <s v="-"/>
    <s v="-"/>
    <s v="-"/>
    <s v="-"/>
    <s v="-"/>
    <s v="-"/>
    <s v="-"/>
    <s v="-"/>
    <s v="-"/>
    <x v="1"/>
    <x v="0"/>
    <s v="-"/>
    <s v="Not Known"/>
    <s v="-"/>
    <s v="-"/>
    <s v="-"/>
    <s v="-"/>
    <s v="-"/>
    <s v="-"/>
    <s v="-"/>
    <s v="-"/>
    <s v="-"/>
    <x v="0"/>
    <x v="0"/>
    <n v="9.0000005438924113E-3"/>
    <n v="62"/>
    <n v="86"/>
    <n v="-24"/>
    <x v="0"/>
    <x v="0"/>
    <m/>
    <x v="0"/>
    <m/>
    <x v="0"/>
    <m/>
    <x v="0"/>
    <x v="0"/>
    <x v="0"/>
    <x v="1"/>
    <s v="Mitcham Lane"/>
    <n v="66"/>
    <n v="62"/>
    <n v="4"/>
    <x v="1"/>
    <m/>
  </r>
  <r>
    <x v="1"/>
    <x v="0"/>
    <x v="0"/>
    <x v="1"/>
    <n v="4750"/>
    <x v="255"/>
    <x v="12"/>
    <n v="2.8999999165535001E-2"/>
    <n v="525522"/>
    <n v="174660"/>
    <m/>
    <x v="299"/>
    <s v="AF"/>
    <d v="2018-03-21T00:00:00"/>
    <x v="1"/>
    <m/>
    <m/>
    <s v="Nil"/>
    <m/>
    <m/>
    <s v="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
    <x v="295"/>
    <s v="MIX"/>
    <x v="0"/>
    <s v="NSO"/>
    <m/>
    <m/>
    <m/>
    <m/>
    <s v="P"/>
    <s v="BF"/>
    <x v="0"/>
    <m/>
    <m/>
    <m/>
    <n v="251"/>
    <m/>
    <m/>
    <m/>
    <m/>
    <n v="251"/>
    <m/>
    <m/>
    <m/>
    <m/>
    <m/>
    <m/>
    <m/>
    <m/>
    <m/>
    <m/>
    <m/>
    <m/>
    <m/>
    <m/>
    <m/>
    <m/>
    <m/>
    <m/>
    <m/>
    <m/>
    <m/>
    <m/>
    <m/>
    <m/>
    <m/>
    <x v="1"/>
    <x v="0"/>
    <x v="1"/>
    <n v="251"/>
    <m/>
    <m/>
    <m/>
    <m/>
    <n v="251"/>
    <m/>
    <x v="0"/>
    <m/>
    <m/>
    <m/>
    <m/>
    <m/>
    <x v="0"/>
    <m/>
    <m/>
    <m/>
    <m/>
    <s v="Consumables"/>
    <s v="-"/>
    <s v="-"/>
    <s v="-"/>
    <s v="-"/>
    <s v="Financial or Professional Services"/>
    <s v="-"/>
    <s v="-"/>
    <s v="-"/>
    <s v="-"/>
    <s v="-"/>
    <x v="1"/>
    <x v="0"/>
    <s v="-"/>
    <s v="-"/>
    <s v="-"/>
    <s v="-"/>
    <s v="-"/>
    <s v="-"/>
    <s v="-"/>
    <s v="-"/>
    <s v="-"/>
    <s v="-"/>
    <s v="-"/>
    <x v="0"/>
    <x v="0"/>
    <n v="9.9999997764825994E-3"/>
    <n v="251"/>
    <n v="0"/>
    <n v="251"/>
    <x v="0"/>
    <x v="0"/>
    <m/>
    <x v="0"/>
    <m/>
    <x v="0"/>
    <m/>
    <x v="0"/>
    <x v="1"/>
    <x v="4"/>
    <x v="0"/>
    <m/>
    <n v="367"/>
    <n v="0"/>
    <n v="367"/>
    <x v="1"/>
    <m/>
  </r>
  <r>
    <x v="3"/>
    <x v="0"/>
    <x v="0"/>
    <x v="1"/>
    <n v="4751"/>
    <x v="256"/>
    <x v="0"/>
    <n v="7.0000002160668399E-3"/>
    <n v="524675"/>
    <n v="173310"/>
    <m/>
    <x v="300"/>
    <s v="PF"/>
    <d v="2015-12-01T00:00:00"/>
    <x v="237"/>
    <m/>
    <m/>
    <s v="Nil"/>
    <m/>
    <m/>
    <s v="Demolition of existing garages and erection of single-storey 2-bedroom house with accommodation at basement level including erection of a bike and bin store in front garden."/>
    <x v="296"/>
    <s v="NB"/>
    <x v="0"/>
    <s v="UC"/>
    <d v="2015-03-31T00:00:00"/>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36"/>
    <n v="-36"/>
    <x v="0"/>
    <x v="0"/>
    <m/>
    <x v="0"/>
    <m/>
    <x v="0"/>
    <m/>
    <x v="0"/>
    <x v="0"/>
    <x v="0"/>
    <x v="0"/>
    <m/>
    <n v="77"/>
    <n v="0"/>
    <n v="77"/>
    <x v="1"/>
    <m/>
  </r>
  <r>
    <x v="3"/>
    <x v="0"/>
    <x v="0"/>
    <x v="1"/>
    <n v="4770"/>
    <x v="257"/>
    <x v="17"/>
    <n v="7.0000000298023196E-2"/>
    <n v="528277"/>
    <n v="172172"/>
    <m/>
    <x v="301"/>
    <s v="PF"/>
    <d v="2012-06-28T00:00:00"/>
    <x v="238"/>
    <m/>
    <m/>
    <s v="Nil"/>
    <m/>
    <m/>
    <s v="Demolition of existing single-storey rear extension and construction of a new single-storey rear extension to existing Lodge building to be occupied within a mixture of uses comprising retail and office, café and car showroom (Sui Generis use class) with the demolition of all existing outbuildings and construction of a new single-storey building to the north-west boundary (the café) and construction of single-storey covered storage units to the north-west and south-east boundaries (the car showroom)."/>
    <x v="297"/>
    <s v="NB"/>
    <x v="0"/>
    <s v="UC"/>
    <d v="2018-03-31T00:00:00"/>
    <d v="2018-03-31T00:00:00"/>
    <m/>
    <m/>
    <s v="C"/>
    <s v="BF"/>
    <x v="0"/>
    <m/>
    <d v="2018-03-31T00:00:00"/>
    <m/>
    <n v="107"/>
    <m/>
    <m/>
    <m/>
    <m/>
    <n v="107"/>
    <m/>
    <m/>
    <m/>
    <m/>
    <m/>
    <m/>
    <m/>
    <m/>
    <m/>
    <m/>
    <n v="83"/>
    <m/>
    <m/>
    <m/>
    <m/>
    <n v="83"/>
    <m/>
    <m/>
    <m/>
    <m/>
    <m/>
    <m/>
    <m/>
    <m/>
    <m/>
    <x v="1"/>
    <x v="0"/>
    <x v="1"/>
    <n v="24"/>
    <m/>
    <m/>
    <m/>
    <m/>
    <n v="24"/>
    <m/>
    <x v="0"/>
    <m/>
    <m/>
    <m/>
    <m/>
    <m/>
    <x v="0"/>
    <m/>
    <m/>
    <m/>
    <m/>
    <s v="Not Known"/>
    <s v="-"/>
    <s v="-"/>
    <s v="-"/>
    <s v="-"/>
    <s v="-"/>
    <s v="-"/>
    <s v="-"/>
    <s v="-"/>
    <s v="-"/>
    <s v="-"/>
    <x v="1"/>
    <x v="0"/>
    <s v="Not Known"/>
    <s v="-"/>
    <s v="-"/>
    <s v="-"/>
    <s v="-"/>
    <s v="-"/>
    <s v="-"/>
    <s v="-"/>
    <s v="-"/>
    <s v="-"/>
    <s v="-"/>
    <x v="0"/>
    <x v="0"/>
    <n v="7.0000000298023196E-2"/>
    <n v="138"/>
    <n v="83"/>
    <n v="55"/>
    <x v="0"/>
    <x v="0"/>
    <m/>
    <x v="0"/>
    <m/>
    <x v="0"/>
    <m/>
    <x v="0"/>
    <x v="0"/>
    <x v="0"/>
    <x v="0"/>
    <m/>
    <n v="0"/>
    <n v="0"/>
    <n v="0"/>
    <x v="0"/>
    <m/>
  </r>
  <r>
    <x v="0"/>
    <x v="0"/>
    <x v="0"/>
    <x v="0"/>
    <n v="4774"/>
    <x v="258"/>
    <x v="2"/>
    <n v="1.60000007599592E-2"/>
    <n v="527896"/>
    <n v="172432"/>
    <m/>
    <x v="302"/>
    <s v="PF"/>
    <d v="2015-01-06T00:00:00"/>
    <x v="239"/>
    <m/>
    <m/>
    <s v="Nil"/>
    <m/>
    <m/>
    <s v="Conversion of rear office area (ancillary to shop A1 use class) to form a one-bedroom self-contained residential unit (Use Class C3), including external alterations to lower the roof and create a courtyard area."/>
    <x v="298"/>
    <s v="COU"/>
    <x v="2"/>
    <s v="OC"/>
    <m/>
    <d v="2016-02-09T00:00:00"/>
    <d v="2017-12-05T00:00:00"/>
    <d v="2017-12-05T00:00:00"/>
    <s v="C"/>
    <s v="BF"/>
    <x v="0"/>
    <m/>
    <d v="2016-02-09T00:00:00"/>
    <d v="2017-12-05T00:00:00"/>
    <n v="50"/>
    <m/>
    <m/>
    <m/>
    <m/>
    <n v="50"/>
    <m/>
    <m/>
    <m/>
    <m/>
    <m/>
    <m/>
    <m/>
    <m/>
    <m/>
    <m/>
    <n v="106"/>
    <m/>
    <m/>
    <m/>
    <m/>
    <n v="106"/>
    <m/>
    <m/>
    <m/>
    <m/>
    <m/>
    <m/>
    <m/>
    <m/>
    <m/>
    <x v="1"/>
    <x v="0"/>
    <x v="1"/>
    <n v="-56"/>
    <m/>
    <m/>
    <m/>
    <m/>
    <n v="-56"/>
    <m/>
    <x v="0"/>
    <m/>
    <m/>
    <m/>
    <m/>
    <m/>
    <x v="0"/>
    <m/>
    <m/>
    <m/>
    <m/>
    <s v="Consumables"/>
    <s v="-"/>
    <s v="-"/>
    <s v="-"/>
    <s v="-"/>
    <s v="-"/>
    <s v="-"/>
    <s v="-"/>
    <s v="-"/>
    <s v="-"/>
    <s v="-"/>
    <x v="1"/>
    <x v="0"/>
    <s v="Consumables"/>
    <s v="-"/>
    <s v="-"/>
    <s v="-"/>
    <s v="-"/>
    <s v="-"/>
    <s v="-"/>
    <s v="-"/>
    <s v="-"/>
    <s v="-"/>
    <s v="-"/>
    <x v="0"/>
    <x v="0"/>
    <n v="1.0000000707805139E-2"/>
    <n v="50"/>
    <n v="106"/>
    <n v="-56"/>
    <x v="0"/>
    <x v="0"/>
    <m/>
    <x v="0"/>
    <m/>
    <x v="0"/>
    <m/>
    <x v="0"/>
    <x v="0"/>
    <x v="0"/>
    <x v="0"/>
    <m/>
    <n v="56"/>
    <n v="0"/>
    <n v="56"/>
    <x v="1"/>
    <m/>
  </r>
  <r>
    <x v="1"/>
    <x v="2"/>
    <x v="2"/>
    <x v="1"/>
    <n v="4797"/>
    <x v="259"/>
    <x v="4"/>
    <n v="3.70000004768372E-2"/>
    <n v="527293"/>
    <n v="177185"/>
    <m/>
    <x v="303"/>
    <s v="NPA"/>
    <d v="2018-02-20T00:00:00"/>
    <x v="1"/>
    <m/>
    <m/>
    <s v="Nil"/>
    <m/>
    <m/>
    <s v="Determination as to whether prior approval is required for change of use of office at thrid floor level (Use Class B1(a)) to residential (Use Class C3) to provide 1 x 2  bedroom flat."/>
    <x v="299"/>
    <s v="COU"/>
    <x v="2"/>
    <s v="NSO"/>
    <m/>
    <m/>
    <m/>
    <m/>
    <s v="P"/>
    <s v="BF"/>
    <x v="0"/>
    <m/>
    <m/>
    <m/>
    <m/>
    <m/>
    <m/>
    <m/>
    <m/>
    <m/>
    <m/>
    <m/>
    <m/>
    <m/>
    <m/>
    <m/>
    <m/>
    <m/>
    <m/>
    <m/>
    <m/>
    <m/>
    <m/>
    <m/>
    <m/>
    <m/>
    <n v="228"/>
    <m/>
    <m/>
    <m/>
    <m/>
    <n v="228"/>
    <m/>
    <m/>
    <m/>
    <x v="0"/>
    <x v="1"/>
    <x v="1"/>
    <m/>
    <m/>
    <m/>
    <m/>
    <m/>
    <m/>
    <n v="-228"/>
    <x v="1"/>
    <m/>
    <m/>
    <m/>
    <m/>
    <n v="-228"/>
    <x v="1"/>
    <m/>
    <m/>
    <m/>
    <m/>
    <s v="-"/>
    <s v="-"/>
    <s v="-"/>
    <s v="-"/>
    <s v="-"/>
    <s v="-"/>
    <s v="-"/>
    <s v="-"/>
    <s v="-"/>
    <s v="-"/>
    <s v="-"/>
    <x v="1"/>
    <x v="0"/>
    <s v="-"/>
    <s v="-"/>
    <s v="-"/>
    <s v="-"/>
    <s v="-"/>
    <s v="Not Known"/>
    <s v="-"/>
    <s v="-"/>
    <s v="-"/>
    <s v="-"/>
    <s v="-"/>
    <x v="0"/>
    <x v="0"/>
    <n v="3.4000000450760168E-2"/>
    <n v="0"/>
    <n v="228"/>
    <n v="-228"/>
    <x v="1"/>
    <x v="0"/>
    <m/>
    <x v="0"/>
    <m/>
    <x v="0"/>
    <m/>
    <x v="0"/>
    <x v="0"/>
    <x v="0"/>
    <x v="0"/>
    <m/>
    <n v="228"/>
    <n v="0"/>
    <n v="228"/>
    <x v="1"/>
    <m/>
  </r>
  <r>
    <x v="3"/>
    <x v="0"/>
    <x v="0"/>
    <x v="1"/>
    <n v="4801"/>
    <x v="260"/>
    <x v="8"/>
    <n v="0.15099999308586101"/>
    <n v="529529"/>
    <n v="176787"/>
    <m/>
    <x v="304"/>
    <s v="PF"/>
    <d v="2014-08-21T00:00:00"/>
    <x v="240"/>
    <m/>
    <m/>
    <s v="Nil"/>
    <m/>
    <m/>
    <s v="Demolition of existing buildings and construction of a new development consisting of a four-storey block to provide 8no. flats, and 7no. two-storey (plus roof space) family houses, all for affordable rent.  Associated landscaping, car parking, bicycle and refuse storage."/>
    <x v="300"/>
    <s v="COU"/>
    <x v="2"/>
    <s v="UC"/>
    <m/>
    <d v="2015-03-31T00:00:00"/>
    <m/>
    <m/>
    <s v="C"/>
    <s v="BF"/>
    <x v="0"/>
    <m/>
    <d v="2015-03-31T00:00:00"/>
    <m/>
    <m/>
    <m/>
    <m/>
    <m/>
    <m/>
    <m/>
    <m/>
    <m/>
    <m/>
    <m/>
    <m/>
    <m/>
    <m/>
    <m/>
    <m/>
    <m/>
    <m/>
    <m/>
    <m/>
    <m/>
    <m/>
    <m/>
    <m/>
    <m/>
    <m/>
    <m/>
    <m/>
    <m/>
    <n v="742"/>
    <m/>
    <n v="742"/>
    <x v="0"/>
    <x v="0"/>
    <x v="0"/>
    <m/>
    <m/>
    <m/>
    <m/>
    <m/>
    <m/>
    <m/>
    <x v="0"/>
    <m/>
    <m/>
    <m/>
    <m/>
    <m/>
    <x v="0"/>
    <m/>
    <n v="-742"/>
    <m/>
    <n v="-742"/>
    <s v="-"/>
    <s v="-"/>
    <s v="-"/>
    <s v="-"/>
    <s v="-"/>
    <s v="-"/>
    <s v="-"/>
    <s v="-"/>
    <s v="-"/>
    <s v="-"/>
    <s v="-"/>
    <x v="1"/>
    <x v="0"/>
    <s v="-"/>
    <s v="-"/>
    <s v="-"/>
    <s v="-"/>
    <s v="-"/>
    <s v="-"/>
    <s v="-"/>
    <s v="-"/>
    <s v="-"/>
    <s v="-"/>
    <s v="-"/>
    <x v="6"/>
    <x v="0"/>
    <n v="0"/>
    <n v="0"/>
    <n v="742"/>
    <n v="-742"/>
    <x v="0"/>
    <x v="0"/>
    <m/>
    <x v="0"/>
    <m/>
    <x v="0"/>
    <m/>
    <x v="1"/>
    <x v="0"/>
    <x v="0"/>
    <x v="0"/>
    <m/>
    <n v="1592"/>
    <n v="0"/>
    <n v="1592"/>
    <x v="1"/>
    <m/>
  </r>
  <r>
    <x v="0"/>
    <x v="0"/>
    <x v="0"/>
    <x v="0"/>
    <n v="4811"/>
    <x v="261"/>
    <x v="10"/>
    <n v="3.5000000149011598E-2"/>
    <n v="524902"/>
    <n v="174155"/>
    <m/>
    <x v="305"/>
    <s v="PF"/>
    <d v="2017-09-05T00:00:00"/>
    <x v="126"/>
    <s v="Y"/>
    <m/>
    <s v="Nil"/>
    <m/>
    <m/>
    <s v="Retention of alterations in connection with continued use as a house in multiple occupation (Class C4)."/>
    <x v="301"/>
    <s v="MIX"/>
    <x v="0"/>
    <s v="OC"/>
    <m/>
    <d v="2017-10-31T00:00:00"/>
    <d v="2018-03-31T00:00:00"/>
    <d v="2018-03-31T00:00:00"/>
    <s v="C"/>
    <s v="BF"/>
    <x v="0"/>
    <m/>
    <d v="2017-10-31T00:00:00"/>
    <d v="2018-03-31T00:00:00"/>
    <m/>
    <m/>
    <m/>
    <m/>
    <m/>
    <m/>
    <m/>
    <m/>
    <m/>
    <m/>
    <m/>
    <m/>
    <m/>
    <m/>
    <m/>
    <m/>
    <m/>
    <m/>
    <m/>
    <m/>
    <m/>
    <m/>
    <m/>
    <m/>
    <m/>
    <m/>
    <m/>
    <m/>
    <m/>
    <m/>
    <m/>
    <x v="0"/>
    <x v="0"/>
    <x v="1"/>
    <m/>
    <m/>
    <m/>
    <m/>
    <m/>
    <m/>
    <m/>
    <x v="0"/>
    <m/>
    <m/>
    <m/>
    <m/>
    <m/>
    <x v="0"/>
    <m/>
    <m/>
    <m/>
    <m/>
    <s v="-"/>
    <s v="-"/>
    <s v="-"/>
    <s v="-"/>
    <s v="-"/>
    <s v="-"/>
    <s v="-"/>
    <s v="-"/>
    <s v="-"/>
    <s v="-"/>
    <s v="-"/>
    <x v="1"/>
    <x v="0"/>
    <s v="-"/>
    <s v="-"/>
    <s v="-"/>
    <s v="-"/>
    <s v="-"/>
    <s v="-"/>
    <s v="-"/>
    <s v="-"/>
    <s v="-"/>
    <s v="-"/>
    <s v="-"/>
    <x v="0"/>
    <x v="0"/>
    <n v="0"/>
    <n v="111"/>
    <n v="0"/>
    <n v="111"/>
    <x v="0"/>
    <x v="0"/>
    <m/>
    <x v="0"/>
    <m/>
    <x v="0"/>
    <m/>
    <x v="0"/>
    <x v="0"/>
    <x v="0"/>
    <x v="0"/>
    <m/>
    <n v="58"/>
    <n v="169"/>
    <n v="-111"/>
    <x v="0"/>
    <m/>
  </r>
  <r>
    <x v="0"/>
    <x v="0"/>
    <x v="0"/>
    <x v="2"/>
    <n v="4822"/>
    <x v="262"/>
    <x v="16"/>
    <n v="3.5000000149011598E-2"/>
    <n v="527588"/>
    <n v="171057"/>
    <m/>
    <x v="306"/>
    <s v="PF"/>
    <d v="2016-09-23T00:00:00"/>
    <x v="86"/>
    <m/>
    <m/>
    <s v="Nil"/>
    <m/>
    <m/>
    <s v="Alterations and extensions to existing building to the rear of 32 Brightwell Crescent in connection with conversion of building into 4 x 1-bedroom and 1 x 2-bedroom houses and associated cycle and refuse storage."/>
    <x v="302"/>
    <s v="COU"/>
    <x v="2"/>
    <s v="CO"/>
    <m/>
    <d v="2016-07-08T00:00:00"/>
    <d v="2018-03-31T00:00:00"/>
    <m/>
    <s v="C"/>
    <s v="BF"/>
    <x v="0"/>
    <m/>
    <d v="2016-07-08T00:00:00"/>
    <d v="2018-03-31T00:00:00"/>
    <m/>
    <m/>
    <m/>
    <m/>
    <m/>
    <m/>
    <m/>
    <m/>
    <m/>
    <m/>
    <m/>
    <m/>
    <m/>
    <m/>
    <m/>
    <m/>
    <m/>
    <m/>
    <m/>
    <m/>
    <m/>
    <m/>
    <m/>
    <m/>
    <n v="337"/>
    <m/>
    <m/>
    <n v="337"/>
    <m/>
    <m/>
    <m/>
    <x v="0"/>
    <x v="1"/>
    <x v="1"/>
    <m/>
    <m/>
    <m/>
    <m/>
    <m/>
    <m/>
    <m/>
    <x v="0"/>
    <m/>
    <n v="-337"/>
    <m/>
    <m/>
    <n v="-337"/>
    <x v="1"/>
    <m/>
    <m/>
    <m/>
    <m/>
    <s v="-"/>
    <s v="-"/>
    <s v="-"/>
    <s v="-"/>
    <s v="-"/>
    <s v="-"/>
    <s v="-"/>
    <s v="-"/>
    <s v="-"/>
    <s v="-"/>
    <s v="-"/>
    <x v="1"/>
    <x v="0"/>
    <s v="-"/>
    <s v="-"/>
    <s v="-"/>
    <s v="-"/>
    <s v="-"/>
    <s v="-"/>
    <s v="-"/>
    <s v="Vacant"/>
    <s v="-"/>
    <s v="-"/>
    <s v="-"/>
    <x v="0"/>
    <x v="0"/>
    <n v="0"/>
    <n v="0"/>
    <n v="337"/>
    <n v="-337"/>
    <x v="0"/>
    <x v="0"/>
    <m/>
    <x v="0"/>
    <m/>
    <x v="0"/>
    <m/>
    <x v="0"/>
    <x v="0"/>
    <x v="0"/>
    <x v="0"/>
    <m/>
    <n v="365"/>
    <n v="0"/>
    <n v="365"/>
    <x v="1"/>
    <m/>
  </r>
  <r>
    <x v="2"/>
    <x v="0"/>
    <x v="0"/>
    <x v="1"/>
    <n v="4836"/>
    <x v="263"/>
    <x v="7"/>
    <n v="2.0999999716877899E-2"/>
    <n v="524109"/>
    <n v="175633"/>
    <m/>
    <x v="307"/>
    <s v="PF"/>
    <d v="2016-05-19T00:00:00"/>
    <x v="241"/>
    <m/>
    <m/>
    <s v="Nil"/>
    <m/>
    <m/>
    <s v="Erection of single-storey rear extension."/>
    <x v="303"/>
    <s v="EXT"/>
    <x v="1"/>
    <s v="NSO"/>
    <m/>
    <m/>
    <m/>
    <m/>
    <s v="C"/>
    <s v="BF"/>
    <x v="0"/>
    <m/>
    <m/>
    <m/>
    <n v="15"/>
    <m/>
    <m/>
    <m/>
    <m/>
    <n v="15"/>
    <m/>
    <m/>
    <m/>
    <m/>
    <m/>
    <m/>
    <m/>
    <m/>
    <m/>
    <m/>
    <m/>
    <m/>
    <m/>
    <m/>
    <m/>
    <m/>
    <m/>
    <m/>
    <m/>
    <m/>
    <m/>
    <m/>
    <m/>
    <m/>
    <m/>
    <x v="1"/>
    <x v="0"/>
    <x v="1"/>
    <n v="15"/>
    <m/>
    <m/>
    <m/>
    <m/>
    <n v="15"/>
    <m/>
    <x v="0"/>
    <m/>
    <m/>
    <m/>
    <m/>
    <m/>
    <x v="0"/>
    <m/>
    <m/>
    <m/>
    <m/>
    <s v="Services"/>
    <s v="-"/>
    <s v="-"/>
    <s v="-"/>
    <s v="-"/>
    <s v="-"/>
    <s v="-"/>
    <s v="-"/>
    <s v="-"/>
    <s v="-"/>
    <s v="-"/>
    <x v="1"/>
    <x v="0"/>
    <s v="-"/>
    <s v="-"/>
    <s v="-"/>
    <s v="-"/>
    <s v="-"/>
    <s v="-"/>
    <s v="-"/>
    <s v="-"/>
    <s v="-"/>
    <s v="-"/>
    <s v="-"/>
    <x v="0"/>
    <x v="0"/>
    <n v="2.0999999716877899E-2"/>
    <n v="15"/>
    <n v="0"/>
    <n v="15"/>
    <x v="0"/>
    <x v="0"/>
    <m/>
    <x v="0"/>
    <m/>
    <x v="0"/>
    <m/>
    <x v="0"/>
    <x v="1"/>
    <x v="2"/>
    <x v="0"/>
    <m/>
    <n v="0"/>
    <n v="0"/>
    <n v="0"/>
    <x v="0"/>
    <m/>
  </r>
  <r>
    <x v="2"/>
    <x v="2"/>
    <x v="2"/>
    <x v="1"/>
    <n v="4864"/>
    <x v="264"/>
    <x v="6"/>
    <n v="1.4999999664723899E-2"/>
    <n v="527602"/>
    <n v="175480"/>
    <m/>
    <x v="308"/>
    <s v="PANR"/>
    <d v="2017-10-18T00:00:00"/>
    <x v="242"/>
    <s v="Y"/>
    <m/>
    <s v="Nil"/>
    <m/>
    <m/>
    <s v="Determination as to whether prior approval is required for change of use of offices (Class B1a) to residential (Class C3) to provide 4 x 1-bedroom flats."/>
    <x v="33"/>
    <s v="COU"/>
    <x v="2"/>
    <s v="NSO"/>
    <m/>
    <m/>
    <m/>
    <m/>
    <s v="C"/>
    <s v="BF"/>
    <x v="0"/>
    <m/>
    <m/>
    <m/>
    <m/>
    <m/>
    <m/>
    <m/>
    <m/>
    <m/>
    <m/>
    <m/>
    <m/>
    <m/>
    <m/>
    <m/>
    <m/>
    <m/>
    <m/>
    <m/>
    <m/>
    <m/>
    <m/>
    <m/>
    <m/>
    <m/>
    <n v="166"/>
    <m/>
    <m/>
    <m/>
    <m/>
    <n v="166"/>
    <m/>
    <m/>
    <m/>
    <x v="0"/>
    <x v="1"/>
    <x v="1"/>
    <m/>
    <m/>
    <m/>
    <m/>
    <m/>
    <m/>
    <n v="-166"/>
    <x v="1"/>
    <m/>
    <m/>
    <m/>
    <m/>
    <n v="-166"/>
    <x v="1"/>
    <m/>
    <m/>
    <m/>
    <m/>
    <s v="-"/>
    <s v="-"/>
    <s v="-"/>
    <s v="-"/>
    <s v="-"/>
    <s v="-"/>
    <s v="-"/>
    <s v="-"/>
    <s v="-"/>
    <s v="-"/>
    <s v="-"/>
    <x v="1"/>
    <x v="0"/>
    <s v="-"/>
    <s v="-"/>
    <s v="-"/>
    <s v="-"/>
    <s v="-"/>
    <s v="Financial or Professional Services"/>
    <s v="-"/>
    <s v="-"/>
    <s v="-"/>
    <s v="-"/>
    <s v="-"/>
    <x v="0"/>
    <x v="0"/>
    <n v="3.9999997243284988E-3"/>
    <n v="0"/>
    <n v="166"/>
    <n v="-166"/>
    <x v="0"/>
    <x v="0"/>
    <m/>
    <x v="0"/>
    <m/>
    <x v="0"/>
    <m/>
    <x v="0"/>
    <x v="1"/>
    <x v="1"/>
    <x v="0"/>
    <m/>
    <n v="166"/>
    <n v="0"/>
    <n v="166"/>
    <x v="1"/>
    <m/>
  </r>
  <r>
    <x v="3"/>
    <x v="0"/>
    <x v="0"/>
    <x v="1"/>
    <n v="4877"/>
    <x v="265"/>
    <x v="3"/>
    <n v="1.7999999225139601E-2"/>
    <n v="527228"/>
    <n v="175145"/>
    <m/>
    <x v="309"/>
    <s v="PF"/>
    <d v="2014-06-18T00:00:00"/>
    <x v="243"/>
    <m/>
    <m/>
    <s v="Nil"/>
    <m/>
    <m/>
    <s v="Demolition of two single storey prefabricated concrete lock up storage units and excavation to enable erection of 1 x 3 bedroom three-storey house with office (as live/work unit) included at basement level."/>
    <x v="304"/>
    <s v="NB"/>
    <x v="0"/>
    <s v="UC"/>
    <m/>
    <d v="2015-08-12T00:00:00"/>
    <m/>
    <m/>
    <s v="C"/>
    <s v="BF"/>
    <x v="0"/>
    <m/>
    <d v="2015-08-12T00:00:00"/>
    <m/>
    <m/>
    <m/>
    <m/>
    <m/>
    <m/>
    <m/>
    <m/>
    <m/>
    <m/>
    <m/>
    <m/>
    <m/>
    <m/>
    <m/>
    <m/>
    <m/>
    <m/>
    <m/>
    <m/>
    <m/>
    <m/>
    <m/>
    <m/>
    <m/>
    <m/>
    <m/>
    <n v="72"/>
    <n v="72"/>
    <m/>
    <m/>
    <m/>
    <x v="0"/>
    <x v="1"/>
    <x v="1"/>
    <m/>
    <m/>
    <m/>
    <m/>
    <m/>
    <m/>
    <m/>
    <x v="0"/>
    <m/>
    <m/>
    <m/>
    <n v="-72"/>
    <n v="-72"/>
    <x v="1"/>
    <m/>
    <m/>
    <m/>
    <m/>
    <s v="-"/>
    <s v="-"/>
    <s v="-"/>
    <s v="-"/>
    <s v="-"/>
    <s v="-"/>
    <s v="-"/>
    <s v="-"/>
    <s v="-"/>
    <s v="-"/>
    <s v="-"/>
    <x v="1"/>
    <x v="0"/>
    <s v="-"/>
    <s v="-"/>
    <s v="-"/>
    <s v="-"/>
    <s v="-"/>
    <s v="-"/>
    <s v="-"/>
    <s v="-"/>
    <s v="-"/>
    <s v="Storage"/>
    <s v="-"/>
    <x v="0"/>
    <x v="0"/>
    <n v="0"/>
    <n v="0"/>
    <n v="72"/>
    <n v="-72"/>
    <x v="0"/>
    <x v="0"/>
    <m/>
    <x v="0"/>
    <m/>
    <x v="0"/>
    <m/>
    <x v="0"/>
    <x v="0"/>
    <x v="0"/>
    <x v="0"/>
    <m/>
    <n v="163"/>
    <n v="0"/>
    <n v="163"/>
    <x v="1"/>
    <m/>
  </r>
  <r>
    <x v="2"/>
    <x v="0"/>
    <x v="0"/>
    <x v="1"/>
    <n v="4886"/>
    <x v="266"/>
    <x v="6"/>
    <n v="2.9999999329447701E-2"/>
    <n v="528185"/>
    <n v="175700"/>
    <m/>
    <x v="310"/>
    <s v="PF"/>
    <d v="2015-05-18T00:00:00"/>
    <x v="244"/>
    <m/>
    <m/>
    <s v="Nil"/>
    <m/>
    <m/>
    <s v="Change of use of the upper floors and rear yard area from public house (Use Class A4) to six residential units (Use Class C3).  Erection of additional storey and formation of roof terrace with balustrade to rear.  Erection part-four storey part-two storey extension to rear and side addition, including formation of roof terraces on 1st and 2nd floors with safety balustrade. Alterations to lower ground level including cycle storage and refuse storage."/>
    <x v="305"/>
    <s v="MIX"/>
    <x v="0"/>
    <s v="NSO"/>
    <m/>
    <m/>
    <m/>
    <m/>
    <s v="C"/>
    <s v="BF"/>
    <x v="0"/>
    <m/>
    <m/>
    <m/>
    <m/>
    <m/>
    <m/>
    <n v="294"/>
    <m/>
    <n v="294"/>
    <m/>
    <m/>
    <m/>
    <m/>
    <m/>
    <m/>
    <m/>
    <m/>
    <m/>
    <m/>
    <m/>
    <m/>
    <m/>
    <n v="585"/>
    <m/>
    <n v="585"/>
    <m/>
    <m/>
    <m/>
    <m/>
    <m/>
    <m/>
    <m/>
    <m/>
    <m/>
    <x v="1"/>
    <x v="0"/>
    <x v="1"/>
    <m/>
    <m/>
    <m/>
    <n v="-291"/>
    <m/>
    <n v="-291"/>
    <m/>
    <x v="0"/>
    <m/>
    <m/>
    <m/>
    <m/>
    <m/>
    <x v="0"/>
    <m/>
    <m/>
    <m/>
    <m/>
    <s v="-"/>
    <s v="-"/>
    <s v="-"/>
    <s v="Public House"/>
    <s v="-"/>
    <s v="-"/>
    <s v="-"/>
    <s v="-"/>
    <s v="-"/>
    <s v="-"/>
    <s v="-"/>
    <x v="1"/>
    <x v="0"/>
    <s v="-"/>
    <s v="-"/>
    <s v="-"/>
    <s v="Public House"/>
    <s v="-"/>
    <s v="-"/>
    <s v="-"/>
    <s v="-"/>
    <s v="-"/>
    <s v="-"/>
    <s v="-"/>
    <x v="0"/>
    <x v="0"/>
    <n v="2.1999999182298731E-2"/>
    <n v="294"/>
    <n v="803"/>
    <n v="-509"/>
    <x v="0"/>
    <x v="0"/>
    <m/>
    <x v="0"/>
    <m/>
    <x v="0"/>
    <m/>
    <x v="0"/>
    <x v="0"/>
    <x v="0"/>
    <x v="0"/>
    <m/>
    <n v="487"/>
    <n v="0"/>
    <n v="487"/>
    <x v="1"/>
    <m/>
  </r>
  <r>
    <x v="2"/>
    <x v="0"/>
    <x v="0"/>
    <x v="1"/>
    <n v="4891"/>
    <x v="267"/>
    <x v="8"/>
    <n v="1.8999999389052401E-2"/>
    <n v="529320"/>
    <n v="176373"/>
    <s v="2.1.33"/>
    <x v="311"/>
    <s v="PF"/>
    <d v="2016-02-15T00:00:00"/>
    <x v="245"/>
    <m/>
    <m/>
    <s v="Nil"/>
    <m/>
    <m/>
    <s v="Use of premises as car repair garage"/>
    <x v="306"/>
    <s v="COU"/>
    <x v="2"/>
    <s v="NSV"/>
    <m/>
    <m/>
    <m/>
    <m/>
    <s v="C"/>
    <s v="BF"/>
    <x v="0"/>
    <m/>
    <m/>
    <m/>
    <m/>
    <m/>
    <m/>
    <m/>
    <m/>
    <m/>
    <m/>
    <m/>
    <m/>
    <m/>
    <n v="186"/>
    <m/>
    <n v="186"/>
    <m/>
    <m/>
    <m/>
    <m/>
    <m/>
    <m/>
    <m/>
    <m/>
    <m/>
    <m/>
    <m/>
    <m/>
    <m/>
    <n v="186"/>
    <n v="186"/>
    <m/>
    <m/>
    <m/>
    <x v="0"/>
    <x v="1"/>
    <x v="1"/>
    <m/>
    <m/>
    <m/>
    <m/>
    <m/>
    <m/>
    <m/>
    <x v="0"/>
    <m/>
    <m/>
    <n v="186"/>
    <n v="-186"/>
    <m/>
    <x v="0"/>
    <m/>
    <m/>
    <m/>
    <m/>
    <s v="-"/>
    <s v="-"/>
    <s v="-"/>
    <s v="-"/>
    <s v="-"/>
    <s v="-"/>
    <s v="-"/>
    <s v="-"/>
    <s v="General Industry"/>
    <s v="-"/>
    <s v="-"/>
    <x v="1"/>
    <x v="0"/>
    <s v="-"/>
    <s v="-"/>
    <s v="-"/>
    <s v="-"/>
    <s v="-"/>
    <s v="-"/>
    <s v="-"/>
    <s v="-"/>
    <s v="-"/>
    <s v="Storage"/>
    <s v="-"/>
    <x v="0"/>
    <x v="0"/>
    <n v="1.8999999389052401E-2"/>
    <n v="186"/>
    <n v="186"/>
    <n v="0"/>
    <x v="0"/>
    <x v="1"/>
    <s v="Queenstown Road"/>
    <x v="0"/>
    <m/>
    <x v="0"/>
    <m/>
    <x v="1"/>
    <x v="0"/>
    <x v="0"/>
    <x v="0"/>
    <m/>
    <n v="0"/>
    <n v="0"/>
    <n v="0"/>
    <x v="0"/>
    <m/>
  </r>
  <r>
    <x v="2"/>
    <x v="0"/>
    <x v="0"/>
    <x v="1"/>
    <n v="4893"/>
    <x v="268"/>
    <x v="11"/>
    <n v="4.6000000089407002E-2"/>
    <n v="528527"/>
    <n v="173266"/>
    <m/>
    <x v="312"/>
    <s v="PF"/>
    <d v="2013-04-19T00:00:00"/>
    <x v="246"/>
    <m/>
    <m/>
    <s v="Nil"/>
    <m/>
    <m/>
    <s v="Construction of a single-storey rear extension to be used as a function room; rear roof terraces at upper ground floor and first floor level; installation of new door and windows to side and rear elevations; new shop front and changes to the internal layout."/>
    <x v="307"/>
    <s v="EXT"/>
    <x v="1"/>
    <s v="NSO"/>
    <m/>
    <m/>
    <m/>
    <m/>
    <s v="C"/>
    <s v="BF"/>
    <x v="0"/>
    <m/>
    <m/>
    <m/>
    <m/>
    <m/>
    <m/>
    <n v="87"/>
    <m/>
    <n v="87"/>
    <m/>
    <m/>
    <m/>
    <m/>
    <m/>
    <m/>
    <m/>
    <m/>
    <m/>
    <m/>
    <m/>
    <m/>
    <m/>
    <m/>
    <m/>
    <m/>
    <m/>
    <m/>
    <m/>
    <m/>
    <m/>
    <m/>
    <m/>
    <m/>
    <m/>
    <x v="1"/>
    <x v="0"/>
    <x v="1"/>
    <m/>
    <m/>
    <m/>
    <n v="87"/>
    <m/>
    <n v="87"/>
    <m/>
    <x v="0"/>
    <m/>
    <m/>
    <m/>
    <m/>
    <m/>
    <x v="0"/>
    <m/>
    <m/>
    <m/>
    <m/>
    <s v="-"/>
    <s v="-"/>
    <s v="-"/>
    <s v="Other"/>
    <s v="-"/>
    <s v="-"/>
    <s v="-"/>
    <s v="-"/>
    <s v="-"/>
    <s v="-"/>
    <s v="-"/>
    <x v="1"/>
    <x v="0"/>
    <s v="-"/>
    <s v="-"/>
    <s v="-"/>
    <s v="-"/>
    <s v="-"/>
    <s v="-"/>
    <s v="-"/>
    <s v="-"/>
    <s v="-"/>
    <s v="-"/>
    <s v="-"/>
    <x v="0"/>
    <x v="0"/>
    <n v="4.6000000089407002E-2"/>
    <n v="87"/>
    <n v="0"/>
    <n v="87"/>
    <x v="0"/>
    <x v="0"/>
    <m/>
    <x v="0"/>
    <m/>
    <x v="0"/>
    <m/>
    <x v="0"/>
    <x v="1"/>
    <x v="5"/>
    <x v="0"/>
    <m/>
    <n v="0"/>
    <n v="0"/>
    <n v="0"/>
    <x v="0"/>
    <m/>
  </r>
  <r>
    <x v="2"/>
    <x v="2"/>
    <x v="2"/>
    <x v="1"/>
    <n v="4936"/>
    <x v="269"/>
    <x v="4"/>
    <n v="1.7000000923872001E-2"/>
    <n v="526431"/>
    <n v="175730"/>
    <s v="10.15"/>
    <x v="313"/>
    <s v="PAG"/>
    <d v="2016-05-03T00:00:00"/>
    <x v="247"/>
    <m/>
    <m/>
    <s v="Nil"/>
    <m/>
    <m/>
    <s v="Determination as to whether prior approval is required for change of use from office (Class B1a) to 2 x 2-bedroom residential units (Class C3) at first floor."/>
    <x v="308"/>
    <s v="COU"/>
    <x v="2"/>
    <s v="NSV"/>
    <m/>
    <m/>
    <m/>
    <m/>
    <s v="C"/>
    <s v="BF"/>
    <x v="0"/>
    <m/>
    <m/>
    <m/>
    <m/>
    <m/>
    <m/>
    <m/>
    <m/>
    <m/>
    <m/>
    <m/>
    <m/>
    <m/>
    <m/>
    <m/>
    <m/>
    <m/>
    <m/>
    <m/>
    <m/>
    <m/>
    <m/>
    <m/>
    <m/>
    <m/>
    <n v="134"/>
    <m/>
    <m/>
    <m/>
    <m/>
    <n v="134"/>
    <m/>
    <m/>
    <m/>
    <x v="0"/>
    <x v="1"/>
    <x v="1"/>
    <m/>
    <m/>
    <m/>
    <m/>
    <m/>
    <m/>
    <n v="-134"/>
    <x v="1"/>
    <m/>
    <m/>
    <m/>
    <m/>
    <n v="-134"/>
    <x v="1"/>
    <m/>
    <m/>
    <m/>
    <m/>
    <s v="-"/>
    <s v="-"/>
    <s v="-"/>
    <s v="-"/>
    <s v="-"/>
    <s v="-"/>
    <s v="-"/>
    <s v="-"/>
    <s v="-"/>
    <s v="-"/>
    <s v="-"/>
    <x v="1"/>
    <x v="0"/>
    <s v="-"/>
    <s v="-"/>
    <s v="-"/>
    <s v="-"/>
    <s v="-"/>
    <s v="Not Known"/>
    <s v="-"/>
    <s v="-"/>
    <s v="-"/>
    <s v="-"/>
    <s v="-"/>
    <x v="0"/>
    <x v="0"/>
    <n v="1.3000000733882191E-2"/>
    <n v="0"/>
    <n v="134"/>
    <n v="-134"/>
    <x v="1"/>
    <x v="0"/>
    <m/>
    <x v="0"/>
    <m/>
    <x v="0"/>
    <m/>
    <x v="0"/>
    <x v="0"/>
    <x v="0"/>
    <x v="0"/>
    <m/>
    <n v="134"/>
    <n v="0"/>
    <n v="134"/>
    <x v="1"/>
    <m/>
  </r>
  <r>
    <x v="2"/>
    <x v="2"/>
    <x v="2"/>
    <x v="1"/>
    <n v="4936"/>
    <x v="269"/>
    <x v="4"/>
    <n v="1.7000000923872001E-2"/>
    <n v="526431"/>
    <n v="175730"/>
    <s v="10.15"/>
    <x v="314"/>
    <s v="PAG"/>
    <d v="2016-06-15T00:00:00"/>
    <x v="248"/>
    <m/>
    <m/>
    <s v="Nil"/>
    <m/>
    <m/>
    <s v="Determination as to whether prior approval is required for change of use from office (Class B1a) to 4 x 2-bedroom residential units (Class C3) at second and third floors."/>
    <x v="309"/>
    <s v="COU"/>
    <x v="2"/>
    <s v="NSV"/>
    <m/>
    <m/>
    <m/>
    <m/>
    <s v="C"/>
    <s v="BF"/>
    <x v="0"/>
    <m/>
    <m/>
    <m/>
    <m/>
    <m/>
    <m/>
    <m/>
    <m/>
    <m/>
    <m/>
    <m/>
    <m/>
    <m/>
    <m/>
    <m/>
    <m/>
    <m/>
    <m/>
    <m/>
    <m/>
    <m/>
    <m/>
    <m/>
    <m/>
    <m/>
    <n v="268"/>
    <m/>
    <m/>
    <m/>
    <m/>
    <n v="268"/>
    <m/>
    <m/>
    <m/>
    <x v="0"/>
    <x v="1"/>
    <x v="1"/>
    <m/>
    <m/>
    <m/>
    <m/>
    <m/>
    <m/>
    <n v="-268"/>
    <x v="1"/>
    <m/>
    <m/>
    <m/>
    <m/>
    <n v="-268"/>
    <x v="1"/>
    <m/>
    <m/>
    <m/>
    <m/>
    <s v="-"/>
    <s v="-"/>
    <s v="-"/>
    <s v="-"/>
    <s v="-"/>
    <s v="-"/>
    <s v="-"/>
    <s v="-"/>
    <s v="-"/>
    <s v="-"/>
    <s v="-"/>
    <x v="1"/>
    <x v="0"/>
    <s v="-"/>
    <s v="-"/>
    <s v="-"/>
    <s v="-"/>
    <s v="-"/>
    <s v="Not Known"/>
    <s v="-"/>
    <s v="-"/>
    <s v="-"/>
    <s v="-"/>
    <s v="-"/>
    <x v="0"/>
    <x v="0"/>
    <n v="8.0000013113021903E-3"/>
    <n v="0"/>
    <n v="268"/>
    <n v="-268"/>
    <x v="1"/>
    <x v="0"/>
    <m/>
    <x v="0"/>
    <m/>
    <x v="0"/>
    <m/>
    <x v="0"/>
    <x v="0"/>
    <x v="0"/>
    <x v="0"/>
    <m/>
    <n v="268"/>
    <n v="0"/>
    <n v="268"/>
    <x v="1"/>
    <m/>
  </r>
  <r>
    <x v="2"/>
    <x v="2"/>
    <x v="2"/>
    <x v="1"/>
    <n v="4936"/>
    <x v="269"/>
    <x v="4"/>
    <n v="1.7000000923872001E-2"/>
    <n v="526431"/>
    <n v="175730"/>
    <s v="10.15"/>
    <x v="315"/>
    <s v="PAG"/>
    <d v="2016-06-30T00:00:00"/>
    <x v="249"/>
    <m/>
    <m/>
    <s v="Nil"/>
    <m/>
    <m/>
    <s v="Determination as to whether prior approval is required for change of use from office at ground floor level (Class B1a) to residential (Class C3) to provide 2 x 2-bedroom flats."/>
    <x v="310"/>
    <s v="COU"/>
    <x v="2"/>
    <s v="NSV"/>
    <m/>
    <m/>
    <m/>
    <m/>
    <s v="C"/>
    <s v="BF"/>
    <x v="0"/>
    <m/>
    <m/>
    <m/>
    <m/>
    <m/>
    <m/>
    <m/>
    <m/>
    <m/>
    <m/>
    <m/>
    <m/>
    <m/>
    <m/>
    <m/>
    <m/>
    <m/>
    <m/>
    <m/>
    <m/>
    <m/>
    <m/>
    <m/>
    <m/>
    <m/>
    <n v="133"/>
    <m/>
    <m/>
    <m/>
    <m/>
    <n v="133"/>
    <m/>
    <m/>
    <m/>
    <x v="0"/>
    <x v="1"/>
    <x v="1"/>
    <m/>
    <m/>
    <m/>
    <m/>
    <m/>
    <m/>
    <n v="-133"/>
    <x v="1"/>
    <m/>
    <m/>
    <m/>
    <m/>
    <n v="-133"/>
    <x v="1"/>
    <m/>
    <m/>
    <m/>
    <m/>
    <s v="-"/>
    <s v="-"/>
    <s v="-"/>
    <s v="-"/>
    <s v="-"/>
    <s v="-"/>
    <s v="-"/>
    <s v="-"/>
    <s v="-"/>
    <s v="-"/>
    <s v="-"/>
    <x v="1"/>
    <x v="0"/>
    <s v="-"/>
    <s v="-"/>
    <s v="-"/>
    <s v="-"/>
    <s v="-"/>
    <s v="Not Known"/>
    <s v="-"/>
    <s v="-"/>
    <s v="-"/>
    <s v="-"/>
    <s v="-"/>
    <x v="0"/>
    <x v="0"/>
    <n v="1.100000087171794E-2"/>
    <n v="0"/>
    <n v="133"/>
    <n v="-133"/>
    <x v="1"/>
    <x v="0"/>
    <m/>
    <x v="0"/>
    <m/>
    <x v="0"/>
    <m/>
    <x v="0"/>
    <x v="0"/>
    <x v="0"/>
    <x v="0"/>
    <m/>
    <n v="133"/>
    <n v="0"/>
    <n v="133"/>
    <x v="1"/>
    <m/>
  </r>
  <r>
    <x v="2"/>
    <x v="0"/>
    <x v="0"/>
    <x v="1"/>
    <n v="4944"/>
    <x v="270"/>
    <x v="11"/>
    <n v="4.0000001899898104E-3"/>
    <n v="528817"/>
    <n v="173818"/>
    <m/>
    <x v="316"/>
    <s v="PF"/>
    <d v="2015-06-29T00:00:00"/>
    <x v="250"/>
    <m/>
    <m/>
    <s v="Nil"/>
    <m/>
    <m/>
    <s v="Change of use of ground floor retail (Class A1) and upper floor flat (Class C3) to a 2-bedroom house (Class C3) including changes to the front elevation."/>
    <x v="311"/>
    <s v="COU"/>
    <x v="2"/>
    <s v="NSO"/>
    <m/>
    <m/>
    <m/>
    <m/>
    <s v="C"/>
    <s v="BF"/>
    <x v="0"/>
    <m/>
    <m/>
    <m/>
    <m/>
    <m/>
    <m/>
    <m/>
    <m/>
    <m/>
    <m/>
    <m/>
    <m/>
    <m/>
    <m/>
    <m/>
    <m/>
    <m/>
    <m/>
    <m/>
    <n v="26"/>
    <m/>
    <m/>
    <m/>
    <m/>
    <n v="26"/>
    <m/>
    <m/>
    <m/>
    <m/>
    <m/>
    <m/>
    <m/>
    <m/>
    <m/>
    <x v="1"/>
    <x v="0"/>
    <x v="1"/>
    <n v="-26"/>
    <m/>
    <m/>
    <m/>
    <m/>
    <n v="-26"/>
    <m/>
    <x v="0"/>
    <m/>
    <m/>
    <m/>
    <m/>
    <m/>
    <x v="0"/>
    <m/>
    <m/>
    <m/>
    <m/>
    <s v="-"/>
    <s v="-"/>
    <s v="-"/>
    <s v="-"/>
    <s v="-"/>
    <s v="-"/>
    <s v="-"/>
    <s v="-"/>
    <s v="-"/>
    <s v="-"/>
    <s v="-"/>
    <x v="1"/>
    <x v="0"/>
    <s v="Vacant"/>
    <s v="-"/>
    <s v="-"/>
    <s v="-"/>
    <s v="-"/>
    <s v="-"/>
    <s v="-"/>
    <s v="-"/>
    <s v="-"/>
    <s v="-"/>
    <s v="-"/>
    <x v="0"/>
    <x v="0"/>
    <n v="0"/>
    <n v="0"/>
    <n v="26"/>
    <n v="-26"/>
    <x v="0"/>
    <x v="0"/>
    <m/>
    <x v="0"/>
    <m/>
    <x v="0"/>
    <m/>
    <x v="0"/>
    <x v="0"/>
    <x v="0"/>
    <x v="0"/>
    <m/>
    <n v="69"/>
    <n v="35"/>
    <n v="34"/>
    <x v="1"/>
    <m/>
  </r>
  <r>
    <x v="2"/>
    <x v="2"/>
    <x v="2"/>
    <x v="1"/>
    <n v="4945"/>
    <x v="271"/>
    <x v="17"/>
    <n v="3.5999998450279201E-2"/>
    <n v="528361"/>
    <n v="172945"/>
    <m/>
    <x v="317"/>
    <s v="PANR"/>
    <d v="2015-08-05T00:00:00"/>
    <x v="251"/>
    <m/>
    <m/>
    <s v="Nil"/>
    <m/>
    <m/>
    <s v="Change of use of the rear ground floor from retail (Class A1) to two residential units (Class C3)."/>
    <x v="312"/>
    <s v="COU"/>
    <x v="2"/>
    <s v="NSO"/>
    <m/>
    <m/>
    <m/>
    <m/>
    <s v="C"/>
    <s v="BF"/>
    <x v="0"/>
    <m/>
    <m/>
    <m/>
    <n v="44"/>
    <m/>
    <m/>
    <m/>
    <m/>
    <n v="44"/>
    <m/>
    <m/>
    <m/>
    <m/>
    <m/>
    <m/>
    <m/>
    <m/>
    <m/>
    <m/>
    <n v="122"/>
    <m/>
    <m/>
    <m/>
    <m/>
    <n v="122"/>
    <m/>
    <m/>
    <m/>
    <m/>
    <m/>
    <m/>
    <m/>
    <m/>
    <m/>
    <x v="1"/>
    <x v="0"/>
    <x v="1"/>
    <n v="-78"/>
    <m/>
    <m/>
    <m/>
    <m/>
    <n v="-78"/>
    <m/>
    <x v="0"/>
    <m/>
    <m/>
    <m/>
    <m/>
    <m/>
    <x v="0"/>
    <m/>
    <m/>
    <m/>
    <m/>
    <s v="Not Known"/>
    <s v="-"/>
    <s v="-"/>
    <s v="-"/>
    <s v="-"/>
    <s v="-"/>
    <s v="-"/>
    <s v="-"/>
    <s v="-"/>
    <s v="-"/>
    <s v="-"/>
    <x v="1"/>
    <x v="0"/>
    <s v="Not Known"/>
    <s v="-"/>
    <s v="-"/>
    <s v="-"/>
    <s v="-"/>
    <s v="-"/>
    <s v="-"/>
    <s v="-"/>
    <s v="-"/>
    <s v="-"/>
    <s v="-"/>
    <x v="0"/>
    <x v="0"/>
    <n v="2.7999998070299591E-2"/>
    <n v="44"/>
    <n v="122"/>
    <n v="-78"/>
    <x v="0"/>
    <x v="0"/>
    <m/>
    <x v="0"/>
    <m/>
    <x v="0"/>
    <m/>
    <x v="0"/>
    <x v="0"/>
    <x v="0"/>
    <x v="0"/>
    <m/>
    <n v="78"/>
    <n v="0"/>
    <n v="78"/>
    <x v="1"/>
    <m/>
  </r>
  <r>
    <x v="2"/>
    <x v="0"/>
    <x v="0"/>
    <x v="1"/>
    <n v="4953"/>
    <x v="272"/>
    <x v="6"/>
    <n v="1.2000000104308101E-2"/>
    <n v="528420"/>
    <n v="175774"/>
    <m/>
    <x v="318"/>
    <s v="PF"/>
    <d v="2016-08-31T00:00:00"/>
    <x v="252"/>
    <m/>
    <m/>
    <s v="Nil"/>
    <m/>
    <m/>
    <s v="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
    <x v="313"/>
    <s v="MIX"/>
    <x v="0"/>
    <s v="NSO"/>
    <m/>
    <m/>
    <m/>
    <m/>
    <s v="C"/>
    <s v="BF"/>
    <x v="0"/>
    <m/>
    <m/>
    <m/>
    <n v="57"/>
    <m/>
    <m/>
    <m/>
    <m/>
    <n v="57"/>
    <m/>
    <m/>
    <m/>
    <m/>
    <m/>
    <m/>
    <m/>
    <m/>
    <m/>
    <m/>
    <m/>
    <m/>
    <n v="137"/>
    <m/>
    <m/>
    <n v="137"/>
    <m/>
    <m/>
    <m/>
    <m/>
    <m/>
    <m/>
    <m/>
    <m/>
    <m/>
    <x v="1"/>
    <x v="0"/>
    <x v="1"/>
    <n v="57"/>
    <m/>
    <n v="-137"/>
    <m/>
    <m/>
    <n v="-80"/>
    <m/>
    <x v="0"/>
    <m/>
    <m/>
    <m/>
    <m/>
    <m/>
    <x v="0"/>
    <m/>
    <m/>
    <m/>
    <m/>
    <s v="Not Known"/>
    <s v="-"/>
    <s v="-"/>
    <s v="-"/>
    <s v="-"/>
    <s v="-"/>
    <s v="-"/>
    <s v="-"/>
    <s v="-"/>
    <s v="-"/>
    <s v="-"/>
    <x v="1"/>
    <x v="0"/>
    <s v="-"/>
    <s v="-"/>
    <s v="Restaurant"/>
    <s v="-"/>
    <s v="-"/>
    <s v="-"/>
    <s v="-"/>
    <s v="-"/>
    <s v="-"/>
    <s v="-"/>
    <s v="-"/>
    <x v="0"/>
    <x v="0"/>
    <n v="2.0000003278255202E-3"/>
    <n v="57"/>
    <n v="137"/>
    <n v="-80"/>
    <x v="0"/>
    <x v="0"/>
    <m/>
    <x v="0"/>
    <m/>
    <x v="0"/>
    <m/>
    <x v="0"/>
    <x v="0"/>
    <x v="0"/>
    <x v="1"/>
    <s v="Lavender Hill/Queenstown Road"/>
    <n v="109"/>
    <n v="0"/>
    <n v="109"/>
    <x v="1"/>
    <m/>
  </r>
  <r>
    <x v="3"/>
    <x v="0"/>
    <x v="0"/>
    <x v="1"/>
    <n v="4978"/>
    <x v="273"/>
    <x v="7"/>
    <n v="8.1000000238418607E-2"/>
    <n v="523988"/>
    <n v="175472"/>
    <m/>
    <x v="319"/>
    <s v="PF"/>
    <d v="2016-06-08T00:00:00"/>
    <x v="208"/>
    <m/>
    <m/>
    <s v="Nil"/>
    <m/>
    <m/>
    <s v="Demolition of existing building and erection of a new four-storey plus basement level building for use as either class B1 (office use) or class D1 (non residential institutions) at rear part of ground floor and lower ground floor, class A3 (cafe) including external seating area in front part ground floor, and 6 x 2-bed flats on the first to third floors, with associated terraces/balconies."/>
    <x v="314"/>
    <s v="NB"/>
    <x v="0"/>
    <s v="UC"/>
    <d v="2017-03-31T00:00:00"/>
    <d v="2017-03-31T00:00:00"/>
    <m/>
    <m/>
    <s v="C"/>
    <s v="BF"/>
    <x v="0"/>
    <m/>
    <d v="2017-03-31T00:00:00"/>
    <m/>
    <m/>
    <m/>
    <n v="69"/>
    <m/>
    <m/>
    <n v="69"/>
    <n v="290"/>
    <m/>
    <m/>
    <n v="290"/>
    <m/>
    <m/>
    <n v="290"/>
    <n v="119"/>
    <m/>
    <n v="119"/>
    <m/>
    <m/>
    <m/>
    <m/>
    <m/>
    <m/>
    <n v="215"/>
    <m/>
    <m/>
    <m/>
    <m/>
    <n v="215"/>
    <n v="80"/>
    <m/>
    <n v="80"/>
    <x v="1"/>
    <x v="1"/>
    <x v="0"/>
    <m/>
    <m/>
    <n v="69"/>
    <m/>
    <m/>
    <n v="69"/>
    <n v="75"/>
    <x v="0"/>
    <m/>
    <m/>
    <m/>
    <m/>
    <n v="75"/>
    <x v="0"/>
    <m/>
    <n v="39"/>
    <m/>
    <n v="39"/>
    <s v="-"/>
    <s v="-"/>
    <s v="Café"/>
    <s v="-"/>
    <s v="-"/>
    <s v="Not Known"/>
    <s v="-"/>
    <s v="-"/>
    <s v="-"/>
    <s v="-"/>
    <s v="-"/>
    <x v="5"/>
    <x v="0"/>
    <s v="-"/>
    <s v="-"/>
    <s v="-"/>
    <s v="-"/>
    <s v="-"/>
    <s v="Financial or Professional Services"/>
    <s v="-"/>
    <s v="-"/>
    <s v="-"/>
    <s v="-"/>
    <s v="-"/>
    <x v="5"/>
    <x v="0"/>
    <n v="1.9999999552965206E-2"/>
    <n v="478"/>
    <n v="295"/>
    <n v="183"/>
    <x v="0"/>
    <x v="0"/>
    <m/>
    <x v="0"/>
    <m/>
    <x v="0"/>
    <m/>
    <x v="0"/>
    <x v="1"/>
    <x v="2"/>
    <x v="0"/>
    <m/>
    <n v="557"/>
    <n v="0"/>
    <n v="557"/>
    <x v="1"/>
    <m/>
  </r>
  <r>
    <x v="1"/>
    <x v="2"/>
    <x v="2"/>
    <x v="1"/>
    <n v="4980"/>
    <x v="274"/>
    <x v="4"/>
    <n v="4.6000000089407002E-2"/>
    <n v="527292"/>
    <n v="177189"/>
    <m/>
    <x v="320"/>
    <s v="NPA"/>
    <d v="2018-02-20T00:00:00"/>
    <x v="1"/>
    <m/>
    <m/>
    <s v="Nil"/>
    <m/>
    <m/>
    <s v="Determination as to whether prior approval is required for change of use of office at second floor level (Use Class B1(a)) to residential (Use Class C3) to provide 1 x 1 bedroom flat."/>
    <x v="315"/>
    <s v="COU"/>
    <x v="2"/>
    <s v="NSO"/>
    <m/>
    <m/>
    <m/>
    <m/>
    <s v="P"/>
    <s v="BF"/>
    <x v="0"/>
    <m/>
    <m/>
    <m/>
    <m/>
    <m/>
    <m/>
    <m/>
    <m/>
    <m/>
    <m/>
    <m/>
    <m/>
    <m/>
    <m/>
    <m/>
    <m/>
    <m/>
    <m/>
    <m/>
    <m/>
    <m/>
    <m/>
    <m/>
    <m/>
    <m/>
    <n v="89"/>
    <m/>
    <m/>
    <m/>
    <m/>
    <n v="89"/>
    <m/>
    <m/>
    <m/>
    <x v="0"/>
    <x v="1"/>
    <x v="1"/>
    <m/>
    <m/>
    <m/>
    <m/>
    <m/>
    <m/>
    <n v="-89"/>
    <x v="1"/>
    <m/>
    <m/>
    <m/>
    <m/>
    <n v="-89"/>
    <x v="1"/>
    <m/>
    <m/>
    <m/>
    <m/>
    <s v="-"/>
    <s v="-"/>
    <s v="-"/>
    <s v="-"/>
    <s v="-"/>
    <s v="-"/>
    <s v="-"/>
    <s v="-"/>
    <s v="-"/>
    <s v="-"/>
    <s v="-"/>
    <x v="1"/>
    <x v="0"/>
    <s v="-"/>
    <s v="-"/>
    <s v="-"/>
    <s v="-"/>
    <s v="-"/>
    <s v="Not Known"/>
    <s v="-"/>
    <s v="-"/>
    <s v="-"/>
    <s v="-"/>
    <s v="-"/>
    <x v="0"/>
    <x v="0"/>
    <n v="3.8999999873340165E-2"/>
    <n v="0"/>
    <n v="89"/>
    <n v="-89"/>
    <x v="1"/>
    <x v="0"/>
    <m/>
    <x v="0"/>
    <m/>
    <x v="0"/>
    <m/>
    <x v="0"/>
    <x v="0"/>
    <x v="0"/>
    <x v="0"/>
    <m/>
    <n v="89"/>
    <n v="0"/>
    <n v="89"/>
    <x v="1"/>
    <m/>
  </r>
  <r>
    <x v="1"/>
    <x v="0"/>
    <x v="0"/>
    <x v="1"/>
    <n v="4984"/>
    <x v="275"/>
    <x v="0"/>
    <n v="6.5999999642372104E-2"/>
    <n v="524707"/>
    <n v="173200"/>
    <m/>
    <x v="321"/>
    <s v="AF"/>
    <d v="2018-02-08T00:00:00"/>
    <x v="1"/>
    <m/>
    <m/>
    <s v="Nil"/>
    <m/>
    <m/>
    <s v="Demolition of existing building and erection of four storey building (with lower ground floor level) to provide 1 x 3-bedroom, 5 x 2-bedroom, 1 x 1-bedroom and 1 x studio flats with terraces to front and rear; 2 x retail units (Class A1) at ground floor level with associated car parking, cycle and refuse storage."/>
    <x v="316"/>
    <s v="NB"/>
    <x v="0"/>
    <s v="NSO"/>
    <m/>
    <m/>
    <m/>
    <m/>
    <s v="P"/>
    <s v="BF"/>
    <x v="0"/>
    <m/>
    <m/>
    <m/>
    <n v="118"/>
    <m/>
    <m/>
    <m/>
    <m/>
    <n v="118"/>
    <m/>
    <m/>
    <m/>
    <m/>
    <m/>
    <m/>
    <m/>
    <m/>
    <m/>
    <m/>
    <n v="168"/>
    <m/>
    <m/>
    <m/>
    <m/>
    <n v="168"/>
    <m/>
    <m/>
    <m/>
    <m/>
    <m/>
    <m/>
    <m/>
    <m/>
    <m/>
    <x v="1"/>
    <x v="0"/>
    <x v="1"/>
    <n v="-50"/>
    <m/>
    <m/>
    <m/>
    <m/>
    <n v="-50"/>
    <m/>
    <x v="0"/>
    <m/>
    <m/>
    <m/>
    <m/>
    <m/>
    <x v="0"/>
    <m/>
    <m/>
    <m/>
    <m/>
    <s v="Services"/>
    <s v="-"/>
    <s v="-"/>
    <s v="-"/>
    <s v="-"/>
    <s v="-"/>
    <s v="-"/>
    <s v="-"/>
    <s v="-"/>
    <s v="-"/>
    <s v="-"/>
    <x v="1"/>
    <x v="0"/>
    <s v="Services"/>
    <s v="-"/>
    <s v="-"/>
    <s v="-"/>
    <s v="-"/>
    <s v="-"/>
    <s v="-"/>
    <s v="-"/>
    <s v="-"/>
    <s v="-"/>
    <s v="-"/>
    <x v="0"/>
    <x v="0"/>
    <n v="1.3000000268220901E-2"/>
    <n v="118"/>
    <n v="168"/>
    <n v="-50"/>
    <x v="0"/>
    <x v="0"/>
    <m/>
    <x v="0"/>
    <m/>
    <x v="0"/>
    <m/>
    <x v="0"/>
    <x v="0"/>
    <x v="0"/>
    <x v="1"/>
    <s v="Southfields"/>
    <n v="520"/>
    <n v="112"/>
    <n v="408"/>
    <x v="1"/>
    <m/>
  </r>
  <r>
    <x v="2"/>
    <x v="0"/>
    <x v="0"/>
    <x v="1"/>
    <n v="5003"/>
    <x v="276"/>
    <x v="15"/>
    <n v="9.9999997764825804E-3"/>
    <n v="529452"/>
    <n v="170760"/>
    <m/>
    <x v="322"/>
    <s v="PF"/>
    <d v="2016-09-19T00:00:00"/>
    <x v="253"/>
    <m/>
    <m/>
    <s v="Nil"/>
    <m/>
    <m/>
    <s v="Demolition of existing garage (for the repair of motor vehicles) and erection of replacement garage with ancillary office space above."/>
    <x v="317"/>
    <s v="NB"/>
    <x v="0"/>
    <s v="NSO"/>
    <m/>
    <m/>
    <m/>
    <m/>
    <s v="C"/>
    <s v="BF"/>
    <x v="0"/>
    <m/>
    <m/>
    <m/>
    <m/>
    <m/>
    <m/>
    <m/>
    <m/>
    <m/>
    <m/>
    <m/>
    <n v="160"/>
    <n v="160"/>
    <m/>
    <m/>
    <n v="160"/>
    <m/>
    <m/>
    <m/>
    <m/>
    <m/>
    <m/>
    <m/>
    <m/>
    <m/>
    <m/>
    <m/>
    <n v="80"/>
    <m/>
    <m/>
    <n v="80"/>
    <m/>
    <m/>
    <m/>
    <x v="0"/>
    <x v="1"/>
    <x v="1"/>
    <m/>
    <m/>
    <m/>
    <m/>
    <m/>
    <m/>
    <m/>
    <x v="0"/>
    <m/>
    <n v="80"/>
    <m/>
    <m/>
    <n v="80"/>
    <x v="0"/>
    <m/>
    <m/>
    <m/>
    <m/>
    <s v="-"/>
    <s v="-"/>
    <s v="-"/>
    <s v="-"/>
    <s v="-"/>
    <s v="-"/>
    <s v="-"/>
    <s v="Other"/>
    <s v="-"/>
    <s v="-"/>
    <s v="-"/>
    <x v="1"/>
    <x v="0"/>
    <s v="-"/>
    <s v="-"/>
    <s v="-"/>
    <s v="-"/>
    <s v="-"/>
    <s v="-"/>
    <s v="-"/>
    <s v="Other"/>
    <s v="-"/>
    <s v="-"/>
    <s v="-"/>
    <x v="0"/>
    <x v="0"/>
    <n v="9.9999997764825804E-3"/>
    <n v="160"/>
    <n v="80"/>
    <n v="80"/>
    <x v="0"/>
    <x v="0"/>
    <m/>
    <x v="0"/>
    <m/>
    <x v="0"/>
    <m/>
    <x v="0"/>
    <x v="0"/>
    <x v="0"/>
    <x v="0"/>
    <m/>
    <n v="0"/>
    <n v="0"/>
    <n v="0"/>
    <x v="0"/>
    <m/>
  </r>
  <r>
    <x v="0"/>
    <x v="0"/>
    <x v="0"/>
    <x v="2"/>
    <n v="5007"/>
    <x v="277"/>
    <x v="11"/>
    <n v="1.09999999403954E-2"/>
    <n v="528819"/>
    <n v="174137"/>
    <m/>
    <x v="323"/>
    <s v="PF"/>
    <d v="2017-04-18T00:00:00"/>
    <x v="111"/>
    <s v="Y"/>
    <m/>
    <s v="Nil"/>
    <m/>
    <m/>
    <s v="Change of use from estate agent (Class A2) to drinking establishment (Class A4) including external alterations, and proposed opening hours of 10:00 to 23:00 Sunday to Thursday and bank holidays, and 10:00 to 01:00 Friday and Saturday."/>
    <x v="318"/>
    <s v="COU"/>
    <x v="2"/>
    <s v="CO"/>
    <m/>
    <d v="2017-08-01T00:00:00"/>
    <d v="2018-03-31T00:00:00"/>
    <m/>
    <s v="C"/>
    <s v="BF"/>
    <x v="0"/>
    <m/>
    <d v="2017-08-01T00:00:00"/>
    <d v="2018-03-31T00:00:00"/>
    <m/>
    <m/>
    <m/>
    <n v="117"/>
    <m/>
    <n v="117"/>
    <m/>
    <m/>
    <m/>
    <m/>
    <m/>
    <m/>
    <m/>
    <m/>
    <m/>
    <m/>
    <m/>
    <n v="117"/>
    <m/>
    <m/>
    <m/>
    <n v="117"/>
    <m/>
    <m/>
    <m/>
    <m/>
    <m/>
    <m/>
    <m/>
    <m/>
    <m/>
    <x v="1"/>
    <x v="0"/>
    <x v="1"/>
    <m/>
    <n v="-117"/>
    <m/>
    <n v="117"/>
    <m/>
    <m/>
    <m/>
    <x v="0"/>
    <m/>
    <m/>
    <m/>
    <m/>
    <m/>
    <x v="0"/>
    <m/>
    <m/>
    <m/>
    <m/>
    <s v="-"/>
    <s v="-"/>
    <s v="-"/>
    <s v="Bar"/>
    <s v="-"/>
    <s v="-"/>
    <s v="-"/>
    <s v="-"/>
    <s v="-"/>
    <s v="-"/>
    <s v="-"/>
    <x v="1"/>
    <x v="0"/>
    <s v="-"/>
    <s v="Vacant"/>
    <s v="-"/>
    <s v="-"/>
    <s v="-"/>
    <s v="-"/>
    <s v="-"/>
    <s v="-"/>
    <s v="-"/>
    <s v="-"/>
    <s v="-"/>
    <x v="0"/>
    <x v="0"/>
    <n v="1.09999999403954E-2"/>
    <n v="117"/>
    <n v="117"/>
    <n v="0"/>
    <x v="0"/>
    <x v="0"/>
    <m/>
    <x v="0"/>
    <m/>
    <x v="0"/>
    <m/>
    <x v="0"/>
    <x v="0"/>
    <x v="0"/>
    <x v="1"/>
    <s v="Clapham South"/>
    <n v="0"/>
    <n v="0"/>
    <n v="0"/>
    <x v="0"/>
    <m/>
  </r>
  <r>
    <x v="2"/>
    <x v="0"/>
    <x v="0"/>
    <x v="1"/>
    <n v="5010"/>
    <x v="278"/>
    <x v="12"/>
    <n v="6.0000000521540598E-3"/>
    <n v="524774"/>
    <n v="173317"/>
    <m/>
    <x v="324"/>
    <s v="PF"/>
    <d v="2016-10-10T00:00:00"/>
    <x v="254"/>
    <m/>
    <m/>
    <s v="Nil"/>
    <m/>
    <m/>
    <s v="Change of use of ground floor from Taxi business (Sui Generis) to a retail shop (Class A1)."/>
    <x v="319"/>
    <s v="COU"/>
    <x v="2"/>
    <s v="NSO"/>
    <m/>
    <m/>
    <m/>
    <m/>
    <s v="C"/>
    <s v="BF"/>
    <x v="0"/>
    <m/>
    <m/>
    <m/>
    <n v="34"/>
    <m/>
    <m/>
    <m/>
    <m/>
    <n v="34"/>
    <m/>
    <m/>
    <m/>
    <m/>
    <m/>
    <m/>
    <m/>
    <m/>
    <m/>
    <m/>
    <m/>
    <m/>
    <m/>
    <m/>
    <m/>
    <m/>
    <m/>
    <m/>
    <m/>
    <m/>
    <m/>
    <m/>
    <m/>
    <m/>
    <m/>
    <x v="1"/>
    <x v="0"/>
    <x v="1"/>
    <n v="34"/>
    <m/>
    <m/>
    <m/>
    <m/>
    <n v="34"/>
    <m/>
    <x v="0"/>
    <m/>
    <m/>
    <m/>
    <m/>
    <m/>
    <x v="0"/>
    <m/>
    <m/>
    <m/>
    <m/>
    <s v="Not Known"/>
    <s v="-"/>
    <s v="-"/>
    <s v="-"/>
    <s v="-"/>
    <s v="-"/>
    <s v="-"/>
    <s v="-"/>
    <s v="-"/>
    <s v="-"/>
    <s v="-"/>
    <x v="1"/>
    <x v="0"/>
    <s v="-"/>
    <s v="-"/>
    <s v="-"/>
    <s v="-"/>
    <s v="-"/>
    <s v="-"/>
    <s v="-"/>
    <s v="-"/>
    <s v="-"/>
    <s v="-"/>
    <s v="-"/>
    <x v="0"/>
    <x v="0"/>
    <n v="6.0000000521540598E-3"/>
    <n v="34"/>
    <n v="34"/>
    <n v="0"/>
    <x v="0"/>
    <x v="0"/>
    <m/>
    <x v="0"/>
    <m/>
    <x v="0"/>
    <m/>
    <x v="0"/>
    <x v="0"/>
    <x v="0"/>
    <x v="1"/>
    <s v="Southfields"/>
    <n v="0"/>
    <n v="0"/>
    <n v="0"/>
    <x v="0"/>
    <m/>
  </r>
  <r>
    <x v="0"/>
    <x v="0"/>
    <x v="0"/>
    <x v="0"/>
    <n v="5034"/>
    <x v="279"/>
    <x v="8"/>
    <n v="2.3000000044703501E-2"/>
    <n v="528686"/>
    <n v="176535"/>
    <m/>
    <x v="325"/>
    <s v="PF"/>
    <d v="2014-01-07T00:00:00"/>
    <x v="255"/>
    <m/>
    <m/>
    <s v="Nil"/>
    <m/>
    <m/>
    <s v="Minor material amendments to planning permission ref. 2013/2262 (dated 09/08/13) for retention of main facades with demolition of remainder of existing building; erection of four-storey building to provide 9 residential units incorporating roof terraces and cycle storage, with associated alterations to windows/doors within retained facades to enable the developmenet to be carried out other than in accordance with the approved plans. The amendments sought include alterations to the internal layouts resulting in provision of 8 x two-bedroom apartments and one studio unit, and alterations to the existing ground floor window to the north elevation to form doors to allow access to outdoor amenity space."/>
    <x v="320"/>
    <s v="NB"/>
    <x v="0"/>
    <s v="OC"/>
    <d v="2015-09-03T00:00:00"/>
    <d v="2015-09-03T00:00:00"/>
    <d v="2017-04-21T00:00:00"/>
    <d v="2017-04-21T00:00:00"/>
    <s v="C"/>
    <s v="BF"/>
    <x v="0"/>
    <m/>
    <d v="2015-09-03T00:00:00"/>
    <d v="2017-04-21T00:00:00"/>
    <m/>
    <m/>
    <m/>
    <m/>
    <m/>
    <m/>
    <m/>
    <m/>
    <m/>
    <m/>
    <m/>
    <m/>
    <m/>
    <m/>
    <m/>
    <m/>
    <m/>
    <m/>
    <m/>
    <m/>
    <m/>
    <m/>
    <m/>
    <n v="47"/>
    <m/>
    <m/>
    <n v="62"/>
    <n v="109"/>
    <m/>
    <m/>
    <m/>
    <x v="0"/>
    <x v="1"/>
    <x v="1"/>
    <m/>
    <m/>
    <m/>
    <m/>
    <m/>
    <m/>
    <m/>
    <x v="0"/>
    <n v="-47"/>
    <m/>
    <m/>
    <n v="-62"/>
    <n v="-109"/>
    <x v="1"/>
    <m/>
    <m/>
    <m/>
    <m/>
    <s v="-"/>
    <s v="-"/>
    <s v="-"/>
    <s v="-"/>
    <s v="-"/>
    <s v="-"/>
    <s v="-"/>
    <s v="-"/>
    <s v="-"/>
    <s v="-"/>
    <s v="-"/>
    <x v="1"/>
    <x v="0"/>
    <s v="-"/>
    <s v="-"/>
    <s v="-"/>
    <s v="-"/>
    <s v="-"/>
    <s v="-"/>
    <s v="Not Known"/>
    <s v="-"/>
    <s v="-"/>
    <s v="Storage"/>
    <s v="-"/>
    <x v="0"/>
    <x v="0"/>
    <n v="0"/>
    <n v="0"/>
    <n v="109"/>
    <n v="-109"/>
    <x v="0"/>
    <x v="0"/>
    <m/>
    <x v="0"/>
    <m/>
    <x v="0"/>
    <m/>
    <x v="0"/>
    <x v="0"/>
    <x v="0"/>
    <x v="0"/>
    <m/>
    <n v="541"/>
    <n v="267"/>
    <n v="274"/>
    <x v="1"/>
    <m/>
  </r>
  <r>
    <x v="0"/>
    <x v="0"/>
    <x v="0"/>
    <x v="0"/>
    <n v="5038"/>
    <x v="280"/>
    <x v="14"/>
    <n v="1.4000000432133701E-2"/>
    <n v="527317"/>
    <n v="171280"/>
    <m/>
    <x v="326"/>
    <s v="PF"/>
    <d v="2015-03-20T00:00:00"/>
    <x v="256"/>
    <m/>
    <m/>
    <s v="Nil"/>
    <m/>
    <m/>
    <s v="Change of use from shop (use class A1) to bar (use class A4) together with the installation of a replacement shopfront."/>
    <x v="321"/>
    <s v="COU"/>
    <x v="2"/>
    <s v="OC"/>
    <m/>
    <d v="2017-04-01T00:00:00"/>
    <d v="2018-03-31T00:00:00"/>
    <d v="2018-03-31T00:00:00"/>
    <s v="C"/>
    <s v="BF"/>
    <x v="0"/>
    <m/>
    <d v="2017-04-01T00:00:00"/>
    <d v="2018-03-31T00:00:00"/>
    <m/>
    <m/>
    <m/>
    <n v="48"/>
    <m/>
    <n v="48"/>
    <m/>
    <m/>
    <m/>
    <m/>
    <m/>
    <m/>
    <m/>
    <m/>
    <m/>
    <m/>
    <n v="48"/>
    <m/>
    <m/>
    <m/>
    <m/>
    <n v="48"/>
    <m/>
    <m/>
    <m/>
    <m/>
    <m/>
    <m/>
    <m/>
    <m/>
    <m/>
    <x v="1"/>
    <x v="0"/>
    <x v="1"/>
    <n v="-48"/>
    <m/>
    <m/>
    <n v="48"/>
    <m/>
    <m/>
    <m/>
    <x v="0"/>
    <m/>
    <m/>
    <m/>
    <m/>
    <m/>
    <x v="0"/>
    <m/>
    <m/>
    <m/>
    <m/>
    <s v="-"/>
    <s v="-"/>
    <s v="-"/>
    <s v="Bar"/>
    <s v="-"/>
    <s v="-"/>
    <s v="-"/>
    <s v="-"/>
    <s v="-"/>
    <s v="-"/>
    <s v="-"/>
    <x v="1"/>
    <x v="0"/>
    <s v="Not Known"/>
    <s v="-"/>
    <s v="-"/>
    <s v="-"/>
    <s v="-"/>
    <s v="-"/>
    <s v="-"/>
    <s v="-"/>
    <s v="-"/>
    <s v="-"/>
    <s v="-"/>
    <x v="0"/>
    <x v="0"/>
    <n v="1.4000000432133701E-2"/>
    <n v="48"/>
    <n v="48"/>
    <n v="0"/>
    <x v="0"/>
    <x v="0"/>
    <m/>
    <x v="0"/>
    <m/>
    <x v="0"/>
    <m/>
    <x v="0"/>
    <x v="0"/>
    <x v="0"/>
    <x v="0"/>
    <m/>
    <n v="0"/>
    <n v="0"/>
    <n v="0"/>
    <x v="0"/>
    <m/>
  </r>
  <r>
    <x v="2"/>
    <x v="0"/>
    <x v="0"/>
    <x v="1"/>
    <n v="5049"/>
    <x v="281"/>
    <x v="11"/>
    <n v="1.9999999552965199E-2"/>
    <n v="528822"/>
    <n v="174107"/>
    <m/>
    <x v="327"/>
    <s v="PF"/>
    <d v="2017-12-06T00:00:00"/>
    <x v="207"/>
    <s v="Y"/>
    <m/>
    <s v="Nil"/>
    <m/>
    <m/>
    <s v="Alterations in connection with change of use of ground floor from Sui Generis to flexible use (Class A1-A3 and D2 ( gym/fitness studio/yoga centre)."/>
    <x v="322"/>
    <s v="COU"/>
    <x v="2"/>
    <s v="NSO"/>
    <m/>
    <m/>
    <m/>
    <m/>
    <s v="C"/>
    <s v="BF"/>
    <x v="0"/>
    <m/>
    <m/>
    <m/>
    <n v="40"/>
    <n v="40"/>
    <n v="40"/>
    <m/>
    <m/>
    <n v="120"/>
    <m/>
    <m/>
    <m/>
    <m/>
    <m/>
    <m/>
    <m/>
    <m/>
    <n v="49"/>
    <n v="49"/>
    <m/>
    <n v="159"/>
    <m/>
    <m/>
    <m/>
    <n v="159"/>
    <m/>
    <m/>
    <m/>
    <m/>
    <m/>
    <m/>
    <m/>
    <m/>
    <m/>
    <x v="1"/>
    <x v="0"/>
    <x v="0"/>
    <n v="40"/>
    <n v="-119"/>
    <n v="40"/>
    <m/>
    <m/>
    <n v="-39"/>
    <m/>
    <x v="0"/>
    <m/>
    <m/>
    <m/>
    <m/>
    <m/>
    <x v="0"/>
    <m/>
    <m/>
    <n v="49"/>
    <n v="49"/>
    <s v="Not Known"/>
    <s v="Not Known"/>
    <s v="Not Known"/>
    <s v="-"/>
    <s v="-"/>
    <s v="-"/>
    <s v="-"/>
    <s v="-"/>
    <s v="-"/>
    <s v="-"/>
    <s v="-"/>
    <x v="1"/>
    <x v="2"/>
    <s v="-"/>
    <s v="Betting Shop"/>
    <s v="-"/>
    <s v="-"/>
    <s v="-"/>
    <s v="-"/>
    <s v="-"/>
    <s v="-"/>
    <s v="-"/>
    <s v="-"/>
    <s v="-"/>
    <x v="0"/>
    <x v="0"/>
    <n v="1.9999999552965199E-2"/>
    <n v="169"/>
    <n v="159"/>
    <n v="10"/>
    <x v="0"/>
    <x v="0"/>
    <m/>
    <x v="0"/>
    <m/>
    <x v="0"/>
    <m/>
    <x v="0"/>
    <x v="0"/>
    <x v="0"/>
    <x v="1"/>
    <s v="Clapham South"/>
    <n v="0"/>
    <n v="0"/>
    <n v="0"/>
    <x v="0"/>
    <m/>
  </r>
  <r>
    <x v="0"/>
    <x v="0"/>
    <x v="0"/>
    <x v="0"/>
    <n v="5068"/>
    <x v="282"/>
    <x v="16"/>
    <n v="0.22800000011920901"/>
    <n v="527573"/>
    <n v="171586"/>
    <s v="5.2"/>
    <x v="328"/>
    <s v="PF"/>
    <d v="2017-10-06T00:00:00"/>
    <x v="257"/>
    <s v="Y"/>
    <m/>
    <s v="Nil"/>
    <m/>
    <m/>
    <s v="Alterations to the approved market extension including changes to the north-western building line and the inclusion of a flat roof section with plant over-run to the rear; change of use from the approved A3/A4 to include A1/A3/A4/B1 uses; and use of the Totterdown Street entrance to the site for general access during market opening hours (part retrospective)."/>
    <x v="323"/>
    <s v="COU"/>
    <x v="2"/>
    <s v="OC"/>
    <m/>
    <d v="2015-10-27T00:00:00"/>
    <d v="2018-03-31T00:00:00"/>
    <d v="2018-03-31T00:00:00"/>
    <s v="C"/>
    <s v="BF"/>
    <x v="0"/>
    <m/>
    <d v="2015-10-27T00:00:00"/>
    <d v="2018-03-31T00:00:00"/>
    <n v="133"/>
    <n v="133"/>
    <n v="133"/>
    <n v="132"/>
    <m/>
    <n v="531"/>
    <n v="132"/>
    <m/>
    <m/>
    <n v="132"/>
    <m/>
    <m/>
    <n v="132"/>
    <m/>
    <m/>
    <m/>
    <m/>
    <m/>
    <n v="663"/>
    <m/>
    <m/>
    <n v="663"/>
    <m/>
    <m/>
    <m/>
    <m/>
    <m/>
    <m/>
    <m/>
    <m/>
    <m/>
    <x v="1"/>
    <x v="1"/>
    <x v="1"/>
    <n v="133"/>
    <n v="133"/>
    <n v="-530"/>
    <n v="132"/>
    <m/>
    <n v="-132"/>
    <n v="132"/>
    <x v="0"/>
    <m/>
    <m/>
    <m/>
    <m/>
    <n v="132"/>
    <x v="0"/>
    <m/>
    <m/>
    <m/>
    <m/>
    <s v="Not Known"/>
    <s v="Not Known"/>
    <s v="Restaurant"/>
    <s v="Bar"/>
    <s v="-"/>
    <s v="Other"/>
    <s v="-"/>
    <s v="-"/>
    <s v="-"/>
    <s v="-"/>
    <s v="-"/>
    <x v="1"/>
    <x v="0"/>
    <s v="-"/>
    <s v="-"/>
    <s v="Restaurant"/>
    <s v="-"/>
    <s v="-"/>
    <s v="-"/>
    <s v="-"/>
    <s v="-"/>
    <s v="-"/>
    <s v="-"/>
    <s v="-"/>
    <x v="0"/>
    <x v="0"/>
    <n v="0.22800000011920901"/>
    <n v="663"/>
    <n v="663"/>
    <n v="0"/>
    <x v="0"/>
    <x v="0"/>
    <m/>
    <x v="0"/>
    <m/>
    <x v="0"/>
    <m/>
    <x v="0"/>
    <x v="1"/>
    <x v="3"/>
    <x v="0"/>
    <m/>
    <n v="0"/>
    <n v="0"/>
    <n v="0"/>
    <x v="0"/>
    <m/>
  </r>
  <r>
    <x v="0"/>
    <x v="0"/>
    <x v="0"/>
    <x v="0"/>
    <n v="5071"/>
    <x v="283"/>
    <x v="4"/>
    <n v="1.4000000432133701E-2"/>
    <n v="526969"/>
    <n v="176463"/>
    <m/>
    <x v="329"/>
    <s v="PF"/>
    <d v="2017-03-03T00:00:00"/>
    <x v="258"/>
    <s v="Y"/>
    <m/>
    <s v="Nil"/>
    <m/>
    <m/>
    <s v="Variation of condition 11 (restricted use) pursuant to planning permission dated 19/6/2015 ref: 2014/6892 (Demolition of existing public house and erection of a replacement building up to four-storeys high to provide a new public house on the ground floor with 9 residential units above with associated amenity space, including pub garden, roof terraces and balconies and cycle parking facilities.) to vary the condition to allow a change of use of ground floor from drinking establishment (Class A4) to non-residential institutions (day nursery) (Class D1)."/>
    <x v="324"/>
    <s v="COU"/>
    <x v="2"/>
    <s v="OC"/>
    <m/>
    <d v="2017-09-20T00:00:00"/>
    <d v="2018-03-31T00:00:00"/>
    <d v="2018-03-31T00:00:00"/>
    <s v="C"/>
    <s v="BF"/>
    <x v="0"/>
    <m/>
    <d v="2017-09-20T00:00:00"/>
    <d v="2018-03-31T00:00:00"/>
    <m/>
    <m/>
    <m/>
    <m/>
    <m/>
    <m/>
    <m/>
    <m/>
    <m/>
    <m/>
    <m/>
    <m/>
    <m/>
    <n v="379"/>
    <m/>
    <n v="379"/>
    <m/>
    <m/>
    <m/>
    <n v="379"/>
    <m/>
    <n v="379"/>
    <m/>
    <m/>
    <m/>
    <m/>
    <m/>
    <m/>
    <m/>
    <m/>
    <m/>
    <x v="1"/>
    <x v="0"/>
    <x v="0"/>
    <m/>
    <m/>
    <m/>
    <n v="-379"/>
    <m/>
    <n v="-379"/>
    <m/>
    <x v="0"/>
    <m/>
    <m/>
    <m/>
    <m/>
    <m/>
    <x v="0"/>
    <m/>
    <n v="379"/>
    <m/>
    <n v="379"/>
    <s v="-"/>
    <s v="-"/>
    <s v="-"/>
    <s v="-"/>
    <s v="-"/>
    <s v="-"/>
    <s v="-"/>
    <s v="-"/>
    <s v="-"/>
    <s v="-"/>
    <s v="-"/>
    <x v="6"/>
    <x v="0"/>
    <s v="-"/>
    <s v="-"/>
    <s v="-"/>
    <s v="Vacant"/>
    <s v="-"/>
    <s v="-"/>
    <s v="-"/>
    <s v="-"/>
    <s v="-"/>
    <s v="-"/>
    <s v="-"/>
    <x v="0"/>
    <x v="0"/>
    <n v="1.4000000432133701E-2"/>
    <n v="379"/>
    <n v="379"/>
    <n v="0"/>
    <x v="0"/>
    <x v="0"/>
    <m/>
    <x v="0"/>
    <m/>
    <x v="0"/>
    <m/>
    <x v="0"/>
    <x v="0"/>
    <x v="0"/>
    <x v="0"/>
    <m/>
    <n v="0"/>
    <n v="0"/>
    <n v="0"/>
    <x v="0"/>
    <m/>
  </r>
  <r>
    <x v="2"/>
    <x v="0"/>
    <x v="0"/>
    <x v="1"/>
    <n v="5096"/>
    <x v="284"/>
    <x v="5"/>
    <n v="9.9999997764825804E-3"/>
    <n v="526041"/>
    <n v="175095"/>
    <m/>
    <x v="330"/>
    <s v="PF"/>
    <d v="2015-12-07T00:00:00"/>
    <x v="259"/>
    <m/>
    <m/>
    <s v="Nil"/>
    <m/>
    <m/>
    <s v="Change of use from Class B1(c) into 2x 2 bedroom flats (Class C3); alterations to fenestration to front and rear elevations (Revised Application)."/>
    <x v="325"/>
    <s v="COU"/>
    <x v="2"/>
    <s v="NSO"/>
    <m/>
    <m/>
    <m/>
    <m/>
    <s v="C"/>
    <s v="BF"/>
    <x v="0"/>
    <m/>
    <m/>
    <m/>
    <m/>
    <m/>
    <m/>
    <m/>
    <m/>
    <m/>
    <m/>
    <m/>
    <m/>
    <m/>
    <m/>
    <m/>
    <m/>
    <m/>
    <m/>
    <m/>
    <m/>
    <m/>
    <m/>
    <m/>
    <m/>
    <m/>
    <n v="88"/>
    <m/>
    <n v="54"/>
    <m/>
    <n v="45"/>
    <n v="187"/>
    <m/>
    <m/>
    <m/>
    <x v="0"/>
    <x v="1"/>
    <x v="1"/>
    <m/>
    <m/>
    <m/>
    <m/>
    <m/>
    <m/>
    <n v="-88"/>
    <x v="1"/>
    <m/>
    <n v="-54"/>
    <m/>
    <n v="-45"/>
    <n v="-187"/>
    <x v="1"/>
    <m/>
    <m/>
    <m/>
    <m/>
    <s v="-"/>
    <s v="-"/>
    <s v="-"/>
    <s v="-"/>
    <s v="-"/>
    <s v="-"/>
    <s v="-"/>
    <s v="-"/>
    <s v="-"/>
    <s v="-"/>
    <s v="-"/>
    <x v="1"/>
    <x v="0"/>
    <s v="-"/>
    <s v="-"/>
    <s v="-"/>
    <s v="-"/>
    <s v="-"/>
    <s v="Other"/>
    <s v="-"/>
    <s v="Light Industrial"/>
    <s v="-"/>
    <s v="Storage"/>
    <s v="-"/>
    <x v="0"/>
    <x v="0"/>
    <n v="0"/>
    <n v="0"/>
    <n v="187"/>
    <n v="-187"/>
    <x v="0"/>
    <x v="0"/>
    <m/>
    <x v="0"/>
    <m/>
    <x v="0"/>
    <m/>
    <x v="0"/>
    <x v="0"/>
    <x v="0"/>
    <x v="0"/>
    <m/>
    <n v="244"/>
    <n v="0"/>
    <n v="244"/>
    <x v="1"/>
    <m/>
  </r>
  <r>
    <x v="3"/>
    <x v="0"/>
    <x v="0"/>
    <x v="1"/>
    <n v="5109"/>
    <x v="285"/>
    <x v="14"/>
    <n v="3.7999998778104803E-2"/>
    <n v="527405"/>
    <n v="171440"/>
    <m/>
    <x v="331"/>
    <s v="PF"/>
    <d v="2016-10-03T00:00:00"/>
    <x v="155"/>
    <m/>
    <m/>
    <s v="Nil"/>
    <m/>
    <m/>
    <s v="Alterations including erection of part single, part two-storey side/rear extension (including basement extension and rear lightwell) in connection with erection of a 1x1-bedroom unit on Garratt Terrace frontage."/>
    <x v="326"/>
    <s v="NB"/>
    <x v="0"/>
    <s v="UC"/>
    <m/>
    <d v="2018-03-31T00:00:00"/>
    <m/>
    <m/>
    <s v="C"/>
    <s v="BF"/>
    <x v="0"/>
    <m/>
    <d v="2018-03-31T00:00:00"/>
    <m/>
    <m/>
    <m/>
    <m/>
    <m/>
    <m/>
    <m/>
    <m/>
    <m/>
    <m/>
    <m/>
    <m/>
    <m/>
    <m/>
    <m/>
    <m/>
    <m/>
    <m/>
    <m/>
    <m/>
    <m/>
    <m/>
    <m/>
    <m/>
    <m/>
    <m/>
    <m/>
    <m/>
    <m/>
    <m/>
    <m/>
    <m/>
    <x v="0"/>
    <x v="0"/>
    <x v="1"/>
    <m/>
    <m/>
    <m/>
    <m/>
    <m/>
    <m/>
    <m/>
    <x v="0"/>
    <m/>
    <m/>
    <m/>
    <m/>
    <m/>
    <x v="0"/>
    <m/>
    <m/>
    <m/>
    <m/>
    <s v="-"/>
    <s v="-"/>
    <s v="-"/>
    <s v="-"/>
    <s v="-"/>
    <s v="-"/>
    <s v="-"/>
    <s v="-"/>
    <s v="-"/>
    <s v="-"/>
    <s v="-"/>
    <x v="1"/>
    <x v="0"/>
    <s v="-"/>
    <s v="-"/>
    <s v="-"/>
    <s v="-"/>
    <s v="-"/>
    <s v="-"/>
    <s v="-"/>
    <s v="-"/>
    <s v="-"/>
    <s v="-"/>
    <s v="-"/>
    <x v="0"/>
    <x v="0"/>
    <n v="1.2999998405575804E-2"/>
    <n v="0"/>
    <n v="65"/>
    <n v="-65"/>
    <x v="0"/>
    <x v="0"/>
    <m/>
    <x v="0"/>
    <m/>
    <x v="0"/>
    <m/>
    <x v="0"/>
    <x v="1"/>
    <x v="3"/>
    <x v="0"/>
    <m/>
    <n v="86"/>
    <n v="0"/>
    <n v="86"/>
    <x v="1"/>
    <m/>
  </r>
  <r>
    <x v="3"/>
    <x v="0"/>
    <x v="0"/>
    <x v="1"/>
    <n v="5114"/>
    <x v="286"/>
    <x v="16"/>
    <n v="5.7000000029802302E-2"/>
    <n v="527786"/>
    <n v="171065"/>
    <m/>
    <x v="332"/>
    <s v="PF"/>
    <d v="2016-04-14T00:00:00"/>
    <x v="260"/>
    <m/>
    <m/>
    <s v="Nil"/>
    <m/>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x v="327"/>
    <s v="NB"/>
    <x v="0"/>
    <s v="UC"/>
    <d v="2017-03-31T00:00:00"/>
    <d v="2017-03-31T00:00:00"/>
    <m/>
    <m/>
    <s v="C"/>
    <s v="BF"/>
    <x v="0"/>
    <m/>
    <d v="2017-03-31T00:00:00"/>
    <m/>
    <n v="833"/>
    <m/>
    <m/>
    <m/>
    <m/>
    <n v="833"/>
    <m/>
    <m/>
    <m/>
    <m/>
    <m/>
    <m/>
    <m/>
    <n v="500"/>
    <m/>
    <n v="500"/>
    <m/>
    <m/>
    <m/>
    <m/>
    <m/>
    <m/>
    <m/>
    <m/>
    <m/>
    <m/>
    <m/>
    <m/>
    <m/>
    <m/>
    <m/>
    <x v="1"/>
    <x v="0"/>
    <x v="0"/>
    <n v="833"/>
    <m/>
    <m/>
    <m/>
    <m/>
    <n v="833"/>
    <m/>
    <x v="0"/>
    <m/>
    <m/>
    <m/>
    <m/>
    <m/>
    <x v="0"/>
    <m/>
    <n v="500"/>
    <m/>
    <n v="500"/>
    <s v="Services"/>
    <s v="-"/>
    <s v="-"/>
    <s v="-"/>
    <s v="-"/>
    <s v="-"/>
    <s v="-"/>
    <s v="-"/>
    <s v="-"/>
    <s v="-"/>
    <s v="-"/>
    <x v="3"/>
    <x v="0"/>
    <s v="-"/>
    <s v="-"/>
    <s v="-"/>
    <s v="-"/>
    <s v="-"/>
    <s v="-"/>
    <s v="-"/>
    <s v="-"/>
    <s v="-"/>
    <s v="-"/>
    <s v="-"/>
    <x v="0"/>
    <x v="0"/>
    <n v="1.3999998569488505E-2"/>
    <n v="1333"/>
    <n v="684"/>
    <n v="649"/>
    <x v="0"/>
    <x v="0"/>
    <m/>
    <x v="0"/>
    <m/>
    <x v="0"/>
    <m/>
    <x v="0"/>
    <x v="1"/>
    <x v="3"/>
    <x v="0"/>
    <m/>
    <n v="732"/>
    <n v="0"/>
    <n v="732"/>
    <x v="1"/>
    <m/>
  </r>
  <r>
    <x v="1"/>
    <x v="1"/>
    <x v="1"/>
    <x v="1"/>
    <n v="5119"/>
    <x v="287"/>
    <x v="14"/>
    <n v="2.5000000372528999E-2"/>
    <n v="527391"/>
    <n v="171805"/>
    <m/>
    <x v="333"/>
    <s v="RP"/>
    <d v="2016-09-30T00:00:00"/>
    <x v="192"/>
    <m/>
    <m/>
    <s v="APP"/>
    <d v="2017-01-18T00:00:00"/>
    <m/>
    <s v="Erection of a three-storey building (plus basement level and roof terrace level) to provide 7 flats (3 x 1-bedroom, 2 x 2-bedroom and 2 x 3-bedroom units), with ground, first and second level balconies at front and rear elevations."/>
    <x v="328"/>
    <s v="NB"/>
    <x v="0"/>
    <s v="NSO"/>
    <m/>
    <m/>
    <m/>
    <m/>
    <s v="C"/>
    <s v="BF"/>
    <x v="0"/>
    <m/>
    <m/>
    <m/>
    <m/>
    <m/>
    <m/>
    <m/>
    <m/>
    <m/>
    <m/>
    <m/>
    <m/>
    <m/>
    <m/>
    <m/>
    <m/>
    <m/>
    <m/>
    <m/>
    <m/>
    <m/>
    <m/>
    <m/>
    <m/>
    <m/>
    <m/>
    <m/>
    <m/>
    <m/>
    <m/>
    <m/>
    <m/>
    <m/>
    <m/>
    <x v="0"/>
    <x v="0"/>
    <x v="1"/>
    <m/>
    <m/>
    <m/>
    <m/>
    <m/>
    <m/>
    <m/>
    <x v="0"/>
    <m/>
    <m/>
    <m/>
    <m/>
    <m/>
    <x v="0"/>
    <m/>
    <m/>
    <m/>
    <m/>
    <s v="-"/>
    <s v="-"/>
    <s v="-"/>
    <s v="-"/>
    <s v="-"/>
    <s v="-"/>
    <s v="-"/>
    <s v="-"/>
    <s v="-"/>
    <s v="-"/>
    <s v="-"/>
    <x v="1"/>
    <x v="0"/>
    <s v="-"/>
    <s v="-"/>
    <s v="-"/>
    <s v="-"/>
    <s v="-"/>
    <s v="-"/>
    <s v="-"/>
    <s v="-"/>
    <s v="-"/>
    <s v="-"/>
    <s v="-"/>
    <x v="0"/>
    <x v="0"/>
    <n v="7.000001147389398E-3"/>
    <n v="0"/>
    <n v="260"/>
    <n v="-260"/>
    <x v="0"/>
    <x v="0"/>
    <m/>
    <x v="0"/>
    <m/>
    <x v="0"/>
    <m/>
    <x v="0"/>
    <x v="0"/>
    <x v="0"/>
    <x v="0"/>
    <m/>
    <n v="615"/>
    <n v="0"/>
    <n v="615"/>
    <x v="1"/>
    <m/>
  </r>
  <r>
    <x v="2"/>
    <x v="0"/>
    <x v="0"/>
    <x v="1"/>
    <n v="5119"/>
    <x v="287"/>
    <x v="14"/>
    <n v="2.5000000372528999E-2"/>
    <n v="527391"/>
    <n v="171805"/>
    <m/>
    <x v="334"/>
    <s v="PF"/>
    <d v="2017-02-14T00:00:00"/>
    <x v="74"/>
    <s v="Y"/>
    <m/>
    <s v="Nil"/>
    <m/>
    <m/>
    <s v="Erection of a three-storey building (plus basement level with front and rear lightwells) to provide 6 residential flats (1 x 3-bedroom, 2 x 2-bedroom and 3 x 1-bedrooms units) with balconies to the rear and roof terraces to front/side/rear, and associated cycling and refuse storage."/>
    <x v="329"/>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260"/>
    <n v="-260"/>
    <x v="0"/>
    <x v="0"/>
    <m/>
    <x v="0"/>
    <m/>
    <x v="0"/>
    <m/>
    <x v="0"/>
    <x v="0"/>
    <x v="0"/>
    <x v="0"/>
    <m/>
    <n v="431"/>
    <n v="0"/>
    <n v="431"/>
    <x v="1"/>
    <m/>
  </r>
  <r>
    <x v="2"/>
    <x v="0"/>
    <x v="0"/>
    <x v="1"/>
    <n v="5122"/>
    <x v="288"/>
    <x v="16"/>
    <n v="9.8999999463558197E-2"/>
    <n v="527968"/>
    <n v="170921"/>
    <m/>
    <x v="335"/>
    <s v="PF"/>
    <d v="2016-05-17T00:00:00"/>
    <x v="261"/>
    <m/>
    <m/>
    <s v="Nil"/>
    <m/>
    <m/>
    <s v="Demolition of 206 Mitcham Road, and construction of a four-storey building (plus basement level) to provide 1 x 3-bedroom, 2 x 1-bedroom and 4 x 2-bedroom flats with roof terraces and rear balconies, and basement office accommodation with front lightwell (Use Class B1a).  Construction of an additional storey of accommodation to  208 Mitcham Road (to provide 2 x 1-bedroom flats), extension and provision of roof terraces to 2no. existing flats at first and second floor.  Alterations to existing light industrial units (2A Stella Road - Use Class B1c) to provide office space (Class B1a).  Associated landscaping including ground floor communal garden, parking and refuse storage."/>
    <x v="330"/>
    <s v="NB"/>
    <x v="0"/>
    <s v="NSO"/>
    <m/>
    <m/>
    <m/>
    <m/>
    <s v="C"/>
    <s v="BF"/>
    <x v="0"/>
    <m/>
    <m/>
    <m/>
    <m/>
    <m/>
    <m/>
    <m/>
    <m/>
    <m/>
    <n v="392"/>
    <m/>
    <m/>
    <n v="392"/>
    <m/>
    <m/>
    <n v="392"/>
    <m/>
    <m/>
    <m/>
    <m/>
    <m/>
    <m/>
    <m/>
    <m/>
    <m/>
    <n v="396"/>
    <m/>
    <m/>
    <m/>
    <m/>
    <n v="396"/>
    <m/>
    <m/>
    <m/>
    <x v="0"/>
    <x v="1"/>
    <x v="1"/>
    <m/>
    <m/>
    <m/>
    <m/>
    <m/>
    <m/>
    <n v="-4"/>
    <x v="1"/>
    <m/>
    <m/>
    <m/>
    <m/>
    <n v="-4"/>
    <x v="1"/>
    <m/>
    <m/>
    <m/>
    <m/>
    <s v="-"/>
    <s v="-"/>
    <s v="-"/>
    <s v="-"/>
    <s v="-"/>
    <s v="Not Known"/>
    <s v="-"/>
    <s v="-"/>
    <s v="-"/>
    <s v="-"/>
    <s v="-"/>
    <x v="1"/>
    <x v="0"/>
    <s v="-"/>
    <s v="-"/>
    <s v="-"/>
    <s v="-"/>
    <s v="-"/>
    <s v="Vacant"/>
    <s v="-"/>
    <s v="-"/>
    <s v="-"/>
    <s v="-"/>
    <s v="-"/>
    <x v="0"/>
    <x v="0"/>
    <n v="0"/>
    <n v="392"/>
    <n v="396"/>
    <n v="-4"/>
    <x v="0"/>
    <x v="0"/>
    <m/>
    <x v="0"/>
    <m/>
    <x v="0"/>
    <m/>
    <x v="0"/>
    <x v="0"/>
    <x v="0"/>
    <x v="0"/>
    <m/>
    <n v="1046"/>
    <n v="610"/>
    <n v="436"/>
    <x v="1"/>
    <m/>
  </r>
  <r>
    <x v="2"/>
    <x v="0"/>
    <x v="0"/>
    <x v="1"/>
    <n v="5162"/>
    <x v="289"/>
    <x v="14"/>
    <n v="1.9999999552965199E-2"/>
    <n v="527391"/>
    <n v="171717"/>
    <m/>
    <x v="336"/>
    <s v="PF"/>
    <d v="2016-11-17T00:00:00"/>
    <x v="101"/>
    <s v="Y"/>
    <m/>
    <s v="Nil"/>
    <m/>
    <m/>
    <s v="Alterations in connection with conversion of garage into a 2-bedroom one storey dwelling plus basement level."/>
    <x v="331"/>
    <s v="COU"/>
    <x v="2"/>
    <s v="NSO"/>
    <m/>
    <m/>
    <m/>
    <m/>
    <s v="C"/>
    <s v="BF"/>
    <x v="0"/>
    <m/>
    <m/>
    <m/>
    <m/>
    <m/>
    <m/>
    <m/>
    <m/>
    <m/>
    <m/>
    <m/>
    <m/>
    <m/>
    <m/>
    <m/>
    <m/>
    <m/>
    <m/>
    <m/>
    <m/>
    <m/>
    <m/>
    <m/>
    <m/>
    <m/>
    <m/>
    <m/>
    <n v="95"/>
    <m/>
    <m/>
    <n v="95"/>
    <m/>
    <m/>
    <m/>
    <x v="0"/>
    <x v="1"/>
    <x v="1"/>
    <m/>
    <m/>
    <m/>
    <m/>
    <m/>
    <m/>
    <m/>
    <x v="0"/>
    <m/>
    <n v="-95"/>
    <m/>
    <m/>
    <n v="-95"/>
    <x v="1"/>
    <m/>
    <m/>
    <m/>
    <m/>
    <s v="-"/>
    <s v="-"/>
    <s v="-"/>
    <s v="-"/>
    <s v="-"/>
    <s v="-"/>
    <s v="-"/>
    <s v="-"/>
    <s v="-"/>
    <s v="-"/>
    <s v="-"/>
    <x v="1"/>
    <x v="0"/>
    <s v="-"/>
    <s v="-"/>
    <s v="-"/>
    <s v="-"/>
    <s v="-"/>
    <s v="-"/>
    <s v="-"/>
    <s v="Vacant"/>
    <s v="-"/>
    <s v="-"/>
    <s v="-"/>
    <x v="0"/>
    <x v="0"/>
    <n v="0"/>
    <n v="0"/>
    <n v="95"/>
    <n v="-95"/>
    <x v="0"/>
    <x v="0"/>
    <m/>
    <x v="0"/>
    <m/>
    <x v="0"/>
    <m/>
    <x v="0"/>
    <x v="0"/>
    <x v="0"/>
    <x v="0"/>
    <m/>
    <n v="81"/>
    <n v="0"/>
    <n v="81"/>
    <x v="1"/>
    <m/>
  </r>
  <r>
    <x v="3"/>
    <x v="0"/>
    <x v="0"/>
    <x v="1"/>
    <n v="5181"/>
    <x v="290"/>
    <x v="7"/>
    <n v="1.2000000104308101E-2"/>
    <n v="524012"/>
    <n v="175048"/>
    <m/>
    <x v="337"/>
    <s v="PF"/>
    <d v="2013-02-18T00:00:00"/>
    <x v="133"/>
    <m/>
    <m/>
    <s v="Nil"/>
    <m/>
    <m/>
    <s v="Erection rear extension at lower ground, ground, first and second floor levels with roof terraces at first and third floor levels to provide office space at lower ground and ground floor levels and change of use of upper floors from offices to 3 x 1 bedroom flats and a studio flat."/>
    <x v="332"/>
    <s v="MIX"/>
    <x v="0"/>
    <s v="UC"/>
    <m/>
    <d v="2013-12-04T00:00:00"/>
    <m/>
    <m/>
    <s v="C"/>
    <s v="BF"/>
    <x v="0"/>
    <m/>
    <d v="2013-12-04T00:00:00"/>
    <m/>
    <n v="30"/>
    <m/>
    <m/>
    <m/>
    <m/>
    <n v="30"/>
    <n v="126"/>
    <m/>
    <m/>
    <n v="126"/>
    <m/>
    <m/>
    <n v="126"/>
    <m/>
    <m/>
    <m/>
    <m/>
    <n v="245"/>
    <m/>
    <m/>
    <m/>
    <n v="245"/>
    <m/>
    <m/>
    <m/>
    <m/>
    <m/>
    <m/>
    <m/>
    <m/>
    <m/>
    <x v="1"/>
    <x v="1"/>
    <x v="1"/>
    <n v="30"/>
    <n v="-245"/>
    <m/>
    <m/>
    <m/>
    <n v="-215"/>
    <n v="126"/>
    <x v="0"/>
    <m/>
    <m/>
    <m/>
    <m/>
    <n v="126"/>
    <x v="0"/>
    <m/>
    <m/>
    <m/>
    <m/>
    <s v="Not Known"/>
    <s v="-"/>
    <s v="-"/>
    <s v="-"/>
    <s v="-"/>
    <s v="Not Known"/>
    <s v="-"/>
    <s v="-"/>
    <s v="-"/>
    <s v="-"/>
    <s v="-"/>
    <x v="1"/>
    <x v="0"/>
    <s v="-"/>
    <s v="Not Known"/>
    <s v="-"/>
    <s v="-"/>
    <s v="-"/>
    <s v="-"/>
    <s v="-"/>
    <s v="-"/>
    <s v="-"/>
    <s v="-"/>
    <s v="-"/>
    <x v="0"/>
    <x v="0"/>
    <n v="3.9999997243284902E-3"/>
    <n v="156"/>
    <n v="245"/>
    <n v="-89"/>
    <x v="0"/>
    <x v="0"/>
    <m/>
    <x v="0"/>
    <m/>
    <x v="0"/>
    <m/>
    <x v="0"/>
    <x v="1"/>
    <x v="2"/>
    <x v="0"/>
    <m/>
    <n v="156"/>
    <n v="0"/>
    <n v="156"/>
    <x v="1"/>
    <m/>
  </r>
  <r>
    <x v="1"/>
    <x v="0"/>
    <x v="0"/>
    <x v="1"/>
    <n v="5181"/>
    <x v="290"/>
    <x v="7"/>
    <n v="1.2000000104308101E-2"/>
    <n v="524012"/>
    <n v="175048"/>
    <m/>
    <x v="338"/>
    <s v="AF"/>
    <d v="2018-02-02T00:00:00"/>
    <x v="1"/>
    <m/>
    <m/>
    <s v="Nil"/>
    <m/>
    <m/>
    <s v="Change of use from financial and professional services (Class A2) to skincare clinic (Class D1)."/>
    <x v="333"/>
    <s v="COU"/>
    <x v="2"/>
    <s v="NSO"/>
    <m/>
    <m/>
    <m/>
    <m/>
    <s v="P"/>
    <s v="BF"/>
    <x v="0"/>
    <m/>
    <m/>
    <m/>
    <m/>
    <m/>
    <m/>
    <m/>
    <m/>
    <m/>
    <m/>
    <m/>
    <m/>
    <m/>
    <m/>
    <m/>
    <m/>
    <n v="178"/>
    <m/>
    <n v="178"/>
    <n v="51"/>
    <m/>
    <m/>
    <m/>
    <m/>
    <n v="51"/>
    <n v="127"/>
    <m/>
    <m/>
    <m/>
    <m/>
    <n v="127"/>
    <m/>
    <m/>
    <m/>
    <x v="1"/>
    <x v="1"/>
    <x v="0"/>
    <n v="-51"/>
    <m/>
    <m/>
    <m/>
    <m/>
    <n v="-51"/>
    <n v="-127"/>
    <x v="1"/>
    <m/>
    <m/>
    <m/>
    <m/>
    <n v="-127"/>
    <x v="1"/>
    <m/>
    <n v="178"/>
    <m/>
    <n v="178"/>
    <s v="-"/>
    <s v="-"/>
    <s v="-"/>
    <s v="-"/>
    <s v="-"/>
    <s v="-"/>
    <s v="-"/>
    <s v="-"/>
    <s v="-"/>
    <s v="-"/>
    <s v="-"/>
    <x v="2"/>
    <x v="0"/>
    <s v="Vacant"/>
    <s v="-"/>
    <s v="-"/>
    <s v="-"/>
    <s v="-"/>
    <s v="Vacant"/>
    <s v="-"/>
    <s v="-"/>
    <s v="-"/>
    <s v="-"/>
    <s v="-"/>
    <x v="0"/>
    <x v="0"/>
    <n v="1.2000000104308101E-2"/>
    <n v="178"/>
    <n v="178"/>
    <n v="0"/>
    <x v="0"/>
    <x v="0"/>
    <m/>
    <x v="0"/>
    <m/>
    <x v="0"/>
    <m/>
    <x v="0"/>
    <x v="1"/>
    <x v="2"/>
    <x v="0"/>
    <m/>
    <n v="0"/>
    <n v="0"/>
    <n v="0"/>
    <x v="0"/>
    <m/>
  </r>
  <r>
    <x v="2"/>
    <x v="0"/>
    <x v="0"/>
    <x v="1"/>
    <n v="5187"/>
    <x v="291"/>
    <x v="7"/>
    <n v="1.30000002682209E-2"/>
    <n v="524769"/>
    <n v="175151"/>
    <m/>
    <x v="339"/>
    <s v="PF"/>
    <d v="2016-12-07T00:00:00"/>
    <x v="262"/>
    <m/>
    <m/>
    <s v="Nil"/>
    <m/>
    <m/>
    <s v="Alterations including erection of single storey rear extension in connection with change of use from retail (Class A1) to veterinary clinic (Class D1)"/>
    <x v="334"/>
    <s v="MIX"/>
    <x v="0"/>
    <s v="NSO"/>
    <m/>
    <m/>
    <m/>
    <m/>
    <s v="C"/>
    <s v="BF"/>
    <x v="0"/>
    <m/>
    <m/>
    <m/>
    <m/>
    <m/>
    <m/>
    <m/>
    <m/>
    <m/>
    <m/>
    <m/>
    <m/>
    <m/>
    <m/>
    <m/>
    <m/>
    <n v="85"/>
    <m/>
    <n v="85"/>
    <n v="48"/>
    <m/>
    <m/>
    <m/>
    <m/>
    <n v="48"/>
    <m/>
    <m/>
    <m/>
    <m/>
    <m/>
    <m/>
    <m/>
    <m/>
    <m/>
    <x v="1"/>
    <x v="0"/>
    <x v="0"/>
    <n v="-48"/>
    <m/>
    <m/>
    <m/>
    <m/>
    <n v="-48"/>
    <m/>
    <x v="0"/>
    <m/>
    <m/>
    <m/>
    <m/>
    <m/>
    <x v="0"/>
    <m/>
    <n v="85"/>
    <m/>
    <n v="85"/>
    <s v="-"/>
    <s v="-"/>
    <s v="-"/>
    <s v="-"/>
    <s v="-"/>
    <s v="-"/>
    <s v="-"/>
    <s v="-"/>
    <s v="-"/>
    <s v="-"/>
    <s v="-"/>
    <x v="2"/>
    <x v="0"/>
    <s v="Services"/>
    <s v="-"/>
    <s v="-"/>
    <s v="-"/>
    <s v="-"/>
    <s v="-"/>
    <s v="-"/>
    <s v="-"/>
    <s v="-"/>
    <s v="-"/>
    <s v="-"/>
    <x v="0"/>
    <x v="0"/>
    <n v="1.30000002682209E-2"/>
    <n v="85"/>
    <n v="48"/>
    <n v="37"/>
    <x v="0"/>
    <x v="0"/>
    <m/>
    <x v="0"/>
    <m/>
    <x v="0"/>
    <m/>
    <x v="0"/>
    <x v="0"/>
    <x v="0"/>
    <x v="0"/>
    <m/>
    <n v="0"/>
    <n v="0"/>
    <n v="0"/>
    <x v="0"/>
    <m/>
  </r>
  <r>
    <x v="3"/>
    <x v="0"/>
    <x v="0"/>
    <x v="1"/>
    <n v="5195"/>
    <x v="292"/>
    <x v="0"/>
    <n v="1.2489999532699601"/>
    <n v="523820"/>
    <n v="173605"/>
    <m/>
    <x v="340"/>
    <s v="PFLA"/>
    <d v="2013-05-29T00:00:00"/>
    <x v="263"/>
    <m/>
    <d v="2013-09-10T00:00:00"/>
    <s v="Nil"/>
    <m/>
    <m/>
    <s v="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
    <x v="335"/>
    <s v="NB"/>
    <x v="0"/>
    <s v="UC"/>
    <d v="2016-03-31T00:00:00"/>
    <d v="2016-06-01T00:00:00"/>
    <m/>
    <m/>
    <s v="C"/>
    <s v="BF"/>
    <x v="0"/>
    <m/>
    <d v="2016-06-01T00:00:00"/>
    <m/>
    <m/>
    <m/>
    <m/>
    <m/>
    <m/>
    <m/>
    <m/>
    <m/>
    <m/>
    <m/>
    <m/>
    <m/>
    <m/>
    <m/>
    <m/>
    <m/>
    <m/>
    <m/>
    <m/>
    <m/>
    <m/>
    <m/>
    <m/>
    <m/>
    <m/>
    <m/>
    <m/>
    <m/>
    <n v="7657"/>
    <m/>
    <n v="7657"/>
    <x v="0"/>
    <x v="0"/>
    <x v="0"/>
    <m/>
    <m/>
    <m/>
    <m/>
    <m/>
    <m/>
    <m/>
    <x v="0"/>
    <m/>
    <m/>
    <m/>
    <m/>
    <m/>
    <x v="0"/>
    <m/>
    <n v="-7657"/>
    <m/>
    <n v="-7657"/>
    <s v="-"/>
    <s v="-"/>
    <s v="-"/>
    <s v="-"/>
    <s v="-"/>
    <s v="-"/>
    <s v="-"/>
    <s v="-"/>
    <s v="-"/>
    <s v="-"/>
    <s v="-"/>
    <x v="1"/>
    <x v="0"/>
    <s v="-"/>
    <s v="-"/>
    <s v="-"/>
    <s v="-"/>
    <s v="-"/>
    <s v="-"/>
    <s v="-"/>
    <s v="-"/>
    <s v="-"/>
    <s v="-"/>
    <s v="-"/>
    <x v="6"/>
    <x v="0"/>
    <n v="0"/>
    <n v="0"/>
    <n v="7657"/>
    <n v="-7657"/>
    <x v="0"/>
    <x v="0"/>
    <m/>
    <x v="0"/>
    <m/>
    <x v="0"/>
    <m/>
    <x v="0"/>
    <x v="0"/>
    <x v="0"/>
    <x v="0"/>
    <m/>
    <n v="15762"/>
    <n v="0"/>
    <n v="15762"/>
    <x v="1"/>
    <m/>
  </r>
  <r>
    <x v="2"/>
    <x v="0"/>
    <x v="0"/>
    <x v="1"/>
    <n v="5197"/>
    <x v="293"/>
    <x v="13"/>
    <n v="2.9999999329447701E-2"/>
    <n v="526177"/>
    <n v="172334"/>
    <m/>
    <x v="341"/>
    <s v="RP"/>
    <d v="2013-03-22T00:00:00"/>
    <x v="264"/>
    <m/>
    <m/>
    <s v="PD"/>
    <d v="2013-07-01T00:00:00"/>
    <d v="2014-02-04T00:00:00"/>
    <s v="Erection of a two storey rear extension to provide additional commercial floorspace."/>
    <x v="336"/>
    <s v="EXT"/>
    <x v="1"/>
    <s v="NSO"/>
    <m/>
    <m/>
    <m/>
    <m/>
    <s v="C"/>
    <s v="BF"/>
    <x v="0"/>
    <m/>
    <m/>
    <m/>
    <m/>
    <m/>
    <m/>
    <m/>
    <m/>
    <m/>
    <m/>
    <m/>
    <n v="52"/>
    <n v="52"/>
    <m/>
    <m/>
    <n v="52"/>
    <m/>
    <m/>
    <m/>
    <m/>
    <m/>
    <m/>
    <m/>
    <m/>
    <m/>
    <m/>
    <m/>
    <m/>
    <m/>
    <m/>
    <m/>
    <m/>
    <m/>
    <m/>
    <x v="0"/>
    <x v="1"/>
    <x v="1"/>
    <m/>
    <m/>
    <m/>
    <m/>
    <m/>
    <m/>
    <m/>
    <x v="0"/>
    <m/>
    <n v="52"/>
    <m/>
    <m/>
    <n v="52"/>
    <x v="0"/>
    <m/>
    <m/>
    <m/>
    <m/>
    <s v="-"/>
    <s v="-"/>
    <s v="-"/>
    <s v="-"/>
    <s v="-"/>
    <s v="-"/>
    <s v="-"/>
    <s v="Light Industrial"/>
    <s v="-"/>
    <s v="-"/>
    <s v="-"/>
    <x v="1"/>
    <x v="0"/>
    <s v="-"/>
    <s v="-"/>
    <s v="-"/>
    <s v="-"/>
    <s v="-"/>
    <s v="-"/>
    <s v="-"/>
    <s v="-"/>
    <s v="-"/>
    <s v="-"/>
    <s v="-"/>
    <x v="0"/>
    <x v="0"/>
    <n v="2.9999999329447701E-2"/>
    <n v="52"/>
    <n v="0"/>
    <n v="52"/>
    <x v="0"/>
    <x v="0"/>
    <m/>
    <x v="0"/>
    <m/>
    <x v="0"/>
    <m/>
    <x v="0"/>
    <x v="0"/>
    <x v="0"/>
    <x v="0"/>
    <m/>
    <n v="0"/>
    <n v="0"/>
    <n v="0"/>
    <x v="0"/>
    <m/>
  </r>
  <r>
    <x v="3"/>
    <x v="0"/>
    <x v="0"/>
    <x v="1"/>
    <n v="5215"/>
    <x v="294"/>
    <x v="11"/>
    <n v="1.30000002682209E-2"/>
    <n v="528754"/>
    <n v="173676"/>
    <m/>
    <x v="342"/>
    <s v="PF"/>
    <d v="2017-07-28T00:00:00"/>
    <x v="37"/>
    <s v="Y"/>
    <m/>
    <s v="Nil"/>
    <m/>
    <m/>
    <s v="Demolition of two-storey back addition. Erection of single storey rear extension to provide 1 x 1-bedroom flats."/>
    <x v="337"/>
    <s v="NB"/>
    <x v="0"/>
    <s v="UC"/>
    <m/>
    <d v="2018-03-31T00:00:00"/>
    <m/>
    <m/>
    <s v="C"/>
    <s v="BF"/>
    <x v="0"/>
    <m/>
    <d v="2018-03-31T00:00:00"/>
    <m/>
    <n v="40"/>
    <m/>
    <m/>
    <m/>
    <m/>
    <n v="40"/>
    <m/>
    <m/>
    <m/>
    <m/>
    <m/>
    <m/>
    <m/>
    <m/>
    <m/>
    <m/>
    <n v="101"/>
    <m/>
    <m/>
    <m/>
    <m/>
    <n v="101"/>
    <m/>
    <m/>
    <m/>
    <m/>
    <m/>
    <m/>
    <m/>
    <m/>
    <m/>
    <x v="1"/>
    <x v="0"/>
    <x v="1"/>
    <n v="-61"/>
    <m/>
    <m/>
    <m/>
    <m/>
    <n v="-61"/>
    <m/>
    <x v="0"/>
    <m/>
    <m/>
    <m/>
    <m/>
    <m/>
    <x v="0"/>
    <m/>
    <m/>
    <m/>
    <m/>
    <s v="Services"/>
    <s v="-"/>
    <s v="-"/>
    <s v="-"/>
    <s v="-"/>
    <s v="-"/>
    <s v="-"/>
    <s v="-"/>
    <s v="-"/>
    <s v="-"/>
    <s v="-"/>
    <x v="1"/>
    <x v="0"/>
    <s v="Services"/>
    <s v="-"/>
    <s v="-"/>
    <s v="-"/>
    <s v="-"/>
    <s v="-"/>
    <s v="-"/>
    <s v="-"/>
    <s v="-"/>
    <s v="-"/>
    <s v="-"/>
    <x v="0"/>
    <x v="0"/>
    <n v="9.0000000782310893E-3"/>
    <n v="40"/>
    <n v="101"/>
    <n v="-61"/>
    <x v="0"/>
    <x v="0"/>
    <m/>
    <x v="0"/>
    <m/>
    <x v="0"/>
    <m/>
    <x v="0"/>
    <x v="1"/>
    <x v="5"/>
    <x v="0"/>
    <m/>
    <n v="51"/>
    <n v="0"/>
    <n v="51"/>
    <x v="1"/>
    <m/>
  </r>
  <r>
    <x v="2"/>
    <x v="0"/>
    <x v="0"/>
    <x v="1"/>
    <n v="5234"/>
    <x v="295"/>
    <x v="14"/>
    <n v="1.4999999664723899E-2"/>
    <n v="526770"/>
    <n v="171464"/>
    <m/>
    <x v="343"/>
    <s v="PF"/>
    <d v="2015-09-16T00:00:00"/>
    <x v="265"/>
    <m/>
    <m/>
    <s v="Nil"/>
    <m/>
    <m/>
    <s v="Demolition of existing garages and erection of a part single/part two-storey dwelling (re-submission of approved planning application ref: 2013/0850)"/>
    <x v="338"/>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52"/>
    <n v="-52"/>
    <x v="0"/>
    <x v="0"/>
    <m/>
    <x v="0"/>
    <m/>
    <x v="0"/>
    <m/>
    <x v="0"/>
    <x v="0"/>
    <x v="0"/>
    <x v="0"/>
    <m/>
    <n v="92"/>
    <n v="0"/>
    <n v="92"/>
    <x v="1"/>
    <m/>
  </r>
  <r>
    <x v="3"/>
    <x v="0"/>
    <x v="0"/>
    <x v="1"/>
    <n v="5245"/>
    <x v="296"/>
    <x v="8"/>
    <n v="2.0999999716877899E-2"/>
    <n v="529554"/>
    <n v="176699"/>
    <m/>
    <x v="344"/>
    <s v="PFLA"/>
    <d v="2013-03-21T00:00:00"/>
    <x v="266"/>
    <m/>
    <d v="2013-07-03T00:00:00"/>
    <s v="Nil"/>
    <m/>
    <m/>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x v="339"/>
    <s v="NB"/>
    <x v="0"/>
    <s v="UC"/>
    <d v="2016-04-01T00:00:00"/>
    <d v="2016-04-01T00:00:00"/>
    <m/>
    <m/>
    <s v="C"/>
    <s v="BF"/>
    <x v="0"/>
    <m/>
    <d v="2016-04-01T00:00:00"/>
    <m/>
    <m/>
    <m/>
    <m/>
    <m/>
    <m/>
    <m/>
    <m/>
    <m/>
    <m/>
    <m/>
    <m/>
    <m/>
    <m/>
    <m/>
    <m/>
    <m/>
    <m/>
    <m/>
    <m/>
    <n v="201"/>
    <m/>
    <n v="201"/>
    <m/>
    <m/>
    <m/>
    <m/>
    <m/>
    <m/>
    <m/>
    <m/>
    <m/>
    <x v="1"/>
    <x v="0"/>
    <x v="1"/>
    <m/>
    <m/>
    <m/>
    <n v="-201"/>
    <m/>
    <n v="-201"/>
    <m/>
    <x v="0"/>
    <m/>
    <m/>
    <m/>
    <m/>
    <m/>
    <x v="0"/>
    <m/>
    <m/>
    <m/>
    <m/>
    <s v="-"/>
    <s v="-"/>
    <s v="-"/>
    <s v="-"/>
    <s v="-"/>
    <s v="-"/>
    <s v="-"/>
    <s v="-"/>
    <s v="-"/>
    <s v="-"/>
    <s v="-"/>
    <x v="1"/>
    <x v="0"/>
    <s v="-"/>
    <s v="-"/>
    <s v="-"/>
    <s v="Public House"/>
    <s v="-"/>
    <s v="-"/>
    <s v="-"/>
    <s v="-"/>
    <s v="-"/>
    <s v="-"/>
    <s v="-"/>
    <x v="0"/>
    <x v="0"/>
    <n v="0"/>
    <n v="0"/>
    <n v="201"/>
    <n v="-201"/>
    <x v="0"/>
    <x v="0"/>
    <m/>
    <x v="0"/>
    <m/>
    <x v="0"/>
    <m/>
    <x v="1"/>
    <x v="0"/>
    <x v="0"/>
    <x v="0"/>
    <m/>
    <n v="1517"/>
    <n v="0"/>
    <n v="1517"/>
    <x v="1"/>
    <m/>
  </r>
  <r>
    <x v="2"/>
    <x v="0"/>
    <x v="0"/>
    <x v="1"/>
    <n v="5248"/>
    <x v="297"/>
    <x v="14"/>
    <n v="1.2000000104308101E-2"/>
    <n v="527740"/>
    <n v="171911"/>
    <m/>
    <x v="345"/>
    <s v="PF"/>
    <d v="2013-03-19T00:00:00"/>
    <x v="267"/>
    <m/>
    <m/>
    <s v="Nil"/>
    <m/>
    <m/>
    <s v="Change of use from A1 shops to A2 financial and professional services."/>
    <x v="340"/>
    <s v="COU"/>
    <x v="2"/>
    <s v="NSO"/>
    <m/>
    <m/>
    <m/>
    <m/>
    <s v="C"/>
    <s v="BF"/>
    <x v="0"/>
    <m/>
    <m/>
    <m/>
    <m/>
    <n v="30"/>
    <m/>
    <m/>
    <m/>
    <n v="30"/>
    <m/>
    <m/>
    <m/>
    <m/>
    <m/>
    <m/>
    <m/>
    <m/>
    <m/>
    <m/>
    <n v="30"/>
    <m/>
    <m/>
    <m/>
    <m/>
    <n v="30"/>
    <m/>
    <m/>
    <m/>
    <m/>
    <m/>
    <m/>
    <m/>
    <m/>
    <m/>
    <x v="1"/>
    <x v="0"/>
    <x v="1"/>
    <n v="-30"/>
    <n v="30"/>
    <m/>
    <m/>
    <m/>
    <m/>
    <m/>
    <x v="0"/>
    <m/>
    <m/>
    <m/>
    <m/>
    <m/>
    <x v="0"/>
    <m/>
    <m/>
    <m/>
    <m/>
    <s v="-"/>
    <s v="Not Known"/>
    <s v="-"/>
    <s v="-"/>
    <s v="-"/>
    <s v="-"/>
    <s v="-"/>
    <s v="-"/>
    <s v="-"/>
    <s v="-"/>
    <s v="-"/>
    <x v="1"/>
    <x v="0"/>
    <s v="Not Known"/>
    <s v="-"/>
    <s v="-"/>
    <s v="-"/>
    <s v="-"/>
    <s v="-"/>
    <s v="-"/>
    <s v="-"/>
    <s v="-"/>
    <s v="-"/>
    <s v="-"/>
    <x v="0"/>
    <x v="0"/>
    <n v="1.2000000104308101E-2"/>
    <n v="30"/>
    <n v="30"/>
    <n v="0"/>
    <x v="0"/>
    <x v="0"/>
    <m/>
    <x v="0"/>
    <m/>
    <x v="0"/>
    <m/>
    <x v="0"/>
    <x v="1"/>
    <x v="3"/>
    <x v="0"/>
    <m/>
    <n v="0"/>
    <n v="0"/>
    <n v="0"/>
    <x v="0"/>
    <m/>
  </r>
  <r>
    <x v="2"/>
    <x v="0"/>
    <x v="0"/>
    <x v="1"/>
    <n v="5251"/>
    <x v="298"/>
    <x v="14"/>
    <n v="8.9999996125698107E-3"/>
    <n v="527712"/>
    <n v="171962"/>
    <m/>
    <x v="346"/>
    <s v="PF"/>
    <d v="2013-03-28T00:00:00"/>
    <x v="268"/>
    <m/>
    <m/>
    <s v="Nil"/>
    <m/>
    <m/>
    <s v="Change of use of shop (use class A1) to a hot food takeaway (use class A5) and installation of extract flue to the rear."/>
    <x v="341"/>
    <s v="COU"/>
    <x v="2"/>
    <s v="NSO"/>
    <m/>
    <m/>
    <m/>
    <m/>
    <s v="C"/>
    <s v="BF"/>
    <x v="0"/>
    <m/>
    <m/>
    <m/>
    <m/>
    <m/>
    <m/>
    <m/>
    <n v="65"/>
    <n v="65"/>
    <m/>
    <m/>
    <m/>
    <m/>
    <m/>
    <m/>
    <m/>
    <m/>
    <m/>
    <m/>
    <n v="65"/>
    <m/>
    <m/>
    <m/>
    <m/>
    <n v="65"/>
    <m/>
    <m/>
    <m/>
    <m/>
    <m/>
    <m/>
    <m/>
    <m/>
    <m/>
    <x v="1"/>
    <x v="0"/>
    <x v="1"/>
    <n v="-65"/>
    <m/>
    <m/>
    <m/>
    <n v="65"/>
    <m/>
    <m/>
    <x v="0"/>
    <m/>
    <m/>
    <m/>
    <m/>
    <m/>
    <x v="0"/>
    <m/>
    <m/>
    <m/>
    <m/>
    <s v="-"/>
    <s v="-"/>
    <s v="-"/>
    <s v="-"/>
    <s v="Take-Aways"/>
    <s v="-"/>
    <s v="-"/>
    <s v="-"/>
    <s v="-"/>
    <s v="-"/>
    <s v="-"/>
    <x v="1"/>
    <x v="0"/>
    <s v="Not Known"/>
    <s v="-"/>
    <s v="-"/>
    <s v="-"/>
    <s v="-"/>
    <s v="-"/>
    <s v="-"/>
    <s v="-"/>
    <s v="-"/>
    <s v="-"/>
    <s v="-"/>
    <x v="0"/>
    <x v="0"/>
    <n v="8.9999996125698107E-3"/>
    <n v="65"/>
    <n v="65"/>
    <n v="0"/>
    <x v="0"/>
    <x v="0"/>
    <m/>
    <x v="0"/>
    <m/>
    <x v="0"/>
    <m/>
    <x v="0"/>
    <x v="1"/>
    <x v="3"/>
    <x v="0"/>
    <m/>
    <n v="0"/>
    <n v="0"/>
    <n v="0"/>
    <x v="0"/>
    <m/>
  </r>
  <r>
    <x v="0"/>
    <x v="0"/>
    <x v="0"/>
    <x v="2"/>
    <n v="5260"/>
    <x v="299"/>
    <x v="13"/>
    <n v="0.20299999415874501"/>
    <n v="525987"/>
    <n v="172044"/>
    <m/>
    <x v="347"/>
    <s v="PF"/>
    <d v="2015-05-06T00:00:00"/>
    <x v="269"/>
    <m/>
    <m/>
    <s v="Nil"/>
    <m/>
    <m/>
    <s v="Erection of a three-storey (first to third floors) extension above delivery bay at southern end of building."/>
    <x v="342"/>
    <s v="NB"/>
    <x v="0"/>
    <s v="CO"/>
    <m/>
    <d v="2017-04-01T00:00:00"/>
    <d v="2018-03-31T00:00:00"/>
    <m/>
    <s v="C"/>
    <s v="BF"/>
    <x v="0"/>
    <m/>
    <d v="2017-04-01T00:00:00"/>
    <d v="2018-03-31T00:00:00"/>
    <m/>
    <m/>
    <m/>
    <m/>
    <m/>
    <m/>
    <n v="2714"/>
    <m/>
    <m/>
    <n v="2714"/>
    <m/>
    <m/>
    <n v="2714"/>
    <m/>
    <m/>
    <m/>
    <m/>
    <m/>
    <m/>
    <m/>
    <m/>
    <m/>
    <n v="1995"/>
    <m/>
    <m/>
    <m/>
    <m/>
    <n v="1995"/>
    <m/>
    <m/>
    <m/>
    <x v="0"/>
    <x v="1"/>
    <x v="1"/>
    <m/>
    <m/>
    <m/>
    <m/>
    <m/>
    <m/>
    <n v="719"/>
    <x v="0"/>
    <m/>
    <m/>
    <m/>
    <m/>
    <n v="719"/>
    <x v="0"/>
    <m/>
    <m/>
    <m/>
    <m/>
    <s v="-"/>
    <s v="-"/>
    <s v="-"/>
    <s v="-"/>
    <s v="-"/>
    <s v="Other"/>
    <s v="-"/>
    <s v="-"/>
    <s v="-"/>
    <s v="-"/>
    <s v="-"/>
    <x v="1"/>
    <x v="0"/>
    <s v="-"/>
    <s v="-"/>
    <s v="-"/>
    <s v="-"/>
    <s v="-"/>
    <s v="Other"/>
    <s v="-"/>
    <s v="-"/>
    <s v="-"/>
    <s v="-"/>
    <s v="-"/>
    <x v="0"/>
    <x v="0"/>
    <n v="0.20299999415874501"/>
    <n v="2714"/>
    <n v="1995"/>
    <n v="719"/>
    <x v="0"/>
    <x v="0"/>
    <m/>
    <x v="1"/>
    <s v="Summerstown"/>
    <x v="0"/>
    <m/>
    <x v="0"/>
    <x v="0"/>
    <x v="0"/>
    <x v="0"/>
    <m/>
    <n v="0"/>
    <n v="0"/>
    <n v="0"/>
    <x v="0"/>
    <m/>
  </r>
  <r>
    <x v="0"/>
    <x v="0"/>
    <x v="0"/>
    <x v="0"/>
    <n v="5263"/>
    <x v="300"/>
    <x v="14"/>
    <n v="3.0999999493360499E-2"/>
    <n v="526677"/>
    <n v="171345"/>
    <m/>
    <x v="348"/>
    <s v="PF"/>
    <d v="2012-12-12T00:00:00"/>
    <x v="270"/>
    <m/>
    <m/>
    <s v="Nil"/>
    <m/>
    <m/>
    <s v="Construction of a detached single storey building to provide additional office space."/>
    <x v="343"/>
    <s v="EXT"/>
    <x v="1"/>
    <s v="OC"/>
    <m/>
    <d v="2013-02-06T00:00:00"/>
    <d v="2017-05-01T00:00:00"/>
    <d v="2017-05-01T00:00:00"/>
    <s v="C"/>
    <s v="BF"/>
    <x v="0"/>
    <m/>
    <d v="2013-02-06T00:00:00"/>
    <d v="2017-05-01T00:00:00"/>
    <m/>
    <m/>
    <m/>
    <m/>
    <m/>
    <m/>
    <n v="15"/>
    <m/>
    <m/>
    <n v="15"/>
    <m/>
    <m/>
    <n v="15"/>
    <m/>
    <m/>
    <m/>
    <m/>
    <m/>
    <m/>
    <m/>
    <m/>
    <m/>
    <m/>
    <m/>
    <m/>
    <m/>
    <m/>
    <m/>
    <m/>
    <m/>
    <m/>
    <x v="0"/>
    <x v="1"/>
    <x v="1"/>
    <m/>
    <m/>
    <m/>
    <m/>
    <m/>
    <m/>
    <n v="15"/>
    <x v="0"/>
    <m/>
    <m/>
    <m/>
    <m/>
    <n v="15"/>
    <x v="0"/>
    <m/>
    <m/>
    <m/>
    <m/>
    <s v="-"/>
    <s v="-"/>
    <s v="-"/>
    <s v="-"/>
    <s v="-"/>
    <s v="Other"/>
    <s v="-"/>
    <s v="-"/>
    <s v="-"/>
    <s v="-"/>
    <s v="-"/>
    <x v="1"/>
    <x v="0"/>
    <s v="-"/>
    <s v="-"/>
    <s v="-"/>
    <s v="-"/>
    <s v="-"/>
    <s v="-"/>
    <s v="-"/>
    <s v="-"/>
    <s v="-"/>
    <s v="-"/>
    <s v="-"/>
    <x v="0"/>
    <x v="0"/>
    <n v="3.0999999493360499E-2"/>
    <n v="15"/>
    <n v="0"/>
    <n v="15"/>
    <x v="0"/>
    <x v="0"/>
    <m/>
    <x v="0"/>
    <m/>
    <x v="0"/>
    <m/>
    <x v="0"/>
    <x v="0"/>
    <x v="0"/>
    <x v="0"/>
    <m/>
    <n v="0"/>
    <n v="0"/>
    <n v="0"/>
    <x v="0"/>
    <m/>
  </r>
  <r>
    <x v="0"/>
    <x v="0"/>
    <x v="0"/>
    <x v="0"/>
    <n v="5271"/>
    <x v="301"/>
    <x v="18"/>
    <n v="0.481000006198883"/>
    <n v="526162"/>
    <n v="173999"/>
    <m/>
    <x v="349"/>
    <s v="PF"/>
    <d v="2014-06-18T00:00:00"/>
    <x v="271"/>
    <m/>
    <m/>
    <s v="Nil"/>
    <m/>
    <m/>
    <s v="Demolition of existing covered playground structure and erection of a two-storey extension to accommodate a dining room and multi-purpose space at the rear of the school building."/>
    <x v="344"/>
    <s v="NB"/>
    <x v="0"/>
    <s v="OC"/>
    <m/>
    <d v="2014-07-23T00:00:00"/>
    <d v="2018-03-31T00:00:00"/>
    <d v="2018-03-31T00:00:00"/>
    <s v="C"/>
    <s v="BF"/>
    <x v="0"/>
    <m/>
    <d v="2014-07-23T00:00:00"/>
    <d v="2018-03-31T00:00:00"/>
    <m/>
    <m/>
    <m/>
    <m/>
    <m/>
    <m/>
    <m/>
    <m/>
    <m/>
    <m/>
    <m/>
    <m/>
    <m/>
    <n v="140"/>
    <m/>
    <n v="140"/>
    <m/>
    <m/>
    <m/>
    <m/>
    <m/>
    <m/>
    <m/>
    <m/>
    <m/>
    <m/>
    <m/>
    <m/>
    <n v="60"/>
    <m/>
    <n v="60"/>
    <x v="0"/>
    <x v="0"/>
    <x v="0"/>
    <m/>
    <m/>
    <m/>
    <m/>
    <m/>
    <m/>
    <m/>
    <x v="0"/>
    <m/>
    <m/>
    <m/>
    <m/>
    <m/>
    <x v="0"/>
    <m/>
    <n v="80"/>
    <m/>
    <n v="80"/>
    <s v="-"/>
    <s v="-"/>
    <s v="-"/>
    <s v="-"/>
    <s v="-"/>
    <s v="-"/>
    <s v="-"/>
    <s v="-"/>
    <s v="-"/>
    <s v="-"/>
    <s v="-"/>
    <x v="0"/>
    <x v="0"/>
    <s v="-"/>
    <s v="-"/>
    <s v="-"/>
    <s v="-"/>
    <s v="-"/>
    <s v="-"/>
    <s v="-"/>
    <s v="-"/>
    <s v="-"/>
    <s v="-"/>
    <s v="-"/>
    <x v="6"/>
    <x v="0"/>
    <n v="0.481000006198883"/>
    <n v="140"/>
    <n v="60"/>
    <n v="80"/>
    <x v="0"/>
    <x v="0"/>
    <m/>
    <x v="0"/>
    <m/>
    <x v="0"/>
    <m/>
    <x v="0"/>
    <x v="0"/>
    <x v="0"/>
    <x v="0"/>
    <m/>
    <n v="0"/>
    <n v="0"/>
    <n v="0"/>
    <x v="0"/>
    <m/>
  </r>
  <r>
    <x v="0"/>
    <x v="0"/>
    <x v="0"/>
    <x v="2"/>
    <n v="5273"/>
    <x v="302"/>
    <x v="16"/>
    <n v="9.9999997764825804E-3"/>
    <n v="527367"/>
    <n v="171295"/>
    <m/>
    <x v="350"/>
    <s v="PF"/>
    <d v="2013-06-07T00:00:00"/>
    <x v="272"/>
    <m/>
    <m/>
    <s v="Nil"/>
    <m/>
    <m/>
    <s v="Change of use from B1 (Business) to C3 (Residential) / A1 (Shop). The change of use application would provide for a two-bedroom flat at first floor level and a shop at part of ground floor, with first floor extension &amp; installation of a new shopfront."/>
    <x v="345"/>
    <s v="MIX"/>
    <x v="0"/>
    <s v="CO"/>
    <m/>
    <d v="2015-09-01T00:00:00"/>
    <d v="2018-03-31T00:00:00"/>
    <m/>
    <s v="C"/>
    <s v="BF"/>
    <x v="0"/>
    <m/>
    <d v="2015-09-01T00:00:00"/>
    <d v="2018-03-31T00:00:00"/>
    <n v="102"/>
    <m/>
    <m/>
    <m/>
    <m/>
    <n v="102"/>
    <m/>
    <m/>
    <m/>
    <m/>
    <m/>
    <m/>
    <m/>
    <m/>
    <m/>
    <m/>
    <m/>
    <m/>
    <m/>
    <m/>
    <m/>
    <m/>
    <n v="151"/>
    <m/>
    <m/>
    <m/>
    <m/>
    <n v="151"/>
    <m/>
    <m/>
    <m/>
    <x v="1"/>
    <x v="1"/>
    <x v="1"/>
    <n v="102"/>
    <m/>
    <m/>
    <m/>
    <m/>
    <n v="102"/>
    <n v="-151"/>
    <x v="1"/>
    <m/>
    <m/>
    <m/>
    <m/>
    <n v="-151"/>
    <x v="1"/>
    <m/>
    <m/>
    <m/>
    <m/>
    <s v="Consumables"/>
    <s v="-"/>
    <s v="-"/>
    <s v="-"/>
    <s v="-"/>
    <s v="-"/>
    <s v="-"/>
    <s v="-"/>
    <s v="-"/>
    <s v="-"/>
    <s v="-"/>
    <x v="1"/>
    <x v="0"/>
    <s v="-"/>
    <s v="-"/>
    <s v="-"/>
    <s v="-"/>
    <s v="-"/>
    <s v="Not Known"/>
    <s v="-"/>
    <s v="-"/>
    <s v="-"/>
    <s v="-"/>
    <s v="-"/>
    <x v="0"/>
    <x v="0"/>
    <n v="4.9999998882412902E-3"/>
    <n v="102"/>
    <n v="151"/>
    <n v="-49"/>
    <x v="0"/>
    <x v="0"/>
    <m/>
    <x v="0"/>
    <m/>
    <x v="0"/>
    <m/>
    <x v="0"/>
    <x v="0"/>
    <x v="0"/>
    <x v="0"/>
    <m/>
    <n v="102"/>
    <n v="0"/>
    <n v="102"/>
    <x v="1"/>
    <m/>
  </r>
  <r>
    <x v="0"/>
    <x v="0"/>
    <x v="0"/>
    <x v="0"/>
    <n v="5276"/>
    <x v="303"/>
    <x v="17"/>
    <n v="0.69400000572204601"/>
    <n v="529475"/>
    <n v="171919"/>
    <m/>
    <x v="351"/>
    <s v="PF"/>
    <d v="2013-04-02T00:00:00"/>
    <x v="273"/>
    <m/>
    <m/>
    <s v="Nil"/>
    <m/>
    <m/>
    <s v="Demolition of the existing southern end entrance structure and construction of two single-storey buildings and a new terrace/courtyard area to house a multi-purpose meeting room, kitchen, WCs and offices for the South London Swimming Club. The proposal would also include extensions to the existing changing cubicles along the side of the pool, extension of the existing west side seating terrace 1.5m into the existing built up mound; the installation of new public cycle stands by the existing north entrance and the exchange of common land into the lido site to the north of the site and the exchange of lido land into common land to the south of the site."/>
    <x v="346"/>
    <s v="NB"/>
    <x v="0"/>
    <s v="OC"/>
    <m/>
    <d v="2016-07-26T00:00:00"/>
    <d v="2017-07-18T00:00:00"/>
    <d v="2017-07-18T00:00:00"/>
    <s v="C"/>
    <s v="BF"/>
    <x v="0"/>
    <m/>
    <d v="2016-07-26T00:00:00"/>
    <d v="2017-07-18T00:00:00"/>
    <m/>
    <m/>
    <m/>
    <m/>
    <m/>
    <m/>
    <m/>
    <m/>
    <m/>
    <m/>
    <m/>
    <m/>
    <m/>
    <m/>
    <n v="117"/>
    <n v="117"/>
    <m/>
    <m/>
    <m/>
    <m/>
    <m/>
    <m/>
    <m/>
    <m/>
    <m/>
    <m/>
    <m/>
    <m/>
    <m/>
    <n v="63"/>
    <n v="63"/>
    <x v="0"/>
    <x v="0"/>
    <x v="0"/>
    <m/>
    <m/>
    <m/>
    <m/>
    <m/>
    <m/>
    <m/>
    <x v="0"/>
    <m/>
    <m/>
    <m/>
    <m/>
    <m/>
    <x v="0"/>
    <m/>
    <m/>
    <n v="54"/>
    <n v="54"/>
    <s v="-"/>
    <s v="-"/>
    <s v="-"/>
    <s v="-"/>
    <s v="-"/>
    <s v="-"/>
    <s v="-"/>
    <s v="-"/>
    <s v="-"/>
    <s v="-"/>
    <s v="-"/>
    <x v="1"/>
    <x v="2"/>
    <s v="-"/>
    <s v="-"/>
    <s v="-"/>
    <s v="-"/>
    <s v="-"/>
    <s v="-"/>
    <s v="-"/>
    <s v="-"/>
    <s v="-"/>
    <s v="-"/>
    <s v="-"/>
    <x v="0"/>
    <x v="4"/>
    <n v="0.69400000572204601"/>
    <n v="117"/>
    <n v="63"/>
    <n v="54"/>
    <x v="0"/>
    <x v="0"/>
    <m/>
    <x v="0"/>
    <m/>
    <x v="0"/>
    <m/>
    <x v="0"/>
    <x v="0"/>
    <x v="0"/>
    <x v="0"/>
    <m/>
    <n v="0"/>
    <n v="0"/>
    <n v="0"/>
    <x v="0"/>
    <m/>
  </r>
  <r>
    <x v="2"/>
    <x v="0"/>
    <x v="0"/>
    <x v="1"/>
    <n v="5278"/>
    <x v="304"/>
    <x v="8"/>
    <n v="1.9999999552965199E-2"/>
    <n v="528623"/>
    <n v="176042"/>
    <m/>
    <x v="352"/>
    <s v="PF"/>
    <d v="2016-02-17T00:00:00"/>
    <x v="274"/>
    <m/>
    <m/>
    <s v="Nil"/>
    <m/>
    <m/>
    <s v="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
    <x v="347"/>
    <s v="NB"/>
    <x v="0"/>
    <s v="NSV"/>
    <m/>
    <m/>
    <m/>
    <m/>
    <s v="C"/>
    <s v="BF"/>
    <x v="0"/>
    <m/>
    <m/>
    <m/>
    <m/>
    <m/>
    <m/>
    <m/>
    <m/>
    <m/>
    <m/>
    <m/>
    <m/>
    <m/>
    <m/>
    <m/>
    <m/>
    <m/>
    <m/>
    <m/>
    <m/>
    <m/>
    <m/>
    <m/>
    <m/>
    <m/>
    <n v="540"/>
    <m/>
    <m/>
    <m/>
    <m/>
    <n v="540"/>
    <m/>
    <m/>
    <m/>
    <x v="0"/>
    <x v="1"/>
    <x v="1"/>
    <m/>
    <m/>
    <m/>
    <m/>
    <m/>
    <m/>
    <n v="-540"/>
    <x v="1"/>
    <m/>
    <m/>
    <m/>
    <m/>
    <n v="-540"/>
    <x v="1"/>
    <m/>
    <m/>
    <m/>
    <m/>
    <s v="-"/>
    <s v="-"/>
    <s v="-"/>
    <s v="-"/>
    <s v="-"/>
    <s v="-"/>
    <s v="-"/>
    <s v="-"/>
    <s v="-"/>
    <s v="-"/>
    <s v="-"/>
    <x v="1"/>
    <x v="0"/>
    <s v="-"/>
    <s v="-"/>
    <s v="-"/>
    <s v="-"/>
    <s v="-"/>
    <s v="Other"/>
    <s v="-"/>
    <s v="-"/>
    <s v="-"/>
    <s v="-"/>
    <s v="-"/>
    <x v="0"/>
    <x v="0"/>
    <n v="0"/>
    <n v="0"/>
    <n v="540"/>
    <n v="-540"/>
    <x v="0"/>
    <x v="0"/>
    <m/>
    <x v="0"/>
    <m/>
    <x v="0"/>
    <m/>
    <x v="0"/>
    <x v="0"/>
    <x v="0"/>
    <x v="0"/>
    <m/>
    <n v="797"/>
    <n v="0"/>
    <n v="797"/>
    <x v="1"/>
    <m/>
  </r>
  <r>
    <x v="2"/>
    <x v="0"/>
    <x v="0"/>
    <x v="1"/>
    <n v="5281"/>
    <x v="305"/>
    <x v="14"/>
    <n v="1.4999999664723899E-2"/>
    <n v="526909"/>
    <n v="171864"/>
    <m/>
    <x v="353"/>
    <s v="PF"/>
    <d v="2017-09-13T00:00:00"/>
    <x v="275"/>
    <s v="Y"/>
    <m/>
    <s v="Nil"/>
    <m/>
    <m/>
    <s v="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
    <x v="348"/>
    <s v="MIX"/>
    <x v="0"/>
    <s v="NSO"/>
    <m/>
    <m/>
    <m/>
    <m/>
    <s v="C"/>
    <s v="BF"/>
    <x v="0"/>
    <m/>
    <m/>
    <m/>
    <n v="47"/>
    <m/>
    <m/>
    <m/>
    <m/>
    <n v="47"/>
    <m/>
    <m/>
    <m/>
    <m/>
    <m/>
    <m/>
    <m/>
    <m/>
    <m/>
    <m/>
    <n v="68"/>
    <m/>
    <m/>
    <m/>
    <m/>
    <n v="68"/>
    <m/>
    <m/>
    <m/>
    <m/>
    <m/>
    <m/>
    <m/>
    <m/>
    <m/>
    <x v="1"/>
    <x v="0"/>
    <x v="1"/>
    <n v="-21"/>
    <m/>
    <m/>
    <m/>
    <m/>
    <n v="-21"/>
    <m/>
    <x v="0"/>
    <m/>
    <m/>
    <m/>
    <m/>
    <m/>
    <x v="0"/>
    <m/>
    <m/>
    <m/>
    <m/>
    <s v="Services"/>
    <s v="-"/>
    <s v="-"/>
    <s v="-"/>
    <s v="-"/>
    <s v="-"/>
    <s v="-"/>
    <s v="-"/>
    <s v="-"/>
    <s v="-"/>
    <s v="-"/>
    <x v="1"/>
    <x v="0"/>
    <s v="Services"/>
    <s v="-"/>
    <s v="-"/>
    <s v="-"/>
    <s v="-"/>
    <s v="-"/>
    <s v="-"/>
    <s v="-"/>
    <s v="-"/>
    <s v="-"/>
    <s v="-"/>
    <x v="0"/>
    <x v="0"/>
    <n v="1.0999999474734089E-2"/>
    <n v="47"/>
    <n v="87"/>
    <n v="-40"/>
    <x v="0"/>
    <x v="0"/>
    <m/>
    <x v="0"/>
    <m/>
    <x v="0"/>
    <m/>
    <x v="0"/>
    <x v="0"/>
    <x v="0"/>
    <x v="0"/>
    <m/>
    <n v="52"/>
    <n v="0"/>
    <n v="52"/>
    <x v="1"/>
    <m/>
  </r>
  <r>
    <x v="2"/>
    <x v="0"/>
    <x v="0"/>
    <x v="1"/>
    <n v="5284"/>
    <x v="306"/>
    <x v="9"/>
    <n v="9.9999997764825804E-3"/>
    <n v="527494"/>
    <n v="176369"/>
    <m/>
    <x v="354"/>
    <s v="PF"/>
    <d v="2016-12-14T00:00:00"/>
    <x v="86"/>
    <m/>
    <m/>
    <s v="Nil"/>
    <m/>
    <m/>
    <s v="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
    <x v="349"/>
    <s v="MIX"/>
    <x v="0"/>
    <s v="NSO"/>
    <m/>
    <m/>
    <m/>
    <m/>
    <s v="C"/>
    <s v="BF"/>
    <x v="0"/>
    <m/>
    <m/>
    <m/>
    <m/>
    <n v="47"/>
    <m/>
    <m/>
    <m/>
    <n v="47"/>
    <m/>
    <m/>
    <m/>
    <m/>
    <m/>
    <m/>
    <m/>
    <m/>
    <m/>
    <m/>
    <m/>
    <n v="62"/>
    <m/>
    <m/>
    <m/>
    <n v="62"/>
    <m/>
    <m/>
    <m/>
    <m/>
    <m/>
    <m/>
    <m/>
    <m/>
    <m/>
    <x v="1"/>
    <x v="0"/>
    <x v="1"/>
    <m/>
    <n v="-15"/>
    <m/>
    <m/>
    <m/>
    <n v="-15"/>
    <m/>
    <x v="0"/>
    <m/>
    <m/>
    <m/>
    <m/>
    <m/>
    <x v="0"/>
    <m/>
    <m/>
    <m/>
    <m/>
    <s v="-"/>
    <s v="Betting Shop"/>
    <s v="-"/>
    <s v="-"/>
    <s v="-"/>
    <s v="-"/>
    <s v="-"/>
    <s v="-"/>
    <s v="-"/>
    <s v="-"/>
    <s v="-"/>
    <x v="1"/>
    <x v="0"/>
    <s v="-"/>
    <s v="Betting Shop"/>
    <s v="-"/>
    <s v="-"/>
    <s v="-"/>
    <s v="-"/>
    <s v="-"/>
    <s v="-"/>
    <s v="-"/>
    <s v="-"/>
    <s v="-"/>
    <x v="0"/>
    <x v="0"/>
    <n v="3.9999997243285205E-3"/>
    <n v="47"/>
    <n v="124"/>
    <n v="-77"/>
    <x v="0"/>
    <x v="0"/>
    <m/>
    <x v="0"/>
    <m/>
    <x v="0"/>
    <m/>
    <x v="0"/>
    <x v="0"/>
    <x v="0"/>
    <x v="1"/>
    <s v="Battersea Park Road"/>
    <n v="92"/>
    <n v="0"/>
    <n v="92"/>
    <x v="1"/>
    <m/>
  </r>
  <r>
    <x v="3"/>
    <x v="0"/>
    <x v="0"/>
    <x v="1"/>
    <n v="5292"/>
    <x v="307"/>
    <x v="10"/>
    <n v="0.21400000154972099"/>
    <n v="524279"/>
    <n v="174909"/>
    <s v="6.2.4"/>
    <x v="355"/>
    <s v="PFLA"/>
    <d v="2015-07-03T00:00:00"/>
    <x v="276"/>
    <m/>
    <d v="2015-10-15T00:00:00"/>
    <s v="Nil"/>
    <m/>
    <m/>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x v="350"/>
    <s v="NB"/>
    <x v="0"/>
    <s v="UC"/>
    <d v="2017-03-31T00:00:00"/>
    <d v="2017-03-31T00:00:00"/>
    <m/>
    <m/>
    <s v="C"/>
    <s v="BF"/>
    <x v="0"/>
    <m/>
    <d v="2017-03-31T00:00:00"/>
    <m/>
    <n v="677"/>
    <n v="677"/>
    <m/>
    <m/>
    <m/>
    <n v="1354"/>
    <n v="186"/>
    <m/>
    <m/>
    <n v="186"/>
    <m/>
    <m/>
    <n v="186"/>
    <m/>
    <m/>
    <m/>
    <m/>
    <m/>
    <m/>
    <m/>
    <m/>
    <m/>
    <n v="3721"/>
    <m/>
    <m/>
    <m/>
    <m/>
    <n v="3721"/>
    <m/>
    <m/>
    <m/>
    <x v="1"/>
    <x v="1"/>
    <x v="1"/>
    <n v="677"/>
    <n v="677"/>
    <m/>
    <m/>
    <m/>
    <n v="1354"/>
    <n v="-3535"/>
    <x v="1"/>
    <m/>
    <m/>
    <m/>
    <m/>
    <n v="-3535"/>
    <x v="1"/>
    <m/>
    <m/>
    <m/>
    <m/>
    <s v="Not Known"/>
    <s v="Not Known"/>
    <s v="-"/>
    <s v="-"/>
    <s v="-"/>
    <s v="Not Known"/>
    <s v="-"/>
    <s v="-"/>
    <s v="-"/>
    <s v="-"/>
    <s v="-"/>
    <x v="1"/>
    <x v="0"/>
    <s v="-"/>
    <s v="-"/>
    <s v="-"/>
    <s v="-"/>
    <s v="-"/>
    <s v="Vacant"/>
    <s v="-"/>
    <s v="-"/>
    <s v="-"/>
    <s v="-"/>
    <s v="-"/>
    <x v="0"/>
    <x v="0"/>
    <n v="4.7E-2"/>
    <n v="1540"/>
    <n v="3721"/>
    <n v="-2181"/>
    <x v="0"/>
    <x v="0"/>
    <m/>
    <x v="0"/>
    <m/>
    <x v="0"/>
    <m/>
    <x v="0"/>
    <x v="1"/>
    <x v="2"/>
    <x v="0"/>
    <m/>
    <n v="5546"/>
    <n v="0"/>
    <n v="5546"/>
    <x v="1"/>
    <m/>
  </r>
  <r>
    <x v="0"/>
    <x v="0"/>
    <x v="0"/>
    <x v="0"/>
    <n v="5297"/>
    <x v="308"/>
    <x v="9"/>
    <n v="7.4000000953674303E-2"/>
    <n v="527113"/>
    <n v="176021"/>
    <m/>
    <x v="356"/>
    <s v="PFLA"/>
    <d v="2014-07-03T00:00:00"/>
    <x v="188"/>
    <m/>
    <d v="2014-12-14T00:00:00"/>
    <s v="Nil"/>
    <m/>
    <m/>
    <s v="Demolition of existing building and erection of a five storey building plus basement to provide 25 residential units (4 x one bedroom, 20 x two bedroom, 1 x three bedroom) and two commercial units (Class A1/A2, 470sqm of floorspace) together with cycle storage and refuse stores."/>
    <x v="351"/>
    <s v="NB"/>
    <x v="0"/>
    <s v="OC"/>
    <m/>
    <d v="2017-03-31T00:00:00"/>
    <d v="2017-12-07T00:00:00"/>
    <d v="2018-03-31T00:00:00"/>
    <s v="C"/>
    <s v="BF"/>
    <x v="0"/>
    <m/>
    <d v="2017-03-31T00:00:00"/>
    <d v="2017-12-07T00:00:00"/>
    <n v="238"/>
    <n v="238"/>
    <m/>
    <m/>
    <m/>
    <n v="476"/>
    <m/>
    <m/>
    <m/>
    <m/>
    <m/>
    <m/>
    <m/>
    <m/>
    <m/>
    <m/>
    <m/>
    <m/>
    <m/>
    <n v="430"/>
    <m/>
    <n v="430"/>
    <m/>
    <m/>
    <m/>
    <m/>
    <m/>
    <m/>
    <m/>
    <m/>
    <m/>
    <x v="1"/>
    <x v="0"/>
    <x v="1"/>
    <n v="238"/>
    <n v="238"/>
    <m/>
    <n v="-430"/>
    <m/>
    <n v="46"/>
    <m/>
    <x v="0"/>
    <m/>
    <m/>
    <m/>
    <m/>
    <m/>
    <x v="0"/>
    <m/>
    <m/>
    <m/>
    <m/>
    <s v="Not Known"/>
    <s v="Not Known"/>
    <s v="-"/>
    <s v="-"/>
    <s v="-"/>
    <s v="-"/>
    <s v="-"/>
    <s v="-"/>
    <s v="-"/>
    <s v="-"/>
    <s v="-"/>
    <x v="1"/>
    <x v="0"/>
    <s v="-"/>
    <s v="-"/>
    <s v="-"/>
    <s v="Public House"/>
    <s v="-"/>
    <s v="-"/>
    <s v="-"/>
    <s v="-"/>
    <s v="-"/>
    <s v="-"/>
    <s v="-"/>
    <x v="0"/>
    <x v="0"/>
    <n v="2.49999994412064E-2"/>
    <n v="476"/>
    <n v="430"/>
    <n v="46"/>
    <x v="0"/>
    <x v="0"/>
    <m/>
    <x v="0"/>
    <m/>
    <x v="0"/>
    <m/>
    <x v="0"/>
    <x v="0"/>
    <x v="0"/>
    <x v="0"/>
    <m/>
    <n v="1830"/>
    <n v="0"/>
    <n v="1830"/>
    <x v="1"/>
    <m/>
  </r>
  <r>
    <x v="3"/>
    <x v="0"/>
    <x v="0"/>
    <x v="1"/>
    <n v="5297"/>
    <x v="308"/>
    <x v="9"/>
    <n v="7.4000000953674303E-2"/>
    <n v="527113"/>
    <n v="176021"/>
    <m/>
    <x v="357"/>
    <s v="PF"/>
    <d v="2017-01-23T00:00:00"/>
    <x v="277"/>
    <m/>
    <m/>
    <s v="Nil"/>
    <m/>
    <m/>
    <s v="Change of use of ground floor from the approved Class A1 (retail)/Class A2 (financial and professional services) use to Class D2 (assembly and leisure) for use as a gym.  Proposed opening hours of 6am to 11.00pm Monday to Friday, 7am to 10pm Saturday and 7am to 10pm Sunday and Bank Holidays."/>
    <x v="352"/>
    <s v="COU"/>
    <x v="2"/>
    <s v="UC"/>
    <m/>
    <d v="2017-03-31T00:00:00"/>
    <m/>
    <m/>
    <s v="C"/>
    <s v="BF"/>
    <x v="0"/>
    <m/>
    <d v="2017-03-31T00:00:00"/>
    <m/>
    <m/>
    <m/>
    <m/>
    <m/>
    <m/>
    <m/>
    <m/>
    <m/>
    <m/>
    <m/>
    <m/>
    <m/>
    <m/>
    <m/>
    <n v="467"/>
    <n v="467"/>
    <n v="234"/>
    <n v="234"/>
    <m/>
    <m/>
    <m/>
    <n v="468"/>
    <m/>
    <m/>
    <m/>
    <m/>
    <m/>
    <m/>
    <m/>
    <m/>
    <m/>
    <x v="1"/>
    <x v="0"/>
    <x v="0"/>
    <n v="-234"/>
    <n v="-234"/>
    <m/>
    <m/>
    <m/>
    <n v="-468"/>
    <m/>
    <x v="0"/>
    <m/>
    <m/>
    <m/>
    <m/>
    <m/>
    <x v="0"/>
    <m/>
    <m/>
    <n v="467"/>
    <n v="467"/>
    <s v="-"/>
    <s v="-"/>
    <s v="-"/>
    <s v="-"/>
    <s v="-"/>
    <s v="-"/>
    <s v="-"/>
    <s v="-"/>
    <s v="-"/>
    <s v="-"/>
    <s v="-"/>
    <x v="1"/>
    <x v="2"/>
    <s v="Vacant"/>
    <s v="Vacant"/>
    <s v="-"/>
    <s v="-"/>
    <s v="-"/>
    <s v="-"/>
    <s v="-"/>
    <s v="-"/>
    <s v="-"/>
    <s v="-"/>
    <s v="-"/>
    <x v="0"/>
    <x v="0"/>
    <n v="7.4000000953674303E-2"/>
    <n v="467"/>
    <n v="468"/>
    <n v="-1"/>
    <x v="0"/>
    <x v="0"/>
    <m/>
    <x v="0"/>
    <m/>
    <x v="0"/>
    <m/>
    <x v="0"/>
    <x v="0"/>
    <x v="0"/>
    <x v="0"/>
    <m/>
    <n v="0"/>
    <n v="0"/>
    <n v="0"/>
    <x v="0"/>
    <m/>
  </r>
  <r>
    <x v="0"/>
    <x v="0"/>
    <x v="0"/>
    <x v="0"/>
    <n v="5344"/>
    <x v="309"/>
    <x v="17"/>
    <n v="4.0000001899898104E-3"/>
    <n v="528033"/>
    <n v="172324"/>
    <m/>
    <x v="358"/>
    <s v="PF"/>
    <d v="2017-07-14T00:00:00"/>
    <x v="278"/>
    <s v="Y"/>
    <m/>
    <s v="Nil"/>
    <m/>
    <m/>
    <s v="Change of use from retail (Class A1) to a restaurant and cafe (Class A3)."/>
    <x v="353"/>
    <s v="COU"/>
    <x v="2"/>
    <s v="OC"/>
    <m/>
    <d v="2017-09-08T00:00:00"/>
    <d v="2018-03-31T00:00:00"/>
    <d v="2018-03-31T00:00:00"/>
    <s v="C"/>
    <s v="BF"/>
    <x v="0"/>
    <m/>
    <d v="2017-09-08T00:00:00"/>
    <d v="2018-03-31T00:00:00"/>
    <m/>
    <m/>
    <n v="83"/>
    <m/>
    <m/>
    <n v="83"/>
    <m/>
    <m/>
    <m/>
    <m/>
    <m/>
    <m/>
    <m/>
    <m/>
    <m/>
    <m/>
    <n v="83"/>
    <m/>
    <m/>
    <m/>
    <m/>
    <n v="83"/>
    <m/>
    <m/>
    <m/>
    <m/>
    <m/>
    <m/>
    <m/>
    <m/>
    <m/>
    <x v="1"/>
    <x v="0"/>
    <x v="1"/>
    <n v="-83"/>
    <m/>
    <n v="83"/>
    <m/>
    <m/>
    <m/>
    <m/>
    <x v="0"/>
    <m/>
    <m/>
    <m/>
    <m/>
    <m/>
    <x v="0"/>
    <m/>
    <m/>
    <m/>
    <m/>
    <s v="-"/>
    <s v="-"/>
    <s v="Restaurant"/>
    <s v="-"/>
    <s v="-"/>
    <s v="-"/>
    <s v="-"/>
    <s v="-"/>
    <s v="-"/>
    <s v="-"/>
    <s v="-"/>
    <x v="1"/>
    <x v="0"/>
    <s v="Consumables"/>
    <s v="-"/>
    <s v="-"/>
    <s v="-"/>
    <s v="-"/>
    <s v="-"/>
    <s v="-"/>
    <s v="-"/>
    <s v="-"/>
    <s v="-"/>
    <s v="-"/>
    <x v="0"/>
    <x v="0"/>
    <n v="4.0000001899898104E-3"/>
    <n v="83"/>
    <n v="83"/>
    <n v="0"/>
    <x v="0"/>
    <x v="0"/>
    <m/>
    <x v="0"/>
    <m/>
    <x v="0"/>
    <m/>
    <x v="0"/>
    <x v="0"/>
    <x v="0"/>
    <x v="0"/>
    <m/>
    <n v="0"/>
    <n v="0"/>
    <n v="0"/>
    <x v="0"/>
    <m/>
  </r>
  <r>
    <x v="2"/>
    <x v="0"/>
    <x v="0"/>
    <x v="1"/>
    <n v="5346"/>
    <x v="310"/>
    <x v="15"/>
    <n v="1.7999999225139601E-2"/>
    <n v="529259"/>
    <n v="170676"/>
    <m/>
    <x v="359"/>
    <s v="PF"/>
    <d v="2016-05-16T00:00:00"/>
    <x v="154"/>
    <m/>
    <m/>
    <s v="Nil"/>
    <m/>
    <m/>
    <s v="Change of use from office (Use Class B1) to children's activity club (Use Class D1)."/>
    <x v="354"/>
    <s v="COU"/>
    <x v="2"/>
    <s v="NSO"/>
    <m/>
    <m/>
    <m/>
    <m/>
    <s v="C"/>
    <s v="BF"/>
    <x v="0"/>
    <m/>
    <m/>
    <m/>
    <m/>
    <m/>
    <m/>
    <m/>
    <m/>
    <m/>
    <m/>
    <m/>
    <m/>
    <m/>
    <m/>
    <m/>
    <m/>
    <n v="35"/>
    <m/>
    <n v="35"/>
    <m/>
    <m/>
    <m/>
    <m/>
    <m/>
    <m/>
    <n v="35"/>
    <m/>
    <m/>
    <m/>
    <m/>
    <n v="35"/>
    <m/>
    <m/>
    <m/>
    <x v="0"/>
    <x v="1"/>
    <x v="0"/>
    <m/>
    <m/>
    <m/>
    <m/>
    <m/>
    <m/>
    <n v="-35"/>
    <x v="1"/>
    <m/>
    <m/>
    <m/>
    <m/>
    <n v="-35"/>
    <x v="1"/>
    <m/>
    <n v="35"/>
    <m/>
    <n v="35"/>
    <s v="-"/>
    <s v="-"/>
    <s v="-"/>
    <s v="-"/>
    <s v="-"/>
    <s v="-"/>
    <s v="-"/>
    <s v="-"/>
    <s v="-"/>
    <s v="-"/>
    <s v="-"/>
    <x v="2"/>
    <x v="0"/>
    <s v="-"/>
    <s v="-"/>
    <s v="-"/>
    <s v="-"/>
    <s v="-"/>
    <s v="Vacant"/>
    <s v="-"/>
    <s v="-"/>
    <s v="-"/>
    <s v="-"/>
    <s v="-"/>
    <x v="0"/>
    <x v="0"/>
    <n v="1.7999999225139601E-2"/>
    <n v="35"/>
    <n v="35"/>
    <n v="0"/>
    <x v="0"/>
    <x v="0"/>
    <m/>
    <x v="0"/>
    <m/>
    <x v="0"/>
    <m/>
    <x v="0"/>
    <x v="0"/>
    <x v="0"/>
    <x v="0"/>
    <m/>
    <n v="0"/>
    <n v="0"/>
    <n v="0"/>
    <x v="0"/>
    <m/>
  </r>
  <r>
    <x v="0"/>
    <x v="0"/>
    <x v="0"/>
    <x v="2"/>
    <n v="5360"/>
    <x v="311"/>
    <x v="13"/>
    <n v="8.0000003799796104E-3"/>
    <n v="526566"/>
    <n v="172115"/>
    <m/>
    <x v="360"/>
    <s v="PF"/>
    <d v="2013-07-22T00:00:00"/>
    <x v="279"/>
    <m/>
    <m/>
    <s v="Nil"/>
    <m/>
    <m/>
    <s v="Demolition of garage and erection of two-storey house."/>
    <x v="99"/>
    <s v="NB"/>
    <x v="0"/>
    <s v="CO"/>
    <m/>
    <d v="2014-07-23T00:00:00"/>
    <d v="2018-03-31T00:00:00"/>
    <m/>
    <s v="C"/>
    <s v="BF"/>
    <x v="0"/>
    <m/>
    <d v="2014-07-23T00:00:00"/>
    <d v="2018-03-31T00:00:00"/>
    <m/>
    <m/>
    <m/>
    <m/>
    <m/>
    <m/>
    <m/>
    <m/>
    <m/>
    <m/>
    <m/>
    <m/>
    <m/>
    <m/>
    <m/>
    <m/>
    <m/>
    <m/>
    <m/>
    <m/>
    <m/>
    <m/>
    <m/>
    <m/>
    <m/>
    <m/>
    <m/>
    <m/>
    <m/>
    <m/>
    <m/>
    <x v="0"/>
    <x v="0"/>
    <x v="1"/>
    <m/>
    <m/>
    <m/>
    <m/>
    <m/>
    <m/>
    <m/>
    <x v="0"/>
    <m/>
    <m/>
    <m/>
    <m/>
    <m/>
    <x v="0"/>
    <m/>
    <m/>
    <m/>
    <m/>
    <s v="-"/>
    <s v="-"/>
    <s v="-"/>
    <s v="-"/>
    <s v="-"/>
    <s v="-"/>
    <s v="-"/>
    <s v="-"/>
    <s v="-"/>
    <s v="-"/>
    <s v="-"/>
    <x v="1"/>
    <x v="0"/>
    <s v="-"/>
    <s v="-"/>
    <s v="-"/>
    <s v="-"/>
    <s v="-"/>
    <s v="-"/>
    <s v="-"/>
    <s v="-"/>
    <s v="-"/>
    <s v="-"/>
    <s v="-"/>
    <x v="0"/>
    <x v="0"/>
    <n v="0"/>
    <n v="0"/>
    <n v="11"/>
    <n v="-11"/>
    <x v="0"/>
    <x v="0"/>
    <m/>
    <x v="0"/>
    <m/>
    <x v="0"/>
    <m/>
    <x v="0"/>
    <x v="0"/>
    <x v="0"/>
    <x v="0"/>
    <m/>
    <n v="88"/>
    <n v="0"/>
    <n v="88"/>
    <x v="1"/>
    <m/>
  </r>
  <r>
    <x v="3"/>
    <x v="2"/>
    <x v="2"/>
    <x v="1"/>
    <n v="5363"/>
    <x v="312"/>
    <x v="12"/>
    <n v="7.9999998211860698E-2"/>
    <n v="525417"/>
    <n v="174604"/>
    <m/>
    <x v="361"/>
    <s v="PANR"/>
    <d v="2015-06-18T00:00:00"/>
    <x v="280"/>
    <m/>
    <m/>
    <s v="Nil"/>
    <m/>
    <m/>
    <s v="Determination as to whether prior approval is required for change of use from office (Class B1a) to three residential units (Class C3)."/>
    <x v="355"/>
    <s v="COU"/>
    <x v="2"/>
    <s v="UC"/>
    <m/>
    <d v="2017-03-31T00:00:00"/>
    <m/>
    <m/>
    <s v="C"/>
    <s v="BF"/>
    <x v="0"/>
    <m/>
    <d v="2017-03-31T00:00:00"/>
    <m/>
    <m/>
    <m/>
    <m/>
    <m/>
    <m/>
    <m/>
    <m/>
    <m/>
    <m/>
    <m/>
    <m/>
    <m/>
    <m/>
    <m/>
    <m/>
    <m/>
    <m/>
    <m/>
    <m/>
    <m/>
    <m/>
    <m/>
    <n v="415"/>
    <m/>
    <m/>
    <m/>
    <m/>
    <n v="415"/>
    <m/>
    <m/>
    <m/>
    <x v="0"/>
    <x v="1"/>
    <x v="1"/>
    <m/>
    <m/>
    <m/>
    <m/>
    <m/>
    <m/>
    <n v="-415"/>
    <x v="1"/>
    <m/>
    <m/>
    <m/>
    <m/>
    <n v="-415"/>
    <x v="1"/>
    <m/>
    <m/>
    <m/>
    <m/>
    <s v="-"/>
    <s v="-"/>
    <s v="-"/>
    <s v="-"/>
    <s v="-"/>
    <s v="-"/>
    <s v="-"/>
    <s v="-"/>
    <s v="-"/>
    <s v="-"/>
    <s v="-"/>
    <x v="1"/>
    <x v="0"/>
    <s v="-"/>
    <s v="-"/>
    <s v="-"/>
    <s v="-"/>
    <s v="-"/>
    <s v="Vacant"/>
    <s v="-"/>
    <s v="-"/>
    <s v="-"/>
    <s v="-"/>
    <s v="-"/>
    <x v="0"/>
    <x v="0"/>
    <n v="3.7999998778104796E-2"/>
    <n v="0"/>
    <n v="415"/>
    <n v="-415"/>
    <x v="0"/>
    <x v="0"/>
    <m/>
    <x v="0"/>
    <m/>
    <x v="0"/>
    <m/>
    <x v="0"/>
    <x v="1"/>
    <x v="4"/>
    <x v="0"/>
    <m/>
    <n v="415"/>
    <n v="0"/>
    <n v="415"/>
    <x v="1"/>
    <m/>
  </r>
  <r>
    <x v="2"/>
    <x v="0"/>
    <x v="0"/>
    <x v="1"/>
    <n v="5363"/>
    <x v="312"/>
    <x v="12"/>
    <n v="7.9999998211860698E-2"/>
    <n v="525417"/>
    <n v="174604"/>
    <m/>
    <x v="362"/>
    <s v="PF"/>
    <d v="2016-01-25T00:00:00"/>
    <x v="281"/>
    <m/>
    <m/>
    <s v="Nil"/>
    <m/>
    <m/>
    <s v="Change of use of the basement and a portion of the ground floor from C3 (residential) to D2 (Assembly and Leisure) and minor alterations to ground floor entrance."/>
    <x v="356"/>
    <s v="COU"/>
    <x v="2"/>
    <s v="NSO"/>
    <m/>
    <m/>
    <m/>
    <m/>
    <s v="C"/>
    <s v="BF"/>
    <x v="0"/>
    <m/>
    <m/>
    <m/>
    <m/>
    <m/>
    <m/>
    <m/>
    <m/>
    <m/>
    <m/>
    <m/>
    <m/>
    <m/>
    <m/>
    <m/>
    <m/>
    <m/>
    <n v="110"/>
    <n v="110"/>
    <m/>
    <m/>
    <m/>
    <m/>
    <m/>
    <m/>
    <m/>
    <m/>
    <m/>
    <m/>
    <m/>
    <m/>
    <m/>
    <m/>
    <m/>
    <x v="0"/>
    <x v="0"/>
    <x v="0"/>
    <m/>
    <m/>
    <m/>
    <m/>
    <m/>
    <m/>
    <m/>
    <x v="0"/>
    <m/>
    <m/>
    <m/>
    <m/>
    <m/>
    <x v="0"/>
    <m/>
    <m/>
    <n v="110"/>
    <n v="110"/>
    <s v="-"/>
    <s v="-"/>
    <s v="-"/>
    <s v="-"/>
    <s v="-"/>
    <s v="-"/>
    <s v="-"/>
    <s v="-"/>
    <s v="-"/>
    <s v="-"/>
    <s v="-"/>
    <x v="1"/>
    <x v="1"/>
    <s v="-"/>
    <s v="-"/>
    <s v="-"/>
    <s v="-"/>
    <s v="-"/>
    <s v="-"/>
    <s v="-"/>
    <s v="-"/>
    <s v="-"/>
    <s v="-"/>
    <s v="-"/>
    <x v="0"/>
    <x v="0"/>
    <n v="7.3999998159706634E-2"/>
    <n v="110"/>
    <n v="0"/>
    <n v="110"/>
    <x v="0"/>
    <x v="0"/>
    <m/>
    <x v="0"/>
    <m/>
    <x v="0"/>
    <m/>
    <x v="0"/>
    <x v="1"/>
    <x v="4"/>
    <x v="0"/>
    <m/>
    <n v="298"/>
    <n v="408"/>
    <n v="-110"/>
    <x v="0"/>
    <m/>
  </r>
  <r>
    <x v="2"/>
    <x v="0"/>
    <x v="0"/>
    <x v="1"/>
    <n v="5363"/>
    <x v="312"/>
    <x v="12"/>
    <n v="7.9999998211860698E-2"/>
    <n v="525417"/>
    <n v="174604"/>
    <m/>
    <x v="363"/>
    <s v="PF"/>
    <d v="2017-02-22T00:00:00"/>
    <x v="122"/>
    <s v="Y"/>
    <m/>
    <s v="Nil"/>
    <m/>
    <m/>
    <s v="Change of use from office (Class B1) at part basement, part ground and part first floor to financial and professional services (Class A2) and business (Class B1)."/>
    <x v="357"/>
    <s v="COU"/>
    <x v="2"/>
    <s v="NSO"/>
    <m/>
    <m/>
    <m/>
    <m/>
    <s v="C"/>
    <s v="BF"/>
    <x v="0"/>
    <m/>
    <m/>
    <m/>
    <m/>
    <n v="1274"/>
    <m/>
    <m/>
    <m/>
    <n v="1274"/>
    <n v="3228"/>
    <m/>
    <m/>
    <n v="3228"/>
    <m/>
    <m/>
    <n v="3228"/>
    <m/>
    <m/>
    <m/>
    <m/>
    <m/>
    <m/>
    <m/>
    <m/>
    <m/>
    <n v="4502"/>
    <m/>
    <m/>
    <m/>
    <m/>
    <n v="4502"/>
    <m/>
    <m/>
    <m/>
    <x v="1"/>
    <x v="1"/>
    <x v="1"/>
    <m/>
    <n v="1274"/>
    <m/>
    <m/>
    <m/>
    <n v="1274"/>
    <n v="-1274"/>
    <x v="1"/>
    <m/>
    <m/>
    <m/>
    <m/>
    <n v="-1274"/>
    <x v="1"/>
    <m/>
    <m/>
    <m/>
    <m/>
    <s v="-"/>
    <s v="Not Known"/>
    <s v="-"/>
    <s v="-"/>
    <s v="-"/>
    <s v="Not Known"/>
    <s v="-"/>
    <s v="-"/>
    <s v="-"/>
    <s v="-"/>
    <s v="-"/>
    <x v="1"/>
    <x v="0"/>
    <s v="-"/>
    <s v="-"/>
    <s v="-"/>
    <s v="-"/>
    <s v="-"/>
    <s v="Financial or Professional Services"/>
    <s v="-"/>
    <s v="-"/>
    <s v="-"/>
    <s v="-"/>
    <s v="-"/>
    <x v="0"/>
    <x v="0"/>
    <n v="7.9999998211860698E-2"/>
    <n v="4502"/>
    <n v="4502"/>
    <n v="0"/>
    <x v="0"/>
    <x v="0"/>
    <m/>
    <x v="0"/>
    <m/>
    <x v="0"/>
    <m/>
    <x v="0"/>
    <x v="1"/>
    <x v="4"/>
    <x v="0"/>
    <m/>
    <n v="0"/>
    <n v="0"/>
    <n v="0"/>
    <x v="0"/>
    <m/>
  </r>
  <r>
    <x v="3"/>
    <x v="0"/>
    <x v="0"/>
    <x v="1"/>
    <n v="5376"/>
    <x v="313"/>
    <x v="2"/>
    <n v="1.4000000432133701E-2"/>
    <n v="528703"/>
    <n v="173099"/>
    <m/>
    <x v="364"/>
    <s v="PF"/>
    <d v="2013-08-23T00:00:00"/>
    <x v="271"/>
    <m/>
    <m/>
    <s v="Nil"/>
    <m/>
    <m/>
    <s v="Erection of a three storey building (between 72 Bedford Hill and the railway embankment) to provide a shop/store on ground floor and a two bedroom maisonette on first and second floors.  (Amended drawings received  showing alterations to the development)"/>
    <x v="358"/>
    <s v="NB"/>
    <x v="0"/>
    <s v="UC"/>
    <m/>
    <d v="2016-07-01T00:00:00"/>
    <m/>
    <m/>
    <s v="C"/>
    <s v="BF"/>
    <x v="0"/>
    <m/>
    <d v="2016-07-01T00:00:00"/>
    <m/>
    <n v="52"/>
    <m/>
    <m/>
    <m/>
    <m/>
    <n v="52"/>
    <m/>
    <m/>
    <m/>
    <m/>
    <m/>
    <m/>
    <m/>
    <m/>
    <m/>
    <m/>
    <m/>
    <m/>
    <m/>
    <m/>
    <m/>
    <m/>
    <m/>
    <m/>
    <m/>
    <m/>
    <m/>
    <m/>
    <m/>
    <m/>
    <m/>
    <x v="1"/>
    <x v="0"/>
    <x v="1"/>
    <n v="52"/>
    <m/>
    <m/>
    <m/>
    <m/>
    <n v="52"/>
    <m/>
    <x v="0"/>
    <m/>
    <m/>
    <m/>
    <m/>
    <m/>
    <x v="0"/>
    <m/>
    <m/>
    <m/>
    <m/>
    <s v="Not Known"/>
    <s v="-"/>
    <s v="-"/>
    <s v="-"/>
    <s v="-"/>
    <s v="-"/>
    <s v="-"/>
    <s v="-"/>
    <s v="-"/>
    <s v="-"/>
    <s v="-"/>
    <x v="1"/>
    <x v="0"/>
    <s v="-"/>
    <s v="-"/>
    <s v="-"/>
    <s v="-"/>
    <s v="-"/>
    <s v="-"/>
    <s v="-"/>
    <s v="-"/>
    <s v="-"/>
    <s v="-"/>
    <s v="-"/>
    <x v="0"/>
    <x v="0"/>
    <n v="5.0000008195638899E-3"/>
    <n v="52"/>
    <n v="0"/>
    <n v="52"/>
    <x v="0"/>
    <x v="0"/>
    <m/>
    <x v="0"/>
    <m/>
    <x v="0"/>
    <m/>
    <x v="0"/>
    <x v="0"/>
    <x v="0"/>
    <x v="0"/>
    <m/>
    <n v="74"/>
    <n v="0"/>
    <n v="74"/>
    <x v="1"/>
    <m/>
  </r>
  <r>
    <x v="3"/>
    <x v="0"/>
    <x v="0"/>
    <x v="1"/>
    <n v="5377"/>
    <x v="314"/>
    <x v="17"/>
    <n v="1.09999999403954E-2"/>
    <n v="528146"/>
    <n v="172290"/>
    <m/>
    <x v="365"/>
    <s v="PF"/>
    <d v="2016-08-05T00:00:00"/>
    <x v="154"/>
    <m/>
    <m/>
    <s v="Nil"/>
    <m/>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x v="359"/>
    <s v="MIX"/>
    <x v="0"/>
    <s v="UC"/>
    <m/>
    <d v="2018-03-31T00:00:00"/>
    <m/>
    <m/>
    <s v="C"/>
    <s v="BF"/>
    <x v="0"/>
    <m/>
    <d v="2018-03-31T00:00:00"/>
    <m/>
    <m/>
    <n v="97"/>
    <m/>
    <m/>
    <m/>
    <n v="97"/>
    <m/>
    <m/>
    <m/>
    <m/>
    <m/>
    <m/>
    <m/>
    <m/>
    <m/>
    <m/>
    <m/>
    <n v="41"/>
    <m/>
    <m/>
    <m/>
    <n v="41"/>
    <m/>
    <m/>
    <m/>
    <m/>
    <m/>
    <m/>
    <m/>
    <m/>
    <m/>
    <x v="1"/>
    <x v="0"/>
    <x v="1"/>
    <m/>
    <n v="56"/>
    <m/>
    <m/>
    <m/>
    <n v="56"/>
    <m/>
    <x v="0"/>
    <m/>
    <m/>
    <m/>
    <m/>
    <m/>
    <x v="0"/>
    <m/>
    <m/>
    <m/>
    <m/>
    <s v="-"/>
    <s v="Estate Agent"/>
    <s v="-"/>
    <s v="-"/>
    <s v="-"/>
    <s v="-"/>
    <s v="-"/>
    <s v="-"/>
    <s v="-"/>
    <s v="-"/>
    <s v="-"/>
    <x v="1"/>
    <x v="0"/>
    <s v="-"/>
    <s v="Estate Agent"/>
    <s v="-"/>
    <s v="-"/>
    <s v="-"/>
    <s v="-"/>
    <s v="-"/>
    <s v="-"/>
    <s v="-"/>
    <s v="-"/>
    <s v="-"/>
    <x v="0"/>
    <x v="0"/>
    <n v="3.9999997243285604E-3"/>
    <n v="97"/>
    <n v="41"/>
    <n v="56"/>
    <x v="0"/>
    <x v="0"/>
    <m/>
    <x v="0"/>
    <m/>
    <x v="0"/>
    <m/>
    <x v="0"/>
    <x v="0"/>
    <x v="0"/>
    <x v="0"/>
    <m/>
    <n v="203"/>
    <n v="117"/>
    <n v="86"/>
    <x v="1"/>
    <m/>
  </r>
  <r>
    <x v="0"/>
    <x v="0"/>
    <x v="0"/>
    <x v="0"/>
    <n v="5380"/>
    <x v="315"/>
    <x v="7"/>
    <n v="1.09999999403954E-2"/>
    <n v="523621"/>
    <n v="175794"/>
    <m/>
    <x v="366"/>
    <s v="PF"/>
    <d v="2016-04-01T00:00:00"/>
    <x v="171"/>
    <m/>
    <m/>
    <s v="Nil"/>
    <m/>
    <m/>
    <s v="Erection of single-storey side and rear extension in connection with the change of use of the shop (A1) to part professional and financial services (A2) at the front, and part self contained one bedroom flat (C3) at the rear. Other alterations to include insertion of windows in side and rear elevation and alterations to include installation of replacement shopfront."/>
    <x v="360"/>
    <s v="MIX"/>
    <x v="0"/>
    <s v="OC"/>
    <m/>
    <d v="2016-11-04T00:00:00"/>
    <d v="2017-08-22T00:00:00"/>
    <d v="2017-08-22T00:00:00"/>
    <s v="C"/>
    <s v="BF"/>
    <x v="0"/>
    <m/>
    <d v="2016-11-04T00:00:00"/>
    <d v="2017-08-22T00:00:00"/>
    <m/>
    <n v="46"/>
    <m/>
    <m/>
    <m/>
    <n v="46"/>
    <m/>
    <m/>
    <m/>
    <m/>
    <m/>
    <m/>
    <m/>
    <m/>
    <m/>
    <m/>
    <n v="92"/>
    <m/>
    <m/>
    <m/>
    <m/>
    <n v="92"/>
    <m/>
    <m/>
    <m/>
    <m/>
    <m/>
    <m/>
    <m/>
    <m/>
    <m/>
    <x v="1"/>
    <x v="0"/>
    <x v="1"/>
    <n v="-92"/>
    <n v="46"/>
    <m/>
    <m/>
    <m/>
    <n v="-46"/>
    <m/>
    <x v="0"/>
    <m/>
    <m/>
    <m/>
    <m/>
    <m/>
    <x v="0"/>
    <m/>
    <m/>
    <m/>
    <m/>
    <s v="-"/>
    <s v="Not Known"/>
    <s v="-"/>
    <s v="-"/>
    <s v="-"/>
    <s v="-"/>
    <s v="-"/>
    <s v="-"/>
    <s v="-"/>
    <s v="-"/>
    <s v="-"/>
    <x v="1"/>
    <x v="0"/>
    <s v="Vacant"/>
    <s v="-"/>
    <s v="-"/>
    <s v="-"/>
    <s v="-"/>
    <s v="-"/>
    <s v="-"/>
    <s v="-"/>
    <s v="-"/>
    <s v="-"/>
    <s v="-"/>
    <x v="0"/>
    <x v="0"/>
    <n v="6.0000000521541101E-3"/>
    <n v="46"/>
    <n v="92"/>
    <n v="-46"/>
    <x v="0"/>
    <x v="0"/>
    <m/>
    <x v="0"/>
    <m/>
    <x v="0"/>
    <m/>
    <x v="0"/>
    <x v="0"/>
    <x v="0"/>
    <x v="0"/>
    <m/>
    <n v="68"/>
    <n v="0"/>
    <n v="68"/>
    <x v="1"/>
    <m/>
  </r>
  <r>
    <x v="2"/>
    <x v="0"/>
    <x v="0"/>
    <x v="1"/>
    <n v="5381"/>
    <x v="316"/>
    <x v="4"/>
    <n v="9.4999998807907104E-2"/>
    <n v="526820"/>
    <n v="176155"/>
    <s v="10.14"/>
    <x v="367"/>
    <s v="PFLA"/>
    <d v="2015-09-14T00:00:00"/>
    <x v="173"/>
    <m/>
    <d v="2015-12-15T00:00:00"/>
    <s v="Nil"/>
    <m/>
    <m/>
    <s v="Demolition of existing building and redevelopment to provide a mixed use development comprising units in flexible (Class A1 or A2 or A3 or A4) shop/financial and professional services/cafe/restaurant/drinking establishment use and (Class C3) residential use (39 flats) within a new six storey building, with 11 car parking spaces, 53 cycle parking spaces and associated works."/>
    <x v="361"/>
    <s v="NB"/>
    <x v="0"/>
    <s v="NSV"/>
    <m/>
    <m/>
    <m/>
    <m/>
    <s v="C"/>
    <s v="BF"/>
    <x v="0"/>
    <m/>
    <m/>
    <m/>
    <m/>
    <m/>
    <n v="26"/>
    <n v="285"/>
    <m/>
    <n v="311"/>
    <m/>
    <m/>
    <m/>
    <m/>
    <m/>
    <m/>
    <m/>
    <m/>
    <m/>
    <m/>
    <m/>
    <m/>
    <m/>
    <n v="313"/>
    <m/>
    <n v="313"/>
    <m/>
    <m/>
    <m/>
    <m/>
    <m/>
    <m/>
    <m/>
    <m/>
    <m/>
    <x v="1"/>
    <x v="0"/>
    <x v="1"/>
    <m/>
    <m/>
    <n v="26"/>
    <n v="-28"/>
    <m/>
    <n v="-2"/>
    <m/>
    <x v="0"/>
    <m/>
    <m/>
    <m/>
    <m/>
    <m/>
    <x v="0"/>
    <m/>
    <m/>
    <m/>
    <m/>
    <s v="-"/>
    <s v="-"/>
    <s v="Restaurant"/>
    <s v="Public House"/>
    <s v="-"/>
    <s v="-"/>
    <s v="-"/>
    <s v="-"/>
    <s v="-"/>
    <s v="-"/>
    <s v="-"/>
    <x v="1"/>
    <x v="0"/>
    <s v="-"/>
    <s v="-"/>
    <s v="-"/>
    <s v="Vacant"/>
    <s v="-"/>
    <s v="-"/>
    <s v="-"/>
    <s v="-"/>
    <s v="-"/>
    <s v="-"/>
    <s v="-"/>
    <x v="0"/>
    <x v="0"/>
    <n v="1.6999999992549406E-2"/>
    <n v="311"/>
    <n v="313"/>
    <n v="-2"/>
    <x v="0"/>
    <x v="0"/>
    <m/>
    <x v="0"/>
    <m/>
    <x v="0"/>
    <m/>
    <x v="0"/>
    <x v="0"/>
    <x v="0"/>
    <x v="0"/>
    <m/>
    <n v="2532"/>
    <n v="110"/>
    <n v="2422"/>
    <x v="1"/>
    <m/>
  </r>
  <r>
    <x v="3"/>
    <x v="0"/>
    <x v="0"/>
    <x v="1"/>
    <n v="5410"/>
    <x v="317"/>
    <x v="0"/>
    <n v="5.6000001728534698E-2"/>
    <n v="524095"/>
    <n v="173645"/>
    <m/>
    <x v="368"/>
    <s v="PFLA"/>
    <d v="2017-04-27T00:00:00"/>
    <x v="282"/>
    <s v="Y"/>
    <d v="2017-07-20T00:00:00"/>
    <s v="Nil"/>
    <m/>
    <m/>
    <s v="Demolition of the existing parade of shops to be replaced with a mixed use, commercial / residential block. Proposed block to be 5 storey and incorporate 28 residential units with commercial space at ground floor."/>
    <x v="362"/>
    <s v="NB"/>
    <x v="0"/>
    <s v="UC"/>
    <d v="2017-04-01T00:00:00"/>
    <d v="2018-01-26T00:00:00"/>
    <m/>
    <m/>
    <s v="C"/>
    <s v="BF"/>
    <x v="0"/>
    <m/>
    <d v="2018-01-26T00:00:00"/>
    <m/>
    <n v="597"/>
    <m/>
    <m/>
    <m/>
    <m/>
    <n v="597"/>
    <m/>
    <m/>
    <m/>
    <m/>
    <m/>
    <m/>
    <m/>
    <m/>
    <m/>
    <m/>
    <n v="500"/>
    <m/>
    <m/>
    <m/>
    <m/>
    <n v="500"/>
    <m/>
    <m/>
    <m/>
    <m/>
    <m/>
    <m/>
    <m/>
    <m/>
    <m/>
    <x v="1"/>
    <x v="0"/>
    <x v="1"/>
    <n v="97"/>
    <m/>
    <m/>
    <m/>
    <m/>
    <n v="97"/>
    <m/>
    <x v="0"/>
    <m/>
    <m/>
    <m/>
    <m/>
    <m/>
    <x v="0"/>
    <m/>
    <m/>
    <m/>
    <m/>
    <s v="Not Known"/>
    <s v="-"/>
    <s v="-"/>
    <s v="-"/>
    <s v="-"/>
    <s v="-"/>
    <s v="-"/>
    <s v="-"/>
    <s v="-"/>
    <s v="-"/>
    <s v="-"/>
    <x v="1"/>
    <x v="0"/>
    <s v="Vacant"/>
    <s v="-"/>
    <s v="-"/>
    <s v="-"/>
    <s v="-"/>
    <s v="-"/>
    <s v="-"/>
    <s v="-"/>
    <s v="-"/>
    <s v="-"/>
    <s v="-"/>
    <x v="0"/>
    <x v="0"/>
    <n v="9.0000033378601005E-3"/>
    <n v="597"/>
    <n v="500"/>
    <n v="97"/>
    <x v="0"/>
    <x v="0"/>
    <m/>
    <x v="0"/>
    <m/>
    <x v="0"/>
    <m/>
    <x v="0"/>
    <x v="0"/>
    <x v="0"/>
    <x v="0"/>
    <m/>
    <n v="3229"/>
    <n v="0"/>
    <n v="3229"/>
    <x v="1"/>
    <m/>
  </r>
  <r>
    <x v="0"/>
    <x v="0"/>
    <x v="0"/>
    <x v="2"/>
    <n v="5420"/>
    <x v="318"/>
    <x v="14"/>
    <n v="0.10199999809265101"/>
    <n v="527461"/>
    <n v="171563"/>
    <m/>
    <x v="369"/>
    <s v="PFLA"/>
    <d v="2013-11-18T00:00:00"/>
    <x v="283"/>
    <m/>
    <d v="2014-04-14T00:00:00"/>
    <s v="Nil"/>
    <m/>
    <m/>
    <s v="Construction of extensions at ground, first and new second floor level and alterations to the site and creation of a mixed-use quarter comprising of: a new semi-public open space for external markets and occasional events; 8no. new starter shop units (Class A1) + restaurant/cafe (Class A3) units; and 9no. flats (Class C3) with a mix of 1-bed, 2-bed and 3-bed units at first and second floor levels.  New access gates, cycle and refuse storage."/>
    <x v="363"/>
    <s v="MIX"/>
    <x v="0"/>
    <s v="CO"/>
    <m/>
    <d v="2015-06-30T00:00:00"/>
    <d v="2017-11-27T00:00:00"/>
    <m/>
    <s v="C"/>
    <s v="BF"/>
    <x v="0"/>
    <m/>
    <d v="2015-06-30T00:00:00"/>
    <d v="2017-11-27T00:00:00"/>
    <n v="326"/>
    <m/>
    <n v="326"/>
    <m/>
    <m/>
    <n v="652"/>
    <m/>
    <m/>
    <m/>
    <m/>
    <m/>
    <m/>
    <m/>
    <m/>
    <m/>
    <m/>
    <m/>
    <m/>
    <m/>
    <m/>
    <m/>
    <m/>
    <n v="980"/>
    <m/>
    <m/>
    <m/>
    <m/>
    <n v="980"/>
    <m/>
    <m/>
    <m/>
    <x v="1"/>
    <x v="1"/>
    <x v="1"/>
    <n v="326"/>
    <m/>
    <n v="326"/>
    <m/>
    <m/>
    <n v="652"/>
    <n v="-980"/>
    <x v="1"/>
    <m/>
    <m/>
    <m/>
    <m/>
    <n v="-980"/>
    <x v="1"/>
    <m/>
    <m/>
    <m/>
    <m/>
    <s v="Not Known"/>
    <s v="-"/>
    <s v="Restaurant"/>
    <s v="-"/>
    <s v="-"/>
    <s v="-"/>
    <s v="-"/>
    <s v="-"/>
    <s v="-"/>
    <s v="-"/>
    <s v="-"/>
    <x v="1"/>
    <x v="0"/>
    <s v="-"/>
    <s v="-"/>
    <s v="-"/>
    <s v="-"/>
    <s v="-"/>
    <s v="Vacant"/>
    <s v="-"/>
    <s v="-"/>
    <s v="-"/>
    <s v="-"/>
    <s v="-"/>
    <x v="0"/>
    <x v="0"/>
    <n v="1.5000000596046101E-2"/>
    <n v="652"/>
    <n v="980"/>
    <n v="-328"/>
    <x v="0"/>
    <x v="0"/>
    <m/>
    <x v="0"/>
    <m/>
    <x v="0"/>
    <m/>
    <x v="0"/>
    <x v="1"/>
    <x v="3"/>
    <x v="0"/>
    <m/>
    <n v="870"/>
    <n v="0"/>
    <n v="870"/>
    <x v="1"/>
    <m/>
  </r>
  <r>
    <x v="3"/>
    <x v="0"/>
    <x v="0"/>
    <x v="1"/>
    <n v="5442"/>
    <x v="319"/>
    <x v="12"/>
    <n v="4.0000001899898104E-3"/>
    <n v="525614"/>
    <n v="172864"/>
    <m/>
    <x v="370"/>
    <s v="PF"/>
    <d v="2013-07-15T00:00:00"/>
    <x v="284"/>
    <m/>
    <m/>
    <s v="Nil"/>
    <m/>
    <m/>
    <s v="Demolition of existing workshop. Erection of two-storey, 1-bedroom house with first floor level terrace to rear."/>
    <x v="364"/>
    <s v="NB"/>
    <x v="0"/>
    <s v="UC"/>
    <d v="2014-03-31T00:00:00"/>
    <d v="2014-03-31T00:00:00"/>
    <m/>
    <m/>
    <s v="C"/>
    <s v="BF"/>
    <x v="0"/>
    <m/>
    <d v="2014-03-31T00:00:00"/>
    <m/>
    <m/>
    <m/>
    <m/>
    <m/>
    <m/>
    <m/>
    <m/>
    <m/>
    <m/>
    <m/>
    <m/>
    <m/>
    <m/>
    <m/>
    <m/>
    <m/>
    <m/>
    <m/>
    <m/>
    <m/>
    <m/>
    <m/>
    <m/>
    <m/>
    <m/>
    <m/>
    <n v="35"/>
    <n v="35"/>
    <m/>
    <m/>
    <m/>
    <x v="0"/>
    <x v="1"/>
    <x v="1"/>
    <m/>
    <m/>
    <m/>
    <m/>
    <m/>
    <m/>
    <m/>
    <x v="0"/>
    <m/>
    <m/>
    <m/>
    <n v="-35"/>
    <n v="-35"/>
    <x v="1"/>
    <m/>
    <m/>
    <m/>
    <m/>
    <s v="-"/>
    <s v="-"/>
    <s v="-"/>
    <s v="-"/>
    <s v="-"/>
    <s v="-"/>
    <s v="-"/>
    <s v="-"/>
    <s v="-"/>
    <s v="-"/>
    <s v="-"/>
    <x v="1"/>
    <x v="0"/>
    <s v="-"/>
    <s v="-"/>
    <s v="-"/>
    <s v="-"/>
    <s v="-"/>
    <s v="-"/>
    <s v="-"/>
    <s v="-"/>
    <s v="-"/>
    <s v="Not Known"/>
    <s v="-"/>
    <x v="0"/>
    <x v="0"/>
    <n v="0"/>
    <n v="0"/>
    <n v="35"/>
    <n v="-35"/>
    <x v="0"/>
    <x v="0"/>
    <m/>
    <x v="0"/>
    <m/>
    <x v="0"/>
    <m/>
    <x v="0"/>
    <x v="0"/>
    <x v="0"/>
    <x v="0"/>
    <m/>
    <n v="57"/>
    <n v="0"/>
    <n v="57"/>
    <x v="1"/>
    <m/>
  </r>
  <r>
    <x v="3"/>
    <x v="0"/>
    <x v="0"/>
    <x v="1"/>
    <n v="5447"/>
    <x v="320"/>
    <x v="6"/>
    <n v="2.3000000044703501E-2"/>
    <n v="528513"/>
    <n v="175788"/>
    <m/>
    <x v="371"/>
    <s v="PF"/>
    <d v="2014-01-08T00:00:00"/>
    <x v="285"/>
    <m/>
    <m/>
    <s v="Nil"/>
    <m/>
    <m/>
    <s v="Erection of a one-bedroom dwelling at the rear of No.14 Lavender Hill with the associated amenity space, refuse and cycle space."/>
    <x v="365"/>
    <s v="NB"/>
    <x v="0"/>
    <s v="UC"/>
    <m/>
    <d v="2017-10-03T00:00:00"/>
    <m/>
    <m/>
    <s v="C"/>
    <s v="BF"/>
    <x v="0"/>
    <m/>
    <d v="2017-10-03T00:00:00"/>
    <m/>
    <m/>
    <m/>
    <m/>
    <m/>
    <m/>
    <m/>
    <m/>
    <m/>
    <m/>
    <m/>
    <m/>
    <m/>
    <m/>
    <m/>
    <m/>
    <m/>
    <m/>
    <m/>
    <m/>
    <m/>
    <m/>
    <m/>
    <m/>
    <m/>
    <m/>
    <m/>
    <m/>
    <m/>
    <m/>
    <m/>
    <m/>
    <x v="0"/>
    <x v="0"/>
    <x v="1"/>
    <m/>
    <m/>
    <m/>
    <m/>
    <m/>
    <m/>
    <m/>
    <x v="0"/>
    <m/>
    <m/>
    <m/>
    <m/>
    <m/>
    <x v="0"/>
    <m/>
    <m/>
    <m/>
    <m/>
    <s v="-"/>
    <s v="-"/>
    <s v="-"/>
    <s v="-"/>
    <s v="-"/>
    <s v="-"/>
    <s v="-"/>
    <s v="-"/>
    <s v="-"/>
    <s v="-"/>
    <s v="-"/>
    <x v="1"/>
    <x v="0"/>
    <s v="-"/>
    <s v="-"/>
    <s v="-"/>
    <s v="-"/>
    <s v="-"/>
    <s v="-"/>
    <s v="-"/>
    <s v="-"/>
    <s v="-"/>
    <s v="-"/>
    <s v="-"/>
    <x v="0"/>
    <x v="0"/>
    <n v="0"/>
    <n v="0"/>
    <n v="85"/>
    <n v="-85"/>
    <x v="0"/>
    <x v="0"/>
    <m/>
    <x v="0"/>
    <m/>
    <x v="0"/>
    <m/>
    <x v="0"/>
    <x v="0"/>
    <x v="0"/>
    <x v="1"/>
    <s v="Lavender Hill/Queenstown Road"/>
    <n v="47"/>
    <n v="0"/>
    <n v="47"/>
    <x v="1"/>
    <m/>
  </r>
  <r>
    <x v="2"/>
    <x v="0"/>
    <x v="0"/>
    <x v="1"/>
    <n v="5454"/>
    <x v="321"/>
    <x v="7"/>
    <n v="0.245000004768372"/>
    <n v="524592"/>
    <n v="175268"/>
    <m/>
    <x v="372"/>
    <s v="PFLA"/>
    <d v="2015-01-07T00:00:00"/>
    <x v="286"/>
    <m/>
    <d v="2015-03-18T00:00:00"/>
    <s v="Nil"/>
    <m/>
    <m/>
    <s v="Alterations and extensions to the existing building including erection of part single, part two storey roof extension; erection of ground, first and second floor extensions into part of the internal courtyard area; removal of part of the façade facing Wandsworth Park; creation of portal gateway entrance off Deodar Road and other reconfiguration works. Proposed alterations and extensions in connection with provision of a total of 2,225 sq.m.  commercial floorspace at basement and ground floor levels, and 53 residential units (all private tenure) on the first to fourth floors, (10 x one-bedroom, 40 x two-bedroom and 3 x three-bedroom), with balconies, terraces and winter gardens,  with 10 basement car parking spaces accessed via car lift, and associated cycle parking provision and landscaping works."/>
    <x v="366"/>
    <s v="NB"/>
    <x v="0"/>
    <s v="NSO"/>
    <m/>
    <m/>
    <m/>
    <m/>
    <s v="C"/>
    <s v="BF"/>
    <x v="0"/>
    <m/>
    <m/>
    <m/>
    <m/>
    <m/>
    <m/>
    <m/>
    <m/>
    <m/>
    <n v="2225"/>
    <m/>
    <m/>
    <n v="2225"/>
    <m/>
    <m/>
    <n v="2225"/>
    <m/>
    <m/>
    <m/>
    <m/>
    <m/>
    <m/>
    <m/>
    <m/>
    <m/>
    <n v="6480"/>
    <m/>
    <m/>
    <m/>
    <m/>
    <n v="6480"/>
    <m/>
    <m/>
    <m/>
    <x v="0"/>
    <x v="1"/>
    <x v="1"/>
    <m/>
    <m/>
    <m/>
    <m/>
    <m/>
    <m/>
    <n v="-4255"/>
    <x v="1"/>
    <m/>
    <m/>
    <m/>
    <m/>
    <n v="-4255"/>
    <x v="1"/>
    <m/>
    <m/>
    <m/>
    <m/>
    <s v="-"/>
    <s v="-"/>
    <s v="-"/>
    <s v="-"/>
    <s v="-"/>
    <s v="Not Known"/>
    <s v="-"/>
    <s v="-"/>
    <s v="-"/>
    <s v="-"/>
    <s v="-"/>
    <x v="1"/>
    <x v="0"/>
    <s v="-"/>
    <s v="-"/>
    <s v="-"/>
    <s v="-"/>
    <s v="-"/>
    <s v="Vacant"/>
    <s v="-"/>
    <s v="-"/>
    <s v="-"/>
    <s v="-"/>
    <s v="-"/>
    <x v="0"/>
    <x v="0"/>
    <n v="4.4000010006129714E-2"/>
    <n v="2225"/>
    <n v="6480"/>
    <n v="-4255"/>
    <x v="1"/>
    <x v="0"/>
    <m/>
    <x v="0"/>
    <m/>
    <x v="0"/>
    <m/>
    <x v="0"/>
    <x v="0"/>
    <x v="0"/>
    <x v="0"/>
    <m/>
    <n v="6001"/>
    <n v="0"/>
    <n v="6001"/>
    <x v="1"/>
    <m/>
  </r>
  <r>
    <x v="2"/>
    <x v="0"/>
    <x v="0"/>
    <x v="1"/>
    <n v="5454"/>
    <x v="321"/>
    <x v="7"/>
    <n v="0.245000004768372"/>
    <n v="524592"/>
    <n v="175268"/>
    <m/>
    <x v="373"/>
    <s v="PF"/>
    <d v="2016-07-08T00:00:00"/>
    <x v="208"/>
    <m/>
    <m/>
    <s v="Nil"/>
    <m/>
    <m/>
    <s v="Demolition of the existing building and erection of a new building up to five-storeys high, plus basement level, to provide 9,596 sq.m. of class B1(a) office floorspace and 751 sq.m. of commercial floorspace (for either A1/A3/B1 or D1 use), with associated plant, and including the provision of roof terraces, together with 22 basement car parking spaces accessed from Deodar Road, and associated cycle parking provision."/>
    <x v="367"/>
    <s v="NB"/>
    <x v="0"/>
    <s v="NSO"/>
    <m/>
    <m/>
    <m/>
    <m/>
    <s v="C"/>
    <s v="BF"/>
    <x v="0"/>
    <m/>
    <m/>
    <m/>
    <n v="250"/>
    <m/>
    <n v="250"/>
    <m/>
    <m/>
    <n v="500"/>
    <n v="9596"/>
    <m/>
    <m/>
    <n v="9596"/>
    <m/>
    <m/>
    <n v="9596"/>
    <n v="251"/>
    <m/>
    <n v="251"/>
    <m/>
    <m/>
    <m/>
    <m/>
    <m/>
    <m/>
    <n v="6480"/>
    <m/>
    <m/>
    <m/>
    <m/>
    <n v="6480"/>
    <m/>
    <m/>
    <m/>
    <x v="1"/>
    <x v="1"/>
    <x v="0"/>
    <n v="250"/>
    <m/>
    <n v="250"/>
    <m/>
    <m/>
    <n v="500"/>
    <n v="3116"/>
    <x v="0"/>
    <m/>
    <m/>
    <m/>
    <m/>
    <n v="3116"/>
    <x v="0"/>
    <m/>
    <n v="251"/>
    <m/>
    <n v="251"/>
    <s v="Not Known"/>
    <s v="-"/>
    <s v="Not Known"/>
    <s v="-"/>
    <s v="-"/>
    <s v="Not Known"/>
    <s v="-"/>
    <s v="-"/>
    <s v="-"/>
    <s v="-"/>
    <s v="-"/>
    <x v="5"/>
    <x v="0"/>
    <s v="-"/>
    <s v="-"/>
    <s v="-"/>
    <s v="-"/>
    <s v="-"/>
    <s v="Vacant"/>
    <s v="-"/>
    <s v="-"/>
    <s v="-"/>
    <s v="-"/>
    <s v="-"/>
    <x v="0"/>
    <x v="0"/>
    <n v="0.245000004768372"/>
    <n v="10347"/>
    <n v="6480"/>
    <n v="3867"/>
    <x v="1"/>
    <x v="0"/>
    <m/>
    <x v="0"/>
    <m/>
    <x v="0"/>
    <m/>
    <x v="0"/>
    <x v="0"/>
    <x v="0"/>
    <x v="0"/>
    <m/>
    <n v="0"/>
    <n v="0"/>
    <n v="0"/>
    <x v="0"/>
    <m/>
  </r>
  <r>
    <x v="2"/>
    <x v="0"/>
    <x v="0"/>
    <x v="1"/>
    <n v="5454"/>
    <x v="321"/>
    <x v="7"/>
    <n v="0.245000004768372"/>
    <n v="524592"/>
    <n v="175268"/>
    <m/>
    <x v="374"/>
    <s v="S73"/>
    <d v="2017-04-19T00:00:00"/>
    <x v="287"/>
    <s v="Y"/>
    <m/>
    <s v="Nil"/>
    <m/>
    <m/>
    <s v="Non-material amendment to planning permission dated 15/09/2016 ref 2016/4016 [Demolition of the existing building and erection of a new building up to five-storeys high, plus basement level, to provide 9,596 sq.m. of class B1(a) office floorspace and 751 sq.m. of commercial floorspace (for either A1/A3/B1 or D1 use), with associated plant, and including the provision of roof terraces, together with 22 basement car parking spaces accessed from Deodar Road, and associated cycle parking provision] to allow a correction to the description of development to replace D1 use with D2 use in order to be consistent with the use shown on the approved drawings."/>
    <x v="368"/>
    <s v="COU"/>
    <x v="2"/>
    <s v="NSO"/>
    <m/>
    <m/>
    <m/>
    <m/>
    <s v="C"/>
    <s v="BF"/>
    <x v="0"/>
    <m/>
    <m/>
    <m/>
    <m/>
    <m/>
    <m/>
    <m/>
    <m/>
    <m/>
    <m/>
    <m/>
    <m/>
    <m/>
    <m/>
    <m/>
    <m/>
    <m/>
    <n v="251"/>
    <n v="251"/>
    <m/>
    <m/>
    <m/>
    <m/>
    <m/>
    <m/>
    <m/>
    <m/>
    <m/>
    <m/>
    <m/>
    <m/>
    <n v="251"/>
    <m/>
    <n v="251"/>
    <x v="0"/>
    <x v="0"/>
    <x v="0"/>
    <m/>
    <m/>
    <m/>
    <m/>
    <m/>
    <m/>
    <m/>
    <x v="0"/>
    <m/>
    <m/>
    <m/>
    <m/>
    <m/>
    <x v="0"/>
    <m/>
    <n v="-251"/>
    <n v="251"/>
    <m/>
    <s v="-"/>
    <s v="-"/>
    <s v="-"/>
    <s v="-"/>
    <s v="-"/>
    <s v="-"/>
    <s v="-"/>
    <s v="-"/>
    <s v="-"/>
    <s v="-"/>
    <s v="-"/>
    <x v="1"/>
    <x v="3"/>
    <s v="-"/>
    <s v="-"/>
    <s v="-"/>
    <s v="-"/>
    <s v="-"/>
    <s v="-"/>
    <s v="-"/>
    <s v="-"/>
    <s v="-"/>
    <s v="-"/>
    <s v="-"/>
    <x v="7"/>
    <x v="0"/>
    <n v="0.245000004768372"/>
    <n v="251"/>
    <n v="251"/>
    <n v="0"/>
    <x v="1"/>
    <x v="0"/>
    <m/>
    <x v="0"/>
    <m/>
    <x v="0"/>
    <m/>
    <x v="0"/>
    <x v="0"/>
    <x v="0"/>
    <x v="0"/>
    <m/>
    <n v="0"/>
    <n v="0"/>
    <n v="0"/>
    <x v="0"/>
    <m/>
  </r>
  <r>
    <x v="2"/>
    <x v="0"/>
    <x v="0"/>
    <x v="1"/>
    <n v="5479"/>
    <x v="322"/>
    <x v="8"/>
    <n v="3.29999998211861E-2"/>
    <n v="528475"/>
    <n v="176217"/>
    <m/>
    <x v="375"/>
    <s v="PF"/>
    <d v="2016-07-08T00:00:00"/>
    <x v="155"/>
    <m/>
    <m/>
    <s v="Nil"/>
    <m/>
    <m/>
    <s v="Erection of 1 x two-storey (plus roof and basement levels, and first floor roof terrace) 3-bedroom house adjoining no. 76A Stanley Grove, and erection of 1 x two-storey (plus basement level) 4-bedroom house to rear.  Erection of replacement electricity substation, cycle store and refuse store to Stanley Road frontage."/>
    <x v="369"/>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
    <n v="15"/>
    <n v="460"/>
    <n v="-445"/>
    <x v="0"/>
    <x v="0"/>
    <m/>
    <x v="0"/>
    <m/>
    <x v="0"/>
    <m/>
    <x v="0"/>
    <x v="0"/>
    <x v="0"/>
    <x v="0"/>
    <m/>
    <n v="473"/>
    <n v="0"/>
    <n v="473"/>
    <x v="1"/>
    <m/>
  </r>
  <r>
    <x v="3"/>
    <x v="0"/>
    <x v="0"/>
    <x v="1"/>
    <n v="5490"/>
    <x v="323"/>
    <x v="9"/>
    <n v="2.19999998807907E-2"/>
    <n v="527161"/>
    <n v="175655"/>
    <s v="4.1.3"/>
    <x v="376"/>
    <s v="PF"/>
    <d v="2013-11-20T00:00:00"/>
    <x v="288"/>
    <m/>
    <m/>
    <s v="Nil"/>
    <m/>
    <m/>
    <s v="Construction of a single-storey front extension to create a new entrance fronting Grant Road and double height and two-storey side and rear extensions to extend the existing sanctuary hall and to provide a new fully glazed multi-purpose meeting hall and ancillary residential accommodation with onsite parking."/>
    <x v="370"/>
    <s v="MIX"/>
    <x v="0"/>
    <s v="UC"/>
    <m/>
    <d v="2017-03-31T00:00:00"/>
    <m/>
    <m/>
    <s v="C"/>
    <s v="BF"/>
    <x v="0"/>
    <m/>
    <d v="2017-03-31T00:00:00"/>
    <m/>
    <m/>
    <m/>
    <m/>
    <m/>
    <m/>
    <m/>
    <m/>
    <m/>
    <m/>
    <m/>
    <m/>
    <m/>
    <m/>
    <n v="502"/>
    <m/>
    <n v="502"/>
    <m/>
    <m/>
    <m/>
    <m/>
    <m/>
    <m/>
    <m/>
    <m/>
    <m/>
    <m/>
    <m/>
    <m/>
    <n v="497"/>
    <m/>
    <n v="497"/>
    <x v="0"/>
    <x v="0"/>
    <x v="0"/>
    <m/>
    <m/>
    <m/>
    <m/>
    <m/>
    <m/>
    <m/>
    <x v="0"/>
    <m/>
    <m/>
    <m/>
    <m/>
    <m/>
    <x v="0"/>
    <m/>
    <n v="5"/>
    <m/>
    <n v="5"/>
    <s v="-"/>
    <s v="-"/>
    <s v="-"/>
    <s v="-"/>
    <s v="-"/>
    <s v="-"/>
    <s v="-"/>
    <s v="-"/>
    <s v="-"/>
    <s v="-"/>
    <s v="-"/>
    <x v="7"/>
    <x v="0"/>
    <s v="-"/>
    <s v="-"/>
    <s v="-"/>
    <s v="-"/>
    <s v="-"/>
    <s v="-"/>
    <s v="-"/>
    <s v="-"/>
    <s v="-"/>
    <s v="-"/>
    <s v="-"/>
    <x v="4"/>
    <x v="0"/>
    <n v="2.19999998807907E-2"/>
    <n v="502"/>
    <n v="497"/>
    <n v="5"/>
    <x v="0"/>
    <x v="0"/>
    <m/>
    <x v="0"/>
    <m/>
    <x v="0"/>
    <m/>
    <x v="0"/>
    <x v="1"/>
    <x v="1"/>
    <x v="0"/>
    <m/>
    <n v="0"/>
    <n v="0"/>
    <n v="0"/>
    <x v="0"/>
    <m/>
  </r>
  <r>
    <x v="2"/>
    <x v="0"/>
    <x v="0"/>
    <x v="1"/>
    <n v="5499"/>
    <x v="324"/>
    <x v="4"/>
    <n v="3.5999998450279201E-2"/>
    <n v="526630"/>
    <n v="176073"/>
    <s v="10.3"/>
    <x v="377"/>
    <s v="S73"/>
    <d v="2016-05-10T00:00:00"/>
    <x v="56"/>
    <m/>
    <m/>
    <s v="Nil"/>
    <m/>
    <m/>
    <s v="Variation of conditions 2 (approved plans), 3 (materials of the winter balconies), 4 (noise insulation), 5 (landscaping), 13 (no pipework to elevations), 15 (photovoltaic panels) and 17 (lighting strategy) pursuant to planning permission dated 28/10/14 ref. 2013/6052 (Erection of a 15-storey residential tower with roof garden and projecting winter gardens to provide 14 residential flats constructed over the existing five-storey mixed use office and residential Heliport House building (20 storeys high in total). Heliport House would be re-clad and extended to include a conference room 'pod' at third floor level with off street car parking at ground floor level.) so as to vary the triggers of the conditions to allow the commencement of development in the form of below ground works.  Amendments to the design of the approved scheme including: amendment to the application site boundary; alterations to the elevations and floorplans; extension to the basement; changes to car parking arrangement and amount."/>
    <x v="371"/>
    <s v="NB"/>
    <x v="0"/>
    <s v="NSV"/>
    <m/>
    <m/>
    <m/>
    <m/>
    <s v="C"/>
    <s v="BF"/>
    <x v="0"/>
    <m/>
    <m/>
    <m/>
    <m/>
    <m/>
    <m/>
    <m/>
    <m/>
    <m/>
    <m/>
    <m/>
    <m/>
    <m/>
    <m/>
    <m/>
    <m/>
    <m/>
    <m/>
    <m/>
    <m/>
    <m/>
    <m/>
    <m/>
    <m/>
    <m/>
    <m/>
    <m/>
    <m/>
    <m/>
    <m/>
    <m/>
    <m/>
    <m/>
    <m/>
    <x v="0"/>
    <x v="0"/>
    <x v="1"/>
    <m/>
    <m/>
    <m/>
    <m/>
    <m/>
    <m/>
    <m/>
    <x v="0"/>
    <m/>
    <m/>
    <m/>
    <m/>
    <m/>
    <x v="0"/>
    <m/>
    <m/>
    <m/>
    <m/>
    <s v="-"/>
    <s v="-"/>
    <s v="-"/>
    <s v="-"/>
    <s v="-"/>
    <s v="-"/>
    <s v="-"/>
    <s v="-"/>
    <s v="-"/>
    <s v="-"/>
    <s v="-"/>
    <x v="1"/>
    <x v="0"/>
    <s v="-"/>
    <s v="-"/>
    <s v="-"/>
    <s v="-"/>
    <s v="-"/>
    <s v="-"/>
    <s v="-"/>
    <s v="-"/>
    <s v="-"/>
    <s v="-"/>
    <s v="-"/>
    <x v="0"/>
    <x v="0"/>
    <n v="3.5999998450279201E-2"/>
    <n v="114"/>
    <n v="0"/>
    <n v="114"/>
    <x v="1"/>
    <x v="0"/>
    <m/>
    <x v="0"/>
    <m/>
    <x v="0"/>
    <m/>
    <x v="0"/>
    <x v="0"/>
    <x v="0"/>
    <x v="0"/>
    <m/>
    <n v="0"/>
    <n v="0"/>
    <n v="0"/>
    <x v="0"/>
    <m/>
  </r>
  <r>
    <x v="2"/>
    <x v="2"/>
    <x v="2"/>
    <x v="1"/>
    <n v="5499"/>
    <x v="324"/>
    <x v="4"/>
    <n v="3.5999998450279201E-2"/>
    <n v="526630"/>
    <n v="176073"/>
    <s v="10.3"/>
    <x v="378"/>
    <s v="PAG"/>
    <d v="2017-01-12T00:00:00"/>
    <x v="289"/>
    <m/>
    <m/>
    <s v="Nil"/>
    <m/>
    <m/>
    <s v="Determination as to whether prior approval is required for change of use of first and second floors from office (Class B1a) to residential (Class C3) to provide 3 x 2-bedroom and 1 x 1-bedroom flats."/>
    <x v="372"/>
    <s v="COU"/>
    <x v="2"/>
    <s v="NSV"/>
    <m/>
    <m/>
    <m/>
    <m/>
    <s v="C"/>
    <s v="BF"/>
    <x v="0"/>
    <m/>
    <m/>
    <m/>
    <m/>
    <m/>
    <m/>
    <m/>
    <m/>
    <m/>
    <m/>
    <m/>
    <m/>
    <m/>
    <m/>
    <m/>
    <m/>
    <m/>
    <m/>
    <m/>
    <m/>
    <m/>
    <m/>
    <m/>
    <m/>
    <m/>
    <n v="168"/>
    <m/>
    <m/>
    <m/>
    <m/>
    <n v="168"/>
    <m/>
    <m/>
    <m/>
    <x v="0"/>
    <x v="1"/>
    <x v="1"/>
    <m/>
    <m/>
    <m/>
    <m/>
    <m/>
    <m/>
    <n v="-168"/>
    <x v="1"/>
    <m/>
    <m/>
    <m/>
    <m/>
    <n v="-168"/>
    <x v="1"/>
    <m/>
    <m/>
    <m/>
    <m/>
    <s v="-"/>
    <s v="-"/>
    <s v="-"/>
    <s v="-"/>
    <s v="-"/>
    <s v="-"/>
    <s v="-"/>
    <s v="-"/>
    <s v="-"/>
    <s v="-"/>
    <s v="-"/>
    <x v="1"/>
    <x v="0"/>
    <s v="-"/>
    <s v="-"/>
    <s v="-"/>
    <s v="-"/>
    <s v="-"/>
    <s v="Vacant"/>
    <s v="-"/>
    <s v="-"/>
    <s v="-"/>
    <s v="-"/>
    <s v="-"/>
    <x v="0"/>
    <x v="0"/>
    <n v="3.4599998500198091E-2"/>
    <n v="0"/>
    <n v="168"/>
    <n v="-168"/>
    <x v="1"/>
    <x v="0"/>
    <m/>
    <x v="0"/>
    <m/>
    <x v="0"/>
    <m/>
    <x v="0"/>
    <x v="0"/>
    <x v="0"/>
    <x v="0"/>
    <m/>
    <n v="168"/>
    <n v="0"/>
    <n v="168"/>
    <x v="1"/>
    <m/>
  </r>
  <r>
    <x v="3"/>
    <x v="0"/>
    <x v="0"/>
    <x v="1"/>
    <n v="5514"/>
    <x v="325"/>
    <x v="15"/>
    <n v="2.3000000044703501E-2"/>
    <n v="529246"/>
    <n v="170855"/>
    <m/>
    <x v="379"/>
    <s v="PF"/>
    <d v="2014-01-08T00:00:00"/>
    <x v="290"/>
    <m/>
    <m/>
    <s v="Nil"/>
    <m/>
    <m/>
    <s v="Demolition of existing garage. Construction of three-storey side extension with rear roof extension and conversion into self contained two bedroomed dwelling. Installation of 6 solar panels to front roof slope."/>
    <x v="373"/>
    <s v="MIX"/>
    <x v="0"/>
    <s v="UC"/>
    <d v="2017-04-01T00:00:00"/>
    <d v="2017-04-01T00:00:00"/>
    <m/>
    <m/>
    <s v="C"/>
    <s v="BF"/>
    <x v="0"/>
    <m/>
    <d v="2017-04-01T00:00:00"/>
    <m/>
    <m/>
    <m/>
    <m/>
    <m/>
    <m/>
    <m/>
    <m/>
    <m/>
    <m/>
    <m/>
    <m/>
    <m/>
    <m/>
    <m/>
    <m/>
    <m/>
    <m/>
    <m/>
    <m/>
    <m/>
    <m/>
    <m/>
    <m/>
    <m/>
    <m/>
    <m/>
    <m/>
    <m/>
    <m/>
    <m/>
    <m/>
    <x v="0"/>
    <x v="0"/>
    <x v="1"/>
    <m/>
    <m/>
    <m/>
    <m/>
    <m/>
    <m/>
    <m/>
    <x v="0"/>
    <m/>
    <m/>
    <m/>
    <m/>
    <m/>
    <x v="0"/>
    <m/>
    <m/>
    <m/>
    <m/>
    <s v="-"/>
    <s v="-"/>
    <s v="-"/>
    <s v="-"/>
    <s v="-"/>
    <s v="-"/>
    <s v="-"/>
    <s v="-"/>
    <s v="-"/>
    <s v="-"/>
    <s v="-"/>
    <x v="1"/>
    <x v="0"/>
    <s v="-"/>
    <s v="-"/>
    <s v="-"/>
    <s v="-"/>
    <s v="-"/>
    <s v="-"/>
    <s v="-"/>
    <s v="-"/>
    <s v="-"/>
    <s v="-"/>
    <s v="-"/>
    <x v="0"/>
    <x v="0"/>
    <n v="1.599999982863666E-2"/>
    <n v="0"/>
    <n v="19"/>
    <n v="-19"/>
    <x v="0"/>
    <x v="0"/>
    <m/>
    <x v="0"/>
    <m/>
    <x v="0"/>
    <m/>
    <x v="0"/>
    <x v="0"/>
    <x v="0"/>
    <x v="0"/>
    <m/>
    <n v="66"/>
    <n v="0"/>
    <n v="66"/>
    <x v="1"/>
    <m/>
  </r>
  <r>
    <x v="2"/>
    <x v="2"/>
    <x v="2"/>
    <x v="1"/>
    <n v="5552"/>
    <x v="326"/>
    <x v="13"/>
    <n v="8.6000002920627594E-2"/>
    <n v="525905"/>
    <n v="173024"/>
    <m/>
    <x v="380"/>
    <s v="PAG"/>
    <d v="2017-06-02T00:00:00"/>
    <x v="291"/>
    <s v="Y"/>
    <m/>
    <s v="Nil"/>
    <m/>
    <m/>
    <s v="Determination as to whether prior approval is required for change of use of offices on part first and second floor levels from (Class B1a)  to residential (Class C3) to provide 3 x 2-bedroom, 3 x 1-bedroom and 1 x studio flats."/>
    <x v="374"/>
    <s v="COU"/>
    <x v="2"/>
    <s v="NSO"/>
    <m/>
    <m/>
    <m/>
    <m/>
    <s v="C"/>
    <s v="BF"/>
    <x v="0"/>
    <m/>
    <m/>
    <m/>
    <m/>
    <m/>
    <m/>
    <m/>
    <m/>
    <m/>
    <m/>
    <m/>
    <m/>
    <m/>
    <m/>
    <m/>
    <m/>
    <m/>
    <m/>
    <m/>
    <m/>
    <m/>
    <m/>
    <m/>
    <m/>
    <m/>
    <n v="545"/>
    <m/>
    <m/>
    <m/>
    <m/>
    <n v="545"/>
    <m/>
    <m/>
    <m/>
    <x v="0"/>
    <x v="1"/>
    <x v="1"/>
    <m/>
    <m/>
    <m/>
    <m/>
    <m/>
    <m/>
    <n v="-545"/>
    <x v="1"/>
    <m/>
    <m/>
    <m/>
    <m/>
    <n v="-545"/>
    <x v="1"/>
    <m/>
    <m/>
    <m/>
    <m/>
    <s v="-"/>
    <s v="-"/>
    <s v="-"/>
    <s v="-"/>
    <s v="-"/>
    <s v="-"/>
    <s v="-"/>
    <s v="-"/>
    <s v="-"/>
    <s v="-"/>
    <s v="-"/>
    <x v="1"/>
    <x v="0"/>
    <s v="-"/>
    <s v="-"/>
    <s v="-"/>
    <s v="-"/>
    <s v="-"/>
    <s v="Vacant"/>
    <s v="-"/>
    <s v="-"/>
    <s v="-"/>
    <s v="-"/>
    <s v="-"/>
    <x v="0"/>
    <x v="0"/>
    <n v="2.9000002890825292E-2"/>
    <n v="0"/>
    <n v="545"/>
    <n v="-545"/>
    <x v="0"/>
    <x v="0"/>
    <m/>
    <x v="1"/>
    <s v="Thornsett Road"/>
    <x v="0"/>
    <m/>
    <x v="0"/>
    <x v="0"/>
    <x v="0"/>
    <x v="0"/>
    <m/>
    <n v="545"/>
    <n v="0"/>
    <n v="545"/>
    <x v="1"/>
    <m/>
  </r>
  <r>
    <x v="1"/>
    <x v="0"/>
    <x v="0"/>
    <x v="1"/>
    <n v="5552"/>
    <x v="326"/>
    <x v="13"/>
    <n v="8.6000002920627594E-2"/>
    <n v="525905"/>
    <n v="173024"/>
    <m/>
    <x v="381"/>
    <s v="AF"/>
    <d v="2017-12-05T00:00:00"/>
    <x v="1"/>
    <m/>
    <m/>
    <s v="Nil"/>
    <m/>
    <m/>
    <s v="Alterations in connection with change of use from Music School (Class D1) to residential (Class C3) to provide 2 x 1-bedroom flats."/>
    <x v="375"/>
    <s v="COU"/>
    <x v="2"/>
    <s v="NSO"/>
    <m/>
    <m/>
    <m/>
    <m/>
    <s v="P"/>
    <s v="BF"/>
    <x v="0"/>
    <m/>
    <m/>
    <m/>
    <m/>
    <m/>
    <m/>
    <m/>
    <m/>
    <m/>
    <m/>
    <m/>
    <m/>
    <m/>
    <m/>
    <m/>
    <m/>
    <m/>
    <m/>
    <m/>
    <m/>
    <m/>
    <m/>
    <m/>
    <m/>
    <m/>
    <m/>
    <m/>
    <m/>
    <m/>
    <m/>
    <m/>
    <n v="92"/>
    <m/>
    <n v="92"/>
    <x v="0"/>
    <x v="0"/>
    <x v="0"/>
    <m/>
    <m/>
    <m/>
    <m/>
    <m/>
    <m/>
    <m/>
    <x v="0"/>
    <m/>
    <m/>
    <m/>
    <m/>
    <m/>
    <x v="0"/>
    <m/>
    <n v="-92"/>
    <m/>
    <n v="-92"/>
    <s v="-"/>
    <s v="-"/>
    <s v="-"/>
    <s v="-"/>
    <s v="-"/>
    <s v="-"/>
    <s v="-"/>
    <s v="-"/>
    <s v="-"/>
    <s v="-"/>
    <s v="-"/>
    <x v="1"/>
    <x v="0"/>
    <s v="-"/>
    <s v="-"/>
    <s v="-"/>
    <s v="-"/>
    <s v="-"/>
    <s v="-"/>
    <s v="-"/>
    <s v="-"/>
    <s v="-"/>
    <s v="-"/>
    <s v="-"/>
    <x v="2"/>
    <x v="0"/>
    <n v="7.7000003308057785E-2"/>
    <n v="0"/>
    <n v="92"/>
    <n v="-92"/>
    <x v="0"/>
    <x v="0"/>
    <m/>
    <x v="1"/>
    <s v="Thornsett Road"/>
    <x v="0"/>
    <m/>
    <x v="0"/>
    <x v="0"/>
    <x v="0"/>
    <x v="0"/>
    <m/>
    <n v="92"/>
    <n v="0"/>
    <n v="92"/>
    <x v="1"/>
    <m/>
  </r>
  <r>
    <x v="3"/>
    <x v="0"/>
    <x v="0"/>
    <x v="1"/>
    <n v="5555"/>
    <x v="327"/>
    <x v="8"/>
    <n v="0.34299999475479098"/>
    <n v="527992"/>
    <n v="176642"/>
    <m/>
    <x v="382"/>
    <s v="PF"/>
    <d v="2014-02-26T00:00:00"/>
    <x v="292"/>
    <m/>
    <m/>
    <s v="Nil"/>
    <m/>
    <m/>
    <s v="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
    <x v="376"/>
    <s v="NB"/>
    <x v="0"/>
    <s v="UC"/>
    <m/>
    <d v="2017-03-31T00:00:00"/>
    <m/>
    <m/>
    <s v="C"/>
    <s v="BF"/>
    <x v="0"/>
    <m/>
    <d v="2017-03-31T00:00:00"/>
    <m/>
    <m/>
    <m/>
    <m/>
    <m/>
    <m/>
    <m/>
    <n v="1581"/>
    <m/>
    <m/>
    <n v="1581"/>
    <m/>
    <m/>
    <n v="1581"/>
    <m/>
    <m/>
    <m/>
    <m/>
    <m/>
    <m/>
    <m/>
    <m/>
    <m/>
    <n v="2840"/>
    <m/>
    <m/>
    <m/>
    <m/>
    <n v="2840"/>
    <m/>
    <m/>
    <m/>
    <x v="0"/>
    <x v="1"/>
    <x v="1"/>
    <m/>
    <m/>
    <m/>
    <m/>
    <m/>
    <m/>
    <n v="-1259"/>
    <x v="1"/>
    <m/>
    <m/>
    <m/>
    <m/>
    <n v="-1259"/>
    <x v="1"/>
    <m/>
    <m/>
    <m/>
    <m/>
    <s v="-"/>
    <s v="-"/>
    <s v="-"/>
    <s v="-"/>
    <s v="-"/>
    <s v="Not Known"/>
    <s v="-"/>
    <s v="-"/>
    <s v="-"/>
    <s v="-"/>
    <s v="-"/>
    <x v="1"/>
    <x v="0"/>
    <s v="-"/>
    <s v="-"/>
    <s v="-"/>
    <s v="-"/>
    <s v="-"/>
    <s v="Not Known"/>
    <s v="-"/>
    <s v="-"/>
    <s v="-"/>
    <s v="-"/>
    <s v="-"/>
    <x v="0"/>
    <x v="0"/>
    <n v="8.6999982595443004E-2"/>
    <n v="1581"/>
    <n v="2840"/>
    <n v="-1259"/>
    <x v="0"/>
    <x v="0"/>
    <m/>
    <x v="0"/>
    <m/>
    <x v="0"/>
    <m/>
    <x v="0"/>
    <x v="0"/>
    <x v="0"/>
    <x v="0"/>
    <m/>
    <n v="2563"/>
    <n v="0"/>
    <n v="2563"/>
    <x v="1"/>
    <m/>
  </r>
  <r>
    <x v="0"/>
    <x v="0"/>
    <x v="0"/>
    <x v="2"/>
    <n v="5569"/>
    <x v="328"/>
    <x v="12"/>
    <n v="4.1999999433755902E-2"/>
    <n v="525381"/>
    <n v="174578"/>
    <s v="3.1.1"/>
    <x v="383"/>
    <s v="PFLA"/>
    <d v="2013-09-24T00:00:00"/>
    <x v="121"/>
    <m/>
    <d v="2014-01-20T00:00:00"/>
    <s v="Nil"/>
    <m/>
    <m/>
    <s v="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x v="377"/>
    <s v="NB"/>
    <x v="0"/>
    <s v="CO"/>
    <d v="2016-09-30T00:00:00"/>
    <d v="2016-09-30T00:00:00"/>
    <d v="2018-03-31T00:00:00"/>
    <m/>
    <s v="C"/>
    <s v="BF"/>
    <x v="0"/>
    <m/>
    <d v="2016-09-30T00:00:00"/>
    <d v="2018-03-31T00:00:00"/>
    <m/>
    <m/>
    <n v="163"/>
    <m/>
    <m/>
    <n v="163"/>
    <n v="2245"/>
    <m/>
    <m/>
    <n v="2245"/>
    <m/>
    <m/>
    <n v="2245"/>
    <m/>
    <m/>
    <m/>
    <m/>
    <m/>
    <m/>
    <m/>
    <m/>
    <m/>
    <m/>
    <m/>
    <m/>
    <m/>
    <m/>
    <m/>
    <m/>
    <m/>
    <m/>
    <x v="1"/>
    <x v="1"/>
    <x v="1"/>
    <m/>
    <m/>
    <n v="163"/>
    <m/>
    <m/>
    <n v="163"/>
    <n v="2245"/>
    <x v="0"/>
    <m/>
    <m/>
    <m/>
    <m/>
    <n v="2245"/>
    <x v="0"/>
    <m/>
    <m/>
    <m/>
    <m/>
    <s v="-"/>
    <s v="-"/>
    <s v="Café"/>
    <s v="-"/>
    <s v="-"/>
    <s v="Not Known"/>
    <s v="-"/>
    <s v="-"/>
    <s v="-"/>
    <s v="-"/>
    <s v="-"/>
    <x v="1"/>
    <x v="0"/>
    <s v="-"/>
    <s v="-"/>
    <s v="-"/>
    <s v="-"/>
    <s v="-"/>
    <s v="-"/>
    <s v="-"/>
    <s v="-"/>
    <s v="-"/>
    <s v="-"/>
    <s v="-"/>
    <x v="0"/>
    <x v="0"/>
    <n v="0"/>
    <n v="2408"/>
    <n v="125"/>
    <n v="2283"/>
    <x v="0"/>
    <x v="0"/>
    <m/>
    <x v="0"/>
    <m/>
    <x v="1"/>
    <s v="Business Village"/>
    <x v="0"/>
    <x v="1"/>
    <x v="4"/>
    <x v="0"/>
    <m/>
    <n v="6774"/>
    <n v="0"/>
    <n v="6774"/>
    <x v="1"/>
    <m/>
  </r>
  <r>
    <x v="2"/>
    <x v="0"/>
    <x v="0"/>
    <x v="1"/>
    <n v="5577"/>
    <x v="329"/>
    <x v="9"/>
    <n v="1.09999999403954E-2"/>
    <n v="528115"/>
    <n v="176624"/>
    <m/>
    <x v="384"/>
    <s v="PF"/>
    <d v="2014-03-27T00:00:00"/>
    <x v="293"/>
    <m/>
    <m/>
    <s v="Nil"/>
    <m/>
    <m/>
    <s v="Change of use of part of ground floor to provide 24-hour mini-cab service."/>
    <x v="378"/>
    <s v="COU"/>
    <x v="2"/>
    <s v="NSV"/>
    <m/>
    <m/>
    <m/>
    <m/>
    <s v="C"/>
    <s v="BF"/>
    <x v="0"/>
    <m/>
    <m/>
    <m/>
    <m/>
    <m/>
    <m/>
    <m/>
    <m/>
    <m/>
    <m/>
    <m/>
    <m/>
    <m/>
    <m/>
    <m/>
    <m/>
    <m/>
    <m/>
    <m/>
    <m/>
    <m/>
    <m/>
    <m/>
    <m/>
    <m/>
    <n v="13"/>
    <m/>
    <m/>
    <m/>
    <m/>
    <n v="13"/>
    <m/>
    <m/>
    <m/>
    <x v="0"/>
    <x v="1"/>
    <x v="1"/>
    <m/>
    <m/>
    <m/>
    <m/>
    <m/>
    <m/>
    <n v="-13"/>
    <x v="1"/>
    <m/>
    <m/>
    <m/>
    <m/>
    <n v="-13"/>
    <x v="1"/>
    <m/>
    <m/>
    <m/>
    <m/>
    <s v="-"/>
    <s v="-"/>
    <s v="-"/>
    <s v="-"/>
    <s v="-"/>
    <s v="-"/>
    <s v="-"/>
    <s v="-"/>
    <s v="-"/>
    <s v="-"/>
    <s v="-"/>
    <x v="1"/>
    <x v="0"/>
    <s v="-"/>
    <s v="-"/>
    <s v="-"/>
    <s v="-"/>
    <s v="-"/>
    <s v="Not Known"/>
    <s v="-"/>
    <s v="-"/>
    <s v="-"/>
    <s v="-"/>
    <s v="-"/>
    <x v="0"/>
    <x v="0"/>
    <n v="1.09999999403954E-2"/>
    <n v="13"/>
    <n v="13"/>
    <n v="0"/>
    <x v="0"/>
    <x v="0"/>
    <m/>
    <x v="0"/>
    <m/>
    <x v="0"/>
    <m/>
    <x v="0"/>
    <x v="0"/>
    <x v="0"/>
    <x v="0"/>
    <m/>
    <n v="0"/>
    <n v="0"/>
    <n v="0"/>
    <x v="0"/>
    <m/>
  </r>
  <r>
    <x v="2"/>
    <x v="0"/>
    <x v="0"/>
    <x v="1"/>
    <n v="5584"/>
    <x v="330"/>
    <x v="0"/>
    <n v="0.36899998784065202"/>
    <n v="524584"/>
    <n v="172963"/>
    <m/>
    <x v="385"/>
    <s v="PF"/>
    <d v="2014-03-28T00:00:00"/>
    <x v="205"/>
    <m/>
    <m/>
    <s v="Nil"/>
    <m/>
    <m/>
    <s v="Demolition of existing single storey clubhouse pavilion and erection of new two storey clubhouse pavilion including a creche."/>
    <x v="379"/>
    <s v="NB"/>
    <x v="0"/>
    <s v="NSO"/>
    <m/>
    <m/>
    <m/>
    <m/>
    <s v="C"/>
    <s v="BF"/>
    <x v="0"/>
    <m/>
    <m/>
    <m/>
    <m/>
    <m/>
    <m/>
    <m/>
    <m/>
    <m/>
    <m/>
    <m/>
    <m/>
    <m/>
    <m/>
    <m/>
    <m/>
    <n v="142"/>
    <n v="324"/>
    <n v="466"/>
    <m/>
    <m/>
    <m/>
    <m/>
    <m/>
    <m/>
    <m/>
    <m/>
    <m/>
    <m/>
    <m/>
    <m/>
    <m/>
    <n v="233"/>
    <n v="233"/>
    <x v="0"/>
    <x v="0"/>
    <x v="0"/>
    <m/>
    <m/>
    <m/>
    <m/>
    <m/>
    <m/>
    <m/>
    <x v="0"/>
    <m/>
    <m/>
    <m/>
    <m/>
    <m/>
    <x v="0"/>
    <m/>
    <n v="142"/>
    <n v="91"/>
    <n v="233"/>
    <s v="-"/>
    <s v="-"/>
    <s v="-"/>
    <s v="-"/>
    <s v="-"/>
    <s v="-"/>
    <s v="-"/>
    <s v="-"/>
    <s v="-"/>
    <s v="-"/>
    <s v="-"/>
    <x v="6"/>
    <x v="1"/>
    <s v="-"/>
    <s v="-"/>
    <s v="-"/>
    <s v="-"/>
    <s v="-"/>
    <s v="-"/>
    <s v="-"/>
    <s v="-"/>
    <s v="-"/>
    <s v="-"/>
    <s v="-"/>
    <x v="0"/>
    <x v="2"/>
    <n v="0.36899998784065202"/>
    <n v="466"/>
    <n v="233"/>
    <n v="233"/>
    <x v="0"/>
    <x v="0"/>
    <m/>
    <x v="0"/>
    <m/>
    <x v="0"/>
    <m/>
    <x v="0"/>
    <x v="0"/>
    <x v="0"/>
    <x v="0"/>
    <m/>
    <n v="0"/>
    <n v="0"/>
    <n v="0"/>
    <x v="0"/>
    <m/>
  </r>
  <r>
    <x v="2"/>
    <x v="2"/>
    <x v="2"/>
    <x v="1"/>
    <n v="5589"/>
    <x v="331"/>
    <x v="4"/>
    <n v="5.2999999374151202E-2"/>
    <n v="526329"/>
    <n v="175625"/>
    <m/>
    <x v="386"/>
    <s v="PAG"/>
    <d v="2015-12-09T00:00:00"/>
    <x v="294"/>
    <m/>
    <m/>
    <s v="Nil"/>
    <m/>
    <m/>
    <s v="Determination as to whether prior approval is required for change of use from office (Class B1a) to one residential unit (Class C3) to provide eleven flats (3 x 1-bedroom, 6 x 2-bedroom, and 2 x 3-bedroom)."/>
    <x v="380"/>
    <s v="COU"/>
    <x v="2"/>
    <s v="NSV"/>
    <m/>
    <m/>
    <m/>
    <m/>
    <s v="C"/>
    <s v="BF"/>
    <x v="0"/>
    <m/>
    <m/>
    <m/>
    <m/>
    <m/>
    <m/>
    <m/>
    <m/>
    <m/>
    <m/>
    <m/>
    <m/>
    <m/>
    <m/>
    <m/>
    <m/>
    <m/>
    <m/>
    <m/>
    <m/>
    <m/>
    <m/>
    <m/>
    <m/>
    <m/>
    <n v="826"/>
    <m/>
    <m/>
    <m/>
    <m/>
    <n v="826"/>
    <m/>
    <m/>
    <m/>
    <x v="0"/>
    <x v="1"/>
    <x v="1"/>
    <m/>
    <m/>
    <m/>
    <m/>
    <m/>
    <m/>
    <n v="-826"/>
    <x v="1"/>
    <m/>
    <m/>
    <m/>
    <m/>
    <n v="-826"/>
    <x v="1"/>
    <m/>
    <m/>
    <m/>
    <m/>
    <s v="-"/>
    <s v="-"/>
    <s v="-"/>
    <s v="-"/>
    <s v="-"/>
    <s v="-"/>
    <s v="-"/>
    <s v="-"/>
    <s v="-"/>
    <s v="-"/>
    <s v="-"/>
    <x v="1"/>
    <x v="0"/>
    <s v="-"/>
    <s v="-"/>
    <s v="-"/>
    <s v="-"/>
    <s v="-"/>
    <s v="Not Known"/>
    <s v="-"/>
    <s v="-"/>
    <s v="-"/>
    <s v="-"/>
    <s v="-"/>
    <x v="0"/>
    <x v="0"/>
    <n v="0"/>
    <n v="0"/>
    <n v="826"/>
    <n v="-826"/>
    <x v="1"/>
    <x v="0"/>
    <m/>
    <x v="0"/>
    <m/>
    <x v="0"/>
    <m/>
    <x v="0"/>
    <x v="0"/>
    <x v="0"/>
    <x v="0"/>
    <m/>
    <n v="826"/>
    <n v="0"/>
    <n v="826"/>
    <x v="1"/>
    <m/>
  </r>
  <r>
    <x v="2"/>
    <x v="2"/>
    <x v="2"/>
    <x v="1"/>
    <n v="5605"/>
    <x v="332"/>
    <x v="4"/>
    <n v="2.5000000372528999E-2"/>
    <n v="526468"/>
    <n v="175725"/>
    <s v="10.15"/>
    <x v="387"/>
    <s v="PAG"/>
    <d v="2016-06-27T00:00:00"/>
    <x v="18"/>
    <m/>
    <m/>
    <s v="Nil"/>
    <m/>
    <m/>
    <s v="Determination as to whether prior approval is required for change of use of office at ground floor level (class B1a) to residential (Class C3) to provide  1 x 2-bedroom residential flat."/>
    <x v="234"/>
    <s v="COU"/>
    <x v="2"/>
    <s v="NSV"/>
    <m/>
    <m/>
    <m/>
    <m/>
    <s v="C"/>
    <s v="BF"/>
    <x v="0"/>
    <m/>
    <m/>
    <m/>
    <m/>
    <m/>
    <m/>
    <m/>
    <m/>
    <m/>
    <m/>
    <m/>
    <m/>
    <m/>
    <m/>
    <m/>
    <m/>
    <m/>
    <m/>
    <m/>
    <m/>
    <m/>
    <m/>
    <m/>
    <m/>
    <m/>
    <n v="38"/>
    <m/>
    <m/>
    <m/>
    <m/>
    <n v="38"/>
    <m/>
    <m/>
    <m/>
    <x v="0"/>
    <x v="1"/>
    <x v="1"/>
    <m/>
    <m/>
    <m/>
    <m/>
    <m/>
    <m/>
    <n v="-38"/>
    <x v="1"/>
    <m/>
    <m/>
    <m/>
    <m/>
    <n v="-38"/>
    <x v="1"/>
    <m/>
    <m/>
    <m/>
    <m/>
    <s v="-"/>
    <s v="-"/>
    <s v="-"/>
    <s v="-"/>
    <s v="-"/>
    <s v="-"/>
    <s v="-"/>
    <s v="-"/>
    <s v="-"/>
    <s v="-"/>
    <s v="-"/>
    <x v="1"/>
    <x v="0"/>
    <s v="-"/>
    <s v="-"/>
    <s v="-"/>
    <s v="-"/>
    <s v="-"/>
    <s v="Not Known"/>
    <s v="-"/>
    <s v="-"/>
    <s v="-"/>
    <s v="-"/>
    <s v="-"/>
    <x v="0"/>
    <x v="0"/>
    <n v="2.100000018253919E-2"/>
    <n v="0"/>
    <n v="38"/>
    <n v="-38"/>
    <x v="1"/>
    <x v="0"/>
    <m/>
    <x v="0"/>
    <m/>
    <x v="0"/>
    <m/>
    <x v="0"/>
    <x v="0"/>
    <x v="0"/>
    <x v="0"/>
    <m/>
    <n v="38"/>
    <n v="0"/>
    <n v="38"/>
    <x v="1"/>
    <m/>
  </r>
  <r>
    <x v="3"/>
    <x v="0"/>
    <x v="0"/>
    <x v="1"/>
    <n v="5626"/>
    <x v="333"/>
    <x v="17"/>
    <n v="0.108999997377396"/>
    <n v="528298"/>
    <n v="172753"/>
    <m/>
    <x v="388"/>
    <s v="PFLA"/>
    <d v="2014-02-10T00:00:00"/>
    <x v="295"/>
    <m/>
    <d v="2014-05-08T00:00:00"/>
    <s v="Nil"/>
    <m/>
    <m/>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x v="381"/>
    <s v="NB"/>
    <x v="0"/>
    <s v="UC"/>
    <m/>
    <d v="2017-03-31T00:00:00"/>
    <m/>
    <m/>
    <s v="C"/>
    <s v="BF"/>
    <x v="0"/>
    <m/>
    <d v="2017-03-31T00:00:00"/>
    <m/>
    <m/>
    <m/>
    <m/>
    <m/>
    <m/>
    <m/>
    <m/>
    <m/>
    <m/>
    <m/>
    <m/>
    <m/>
    <m/>
    <m/>
    <m/>
    <m/>
    <m/>
    <m/>
    <m/>
    <m/>
    <m/>
    <m/>
    <n v="2790"/>
    <m/>
    <m/>
    <m/>
    <m/>
    <n v="2790"/>
    <m/>
    <m/>
    <m/>
    <x v="0"/>
    <x v="1"/>
    <x v="1"/>
    <m/>
    <m/>
    <m/>
    <m/>
    <m/>
    <m/>
    <n v="-2790"/>
    <x v="1"/>
    <m/>
    <m/>
    <m/>
    <m/>
    <n v="-2790"/>
    <x v="1"/>
    <m/>
    <m/>
    <m/>
    <m/>
    <s v="-"/>
    <s v="-"/>
    <s v="-"/>
    <s v="-"/>
    <s v="-"/>
    <s v="-"/>
    <s v="-"/>
    <s v="-"/>
    <s v="-"/>
    <s v="-"/>
    <s v="-"/>
    <x v="1"/>
    <x v="0"/>
    <s v="-"/>
    <s v="-"/>
    <s v="-"/>
    <s v="-"/>
    <s v="-"/>
    <s v="Vacant"/>
    <s v="-"/>
    <s v="-"/>
    <s v="-"/>
    <s v="-"/>
    <s v="-"/>
    <x v="0"/>
    <x v="0"/>
    <n v="0"/>
    <n v="0"/>
    <n v="2790"/>
    <n v="-2790"/>
    <x v="0"/>
    <x v="0"/>
    <m/>
    <x v="0"/>
    <m/>
    <x v="0"/>
    <m/>
    <x v="0"/>
    <x v="0"/>
    <x v="0"/>
    <x v="0"/>
    <m/>
    <n v="5050"/>
    <n v="0"/>
    <n v="5050"/>
    <x v="1"/>
    <m/>
  </r>
  <r>
    <x v="0"/>
    <x v="2"/>
    <x v="2"/>
    <x v="0"/>
    <n v="5629"/>
    <x v="334"/>
    <x v="12"/>
    <n v="5.2999999374151202E-2"/>
    <n v="525681"/>
    <n v="174324"/>
    <m/>
    <x v="389"/>
    <s v="PANR"/>
    <d v="2014-05-07T00:00:00"/>
    <x v="296"/>
    <m/>
    <m/>
    <s v="Nil"/>
    <m/>
    <m/>
    <s v="Prior approval for conversion of offices on first and second floors (B1) to 14 x residential flats (C3)."/>
    <x v="382"/>
    <s v="COU"/>
    <x v="2"/>
    <s v="OC"/>
    <m/>
    <d v="2014-10-09T00:00:00"/>
    <d v="2017-04-27T00:00:00"/>
    <d v="2017-04-27T00:00:00"/>
    <s v="C"/>
    <s v="BF"/>
    <x v="0"/>
    <m/>
    <d v="2014-10-09T00:00:00"/>
    <d v="2017-04-27T00:00:00"/>
    <m/>
    <m/>
    <m/>
    <m/>
    <m/>
    <m/>
    <m/>
    <m/>
    <m/>
    <m/>
    <m/>
    <m/>
    <m/>
    <m/>
    <m/>
    <m/>
    <m/>
    <m/>
    <m/>
    <m/>
    <m/>
    <m/>
    <n v="815"/>
    <m/>
    <m/>
    <m/>
    <m/>
    <n v="815"/>
    <m/>
    <m/>
    <m/>
    <x v="0"/>
    <x v="1"/>
    <x v="1"/>
    <m/>
    <m/>
    <m/>
    <m/>
    <m/>
    <m/>
    <n v="-815"/>
    <x v="1"/>
    <m/>
    <m/>
    <m/>
    <m/>
    <n v="-815"/>
    <x v="1"/>
    <m/>
    <m/>
    <m/>
    <m/>
    <s v="-"/>
    <s v="-"/>
    <s v="-"/>
    <s v="-"/>
    <s v="-"/>
    <s v="-"/>
    <s v="-"/>
    <s v="-"/>
    <s v="-"/>
    <s v="-"/>
    <s v="-"/>
    <x v="1"/>
    <x v="0"/>
    <s v="-"/>
    <s v="-"/>
    <s v="-"/>
    <s v="-"/>
    <s v="-"/>
    <s v="Not Known"/>
    <s v="-"/>
    <s v="-"/>
    <s v="-"/>
    <s v="-"/>
    <s v="-"/>
    <x v="0"/>
    <x v="0"/>
    <n v="2.6999998837709403E-2"/>
    <n v="0"/>
    <n v="815"/>
    <n v="-815"/>
    <x v="0"/>
    <x v="0"/>
    <m/>
    <x v="0"/>
    <m/>
    <x v="0"/>
    <m/>
    <x v="0"/>
    <x v="1"/>
    <x v="4"/>
    <x v="0"/>
    <m/>
    <n v="815"/>
    <n v="0"/>
    <n v="815"/>
    <x v="1"/>
    <m/>
  </r>
  <r>
    <x v="0"/>
    <x v="2"/>
    <x v="2"/>
    <x v="0"/>
    <n v="5629"/>
    <x v="334"/>
    <x v="12"/>
    <n v="5.2999999374151202E-2"/>
    <n v="525681"/>
    <n v="174324"/>
    <m/>
    <x v="390"/>
    <s v="PAG"/>
    <d v="2014-12-02T00:00:00"/>
    <x v="297"/>
    <m/>
    <m/>
    <s v="Nil"/>
    <m/>
    <m/>
    <s v="Prior approval for the change of use of the front part of the ground floor from office use (Use class B1) to two self-contained residential units (Use Class C3)."/>
    <x v="383"/>
    <s v="COU"/>
    <x v="2"/>
    <s v="OC"/>
    <m/>
    <d v="2015-05-01T00:00:00"/>
    <d v="2017-04-27T00:00:00"/>
    <d v="2017-04-27T00:00:00"/>
    <s v="C"/>
    <s v="BF"/>
    <x v="0"/>
    <m/>
    <d v="2015-05-01T00:00:00"/>
    <d v="2017-04-27T00:00:00"/>
    <m/>
    <m/>
    <m/>
    <m/>
    <m/>
    <m/>
    <m/>
    <m/>
    <m/>
    <m/>
    <m/>
    <m/>
    <m/>
    <m/>
    <m/>
    <m/>
    <m/>
    <m/>
    <m/>
    <m/>
    <m/>
    <m/>
    <n v="119"/>
    <m/>
    <m/>
    <m/>
    <m/>
    <n v="119"/>
    <m/>
    <m/>
    <m/>
    <x v="0"/>
    <x v="1"/>
    <x v="1"/>
    <m/>
    <m/>
    <m/>
    <m/>
    <m/>
    <m/>
    <n v="-119"/>
    <x v="1"/>
    <m/>
    <m/>
    <m/>
    <m/>
    <n v="-119"/>
    <x v="1"/>
    <m/>
    <m/>
    <m/>
    <m/>
    <s v="-"/>
    <s v="-"/>
    <s v="-"/>
    <s v="-"/>
    <s v="-"/>
    <s v="-"/>
    <s v="-"/>
    <s v="-"/>
    <s v="-"/>
    <s v="-"/>
    <s v="-"/>
    <x v="1"/>
    <x v="0"/>
    <s v="-"/>
    <s v="-"/>
    <s v="-"/>
    <s v="-"/>
    <s v="-"/>
    <s v="Not Known"/>
    <s v="-"/>
    <s v="-"/>
    <s v="-"/>
    <s v="-"/>
    <s v="-"/>
    <x v="0"/>
    <x v="0"/>
    <n v="3.9999999105930301E-2"/>
    <n v="0"/>
    <n v="119"/>
    <n v="-119"/>
    <x v="0"/>
    <x v="0"/>
    <m/>
    <x v="0"/>
    <m/>
    <x v="0"/>
    <m/>
    <x v="0"/>
    <x v="1"/>
    <x v="4"/>
    <x v="0"/>
    <m/>
    <n v="119"/>
    <n v="0"/>
    <n v="119"/>
    <x v="1"/>
    <m/>
  </r>
  <r>
    <x v="3"/>
    <x v="0"/>
    <x v="0"/>
    <x v="1"/>
    <n v="5630"/>
    <x v="335"/>
    <x v="2"/>
    <n v="1.4000000432133701E-2"/>
    <n v="527902"/>
    <n v="172490"/>
    <m/>
    <x v="391"/>
    <s v="PF"/>
    <d v="2014-02-07T00:00:00"/>
    <x v="298"/>
    <m/>
    <m/>
    <s v="Nil"/>
    <m/>
    <m/>
    <s v="Construction of side/rear extension in connection with the conversion of part of existing hairdressers (Shop- Class A1) to one-bedroom flat (Class C3). Formation of window openings to rear facade."/>
    <x v="384"/>
    <s v="MIX"/>
    <x v="0"/>
    <s v="UC"/>
    <m/>
    <d v="2017-07-03T00:00:00"/>
    <m/>
    <m/>
    <s v="C"/>
    <s v="BF"/>
    <x v="0"/>
    <m/>
    <d v="2017-07-03T00:00:00"/>
    <m/>
    <n v="34"/>
    <m/>
    <m/>
    <m/>
    <m/>
    <n v="34"/>
    <m/>
    <m/>
    <m/>
    <m/>
    <m/>
    <m/>
    <m/>
    <m/>
    <m/>
    <m/>
    <n v="55"/>
    <m/>
    <m/>
    <m/>
    <m/>
    <n v="55"/>
    <m/>
    <m/>
    <m/>
    <m/>
    <m/>
    <m/>
    <m/>
    <m/>
    <m/>
    <x v="1"/>
    <x v="0"/>
    <x v="1"/>
    <n v="-21"/>
    <m/>
    <m/>
    <m/>
    <m/>
    <n v="-21"/>
    <m/>
    <x v="0"/>
    <m/>
    <m/>
    <m/>
    <m/>
    <m/>
    <x v="0"/>
    <m/>
    <m/>
    <m/>
    <m/>
    <s v="Not Known"/>
    <s v="-"/>
    <s v="-"/>
    <s v="-"/>
    <s v="-"/>
    <s v="-"/>
    <s v="-"/>
    <s v="-"/>
    <s v="-"/>
    <s v="-"/>
    <s v="-"/>
    <x v="1"/>
    <x v="0"/>
    <s v="Not Known"/>
    <s v="-"/>
    <s v="-"/>
    <s v="-"/>
    <s v="-"/>
    <s v="-"/>
    <s v="-"/>
    <s v="-"/>
    <s v="-"/>
    <s v="-"/>
    <s v="-"/>
    <x v="0"/>
    <x v="0"/>
    <n v="9.0000005438924113E-3"/>
    <n v="34"/>
    <n v="55"/>
    <n v="-21"/>
    <x v="0"/>
    <x v="0"/>
    <m/>
    <x v="0"/>
    <m/>
    <x v="0"/>
    <m/>
    <x v="0"/>
    <x v="0"/>
    <x v="0"/>
    <x v="1"/>
    <s v="Tooting Bec"/>
    <n v="46"/>
    <n v="0"/>
    <n v="46"/>
    <x v="1"/>
    <m/>
  </r>
  <r>
    <x v="3"/>
    <x v="0"/>
    <x v="0"/>
    <x v="1"/>
    <n v="5632"/>
    <x v="336"/>
    <x v="14"/>
    <n v="1.09999999403954E-2"/>
    <n v="527511"/>
    <n v="171655"/>
    <m/>
    <x v="392"/>
    <s v="PF"/>
    <d v="2014-05-22T00:00:00"/>
    <x v="299"/>
    <m/>
    <m/>
    <s v="Nil"/>
    <m/>
    <m/>
    <s v="Change of use of rear part at first floor level of no.10 from ancillary space for the ground floor retail unit to residential, providing additional accommodation for the existing flat, including rear roof extension and extension above part of existing two-storey back addition to form enclosed roof terrace."/>
    <x v="385"/>
    <s v="COU"/>
    <x v="2"/>
    <s v="UC"/>
    <m/>
    <d v="2017-03-31T00:00:00"/>
    <m/>
    <m/>
    <s v="C"/>
    <s v="BF"/>
    <x v="0"/>
    <m/>
    <d v="2017-03-31T00:00:00"/>
    <m/>
    <n v="102"/>
    <m/>
    <m/>
    <m/>
    <m/>
    <n v="102"/>
    <m/>
    <m/>
    <m/>
    <m/>
    <m/>
    <m/>
    <m/>
    <m/>
    <m/>
    <m/>
    <n v="131"/>
    <m/>
    <m/>
    <m/>
    <m/>
    <n v="131"/>
    <m/>
    <m/>
    <m/>
    <m/>
    <m/>
    <m/>
    <m/>
    <m/>
    <m/>
    <x v="1"/>
    <x v="0"/>
    <x v="1"/>
    <n v="-29"/>
    <m/>
    <m/>
    <m/>
    <m/>
    <n v="-29"/>
    <m/>
    <x v="0"/>
    <m/>
    <m/>
    <m/>
    <m/>
    <m/>
    <x v="0"/>
    <m/>
    <m/>
    <m/>
    <m/>
    <s v="Not Known"/>
    <s v="-"/>
    <s v="-"/>
    <s v="-"/>
    <s v="-"/>
    <s v="-"/>
    <s v="-"/>
    <s v="-"/>
    <s v="-"/>
    <s v="-"/>
    <s v="-"/>
    <x v="1"/>
    <x v="0"/>
    <s v="Not Known"/>
    <s v="-"/>
    <s v="-"/>
    <s v="-"/>
    <s v="-"/>
    <s v="-"/>
    <s v="-"/>
    <s v="-"/>
    <s v="-"/>
    <s v="-"/>
    <s v="-"/>
    <x v="0"/>
    <x v="0"/>
    <n v="1.09999999403954E-2"/>
    <n v="102"/>
    <n v="131"/>
    <n v="-29"/>
    <x v="0"/>
    <x v="0"/>
    <m/>
    <x v="0"/>
    <m/>
    <x v="0"/>
    <m/>
    <x v="0"/>
    <x v="1"/>
    <x v="3"/>
    <x v="0"/>
    <m/>
    <n v="0"/>
    <n v="0"/>
    <n v="0"/>
    <x v="0"/>
    <m/>
  </r>
  <r>
    <x v="2"/>
    <x v="2"/>
    <x v="2"/>
    <x v="1"/>
    <n v="5634"/>
    <x v="337"/>
    <x v="4"/>
    <n v="0.34799998998642001"/>
    <n v="527292"/>
    <n v="177189"/>
    <m/>
    <x v="393"/>
    <s v="PANR"/>
    <d v="2017-06-02T00:00:00"/>
    <x v="300"/>
    <s v="Y"/>
    <m/>
    <s v="Nil"/>
    <m/>
    <m/>
    <s v="Determination as to whether prior approval is required for change of use of office at first floor level from (Class B1a) to residential (Class C3) to provide 1 x 2-bedroom and 1 x 1-bedroom flats."/>
    <x v="386"/>
    <s v="COU"/>
    <x v="2"/>
    <s v="NSO"/>
    <m/>
    <m/>
    <m/>
    <m/>
    <s v="C"/>
    <s v="BF"/>
    <x v="0"/>
    <m/>
    <m/>
    <m/>
    <m/>
    <m/>
    <m/>
    <m/>
    <m/>
    <m/>
    <m/>
    <m/>
    <m/>
    <m/>
    <m/>
    <m/>
    <m/>
    <m/>
    <m/>
    <m/>
    <m/>
    <m/>
    <m/>
    <m/>
    <m/>
    <m/>
    <n v="264"/>
    <m/>
    <m/>
    <m/>
    <m/>
    <n v="264"/>
    <m/>
    <m/>
    <m/>
    <x v="0"/>
    <x v="1"/>
    <x v="1"/>
    <m/>
    <m/>
    <m/>
    <m/>
    <m/>
    <m/>
    <n v="-264"/>
    <x v="1"/>
    <m/>
    <m/>
    <m/>
    <m/>
    <n v="-264"/>
    <x v="1"/>
    <m/>
    <m/>
    <m/>
    <m/>
    <s v="-"/>
    <s v="-"/>
    <s v="-"/>
    <s v="-"/>
    <s v="-"/>
    <s v="-"/>
    <s v="-"/>
    <s v="-"/>
    <s v="-"/>
    <s v="-"/>
    <s v="-"/>
    <x v="1"/>
    <x v="0"/>
    <s v="-"/>
    <s v="-"/>
    <s v="-"/>
    <s v="-"/>
    <s v="-"/>
    <s v="Financial or Professional Services"/>
    <s v="-"/>
    <s v="-"/>
    <s v="-"/>
    <s v="-"/>
    <s v="-"/>
    <x v="0"/>
    <x v="0"/>
    <n v="0.32199998944997821"/>
    <n v="0"/>
    <n v="264"/>
    <n v="-264"/>
    <x v="1"/>
    <x v="0"/>
    <m/>
    <x v="0"/>
    <m/>
    <x v="0"/>
    <m/>
    <x v="0"/>
    <x v="0"/>
    <x v="0"/>
    <x v="0"/>
    <m/>
    <n v="264"/>
    <n v="0"/>
    <n v="264"/>
    <x v="1"/>
    <m/>
  </r>
  <r>
    <x v="0"/>
    <x v="2"/>
    <x v="2"/>
    <x v="0"/>
    <n v="5639"/>
    <x v="338"/>
    <x v="12"/>
    <n v="3.9000000804662698E-2"/>
    <n v="525706"/>
    <n v="174298"/>
    <m/>
    <x v="394"/>
    <s v="PANR"/>
    <d v="2014-08-19T00:00:00"/>
    <x v="243"/>
    <m/>
    <m/>
    <s v="Nil"/>
    <m/>
    <m/>
    <s v="Prior Approval for conversion from offices (Class B1) at second floor level to 2 x 1-bedroom and 2 x 2-bedroom residential units (Class C3)."/>
    <x v="387"/>
    <s v="COU"/>
    <x v="2"/>
    <s v="OC"/>
    <m/>
    <d v="2015-05-01T00:00:00"/>
    <d v="2017-04-27T00:00:00"/>
    <d v="2017-04-27T00:00:00"/>
    <s v="C"/>
    <s v="BF"/>
    <x v="0"/>
    <m/>
    <d v="2015-05-01T00:00:00"/>
    <d v="2017-04-27T00:00:00"/>
    <m/>
    <m/>
    <m/>
    <m/>
    <m/>
    <m/>
    <m/>
    <m/>
    <m/>
    <m/>
    <m/>
    <m/>
    <m/>
    <m/>
    <m/>
    <m/>
    <m/>
    <m/>
    <m/>
    <m/>
    <m/>
    <m/>
    <n v="284"/>
    <m/>
    <m/>
    <m/>
    <m/>
    <n v="284"/>
    <m/>
    <m/>
    <m/>
    <x v="0"/>
    <x v="1"/>
    <x v="1"/>
    <m/>
    <m/>
    <m/>
    <m/>
    <m/>
    <m/>
    <n v="-284"/>
    <x v="1"/>
    <m/>
    <m/>
    <m/>
    <m/>
    <n v="-284"/>
    <x v="1"/>
    <m/>
    <m/>
    <m/>
    <m/>
    <s v="-"/>
    <s v="-"/>
    <s v="-"/>
    <s v="-"/>
    <s v="-"/>
    <s v="-"/>
    <s v="-"/>
    <s v="-"/>
    <s v="-"/>
    <s v="-"/>
    <s v="-"/>
    <x v="1"/>
    <x v="0"/>
    <s v="-"/>
    <s v="-"/>
    <s v="-"/>
    <s v="-"/>
    <s v="-"/>
    <s v="Vacant"/>
    <s v="-"/>
    <s v="-"/>
    <s v="-"/>
    <s v="-"/>
    <s v="-"/>
    <x v="0"/>
    <x v="0"/>
    <n v="2.6000000536441796E-2"/>
    <n v="0"/>
    <n v="284"/>
    <n v="-284"/>
    <x v="0"/>
    <x v="0"/>
    <m/>
    <x v="0"/>
    <m/>
    <x v="0"/>
    <m/>
    <x v="0"/>
    <x v="1"/>
    <x v="4"/>
    <x v="0"/>
    <m/>
    <n v="284"/>
    <n v="0"/>
    <n v="284"/>
    <x v="1"/>
    <m/>
  </r>
  <r>
    <x v="1"/>
    <x v="1"/>
    <x v="1"/>
    <x v="1"/>
    <n v="5642"/>
    <x v="339"/>
    <x v="3"/>
    <n v="8.9999996125698107E-3"/>
    <n v="527300"/>
    <n v="175396"/>
    <m/>
    <x v="395"/>
    <s v="RP"/>
    <d v="2017-05-04T00:00:00"/>
    <x v="76"/>
    <s v="Y"/>
    <m/>
    <s v="APP"/>
    <d v="2018-01-25T00:00:00"/>
    <m/>
    <s v="Change of use of the second and third floors from office (Class B1a) to residential (Class C3) to provide two one-bedroom flats (retrospective)."/>
    <x v="388"/>
    <s v="COU"/>
    <x v="2"/>
    <s v="NSO"/>
    <m/>
    <m/>
    <m/>
    <m/>
    <s v="C"/>
    <s v="BF"/>
    <x v="0"/>
    <m/>
    <m/>
    <m/>
    <m/>
    <m/>
    <m/>
    <m/>
    <m/>
    <m/>
    <m/>
    <m/>
    <m/>
    <m/>
    <m/>
    <m/>
    <m/>
    <m/>
    <m/>
    <m/>
    <m/>
    <m/>
    <m/>
    <m/>
    <m/>
    <m/>
    <n v="63"/>
    <m/>
    <m/>
    <m/>
    <m/>
    <n v="63"/>
    <m/>
    <m/>
    <m/>
    <x v="0"/>
    <x v="1"/>
    <x v="1"/>
    <m/>
    <m/>
    <m/>
    <m/>
    <m/>
    <m/>
    <n v="-63"/>
    <x v="1"/>
    <m/>
    <m/>
    <m/>
    <m/>
    <n v="-63"/>
    <x v="1"/>
    <m/>
    <m/>
    <m/>
    <m/>
    <s v="-"/>
    <s v="-"/>
    <s v="-"/>
    <s v="-"/>
    <s v="-"/>
    <s v="-"/>
    <s v="-"/>
    <s v="-"/>
    <s v="-"/>
    <s v="-"/>
    <s v="-"/>
    <x v="1"/>
    <x v="0"/>
    <s v="-"/>
    <s v="-"/>
    <s v="-"/>
    <s v="-"/>
    <s v="-"/>
    <s v="Not Known"/>
    <s v="-"/>
    <s v="-"/>
    <s v="-"/>
    <s v="-"/>
    <s v="-"/>
    <x v="0"/>
    <x v="0"/>
    <n v="2.9999995604157509E-3"/>
    <n v="0"/>
    <n v="63"/>
    <n v="-63"/>
    <x v="0"/>
    <x v="0"/>
    <m/>
    <x v="0"/>
    <m/>
    <x v="0"/>
    <m/>
    <x v="0"/>
    <x v="1"/>
    <x v="1"/>
    <x v="0"/>
    <m/>
    <n v="63"/>
    <n v="0"/>
    <n v="63"/>
    <x v="1"/>
    <m/>
  </r>
  <r>
    <x v="0"/>
    <x v="0"/>
    <x v="0"/>
    <x v="0"/>
    <n v="5643"/>
    <x v="340"/>
    <x v="6"/>
    <n v="1.4999999664723899E-2"/>
    <n v="527641"/>
    <n v="175495"/>
    <m/>
    <x v="396"/>
    <s v="PF"/>
    <d v="2014-12-09T00:00:00"/>
    <x v="301"/>
    <m/>
    <m/>
    <s v="Nil"/>
    <m/>
    <m/>
    <s v="Conversion to provide 3 x residential units. Erection of basement extension with rear lightwell, ground floor rear extension and first floor rear extension to include staircase and roof terrace, and creation of second floor roof terrace. Erection of rear roof extension."/>
    <x v="389"/>
    <s v="MIX"/>
    <x v="0"/>
    <s v="OC"/>
    <m/>
    <d v="2015-10-21T00:00:00"/>
    <d v="2017-05-25T00:00:00"/>
    <d v="2017-05-25T00:00:00"/>
    <s v="C"/>
    <s v="BF"/>
    <x v="0"/>
    <m/>
    <d v="2015-10-21T00:00:00"/>
    <d v="2017-05-25T00:00:00"/>
    <m/>
    <m/>
    <m/>
    <m/>
    <m/>
    <m/>
    <n v="139"/>
    <m/>
    <m/>
    <n v="139"/>
    <m/>
    <m/>
    <n v="139"/>
    <m/>
    <m/>
    <m/>
    <m/>
    <m/>
    <m/>
    <m/>
    <m/>
    <m/>
    <n v="139"/>
    <m/>
    <m/>
    <m/>
    <m/>
    <n v="139"/>
    <m/>
    <m/>
    <m/>
    <x v="0"/>
    <x v="1"/>
    <x v="1"/>
    <m/>
    <m/>
    <m/>
    <m/>
    <m/>
    <m/>
    <m/>
    <x v="0"/>
    <m/>
    <m/>
    <m/>
    <m/>
    <m/>
    <x v="0"/>
    <m/>
    <m/>
    <m/>
    <m/>
    <s v="-"/>
    <s v="-"/>
    <s v="-"/>
    <s v="-"/>
    <s v="-"/>
    <s v="Not Known"/>
    <s v="-"/>
    <s v="-"/>
    <s v="-"/>
    <s v="-"/>
    <s v="-"/>
    <x v="1"/>
    <x v="0"/>
    <s v="-"/>
    <s v="-"/>
    <s v="-"/>
    <s v="-"/>
    <s v="-"/>
    <s v="Not Known"/>
    <s v="-"/>
    <s v="-"/>
    <s v="-"/>
    <s v="-"/>
    <s v="-"/>
    <x v="0"/>
    <x v="0"/>
    <n v="3.9999997243284988E-3"/>
    <n v="139"/>
    <n v="139"/>
    <n v="0"/>
    <x v="0"/>
    <x v="0"/>
    <m/>
    <x v="0"/>
    <m/>
    <x v="0"/>
    <m/>
    <x v="0"/>
    <x v="1"/>
    <x v="1"/>
    <x v="0"/>
    <m/>
    <n v="207"/>
    <n v="167"/>
    <n v="40"/>
    <x v="1"/>
    <m/>
  </r>
  <r>
    <x v="3"/>
    <x v="2"/>
    <x v="2"/>
    <x v="1"/>
    <n v="5645"/>
    <x v="341"/>
    <x v="4"/>
    <n v="0.38400000333786"/>
    <n v="527292"/>
    <n v="177189"/>
    <m/>
    <x v="397"/>
    <s v="PAG"/>
    <d v="2014-11-04T00:00:00"/>
    <x v="302"/>
    <m/>
    <m/>
    <s v="Nil"/>
    <m/>
    <m/>
    <s v="Change of use of first floor units from offices (Use Class B1) to residentail (Use Class C3) as two studio flats."/>
    <x v="390"/>
    <s v="COU"/>
    <x v="2"/>
    <s v="UC"/>
    <m/>
    <d v="2015-02-25T00:00:00"/>
    <m/>
    <m/>
    <s v="C"/>
    <s v="BF"/>
    <x v="0"/>
    <m/>
    <d v="2015-02-25T00:00:00"/>
    <m/>
    <m/>
    <m/>
    <m/>
    <m/>
    <m/>
    <m/>
    <m/>
    <m/>
    <m/>
    <m/>
    <m/>
    <m/>
    <m/>
    <m/>
    <m/>
    <m/>
    <m/>
    <m/>
    <m/>
    <m/>
    <m/>
    <m/>
    <n v="88"/>
    <m/>
    <m/>
    <m/>
    <m/>
    <n v="88"/>
    <m/>
    <m/>
    <m/>
    <x v="0"/>
    <x v="1"/>
    <x v="1"/>
    <m/>
    <m/>
    <m/>
    <m/>
    <m/>
    <m/>
    <n v="-88"/>
    <x v="1"/>
    <m/>
    <m/>
    <m/>
    <m/>
    <n v="-88"/>
    <x v="1"/>
    <m/>
    <m/>
    <m/>
    <m/>
    <s v="-"/>
    <s v="-"/>
    <s v="-"/>
    <s v="-"/>
    <s v="-"/>
    <s v="-"/>
    <s v="-"/>
    <s v="-"/>
    <s v="-"/>
    <s v="-"/>
    <s v="-"/>
    <x v="1"/>
    <x v="0"/>
    <s v="-"/>
    <s v="-"/>
    <s v="-"/>
    <s v="-"/>
    <s v="-"/>
    <s v="Vacant"/>
    <s v="-"/>
    <s v="-"/>
    <s v="-"/>
    <s v="-"/>
    <s v="-"/>
    <x v="0"/>
    <x v="0"/>
    <n v="0.3750000032596289"/>
    <n v="0"/>
    <n v="88"/>
    <n v="-88"/>
    <x v="1"/>
    <x v="0"/>
    <m/>
    <x v="0"/>
    <m/>
    <x v="0"/>
    <m/>
    <x v="0"/>
    <x v="0"/>
    <x v="0"/>
    <x v="0"/>
    <m/>
    <n v="88"/>
    <n v="0"/>
    <n v="88"/>
    <x v="1"/>
    <m/>
  </r>
  <r>
    <x v="3"/>
    <x v="2"/>
    <x v="2"/>
    <x v="1"/>
    <n v="5646"/>
    <x v="342"/>
    <x v="3"/>
    <n v="6.0000000521540598E-3"/>
    <n v="527378"/>
    <n v="175255"/>
    <m/>
    <x v="398"/>
    <s v="PAG"/>
    <d v="2017-07-25T00:00:00"/>
    <x v="215"/>
    <s v="Y"/>
    <m/>
    <s v="Nil"/>
    <m/>
    <m/>
    <s v="Prior approval for change of use of first, second and third floors from offices (Class B1a) to residential use (Class C3) as 3 flats."/>
    <x v="391"/>
    <s v="COU"/>
    <x v="2"/>
    <s v="UC"/>
    <m/>
    <d v="2017-09-15T00:00:00"/>
    <m/>
    <m/>
    <s v="C"/>
    <s v="BF"/>
    <x v="0"/>
    <m/>
    <d v="2017-09-15T00:00:00"/>
    <m/>
    <m/>
    <m/>
    <m/>
    <m/>
    <m/>
    <m/>
    <m/>
    <m/>
    <m/>
    <m/>
    <m/>
    <m/>
    <m/>
    <m/>
    <m/>
    <m/>
    <m/>
    <m/>
    <m/>
    <m/>
    <m/>
    <m/>
    <n v="150"/>
    <m/>
    <m/>
    <m/>
    <m/>
    <n v="150"/>
    <m/>
    <m/>
    <m/>
    <x v="0"/>
    <x v="1"/>
    <x v="1"/>
    <m/>
    <m/>
    <m/>
    <m/>
    <m/>
    <m/>
    <n v="-150"/>
    <x v="1"/>
    <m/>
    <m/>
    <m/>
    <m/>
    <n v="-150"/>
    <x v="1"/>
    <m/>
    <m/>
    <m/>
    <m/>
    <s v="-"/>
    <s v="-"/>
    <s v="-"/>
    <s v="-"/>
    <s v="-"/>
    <s v="-"/>
    <s v="-"/>
    <s v="-"/>
    <s v="-"/>
    <s v="-"/>
    <s v="-"/>
    <x v="1"/>
    <x v="0"/>
    <s v="-"/>
    <s v="-"/>
    <s v="-"/>
    <s v="-"/>
    <s v="-"/>
    <s v="Other"/>
    <s v="-"/>
    <s v="-"/>
    <s v="-"/>
    <s v="-"/>
    <s v="-"/>
    <x v="0"/>
    <x v="0"/>
    <n v="1.9999998621642494E-3"/>
    <n v="0"/>
    <n v="150"/>
    <n v="-150"/>
    <x v="0"/>
    <x v="0"/>
    <m/>
    <x v="0"/>
    <m/>
    <x v="0"/>
    <m/>
    <x v="0"/>
    <x v="1"/>
    <x v="1"/>
    <x v="0"/>
    <m/>
    <n v="150"/>
    <n v="0"/>
    <n v="150"/>
    <x v="1"/>
    <m/>
  </r>
  <r>
    <x v="0"/>
    <x v="2"/>
    <x v="2"/>
    <x v="0"/>
    <n v="5647"/>
    <x v="343"/>
    <x v="7"/>
    <n v="1.7000000923872001E-2"/>
    <n v="523995"/>
    <n v="175107"/>
    <m/>
    <x v="399"/>
    <s v="PANR"/>
    <d v="2014-07-15T00:00:00"/>
    <x v="303"/>
    <m/>
    <m/>
    <s v="Nil"/>
    <m/>
    <m/>
    <s v="Prior approval for conversion of office (Use Class B1a) to nine self-contained residential units (Use Class C3)."/>
    <x v="392"/>
    <s v="COU"/>
    <x v="2"/>
    <s v="OC"/>
    <m/>
    <d v="2016-05-24T00:00:00"/>
    <d v="2017-05-03T00:00:00"/>
    <d v="2017-05-03T00:00:00"/>
    <s v="C"/>
    <s v="BF"/>
    <x v="0"/>
    <m/>
    <d v="2016-05-24T00:00:00"/>
    <d v="2017-05-03T00:00:00"/>
    <m/>
    <m/>
    <m/>
    <m/>
    <m/>
    <m/>
    <m/>
    <m/>
    <m/>
    <m/>
    <m/>
    <m/>
    <m/>
    <m/>
    <m/>
    <m/>
    <m/>
    <m/>
    <m/>
    <m/>
    <m/>
    <m/>
    <n v="200"/>
    <m/>
    <m/>
    <m/>
    <m/>
    <n v="200"/>
    <m/>
    <m/>
    <m/>
    <x v="0"/>
    <x v="1"/>
    <x v="1"/>
    <m/>
    <m/>
    <m/>
    <m/>
    <m/>
    <m/>
    <n v="-200"/>
    <x v="1"/>
    <m/>
    <m/>
    <m/>
    <m/>
    <n v="-200"/>
    <x v="1"/>
    <m/>
    <m/>
    <m/>
    <m/>
    <s v="-"/>
    <s v="-"/>
    <s v="-"/>
    <s v="-"/>
    <s v="-"/>
    <s v="-"/>
    <s v="-"/>
    <s v="-"/>
    <s v="-"/>
    <s v="-"/>
    <s v="-"/>
    <x v="1"/>
    <x v="0"/>
    <s v="-"/>
    <s v="-"/>
    <s v="-"/>
    <s v="-"/>
    <s v="-"/>
    <s v="Not Known"/>
    <s v="-"/>
    <s v="-"/>
    <s v="-"/>
    <s v="-"/>
    <s v="-"/>
    <x v="0"/>
    <x v="0"/>
    <n v="4.0000006556511012E-3"/>
    <n v="0"/>
    <n v="200"/>
    <n v="-200"/>
    <x v="0"/>
    <x v="0"/>
    <m/>
    <x v="0"/>
    <m/>
    <x v="0"/>
    <m/>
    <x v="0"/>
    <x v="1"/>
    <x v="2"/>
    <x v="0"/>
    <m/>
    <n v="200"/>
    <n v="0"/>
    <n v="200"/>
    <x v="1"/>
    <m/>
  </r>
  <r>
    <x v="2"/>
    <x v="0"/>
    <x v="0"/>
    <x v="1"/>
    <n v="5653"/>
    <x v="344"/>
    <x v="12"/>
    <n v="1.30000002682209E-2"/>
    <n v="525465"/>
    <n v="174675"/>
    <m/>
    <x v="400"/>
    <s v="PF"/>
    <d v="2017-07-04T00:00:00"/>
    <x v="304"/>
    <s v="Y"/>
    <m/>
    <s v="Nil"/>
    <m/>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x v="393"/>
    <s v="MIX"/>
    <x v="0"/>
    <s v="NSO"/>
    <m/>
    <m/>
    <m/>
    <m/>
    <s v="C"/>
    <s v="BF"/>
    <x v="0"/>
    <m/>
    <m/>
    <m/>
    <n v="76"/>
    <m/>
    <m/>
    <m/>
    <m/>
    <n v="76"/>
    <m/>
    <m/>
    <m/>
    <m/>
    <m/>
    <m/>
    <m/>
    <m/>
    <m/>
    <m/>
    <n v="70"/>
    <m/>
    <m/>
    <m/>
    <m/>
    <n v="70"/>
    <m/>
    <m/>
    <m/>
    <m/>
    <m/>
    <m/>
    <m/>
    <m/>
    <m/>
    <x v="1"/>
    <x v="0"/>
    <x v="1"/>
    <n v="6"/>
    <m/>
    <m/>
    <m/>
    <m/>
    <n v="6"/>
    <m/>
    <x v="0"/>
    <m/>
    <m/>
    <m/>
    <m/>
    <m/>
    <x v="0"/>
    <m/>
    <m/>
    <m/>
    <m/>
    <s v="Not Known"/>
    <s v="-"/>
    <s v="-"/>
    <s v="-"/>
    <s v="-"/>
    <s v="-"/>
    <s v="-"/>
    <s v="-"/>
    <s v="-"/>
    <s v="-"/>
    <s v="-"/>
    <x v="1"/>
    <x v="0"/>
    <s v="Not Known"/>
    <s v="-"/>
    <s v="-"/>
    <s v="-"/>
    <s v="-"/>
    <s v="-"/>
    <s v="-"/>
    <s v="-"/>
    <s v="-"/>
    <s v="-"/>
    <s v="-"/>
    <x v="0"/>
    <x v="0"/>
    <n v="4.0000001899898E-3"/>
    <n v="76"/>
    <n v="70"/>
    <n v="6"/>
    <x v="0"/>
    <x v="0"/>
    <m/>
    <x v="0"/>
    <m/>
    <x v="0"/>
    <m/>
    <x v="0"/>
    <x v="1"/>
    <x v="4"/>
    <x v="0"/>
    <m/>
    <n v="249"/>
    <n v="127"/>
    <n v="122"/>
    <x v="1"/>
    <m/>
  </r>
  <r>
    <x v="3"/>
    <x v="0"/>
    <x v="0"/>
    <x v="1"/>
    <n v="5665"/>
    <x v="345"/>
    <x v="14"/>
    <n v="9.2000002041459101E-3"/>
    <n v="527697"/>
    <n v="171921"/>
    <m/>
    <x v="401"/>
    <s v="PF"/>
    <d v="2015-04-18T00:00:00"/>
    <x v="33"/>
    <m/>
    <m/>
    <s v="Nil"/>
    <m/>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x v="394"/>
    <s v="MIX"/>
    <x v="0"/>
    <s v="UC"/>
    <m/>
    <d v="2018-03-31T00:00:00"/>
    <m/>
    <m/>
    <s v="C"/>
    <s v="BF"/>
    <x v="0"/>
    <m/>
    <d v="2018-03-31T00:00:00"/>
    <m/>
    <n v="67"/>
    <m/>
    <m/>
    <m/>
    <m/>
    <n v="67"/>
    <m/>
    <m/>
    <m/>
    <m/>
    <m/>
    <m/>
    <m/>
    <m/>
    <m/>
    <m/>
    <n v="50"/>
    <m/>
    <m/>
    <m/>
    <m/>
    <n v="50"/>
    <m/>
    <m/>
    <m/>
    <m/>
    <m/>
    <m/>
    <m/>
    <m/>
    <m/>
    <x v="1"/>
    <x v="0"/>
    <x v="1"/>
    <n v="17"/>
    <m/>
    <m/>
    <m/>
    <m/>
    <n v="17"/>
    <m/>
    <x v="0"/>
    <m/>
    <m/>
    <m/>
    <m/>
    <m/>
    <x v="0"/>
    <m/>
    <m/>
    <m/>
    <m/>
    <s v="Not Known"/>
    <s v="-"/>
    <s v="-"/>
    <s v="-"/>
    <s v="-"/>
    <s v="-"/>
    <s v="-"/>
    <s v="-"/>
    <s v="-"/>
    <s v="-"/>
    <s v="-"/>
    <x v="1"/>
    <x v="0"/>
    <s v="Not Known"/>
    <s v="-"/>
    <s v="-"/>
    <s v="-"/>
    <s v="-"/>
    <s v="-"/>
    <s v="-"/>
    <s v="-"/>
    <s v="-"/>
    <s v="-"/>
    <s v="-"/>
    <x v="0"/>
    <x v="0"/>
    <n v="3.2000001519918502E-3"/>
    <n v="67"/>
    <n v="50"/>
    <n v="17"/>
    <x v="0"/>
    <x v="0"/>
    <m/>
    <x v="0"/>
    <m/>
    <x v="0"/>
    <m/>
    <x v="0"/>
    <x v="1"/>
    <x v="3"/>
    <x v="0"/>
    <m/>
    <n v="67"/>
    <n v="61"/>
    <n v="6"/>
    <x v="1"/>
    <m/>
  </r>
  <r>
    <x v="2"/>
    <x v="0"/>
    <x v="0"/>
    <x v="1"/>
    <n v="5666"/>
    <x v="346"/>
    <x v="18"/>
    <n v="0.15600000321865101"/>
    <n v="527230"/>
    <n v="174138"/>
    <m/>
    <x v="402"/>
    <s v="PF"/>
    <d v="2016-01-06T00:00:00"/>
    <x v="305"/>
    <m/>
    <m/>
    <s v="Nil"/>
    <m/>
    <m/>
    <s v="Change of use from residential (C3) to nursery and preschool (Class D1) catering for up to 62 children (0-5 years old). Replacement timber fence (1.9m high) to include a one-way glass panel and new signage to north elevation"/>
    <x v="395"/>
    <s v="COU"/>
    <x v="2"/>
    <s v="NSV"/>
    <m/>
    <m/>
    <m/>
    <m/>
    <s v="C"/>
    <s v="BF"/>
    <x v="0"/>
    <m/>
    <m/>
    <m/>
    <m/>
    <m/>
    <m/>
    <m/>
    <m/>
    <m/>
    <m/>
    <m/>
    <m/>
    <m/>
    <m/>
    <m/>
    <m/>
    <n v="177"/>
    <m/>
    <n v="177"/>
    <m/>
    <m/>
    <m/>
    <m/>
    <m/>
    <m/>
    <m/>
    <m/>
    <m/>
    <m/>
    <m/>
    <m/>
    <m/>
    <m/>
    <m/>
    <x v="0"/>
    <x v="0"/>
    <x v="0"/>
    <m/>
    <m/>
    <m/>
    <m/>
    <m/>
    <m/>
    <m/>
    <x v="0"/>
    <m/>
    <m/>
    <m/>
    <m/>
    <m/>
    <x v="0"/>
    <m/>
    <n v="177"/>
    <m/>
    <n v="177"/>
    <s v="-"/>
    <s v="-"/>
    <s v="-"/>
    <s v="-"/>
    <s v="-"/>
    <s v="-"/>
    <s v="-"/>
    <s v="-"/>
    <s v="-"/>
    <s v="-"/>
    <s v="-"/>
    <x v="6"/>
    <x v="0"/>
    <s v="-"/>
    <s v="-"/>
    <s v="-"/>
    <s v="-"/>
    <s v="-"/>
    <s v="-"/>
    <s v="-"/>
    <s v="-"/>
    <s v="-"/>
    <s v="-"/>
    <s v="-"/>
    <x v="0"/>
    <x v="0"/>
    <n v="0.12400000169873261"/>
    <n v="177"/>
    <n v="0"/>
    <n v="177"/>
    <x v="0"/>
    <x v="0"/>
    <m/>
    <x v="0"/>
    <m/>
    <x v="0"/>
    <m/>
    <x v="0"/>
    <x v="0"/>
    <x v="0"/>
    <x v="0"/>
    <m/>
    <n v="0"/>
    <n v="177"/>
    <n v="-177"/>
    <x v="0"/>
    <m/>
  </r>
  <r>
    <x v="0"/>
    <x v="0"/>
    <x v="0"/>
    <x v="0"/>
    <n v="5669"/>
    <x v="347"/>
    <x v="19"/>
    <n v="1.30000002682209E-2"/>
    <n v="523325"/>
    <n v="175241"/>
    <m/>
    <x v="403"/>
    <s v="PF"/>
    <d v="2014-06-11T00:00:00"/>
    <x v="306"/>
    <m/>
    <m/>
    <s v="Nil"/>
    <m/>
    <m/>
    <s v="Alterations involving change of use of ground floor restaurant (A3) to part shop/commerical floorspace (A1/A2) and involving extensions to form two dwellings; demolition of rear single-storey additions and erection of part single, part two-storey rear extension; new shopfront and new window to front and rear."/>
    <x v="396"/>
    <s v="MIX"/>
    <x v="0"/>
    <s v="OC"/>
    <m/>
    <d v="2015-01-14T00:00:00"/>
    <d v="2017-05-10T00:00:00"/>
    <d v="2017-07-17T00:00:00"/>
    <s v="C"/>
    <s v="BF"/>
    <x v="0"/>
    <m/>
    <d v="2015-01-14T00:00:00"/>
    <d v="2017-05-10T00:00:00"/>
    <n v="25"/>
    <n v="25"/>
    <m/>
    <m/>
    <m/>
    <n v="50"/>
    <m/>
    <m/>
    <m/>
    <m/>
    <m/>
    <m/>
    <m/>
    <m/>
    <m/>
    <m/>
    <m/>
    <m/>
    <n v="220"/>
    <m/>
    <m/>
    <n v="220"/>
    <m/>
    <m/>
    <m/>
    <m/>
    <m/>
    <m/>
    <m/>
    <m/>
    <m/>
    <x v="1"/>
    <x v="0"/>
    <x v="1"/>
    <n v="25"/>
    <n v="25"/>
    <n v="-220"/>
    <m/>
    <m/>
    <n v="-170"/>
    <m/>
    <x v="0"/>
    <m/>
    <m/>
    <m/>
    <m/>
    <m/>
    <x v="0"/>
    <m/>
    <m/>
    <m/>
    <m/>
    <s v="Not Known"/>
    <s v="Not Known"/>
    <s v="-"/>
    <s v="-"/>
    <s v="-"/>
    <s v="-"/>
    <s v="-"/>
    <s v="-"/>
    <s v="-"/>
    <s v="-"/>
    <s v="-"/>
    <x v="1"/>
    <x v="0"/>
    <s v="-"/>
    <s v="-"/>
    <s v="Restaurant"/>
    <s v="-"/>
    <s v="-"/>
    <s v="-"/>
    <s v="-"/>
    <s v="-"/>
    <s v="-"/>
    <s v="-"/>
    <s v="-"/>
    <x v="0"/>
    <x v="0"/>
    <n v="4.9999998882412893E-3"/>
    <n v="50"/>
    <n v="220"/>
    <n v="-170"/>
    <x v="0"/>
    <x v="0"/>
    <m/>
    <x v="0"/>
    <m/>
    <x v="0"/>
    <m/>
    <x v="0"/>
    <x v="0"/>
    <x v="0"/>
    <x v="0"/>
    <m/>
    <n v="252"/>
    <n v="69"/>
    <n v="183"/>
    <x v="1"/>
    <m/>
  </r>
  <r>
    <x v="2"/>
    <x v="0"/>
    <x v="0"/>
    <x v="1"/>
    <n v="5682"/>
    <x v="348"/>
    <x v="6"/>
    <n v="9.9999997764825804E-3"/>
    <n v="528537"/>
    <n v="175740"/>
    <m/>
    <x v="404"/>
    <s v="PF"/>
    <d v="2016-05-03T00:00:00"/>
    <x v="247"/>
    <m/>
    <m/>
    <s v="Nil"/>
    <m/>
    <m/>
    <s v="Erection of single-storey rear extension at first floor level in connection with change of use of rear basement and ground floors from retail (Use Class A1) to 1 x 1-bedroom residential unit (Use Class C3) accessed from Abberley Mews."/>
    <x v="397"/>
    <s v="MIX"/>
    <x v="0"/>
    <s v="NSO"/>
    <m/>
    <m/>
    <m/>
    <m/>
    <s v="C"/>
    <s v="BF"/>
    <x v="0"/>
    <m/>
    <m/>
    <m/>
    <n v="120"/>
    <m/>
    <m/>
    <m/>
    <m/>
    <n v="120"/>
    <m/>
    <m/>
    <m/>
    <m/>
    <m/>
    <m/>
    <m/>
    <m/>
    <m/>
    <m/>
    <n v="146"/>
    <m/>
    <m/>
    <m/>
    <m/>
    <n v="146"/>
    <m/>
    <m/>
    <m/>
    <m/>
    <m/>
    <m/>
    <m/>
    <m/>
    <m/>
    <x v="1"/>
    <x v="0"/>
    <x v="1"/>
    <n v="-26"/>
    <m/>
    <m/>
    <m/>
    <m/>
    <n v="-26"/>
    <m/>
    <x v="0"/>
    <m/>
    <m/>
    <m/>
    <m/>
    <m/>
    <x v="0"/>
    <m/>
    <m/>
    <m/>
    <m/>
    <s v="Not Known"/>
    <s v="-"/>
    <s v="-"/>
    <s v="-"/>
    <s v="-"/>
    <s v="-"/>
    <s v="-"/>
    <s v="-"/>
    <s v="-"/>
    <s v="-"/>
    <s v="-"/>
    <x v="1"/>
    <x v="0"/>
    <s v="Not Known"/>
    <s v="-"/>
    <s v="-"/>
    <s v="-"/>
    <s v="-"/>
    <s v="-"/>
    <s v="-"/>
    <s v="-"/>
    <s v="-"/>
    <s v="-"/>
    <s v="-"/>
    <x v="0"/>
    <x v="0"/>
    <n v="5.9999995864927699E-3"/>
    <n v="120"/>
    <n v="146"/>
    <n v="-26"/>
    <x v="0"/>
    <x v="0"/>
    <m/>
    <x v="0"/>
    <m/>
    <x v="0"/>
    <m/>
    <x v="0"/>
    <x v="0"/>
    <x v="0"/>
    <x v="1"/>
    <s v="Lavender Hill/Queenstown Road"/>
    <n v="80"/>
    <n v="0"/>
    <n v="80"/>
    <x v="1"/>
    <m/>
  </r>
  <r>
    <x v="0"/>
    <x v="0"/>
    <x v="0"/>
    <x v="0"/>
    <n v="5687"/>
    <x v="349"/>
    <x v="5"/>
    <n v="1.30000002682209E-2"/>
    <n v="525944"/>
    <n v="174996"/>
    <m/>
    <x v="405"/>
    <s v="PF"/>
    <d v="2016-05-17T00:00:00"/>
    <x v="307"/>
    <m/>
    <m/>
    <s v="Nil"/>
    <m/>
    <m/>
    <s v="Alterations to include the erection of enlarged dormer to front roof slope,  erection of a part-single, part two-storey rear extension, rear mansard roof extension and roof extension with roof terrace over rear addition; basement excavation with rear enclosed courtyard and formation of side lightwell; change of use of rear part of ground floor commercial unit/shop (Class Use B1)  to residential (Class Use C3) in connection with retention of office (Class B1) unit and provision of three flats (subsequent application to planning permission ref: 2014/4269 dated 18/09/2016)"/>
    <x v="398"/>
    <s v="MIX"/>
    <x v="0"/>
    <s v="OC"/>
    <m/>
    <d v="2015-12-05T00:00:00"/>
    <d v="2017-07-05T00:00:00"/>
    <d v="2017-07-05T00:00:00"/>
    <s v="C"/>
    <s v="BF"/>
    <x v="0"/>
    <m/>
    <d v="2015-12-05T00:00:00"/>
    <d v="2017-07-05T00:00:00"/>
    <m/>
    <m/>
    <m/>
    <m/>
    <m/>
    <m/>
    <n v="46"/>
    <m/>
    <m/>
    <n v="46"/>
    <m/>
    <m/>
    <n v="46"/>
    <m/>
    <m/>
    <m/>
    <m/>
    <m/>
    <m/>
    <m/>
    <m/>
    <m/>
    <n v="151"/>
    <m/>
    <m/>
    <m/>
    <m/>
    <n v="151"/>
    <m/>
    <m/>
    <m/>
    <x v="0"/>
    <x v="1"/>
    <x v="1"/>
    <m/>
    <m/>
    <m/>
    <m/>
    <m/>
    <m/>
    <n v="-105"/>
    <x v="1"/>
    <m/>
    <m/>
    <m/>
    <m/>
    <n v="-105"/>
    <x v="1"/>
    <m/>
    <m/>
    <m/>
    <m/>
    <s v="-"/>
    <s v="-"/>
    <s v="-"/>
    <s v="-"/>
    <s v="-"/>
    <s v="Financial or Professional Services"/>
    <s v="-"/>
    <s v="-"/>
    <s v="-"/>
    <s v="-"/>
    <s v="-"/>
    <x v="1"/>
    <x v="0"/>
    <s v="-"/>
    <s v="-"/>
    <s v="-"/>
    <s v="-"/>
    <s v="-"/>
    <s v="Financial or Professional Services"/>
    <s v="-"/>
    <s v="-"/>
    <s v="-"/>
    <s v="-"/>
    <s v="-"/>
    <x v="0"/>
    <x v="0"/>
    <n v="4.0000006556510891E-3"/>
    <n v="46"/>
    <n v="151"/>
    <n v="-105"/>
    <x v="0"/>
    <x v="0"/>
    <m/>
    <x v="0"/>
    <m/>
    <x v="0"/>
    <m/>
    <x v="0"/>
    <x v="0"/>
    <x v="0"/>
    <x v="0"/>
    <m/>
    <n v="314"/>
    <n v="110"/>
    <n v="204"/>
    <x v="1"/>
    <m/>
  </r>
  <r>
    <x v="0"/>
    <x v="0"/>
    <x v="0"/>
    <x v="2"/>
    <n v="5699"/>
    <x v="350"/>
    <x v="10"/>
    <n v="1.4999999664723899E-2"/>
    <n v="523902"/>
    <n v="174030"/>
    <m/>
    <x v="406"/>
    <s v="PF"/>
    <d v="2014-08-06T00:00:00"/>
    <x v="308"/>
    <m/>
    <m/>
    <s v="Nil"/>
    <m/>
    <m/>
    <s v="Erection of three-storey dwellinghouse with associated parking and landscaping."/>
    <x v="399"/>
    <s v="NB"/>
    <x v="0"/>
    <s v="CO"/>
    <m/>
    <d v="2017-04-01T00:00:00"/>
    <d v="2018-03-31T00:00:00"/>
    <m/>
    <s v="C"/>
    <s v="BF"/>
    <x v="0"/>
    <m/>
    <d v="2017-04-01T00:00:00"/>
    <d v="2018-03-31T00:00:00"/>
    <m/>
    <m/>
    <m/>
    <m/>
    <m/>
    <m/>
    <m/>
    <m/>
    <m/>
    <m/>
    <m/>
    <m/>
    <m/>
    <m/>
    <m/>
    <m/>
    <m/>
    <m/>
    <m/>
    <m/>
    <m/>
    <m/>
    <m/>
    <m/>
    <m/>
    <m/>
    <m/>
    <m/>
    <m/>
    <m/>
    <m/>
    <x v="0"/>
    <x v="0"/>
    <x v="1"/>
    <m/>
    <m/>
    <m/>
    <m/>
    <m/>
    <m/>
    <m/>
    <x v="0"/>
    <m/>
    <m/>
    <m/>
    <m/>
    <m/>
    <x v="0"/>
    <m/>
    <m/>
    <m/>
    <m/>
    <s v="-"/>
    <s v="-"/>
    <s v="-"/>
    <s v="-"/>
    <s v="-"/>
    <s v="-"/>
    <s v="-"/>
    <s v="-"/>
    <s v="-"/>
    <s v="-"/>
    <s v="-"/>
    <x v="1"/>
    <x v="0"/>
    <s v="-"/>
    <s v="-"/>
    <s v="-"/>
    <s v="-"/>
    <s v="-"/>
    <s v="-"/>
    <s v="-"/>
    <s v="-"/>
    <s v="-"/>
    <s v="-"/>
    <s v="-"/>
    <x v="0"/>
    <x v="0"/>
    <n v="0"/>
    <n v="0"/>
    <n v="45"/>
    <n v="-45"/>
    <x v="0"/>
    <x v="0"/>
    <m/>
    <x v="0"/>
    <m/>
    <x v="0"/>
    <m/>
    <x v="0"/>
    <x v="0"/>
    <x v="0"/>
    <x v="0"/>
    <m/>
    <n v="138"/>
    <n v="0"/>
    <n v="138"/>
    <x v="1"/>
    <m/>
  </r>
  <r>
    <x v="3"/>
    <x v="0"/>
    <x v="0"/>
    <x v="1"/>
    <n v="5701"/>
    <x v="351"/>
    <x v="6"/>
    <n v="8.9999996125698107E-3"/>
    <n v="528325"/>
    <n v="175700"/>
    <m/>
    <x v="407"/>
    <s v="PF"/>
    <d v="2014-08-04T00:00:00"/>
    <x v="309"/>
    <m/>
    <m/>
    <s v="Nil"/>
    <m/>
    <m/>
    <s v="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
    <x v="400"/>
    <s v="MIX"/>
    <x v="0"/>
    <s v="UC"/>
    <m/>
    <d v="2017-05-23T00:00:00"/>
    <m/>
    <m/>
    <s v="C"/>
    <s v="BF"/>
    <x v="0"/>
    <m/>
    <d v="2017-05-23T00:00:00"/>
    <m/>
    <n v="70"/>
    <m/>
    <m/>
    <m/>
    <m/>
    <n v="70"/>
    <m/>
    <m/>
    <m/>
    <m/>
    <m/>
    <m/>
    <m/>
    <m/>
    <m/>
    <m/>
    <n v="99"/>
    <m/>
    <m/>
    <m/>
    <m/>
    <n v="99"/>
    <m/>
    <m/>
    <m/>
    <m/>
    <m/>
    <m/>
    <m/>
    <m/>
    <m/>
    <x v="1"/>
    <x v="0"/>
    <x v="1"/>
    <n v="-29"/>
    <m/>
    <m/>
    <m/>
    <m/>
    <n v="-29"/>
    <m/>
    <x v="0"/>
    <m/>
    <m/>
    <m/>
    <m/>
    <m/>
    <x v="0"/>
    <m/>
    <m/>
    <m/>
    <m/>
    <s v="-"/>
    <s v="-"/>
    <s v="-"/>
    <s v="-"/>
    <s v="-"/>
    <s v="-"/>
    <s v="-"/>
    <s v="-"/>
    <s v="-"/>
    <s v="-"/>
    <s v="-"/>
    <x v="1"/>
    <x v="0"/>
    <s v="Not Known"/>
    <s v="-"/>
    <s v="-"/>
    <s v="-"/>
    <s v="-"/>
    <s v="-"/>
    <s v="-"/>
    <s v="-"/>
    <s v="-"/>
    <s v="-"/>
    <s v="-"/>
    <x v="0"/>
    <x v="0"/>
    <n v="2.9999995604157509E-3"/>
    <n v="70"/>
    <n v="99"/>
    <n v="-29"/>
    <x v="0"/>
    <x v="0"/>
    <m/>
    <x v="0"/>
    <m/>
    <x v="0"/>
    <m/>
    <x v="0"/>
    <x v="0"/>
    <x v="0"/>
    <x v="1"/>
    <s v="Lavender Hill/Queenstown Road"/>
    <n v="183"/>
    <n v="107"/>
    <n v="76"/>
    <x v="1"/>
    <m/>
  </r>
  <r>
    <x v="0"/>
    <x v="0"/>
    <x v="0"/>
    <x v="0"/>
    <n v="5702"/>
    <x v="352"/>
    <x v="4"/>
    <n v="8.0000003799796104E-3"/>
    <n v="527034"/>
    <n v="176160"/>
    <m/>
    <x v="408"/>
    <s v="PF"/>
    <d v="2016-04-05T00:00:00"/>
    <x v="310"/>
    <m/>
    <m/>
    <s v="Nil"/>
    <m/>
    <m/>
    <s v="Retrospective change of use of ground floor cab office (Sui Generis) to allow additional coffee shop/cafe use (Use Class A3)."/>
    <x v="401"/>
    <s v="COU"/>
    <x v="2"/>
    <s v="OC"/>
    <m/>
    <d v="2016-05-31T00:00:00"/>
    <d v="2017-07-01T00:00:00"/>
    <d v="2017-07-01T00:00:00"/>
    <s v="C"/>
    <s v="BF"/>
    <x v="0"/>
    <m/>
    <d v="2016-05-31T00:00:00"/>
    <d v="2017-07-01T00:00:00"/>
    <m/>
    <m/>
    <n v="28"/>
    <m/>
    <m/>
    <n v="28"/>
    <m/>
    <m/>
    <m/>
    <m/>
    <m/>
    <m/>
    <m/>
    <m/>
    <m/>
    <m/>
    <m/>
    <m/>
    <m/>
    <m/>
    <m/>
    <m/>
    <m/>
    <m/>
    <m/>
    <m/>
    <m/>
    <m/>
    <m/>
    <m/>
    <m/>
    <x v="1"/>
    <x v="0"/>
    <x v="1"/>
    <m/>
    <m/>
    <n v="28"/>
    <m/>
    <m/>
    <n v="28"/>
    <m/>
    <x v="0"/>
    <m/>
    <m/>
    <m/>
    <m/>
    <m/>
    <x v="0"/>
    <m/>
    <m/>
    <m/>
    <m/>
    <s v="-"/>
    <s v="-"/>
    <s v="Café"/>
    <s v="-"/>
    <s v="-"/>
    <s v="-"/>
    <s v="-"/>
    <s v="-"/>
    <s v="-"/>
    <s v="-"/>
    <s v="-"/>
    <x v="1"/>
    <x v="0"/>
    <s v="-"/>
    <s v="-"/>
    <s v="-"/>
    <s v="-"/>
    <s v="-"/>
    <s v="-"/>
    <s v="-"/>
    <s v="-"/>
    <s v="-"/>
    <s v="-"/>
    <s v="-"/>
    <x v="0"/>
    <x v="0"/>
    <n v="8.0000003799796104E-3"/>
    <n v="38"/>
    <n v="38"/>
    <n v="0"/>
    <x v="0"/>
    <x v="0"/>
    <m/>
    <x v="0"/>
    <m/>
    <x v="0"/>
    <m/>
    <x v="0"/>
    <x v="0"/>
    <x v="0"/>
    <x v="0"/>
    <m/>
    <n v="0"/>
    <n v="0"/>
    <n v="0"/>
    <x v="0"/>
    <m/>
  </r>
  <r>
    <x v="0"/>
    <x v="0"/>
    <x v="0"/>
    <x v="0"/>
    <n v="5710"/>
    <x v="353"/>
    <x v="5"/>
    <m/>
    <n v="525372"/>
    <n v="175000"/>
    <m/>
    <x v="409"/>
    <s v="PF"/>
    <d v="2014-08-12T00:00:00"/>
    <x v="311"/>
    <m/>
    <m/>
    <s v="Nil"/>
    <m/>
    <m/>
    <s v="Alterations including erection of external metal staircase on the west side of the building (towards its southern end) extending from ground floor level up to third floor level and insertion of access doors at all levels. Works in connection with proposed change of use from storage use (class B8)  to recording studio and editing suites (Sui Generis use class)."/>
    <x v="402"/>
    <s v="COU"/>
    <x v="2"/>
    <s v="OC"/>
    <m/>
    <d v="2015-03-31T00:00:00"/>
    <d v="2017-05-23T00:00:00"/>
    <d v="2017-05-23T00:00:00"/>
    <s v="C"/>
    <s v="BF"/>
    <x v="0"/>
    <m/>
    <d v="2015-03-31T00:00:00"/>
    <d v="2017-05-23T00:00:00"/>
    <m/>
    <m/>
    <m/>
    <m/>
    <m/>
    <m/>
    <m/>
    <m/>
    <m/>
    <m/>
    <m/>
    <m/>
    <m/>
    <m/>
    <m/>
    <m/>
    <m/>
    <m/>
    <m/>
    <m/>
    <m/>
    <m/>
    <m/>
    <m/>
    <m/>
    <m/>
    <n v="42"/>
    <n v="42"/>
    <m/>
    <m/>
    <m/>
    <x v="0"/>
    <x v="1"/>
    <x v="1"/>
    <m/>
    <m/>
    <m/>
    <m/>
    <m/>
    <m/>
    <m/>
    <x v="0"/>
    <m/>
    <m/>
    <m/>
    <n v="-42"/>
    <n v="-42"/>
    <x v="1"/>
    <m/>
    <m/>
    <m/>
    <m/>
    <s v="-"/>
    <s v="-"/>
    <s v="-"/>
    <s v="-"/>
    <s v="-"/>
    <s v="-"/>
    <s v="-"/>
    <s v="-"/>
    <s v="-"/>
    <s v="-"/>
    <s v="-"/>
    <x v="1"/>
    <x v="0"/>
    <s v="-"/>
    <s v="-"/>
    <s v="-"/>
    <s v="-"/>
    <s v="-"/>
    <s v="-"/>
    <s v="-"/>
    <s v="-"/>
    <s v="-"/>
    <s v="Storage"/>
    <s v="-"/>
    <x v="0"/>
    <x v="0"/>
    <n v="0"/>
    <n v="105"/>
    <n v="42"/>
    <n v="63"/>
    <x v="0"/>
    <x v="0"/>
    <m/>
    <x v="1"/>
    <s v="Central Wandsworth"/>
    <x v="0"/>
    <m/>
    <x v="0"/>
    <x v="0"/>
    <x v="0"/>
    <x v="0"/>
    <m/>
    <n v="0"/>
    <n v="0"/>
    <n v="0"/>
    <x v="0"/>
    <m/>
  </r>
  <r>
    <x v="3"/>
    <x v="0"/>
    <x v="0"/>
    <x v="1"/>
    <n v="5717"/>
    <x v="354"/>
    <x v="17"/>
    <n v="3.0000000260770299E-3"/>
    <n v="529218"/>
    <n v="172611"/>
    <m/>
    <x v="410"/>
    <s v="PF"/>
    <d v="2014-12-17T00:00:00"/>
    <x v="312"/>
    <m/>
    <m/>
    <s v="Nil"/>
    <m/>
    <m/>
    <s v="Conversion of 5 vacant residential garages into a 1 x 2 bedroom dwelling including excavation to create basement level accomodation and a courtyard."/>
    <x v="403"/>
    <s v="NB"/>
    <x v="0"/>
    <s v="UC"/>
    <d v="2017-03-31T00:00:00"/>
    <d v="2017-04-01T00:00:00"/>
    <m/>
    <m/>
    <s v="C"/>
    <s v="BF"/>
    <x v="0"/>
    <m/>
    <d v="2017-04-01T00:00:00"/>
    <m/>
    <m/>
    <m/>
    <m/>
    <m/>
    <m/>
    <m/>
    <m/>
    <m/>
    <m/>
    <m/>
    <m/>
    <m/>
    <m/>
    <m/>
    <m/>
    <m/>
    <m/>
    <m/>
    <m/>
    <m/>
    <m/>
    <m/>
    <m/>
    <m/>
    <m/>
    <m/>
    <m/>
    <m/>
    <m/>
    <m/>
    <m/>
    <x v="0"/>
    <x v="0"/>
    <x v="1"/>
    <m/>
    <m/>
    <m/>
    <m/>
    <m/>
    <m/>
    <m/>
    <x v="0"/>
    <m/>
    <m/>
    <m/>
    <m/>
    <m/>
    <x v="0"/>
    <m/>
    <m/>
    <m/>
    <m/>
    <s v="-"/>
    <s v="-"/>
    <s v="-"/>
    <s v="-"/>
    <s v="-"/>
    <s v="-"/>
    <s v="-"/>
    <s v="-"/>
    <s v="-"/>
    <s v="-"/>
    <s v="-"/>
    <x v="1"/>
    <x v="0"/>
    <s v="-"/>
    <s v="-"/>
    <s v="-"/>
    <s v="-"/>
    <s v="-"/>
    <s v="-"/>
    <s v="-"/>
    <s v="-"/>
    <s v="-"/>
    <s v="-"/>
    <s v="-"/>
    <x v="0"/>
    <x v="0"/>
    <n v="0"/>
    <n v="0"/>
    <n v="59"/>
    <n v="-59"/>
    <x v="0"/>
    <x v="0"/>
    <m/>
    <x v="0"/>
    <m/>
    <x v="0"/>
    <m/>
    <x v="0"/>
    <x v="0"/>
    <x v="0"/>
    <x v="0"/>
    <m/>
    <n v="80"/>
    <n v="0"/>
    <n v="80"/>
    <x v="1"/>
    <m/>
  </r>
  <r>
    <x v="2"/>
    <x v="0"/>
    <x v="0"/>
    <x v="1"/>
    <n v="5738"/>
    <x v="355"/>
    <x v="4"/>
    <n v="4.9999998882412902E-3"/>
    <n v="526685"/>
    <n v="176524"/>
    <m/>
    <x v="411"/>
    <s v="PF"/>
    <d v="2014-10-09T00:00:00"/>
    <x v="94"/>
    <m/>
    <m/>
    <s v="Nil"/>
    <m/>
    <m/>
    <s v="Erection of electricity service cabinet to serve house boat mooring."/>
    <x v="404"/>
    <s v="NB"/>
    <x v="0"/>
    <s v="NSO"/>
    <m/>
    <m/>
    <m/>
    <m/>
    <s v="C"/>
    <s v="BF"/>
    <x v="0"/>
    <m/>
    <m/>
    <m/>
    <m/>
    <m/>
    <m/>
    <m/>
    <m/>
    <m/>
    <m/>
    <m/>
    <m/>
    <m/>
    <m/>
    <m/>
    <m/>
    <m/>
    <m/>
    <m/>
    <m/>
    <m/>
    <m/>
    <m/>
    <m/>
    <m/>
    <m/>
    <m/>
    <m/>
    <m/>
    <m/>
    <m/>
    <m/>
    <m/>
    <m/>
    <x v="0"/>
    <x v="0"/>
    <x v="1"/>
    <m/>
    <m/>
    <m/>
    <m/>
    <m/>
    <m/>
    <m/>
    <x v="0"/>
    <m/>
    <m/>
    <m/>
    <m/>
    <m/>
    <x v="0"/>
    <m/>
    <m/>
    <m/>
    <m/>
    <s v="-"/>
    <s v="-"/>
    <s v="-"/>
    <s v="-"/>
    <s v="-"/>
    <s v="-"/>
    <s v="-"/>
    <s v="-"/>
    <s v="-"/>
    <s v="-"/>
    <s v="-"/>
    <x v="1"/>
    <x v="0"/>
    <s v="-"/>
    <s v="-"/>
    <s v="-"/>
    <s v="-"/>
    <s v="-"/>
    <s v="-"/>
    <s v="-"/>
    <s v="-"/>
    <s v="-"/>
    <s v="-"/>
    <s v="-"/>
    <x v="0"/>
    <x v="0"/>
    <n v="4.9999998882412902E-3"/>
    <n v="60"/>
    <n v="0"/>
    <n v="60"/>
    <x v="1"/>
    <x v="0"/>
    <m/>
    <x v="0"/>
    <m/>
    <x v="0"/>
    <m/>
    <x v="0"/>
    <x v="0"/>
    <x v="0"/>
    <x v="0"/>
    <m/>
    <n v="0"/>
    <n v="0"/>
    <n v="0"/>
    <x v="0"/>
    <m/>
  </r>
  <r>
    <x v="0"/>
    <x v="0"/>
    <x v="0"/>
    <x v="0"/>
    <n v="5746"/>
    <x v="356"/>
    <x v="2"/>
    <n v="1.7000000923872001E-2"/>
    <n v="528552"/>
    <n v="173138"/>
    <m/>
    <x v="412"/>
    <s v="PF"/>
    <d v="2014-10-10T00:00:00"/>
    <x v="233"/>
    <m/>
    <m/>
    <s v="Nil"/>
    <m/>
    <m/>
    <s v="Demolish existing unit (Use Class B1) and construction of 2 storey building to provide 4 self contained apartments (2 x one bedroom and 2 x two bedroom) with refuse and store and cycle parking."/>
    <x v="405"/>
    <s v="NB"/>
    <x v="0"/>
    <s v="OC"/>
    <m/>
    <d v="2016-02-23T00:00:00"/>
    <d v="2017-11-06T00:00:00"/>
    <d v="2017-11-06T00:00:00"/>
    <s v="C"/>
    <s v="BF"/>
    <x v="0"/>
    <m/>
    <d v="2016-02-23T00:00:00"/>
    <d v="2017-11-06T00:00:00"/>
    <m/>
    <m/>
    <m/>
    <m/>
    <m/>
    <m/>
    <m/>
    <m/>
    <m/>
    <m/>
    <m/>
    <m/>
    <m/>
    <m/>
    <m/>
    <m/>
    <m/>
    <m/>
    <m/>
    <m/>
    <m/>
    <m/>
    <n v="159"/>
    <m/>
    <m/>
    <m/>
    <m/>
    <n v="159"/>
    <m/>
    <m/>
    <m/>
    <x v="0"/>
    <x v="1"/>
    <x v="1"/>
    <m/>
    <m/>
    <m/>
    <m/>
    <m/>
    <m/>
    <n v="-159"/>
    <x v="1"/>
    <m/>
    <m/>
    <m/>
    <m/>
    <n v="-159"/>
    <x v="1"/>
    <m/>
    <m/>
    <m/>
    <m/>
    <s v="-"/>
    <s v="-"/>
    <s v="-"/>
    <s v="-"/>
    <s v="-"/>
    <s v="-"/>
    <s v="-"/>
    <s v="-"/>
    <s v="-"/>
    <s v="-"/>
    <s v="-"/>
    <x v="1"/>
    <x v="0"/>
    <s v="-"/>
    <s v="-"/>
    <s v="-"/>
    <s v="-"/>
    <s v="-"/>
    <s v="Not Known"/>
    <s v="-"/>
    <s v="-"/>
    <s v="-"/>
    <s v="-"/>
    <s v="-"/>
    <x v="0"/>
    <x v="0"/>
    <n v="0"/>
    <n v="0"/>
    <n v="159"/>
    <n v="-159"/>
    <x v="0"/>
    <x v="0"/>
    <m/>
    <x v="0"/>
    <m/>
    <x v="0"/>
    <m/>
    <x v="0"/>
    <x v="0"/>
    <x v="0"/>
    <x v="0"/>
    <m/>
    <n v="170"/>
    <n v="0"/>
    <n v="170"/>
    <x v="1"/>
    <m/>
  </r>
  <r>
    <x v="2"/>
    <x v="2"/>
    <x v="2"/>
    <x v="1"/>
    <n v="5749"/>
    <x v="357"/>
    <x v="7"/>
    <n v="4.9999998882412902E-3"/>
    <n v="523192"/>
    <n v="175813"/>
    <m/>
    <x v="413"/>
    <s v="PANR"/>
    <d v="2014-10-09T00:00:00"/>
    <x v="313"/>
    <m/>
    <m/>
    <s v="Nil"/>
    <m/>
    <m/>
    <s v="Change of use of the ground and first floors of the building to form one residential dwelling (two storey) from its permittred Class B1(a) office."/>
    <x v="406"/>
    <s v="COU"/>
    <x v="2"/>
    <s v="NSO"/>
    <m/>
    <m/>
    <m/>
    <m/>
    <s v="C"/>
    <s v="BF"/>
    <x v="0"/>
    <m/>
    <m/>
    <m/>
    <m/>
    <m/>
    <m/>
    <m/>
    <m/>
    <m/>
    <m/>
    <m/>
    <m/>
    <m/>
    <m/>
    <m/>
    <m/>
    <m/>
    <m/>
    <m/>
    <m/>
    <m/>
    <m/>
    <m/>
    <m/>
    <m/>
    <n v="110"/>
    <m/>
    <m/>
    <m/>
    <m/>
    <n v="110"/>
    <m/>
    <m/>
    <m/>
    <x v="0"/>
    <x v="1"/>
    <x v="1"/>
    <m/>
    <m/>
    <m/>
    <m/>
    <m/>
    <m/>
    <n v="-110"/>
    <x v="1"/>
    <m/>
    <m/>
    <m/>
    <m/>
    <n v="-110"/>
    <x v="1"/>
    <m/>
    <m/>
    <m/>
    <m/>
    <s v="-"/>
    <s v="-"/>
    <s v="-"/>
    <s v="-"/>
    <s v="-"/>
    <s v="-"/>
    <s v="-"/>
    <s v="-"/>
    <s v="-"/>
    <s v="-"/>
    <s v="-"/>
    <x v="1"/>
    <x v="0"/>
    <s v="-"/>
    <s v="-"/>
    <s v="-"/>
    <s v="-"/>
    <s v="-"/>
    <s v="Not Known"/>
    <s v="-"/>
    <s v="-"/>
    <s v="-"/>
    <s v="-"/>
    <s v="-"/>
    <x v="0"/>
    <x v="0"/>
    <n v="0"/>
    <n v="0"/>
    <n v="110"/>
    <n v="-110"/>
    <x v="0"/>
    <x v="0"/>
    <m/>
    <x v="0"/>
    <m/>
    <x v="0"/>
    <m/>
    <x v="0"/>
    <x v="0"/>
    <x v="0"/>
    <x v="0"/>
    <m/>
    <n v="130"/>
    <n v="0"/>
    <n v="130"/>
    <x v="1"/>
    <m/>
  </r>
  <r>
    <x v="0"/>
    <x v="0"/>
    <x v="0"/>
    <x v="0"/>
    <n v="5752"/>
    <x v="358"/>
    <x v="10"/>
    <n v="9.0999998152255998E-2"/>
    <n v="524731"/>
    <n v="174845"/>
    <m/>
    <x v="414"/>
    <s v="PF"/>
    <d v="2015-09-08T00:00:00"/>
    <x v="314"/>
    <m/>
    <m/>
    <s v="Nil"/>
    <m/>
    <m/>
    <s v="Excavation to enlarge existing basement including formation of front and rear lightwells to provide two 1-bedroom flats; demolition of existing side garage and erection of single storey side extension to provide 1 additional bedroom in ground floor flat. (Revisions to planning permission ref 2014/5704 dated 18/12/14 to include increased basement floorspace and provision of two flats instead of one)."/>
    <x v="407"/>
    <s v="MIX"/>
    <x v="0"/>
    <s v="OC"/>
    <m/>
    <d v="2017-04-01T00:00:00"/>
    <d v="2018-03-31T00:00:00"/>
    <d v="2018-03-31T00:00:00"/>
    <s v="C"/>
    <s v="BF"/>
    <x v="0"/>
    <m/>
    <d v="2017-04-01T00:00:00"/>
    <d v="2018-03-31T00:00:00"/>
    <m/>
    <m/>
    <m/>
    <m/>
    <m/>
    <m/>
    <m/>
    <m/>
    <m/>
    <m/>
    <m/>
    <m/>
    <m/>
    <m/>
    <m/>
    <m/>
    <m/>
    <m/>
    <m/>
    <m/>
    <m/>
    <m/>
    <m/>
    <m/>
    <m/>
    <m/>
    <n v="52"/>
    <n v="52"/>
    <m/>
    <m/>
    <m/>
    <x v="0"/>
    <x v="1"/>
    <x v="1"/>
    <m/>
    <m/>
    <m/>
    <m/>
    <m/>
    <m/>
    <m/>
    <x v="0"/>
    <m/>
    <m/>
    <m/>
    <n v="-52"/>
    <n v="-52"/>
    <x v="1"/>
    <m/>
    <m/>
    <m/>
    <m/>
    <s v="-"/>
    <s v="-"/>
    <s v="-"/>
    <s v="-"/>
    <s v="-"/>
    <s v="-"/>
    <s v="-"/>
    <s v="-"/>
    <s v="-"/>
    <s v="-"/>
    <s v="-"/>
    <x v="1"/>
    <x v="0"/>
    <s v="-"/>
    <s v="-"/>
    <s v="-"/>
    <s v="-"/>
    <s v="-"/>
    <s v="-"/>
    <s v="-"/>
    <s v="-"/>
    <s v="-"/>
    <s v="Ancillary to C3"/>
    <s v="-"/>
    <x v="0"/>
    <x v="0"/>
    <n v="8.4999998100101934E-2"/>
    <n v="0"/>
    <n v="60"/>
    <n v="-60"/>
    <x v="0"/>
    <x v="0"/>
    <m/>
    <x v="0"/>
    <m/>
    <x v="0"/>
    <m/>
    <x v="0"/>
    <x v="0"/>
    <x v="0"/>
    <x v="0"/>
    <m/>
    <n v="60"/>
    <n v="0"/>
    <n v="60"/>
    <x v="1"/>
    <m/>
  </r>
  <r>
    <x v="2"/>
    <x v="0"/>
    <x v="0"/>
    <x v="1"/>
    <n v="5753"/>
    <x v="359"/>
    <x v="15"/>
    <n v="6.0000000521540598E-3"/>
    <n v="529298"/>
    <n v="171088"/>
    <m/>
    <x v="415"/>
    <s v="PF"/>
    <d v="2014-10-14T00:00:00"/>
    <x v="315"/>
    <m/>
    <m/>
    <s v="Nil"/>
    <m/>
    <m/>
    <s v="Change of use of ground floor from (Class Use A1) to taxi hire business (Class Use Sui Generis) open 24 hours a day, 7 days a week."/>
    <x v="408"/>
    <s v="COU"/>
    <x v="2"/>
    <s v="NSO"/>
    <m/>
    <m/>
    <m/>
    <m/>
    <s v="C"/>
    <s v="BF"/>
    <x v="0"/>
    <m/>
    <m/>
    <m/>
    <m/>
    <m/>
    <m/>
    <m/>
    <m/>
    <m/>
    <m/>
    <m/>
    <m/>
    <m/>
    <m/>
    <m/>
    <m/>
    <m/>
    <m/>
    <m/>
    <n v="51"/>
    <m/>
    <m/>
    <m/>
    <m/>
    <n v="51"/>
    <m/>
    <m/>
    <m/>
    <m/>
    <m/>
    <m/>
    <m/>
    <m/>
    <m/>
    <x v="1"/>
    <x v="0"/>
    <x v="1"/>
    <n v="-51"/>
    <m/>
    <m/>
    <m/>
    <m/>
    <n v="-51"/>
    <m/>
    <x v="0"/>
    <m/>
    <m/>
    <m/>
    <m/>
    <m/>
    <x v="0"/>
    <m/>
    <m/>
    <m/>
    <m/>
    <s v="-"/>
    <s v="-"/>
    <s v="-"/>
    <s v="-"/>
    <s v="-"/>
    <s v="-"/>
    <s v="-"/>
    <s v="-"/>
    <s v="-"/>
    <s v="-"/>
    <s v="-"/>
    <x v="1"/>
    <x v="0"/>
    <s v="Not Known"/>
    <s v="-"/>
    <s v="-"/>
    <s v="-"/>
    <s v="-"/>
    <s v="-"/>
    <s v="-"/>
    <s v="-"/>
    <s v="-"/>
    <s v="-"/>
    <s v="-"/>
    <x v="0"/>
    <x v="0"/>
    <n v="6.0000000521540598E-3"/>
    <n v="51"/>
    <n v="51"/>
    <n v="0"/>
    <x v="0"/>
    <x v="0"/>
    <m/>
    <x v="0"/>
    <m/>
    <x v="0"/>
    <m/>
    <x v="0"/>
    <x v="0"/>
    <x v="0"/>
    <x v="1"/>
    <s v="Mitcham Lane"/>
    <n v="0"/>
    <n v="0"/>
    <n v="0"/>
    <x v="0"/>
    <m/>
  </r>
  <r>
    <x v="2"/>
    <x v="2"/>
    <x v="2"/>
    <x v="1"/>
    <n v="5758"/>
    <x v="360"/>
    <x v="7"/>
    <n v="3.9000000804662698E-2"/>
    <n v="524187"/>
    <n v="175554"/>
    <m/>
    <x v="416"/>
    <s v="PAG"/>
    <d v="2014-12-11T00:00:00"/>
    <x v="316"/>
    <m/>
    <m/>
    <s v="Nil"/>
    <m/>
    <m/>
    <s v="Change of use from B1 (office) to C3 (dwellinghouse) comprising 3 x apartments."/>
    <x v="409"/>
    <s v="COU"/>
    <x v="2"/>
    <s v="NSO"/>
    <m/>
    <m/>
    <m/>
    <m/>
    <s v="C"/>
    <s v="BF"/>
    <x v="0"/>
    <m/>
    <m/>
    <m/>
    <m/>
    <m/>
    <m/>
    <m/>
    <m/>
    <m/>
    <m/>
    <m/>
    <m/>
    <m/>
    <m/>
    <m/>
    <m/>
    <m/>
    <m/>
    <m/>
    <m/>
    <m/>
    <m/>
    <m/>
    <m/>
    <m/>
    <n v="762"/>
    <m/>
    <m/>
    <m/>
    <m/>
    <n v="762"/>
    <m/>
    <m/>
    <m/>
    <x v="0"/>
    <x v="1"/>
    <x v="1"/>
    <m/>
    <m/>
    <m/>
    <m/>
    <m/>
    <m/>
    <n v="-762"/>
    <x v="1"/>
    <m/>
    <m/>
    <m/>
    <m/>
    <n v="-762"/>
    <x v="1"/>
    <m/>
    <m/>
    <m/>
    <m/>
    <s v="-"/>
    <s v="-"/>
    <s v="-"/>
    <s v="-"/>
    <s v="-"/>
    <s v="-"/>
    <s v="-"/>
    <s v="-"/>
    <s v="-"/>
    <s v="-"/>
    <s v="-"/>
    <x v="1"/>
    <x v="0"/>
    <s v="-"/>
    <s v="-"/>
    <s v="-"/>
    <s v="-"/>
    <s v="-"/>
    <s v="Not Known"/>
    <s v="-"/>
    <s v="-"/>
    <s v="-"/>
    <s v="-"/>
    <s v="-"/>
    <x v="0"/>
    <x v="0"/>
    <n v="0"/>
    <n v="0"/>
    <n v="762"/>
    <n v="-762"/>
    <x v="1"/>
    <x v="0"/>
    <m/>
    <x v="0"/>
    <m/>
    <x v="0"/>
    <m/>
    <x v="0"/>
    <x v="1"/>
    <x v="2"/>
    <x v="0"/>
    <m/>
    <n v="762"/>
    <n v="0"/>
    <n v="762"/>
    <x v="1"/>
    <m/>
  </r>
  <r>
    <x v="3"/>
    <x v="0"/>
    <x v="0"/>
    <x v="1"/>
    <n v="5767"/>
    <x v="361"/>
    <x v="4"/>
    <n v="2.70000007003546E-2"/>
    <n v="526797"/>
    <n v="176325"/>
    <m/>
    <x v="417"/>
    <s v="PFLA"/>
    <d v="2014-09-16T00:00:00"/>
    <x v="317"/>
    <m/>
    <d v="2015-02-18T00:00:00"/>
    <s v="Nil"/>
    <m/>
    <m/>
    <s v="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
    <x v="410"/>
    <s v="MIX"/>
    <x v="0"/>
    <s v="UC"/>
    <m/>
    <d v="2017-07-21T00:00:00"/>
    <m/>
    <m/>
    <s v="C"/>
    <s v="BF"/>
    <x v="0"/>
    <m/>
    <d v="2017-07-21T00:00:00"/>
    <m/>
    <n v="318"/>
    <m/>
    <m/>
    <m/>
    <m/>
    <n v="318"/>
    <n v="170"/>
    <m/>
    <m/>
    <n v="170"/>
    <m/>
    <m/>
    <n v="170"/>
    <m/>
    <m/>
    <m/>
    <m/>
    <m/>
    <m/>
    <m/>
    <m/>
    <m/>
    <m/>
    <m/>
    <m/>
    <m/>
    <m/>
    <m/>
    <m/>
    <m/>
    <m/>
    <x v="1"/>
    <x v="1"/>
    <x v="1"/>
    <n v="318"/>
    <m/>
    <m/>
    <m/>
    <m/>
    <n v="318"/>
    <n v="170"/>
    <x v="0"/>
    <m/>
    <m/>
    <m/>
    <m/>
    <n v="170"/>
    <x v="0"/>
    <m/>
    <m/>
    <m/>
    <m/>
    <s v="Not Known"/>
    <s v="-"/>
    <s v="-"/>
    <s v="-"/>
    <s v="-"/>
    <s v="Not Known"/>
    <s v="-"/>
    <s v="-"/>
    <s v="-"/>
    <s v="-"/>
    <s v="-"/>
    <x v="1"/>
    <x v="0"/>
    <s v="-"/>
    <s v="-"/>
    <s v="-"/>
    <s v="-"/>
    <s v="-"/>
    <s v="-"/>
    <s v="-"/>
    <s v="-"/>
    <s v="-"/>
    <s v="-"/>
    <s v="-"/>
    <x v="0"/>
    <x v="0"/>
    <n v="5.0000008195639004E-3"/>
    <n v="488"/>
    <n v="485"/>
    <n v="3"/>
    <x v="0"/>
    <x v="0"/>
    <m/>
    <x v="0"/>
    <m/>
    <x v="1"/>
    <s v="Gwynne Road"/>
    <x v="0"/>
    <x v="0"/>
    <x v="0"/>
    <x v="0"/>
    <m/>
    <n v="2556"/>
    <n v="0"/>
    <n v="2556"/>
    <x v="1"/>
    <m/>
  </r>
  <r>
    <x v="2"/>
    <x v="0"/>
    <x v="0"/>
    <x v="1"/>
    <n v="5770"/>
    <x v="362"/>
    <x v="7"/>
    <n v="1.4000000432133701E-2"/>
    <n v="524319"/>
    <n v="174957"/>
    <m/>
    <x v="418"/>
    <s v="PF"/>
    <d v="2015-05-20T00:00:00"/>
    <x v="318"/>
    <m/>
    <m/>
    <s v="Nil"/>
    <m/>
    <m/>
    <s v="Demolition of rear workshop. Alterations including erection of rear two-storey extension, internal layout change to incorporate two additional dwellings, conversion of two small shops into one shop and formation of a roof terrace above no. 116. Creation of new shared entrance within the shop front to proposed flats."/>
    <x v="411"/>
    <s v="MIX"/>
    <x v="0"/>
    <s v="NSO"/>
    <m/>
    <m/>
    <m/>
    <m/>
    <s v="C"/>
    <s v="BF"/>
    <x v="0"/>
    <m/>
    <m/>
    <m/>
    <n v="138"/>
    <m/>
    <m/>
    <m/>
    <m/>
    <n v="138"/>
    <m/>
    <m/>
    <m/>
    <m/>
    <m/>
    <m/>
    <m/>
    <m/>
    <m/>
    <m/>
    <n v="130"/>
    <m/>
    <m/>
    <m/>
    <m/>
    <n v="130"/>
    <m/>
    <m/>
    <m/>
    <m/>
    <m/>
    <m/>
    <m/>
    <m/>
    <m/>
    <x v="1"/>
    <x v="0"/>
    <x v="1"/>
    <n v="8"/>
    <m/>
    <m/>
    <m/>
    <m/>
    <n v="8"/>
    <m/>
    <x v="0"/>
    <m/>
    <m/>
    <m/>
    <m/>
    <m/>
    <x v="0"/>
    <m/>
    <m/>
    <m/>
    <m/>
    <s v="Services"/>
    <s v="-"/>
    <s v="-"/>
    <s v="-"/>
    <s v="-"/>
    <s v="-"/>
    <s v="-"/>
    <s v="-"/>
    <s v="-"/>
    <s v="-"/>
    <s v="-"/>
    <x v="1"/>
    <x v="0"/>
    <s v="Services"/>
    <s v="-"/>
    <s v="-"/>
    <s v="-"/>
    <s v="-"/>
    <s v="-"/>
    <s v="-"/>
    <s v="-"/>
    <s v="-"/>
    <s v="-"/>
    <s v="-"/>
    <x v="0"/>
    <x v="0"/>
    <n v="7.0000002160668607E-3"/>
    <n v="138"/>
    <n v="130"/>
    <n v="8"/>
    <x v="0"/>
    <x v="0"/>
    <m/>
    <x v="0"/>
    <m/>
    <x v="0"/>
    <m/>
    <x v="0"/>
    <x v="1"/>
    <x v="2"/>
    <x v="0"/>
    <m/>
    <n v="138"/>
    <n v="0"/>
    <n v="138"/>
    <x v="1"/>
    <m/>
  </r>
  <r>
    <x v="2"/>
    <x v="0"/>
    <x v="0"/>
    <x v="1"/>
    <n v="5774"/>
    <x v="363"/>
    <x v="9"/>
    <n v="8.0000003799796104E-3"/>
    <n v="527884"/>
    <n v="176593"/>
    <m/>
    <x v="419"/>
    <s v="PF"/>
    <d v="2016-08-18T00:00:00"/>
    <x v="167"/>
    <m/>
    <m/>
    <s v="Nil"/>
    <m/>
    <m/>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x v="412"/>
    <s v="MIX"/>
    <x v="0"/>
    <s v="NSO"/>
    <m/>
    <m/>
    <m/>
    <m/>
    <s v="C"/>
    <s v="BF"/>
    <x v="0"/>
    <m/>
    <m/>
    <m/>
    <m/>
    <m/>
    <m/>
    <m/>
    <n v="83"/>
    <n v="83"/>
    <m/>
    <m/>
    <m/>
    <m/>
    <m/>
    <m/>
    <m/>
    <m/>
    <m/>
    <m/>
    <m/>
    <m/>
    <m/>
    <m/>
    <n v="97"/>
    <n v="97"/>
    <m/>
    <m/>
    <m/>
    <m/>
    <m/>
    <m/>
    <m/>
    <m/>
    <m/>
    <x v="1"/>
    <x v="0"/>
    <x v="1"/>
    <m/>
    <m/>
    <m/>
    <m/>
    <n v="-14"/>
    <n v="-14"/>
    <m/>
    <x v="0"/>
    <m/>
    <m/>
    <m/>
    <m/>
    <m/>
    <x v="0"/>
    <m/>
    <m/>
    <m/>
    <m/>
    <s v="-"/>
    <s v="-"/>
    <s v="-"/>
    <s v="-"/>
    <s v="Take-Aways"/>
    <s v="-"/>
    <s v="-"/>
    <s v="-"/>
    <s v="-"/>
    <s v="-"/>
    <s v="-"/>
    <x v="1"/>
    <x v="0"/>
    <s v="-"/>
    <s v="-"/>
    <s v="-"/>
    <s v="-"/>
    <s v="Take-Aways"/>
    <s v="-"/>
    <s v="-"/>
    <s v="-"/>
    <s v="-"/>
    <s v="-"/>
    <s v="-"/>
    <x v="0"/>
    <x v="0"/>
    <n v="2.0000003278255506E-3"/>
    <n v="83"/>
    <n v="97"/>
    <n v="-14"/>
    <x v="0"/>
    <x v="0"/>
    <m/>
    <x v="0"/>
    <m/>
    <x v="0"/>
    <m/>
    <x v="0"/>
    <x v="0"/>
    <x v="0"/>
    <x v="0"/>
    <m/>
    <n v="202"/>
    <n v="120"/>
    <n v="82"/>
    <x v="1"/>
    <m/>
  </r>
  <r>
    <x v="3"/>
    <x v="0"/>
    <x v="0"/>
    <x v="1"/>
    <n v="5775"/>
    <x v="364"/>
    <x v="3"/>
    <n v="2.8999999165535001E-2"/>
    <n v="527719"/>
    <n v="174043"/>
    <m/>
    <x v="420"/>
    <s v="PF"/>
    <d v="2014-11-06T00:00:00"/>
    <x v="319"/>
    <m/>
    <m/>
    <s v="Nil"/>
    <m/>
    <m/>
    <s v="Demolition of existing garages, erection of a single-storey plus basement attached self-contained dwelling fronting Blenkame Road with boundary treatment and associated landscaping."/>
    <x v="413"/>
    <s v="NB"/>
    <x v="0"/>
    <s v="UC"/>
    <m/>
    <d v="2016-02-11T00:00:00"/>
    <m/>
    <m/>
    <s v="C"/>
    <s v="BF"/>
    <x v="0"/>
    <m/>
    <d v="2016-02-11T00:00:00"/>
    <m/>
    <m/>
    <m/>
    <m/>
    <m/>
    <m/>
    <m/>
    <m/>
    <m/>
    <m/>
    <m/>
    <m/>
    <m/>
    <m/>
    <m/>
    <m/>
    <m/>
    <m/>
    <m/>
    <m/>
    <m/>
    <m/>
    <m/>
    <m/>
    <m/>
    <m/>
    <m/>
    <m/>
    <m/>
    <m/>
    <m/>
    <m/>
    <x v="0"/>
    <x v="0"/>
    <x v="1"/>
    <m/>
    <m/>
    <m/>
    <m/>
    <m/>
    <m/>
    <m/>
    <x v="0"/>
    <m/>
    <m/>
    <m/>
    <m/>
    <m/>
    <x v="0"/>
    <m/>
    <m/>
    <m/>
    <m/>
    <s v="-"/>
    <s v="-"/>
    <s v="-"/>
    <s v="-"/>
    <s v="-"/>
    <s v="-"/>
    <s v="-"/>
    <s v="-"/>
    <s v="-"/>
    <s v="-"/>
    <s v="-"/>
    <x v="1"/>
    <x v="0"/>
    <s v="-"/>
    <s v="-"/>
    <s v="-"/>
    <s v="-"/>
    <s v="-"/>
    <s v="-"/>
    <s v="-"/>
    <s v="-"/>
    <s v="-"/>
    <s v="-"/>
    <s v="-"/>
    <x v="0"/>
    <x v="0"/>
    <n v="1.9999999552965192E-2"/>
    <n v="0"/>
    <n v="38"/>
    <n v="-38"/>
    <x v="0"/>
    <x v="0"/>
    <m/>
    <x v="0"/>
    <m/>
    <x v="0"/>
    <m/>
    <x v="0"/>
    <x v="0"/>
    <x v="0"/>
    <x v="0"/>
    <m/>
    <n v="86"/>
    <n v="0"/>
    <n v="86"/>
    <x v="1"/>
    <m/>
  </r>
  <r>
    <x v="3"/>
    <x v="0"/>
    <x v="0"/>
    <x v="1"/>
    <n v="5777"/>
    <x v="365"/>
    <x v="8"/>
    <n v="0.13400000333786"/>
    <n v="529591"/>
    <n v="176818"/>
    <m/>
    <x v="421"/>
    <s v="PF"/>
    <d v="2014-11-27T00:00:00"/>
    <x v="297"/>
    <m/>
    <m/>
    <s v="Nil"/>
    <m/>
    <m/>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x v="414"/>
    <s v="NB"/>
    <x v="0"/>
    <s v="UC"/>
    <d v="2015-03-31T00:00:00"/>
    <d v="2015-03-31T00:00:00"/>
    <m/>
    <m/>
    <s v="C"/>
    <s v="BF"/>
    <x v="0"/>
    <m/>
    <d v="2015-03-31T00:00:00"/>
    <m/>
    <m/>
    <m/>
    <m/>
    <m/>
    <m/>
    <m/>
    <m/>
    <m/>
    <m/>
    <m/>
    <m/>
    <m/>
    <m/>
    <m/>
    <m/>
    <m/>
    <m/>
    <m/>
    <m/>
    <m/>
    <m/>
    <m/>
    <m/>
    <m/>
    <m/>
    <m/>
    <m/>
    <m/>
    <m/>
    <m/>
    <m/>
    <x v="0"/>
    <x v="0"/>
    <x v="1"/>
    <m/>
    <m/>
    <m/>
    <m/>
    <m/>
    <m/>
    <m/>
    <x v="0"/>
    <m/>
    <m/>
    <m/>
    <m/>
    <m/>
    <x v="0"/>
    <m/>
    <m/>
    <m/>
    <m/>
    <s v="-"/>
    <s v="-"/>
    <s v="-"/>
    <s v="-"/>
    <s v="-"/>
    <s v="-"/>
    <s v="-"/>
    <s v="-"/>
    <s v="-"/>
    <s v="-"/>
    <s v="-"/>
    <x v="1"/>
    <x v="0"/>
    <s v="-"/>
    <s v="-"/>
    <s v="-"/>
    <s v="-"/>
    <s v="-"/>
    <s v="-"/>
    <s v="-"/>
    <s v="-"/>
    <s v="-"/>
    <s v="-"/>
    <s v="-"/>
    <x v="0"/>
    <x v="0"/>
    <n v="0"/>
    <n v="0"/>
    <n v="433"/>
    <n v="-433"/>
    <x v="0"/>
    <x v="0"/>
    <m/>
    <x v="0"/>
    <m/>
    <x v="0"/>
    <m/>
    <x v="1"/>
    <x v="0"/>
    <x v="0"/>
    <x v="0"/>
    <m/>
    <n v="2179"/>
    <n v="0"/>
    <n v="2179"/>
    <x v="1"/>
    <m/>
  </r>
  <r>
    <x v="2"/>
    <x v="0"/>
    <x v="0"/>
    <x v="1"/>
    <n v="5778"/>
    <x v="366"/>
    <x v="17"/>
    <n v="4.39999997615814E-2"/>
    <n v="528208"/>
    <n v="172542"/>
    <m/>
    <x v="422"/>
    <s v="PF"/>
    <d v="2014-04-04T00:00:00"/>
    <x v="306"/>
    <m/>
    <m/>
    <s v="Nil"/>
    <m/>
    <m/>
    <s v="Change of use from Use Class A1(retail shop) to Use Class A3 (restaurant) use."/>
    <x v="415"/>
    <s v="COU"/>
    <x v="2"/>
    <s v="NSO"/>
    <m/>
    <m/>
    <m/>
    <m/>
    <s v="C"/>
    <s v="BF"/>
    <x v="0"/>
    <m/>
    <m/>
    <m/>
    <m/>
    <m/>
    <n v="87"/>
    <m/>
    <m/>
    <n v="87"/>
    <m/>
    <m/>
    <m/>
    <m/>
    <m/>
    <m/>
    <m/>
    <m/>
    <m/>
    <m/>
    <n v="87"/>
    <m/>
    <m/>
    <m/>
    <m/>
    <n v="87"/>
    <m/>
    <m/>
    <m/>
    <m/>
    <m/>
    <m/>
    <m/>
    <m/>
    <m/>
    <x v="1"/>
    <x v="0"/>
    <x v="1"/>
    <n v="-87"/>
    <m/>
    <n v="87"/>
    <m/>
    <m/>
    <m/>
    <m/>
    <x v="0"/>
    <m/>
    <m/>
    <m/>
    <m/>
    <m/>
    <x v="0"/>
    <m/>
    <m/>
    <m/>
    <m/>
    <s v="-"/>
    <s v="-"/>
    <s v="Restaurant"/>
    <s v="-"/>
    <s v="-"/>
    <s v="-"/>
    <s v="-"/>
    <s v="-"/>
    <s v="-"/>
    <s v="-"/>
    <s v="-"/>
    <x v="1"/>
    <x v="0"/>
    <s v="Not Known"/>
    <s v="-"/>
    <s v="-"/>
    <s v="-"/>
    <s v="-"/>
    <s v="-"/>
    <s v="-"/>
    <s v="-"/>
    <s v="-"/>
    <s v="-"/>
    <s v="-"/>
    <x v="0"/>
    <x v="0"/>
    <n v="4.39999997615814E-2"/>
    <n v="87"/>
    <n v="87"/>
    <n v="0"/>
    <x v="0"/>
    <x v="0"/>
    <m/>
    <x v="0"/>
    <m/>
    <x v="0"/>
    <m/>
    <x v="0"/>
    <x v="0"/>
    <x v="0"/>
    <x v="0"/>
    <m/>
    <n v="0"/>
    <n v="0"/>
    <n v="0"/>
    <x v="0"/>
    <m/>
  </r>
  <r>
    <x v="2"/>
    <x v="0"/>
    <x v="0"/>
    <x v="1"/>
    <n v="5781"/>
    <x v="367"/>
    <x v="4"/>
    <n v="0.19499999284744299"/>
    <n v="526418"/>
    <n v="175586"/>
    <s v="10.6"/>
    <x v="423"/>
    <s v="PFLA"/>
    <d v="2014-08-04T00:00:00"/>
    <x v="320"/>
    <m/>
    <d v="2015-03-18T00:00:00"/>
    <s v="Nil"/>
    <m/>
    <m/>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x v="416"/>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1639999933540825"/>
    <n v="8569"/>
    <n v="1505"/>
    <n v="7064"/>
    <x v="1"/>
    <x v="0"/>
    <m/>
    <x v="0"/>
    <m/>
    <x v="1"/>
    <s v="Chatfield/Mendip Roads"/>
    <x v="0"/>
    <x v="0"/>
    <x v="0"/>
    <x v="0"/>
    <m/>
    <n v="1633"/>
    <n v="0"/>
    <n v="1633"/>
    <x v="1"/>
    <m/>
  </r>
  <r>
    <x v="3"/>
    <x v="0"/>
    <x v="0"/>
    <x v="1"/>
    <n v="5782"/>
    <x v="368"/>
    <x v="8"/>
    <n v="1.8370000123977701"/>
    <n v="528822"/>
    <n v="176878"/>
    <s v="2.1.30"/>
    <x v="424"/>
    <s v="PFLA"/>
    <d v="2014-08-04T00:00:00"/>
    <x v="321"/>
    <m/>
    <d v="2014-12-16T00:00:00"/>
    <s v="Nil"/>
    <m/>
    <m/>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x v="417"/>
    <s v="MIX"/>
    <x v="0"/>
    <s v="UC"/>
    <m/>
    <d v="2015-09-14T00:00:00"/>
    <m/>
    <m/>
    <s v="C"/>
    <s v="BF"/>
    <x v="0"/>
    <m/>
    <d v="2015-09-14T00:00:00"/>
    <m/>
    <n v="300"/>
    <n v="844"/>
    <n v="844"/>
    <m/>
    <m/>
    <n v="1988"/>
    <m/>
    <m/>
    <n v="844"/>
    <n v="844"/>
    <m/>
    <m/>
    <n v="844"/>
    <n v="4160"/>
    <m/>
    <n v="4160"/>
    <m/>
    <m/>
    <m/>
    <m/>
    <m/>
    <m/>
    <m/>
    <m/>
    <n v="4085"/>
    <m/>
    <m/>
    <n v="4085"/>
    <n v="1780"/>
    <m/>
    <n v="1780"/>
    <x v="1"/>
    <x v="1"/>
    <x v="0"/>
    <n v="300"/>
    <n v="844"/>
    <n v="844"/>
    <m/>
    <m/>
    <n v="1988"/>
    <m/>
    <x v="0"/>
    <m/>
    <n v="-3241"/>
    <m/>
    <m/>
    <n v="-3241"/>
    <x v="1"/>
    <m/>
    <n v="2380"/>
    <m/>
    <n v="2380"/>
    <s v="Not Known"/>
    <s v="Not Known"/>
    <s v="Not Known"/>
    <s v="-"/>
    <s v="-"/>
    <s v="-"/>
    <s v="-"/>
    <s v="Light Industrial"/>
    <s v="-"/>
    <s v="-"/>
    <s v="-"/>
    <x v="0"/>
    <x v="0"/>
    <s v="-"/>
    <s v="-"/>
    <s v="-"/>
    <s v="-"/>
    <s v="-"/>
    <s v="-"/>
    <s v="-"/>
    <s v="Light Industrial"/>
    <s v="-"/>
    <s v="-"/>
    <s v="-"/>
    <x v="6"/>
    <x v="0"/>
    <n v="0.2219999879598642"/>
    <n v="6992"/>
    <n v="5865"/>
    <n v="1127"/>
    <x v="0"/>
    <x v="0"/>
    <m/>
    <x v="0"/>
    <m/>
    <x v="0"/>
    <m/>
    <x v="1"/>
    <x v="0"/>
    <x v="0"/>
    <x v="0"/>
    <m/>
    <n v="32191"/>
    <n v="234"/>
    <n v="31957"/>
    <x v="1"/>
    <m/>
  </r>
  <r>
    <x v="2"/>
    <x v="0"/>
    <x v="0"/>
    <x v="1"/>
    <n v="5790"/>
    <x v="369"/>
    <x v="16"/>
    <n v="0.178000003099442"/>
    <n v="527359"/>
    <n v="171269"/>
    <m/>
    <x v="425"/>
    <s v="PFLA"/>
    <d v="2016-10-18T00:00:00"/>
    <x v="322"/>
    <m/>
    <d v="2017-02-23T00:00:00"/>
    <s v="Nil"/>
    <m/>
    <m/>
    <s v="Demolition of the existing buildings and redevelopment of the site for a part 3-/4-/5-storey scheme comprising 45 (Class C3) residential units, 362 sqm (GIA) (Class D2) community floorspace, 161 sqm (GIA) flexible office floorspace; refurbishment of the existing club house to provide 169 sqm (GIA) (Class D2) community floorspace and associated landscaped outdoor space."/>
    <x v="418"/>
    <s v="NB"/>
    <x v="0"/>
    <s v="NSV"/>
    <m/>
    <m/>
    <m/>
    <m/>
    <s v="C"/>
    <s v="BF"/>
    <x v="0"/>
    <m/>
    <m/>
    <m/>
    <m/>
    <m/>
    <m/>
    <m/>
    <m/>
    <m/>
    <n v="161"/>
    <m/>
    <m/>
    <n v="161"/>
    <m/>
    <m/>
    <n v="161"/>
    <m/>
    <n v="893"/>
    <n v="893"/>
    <m/>
    <m/>
    <m/>
    <m/>
    <m/>
    <m/>
    <m/>
    <m/>
    <m/>
    <m/>
    <m/>
    <m/>
    <m/>
    <n v="1157"/>
    <n v="1157"/>
    <x v="0"/>
    <x v="1"/>
    <x v="0"/>
    <m/>
    <m/>
    <m/>
    <m/>
    <m/>
    <m/>
    <n v="161"/>
    <x v="0"/>
    <m/>
    <m/>
    <m/>
    <m/>
    <n v="161"/>
    <x v="0"/>
    <m/>
    <m/>
    <n v="-264"/>
    <n v="-264"/>
    <s v="-"/>
    <s v="-"/>
    <s v="-"/>
    <s v="-"/>
    <s v="-"/>
    <s v="-"/>
    <s v="-"/>
    <s v="-"/>
    <s v="-"/>
    <s v="-"/>
    <s v="-"/>
    <x v="1"/>
    <x v="2"/>
    <s v="-"/>
    <s v="-"/>
    <s v="-"/>
    <s v="-"/>
    <s v="-"/>
    <s v="-"/>
    <s v="-"/>
    <s v="-"/>
    <s v="-"/>
    <s v="-"/>
    <s v="-"/>
    <x v="0"/>
    <x v="1"/>
    <n v="7.2000004351139998E-2"/>
    <n v="1054"/>
    <n v="1157"/>
    <n v="-103"/>
    <x v="0"/>
    <x v="0"/>
    <m/>
    <x v="0"/>
    <m/>
    <x v="0"/>
    <m/>
    <x v="0"/>
    <x v="0"/>
    <x v="0"/>
    <x v="0"/>
    <m/>
    <n v="3911"/>
    <n v="0"/>
    <n v="3911"/>
    <x v="1"/>
    <m/>
  </r>
  <r>
    <x v="2"/>
    <x v="0"/>
    <x v="0"/>
    <x v="1"/>
    <n v="5791"/>
    <x v="370"/>
    <x v="8"/>
    <n v="1.2000000104308101E-2"/>
    <n v="528356"/>
    <n v="176657"/>
    <s v="9.10"/>
    <x v="426"/>
    <s v="PF"/>
    <d v="2014-12-03T00:00:00"/>
    <x v="323"/>
    <m/>
    <m/>
    <s v="Nil"/>
    <m/>
    <m/>
    <s v="Change of use of first floor area from retail (Class A1 use) to mini cab office (Sui Generis)."/>
    <x v="419"/>
    <s v="COU"/>
    <x v="2"/>
    <s v="NSO"/>
    <m/>
    <m/>
    <m/>
    <m/>
    <s v="C"/>
    <s v="BF"/>
    <x v="0"/>
    <m/>
    <m/>
    <m/>
    <m/>
    <m/>
    <m/>
    <m/>
    <m/>
    <m/>
    <m/>
    <m/>
    <m/>
    <m/>
    <m/>
    <m/>
    <m/>
    <m/>
    <m/>
    <m/>
    <n v="60"/>
    <m/>
    <m/>
    <m/>
    <m/>
    <n v="60"/>
    <m/>
    <m/>
    <m/>
    <m/>
    <m/>
    <m/>
    <m/>
    <m/>
    <m/>
    <x v="1"/>
    <x v="0"/>
    <x v="1"/>
    <n v="-60"/>
    <m/>
    <m/>
    <m/>
    <m/>
    <n v="-60"/>
    <m/>
    <x v="0"/>
    <m/>
    <m/>
    <m/>
    <m/>
    <m/>
    <x v="0"/>
    <m/>
    <m/>
    <m/>
    <m/>
    <s v="-"/>
    <s v="-"/>
    <s v="-"/>
    <s v="-"/>
    <s v="-"/>
    <s v="-"/>
    <s v="-"/>
    <s v="-"/>
    <s v="-"/>
    <s v="-"/>
    <s v="-"/>
    <x v="1"/>
    <x v="0"/>
    <s v="Other"/>
    <s v="-"/>
    <s v="-"/>
    <s v="-"/>
    <s v="-"/>
    <s v="-"/>
    <s v="-"/>
    <s v="-"/>
    <s v="-"/>
    <s v="-"/>
    <s v="-"/>
    <x v="0"/>
    <x v="0"/>
    <n v="1.2000000104308101E-2"/>
    <n v="60"/>
    <n v="60"/>
    <n v="0"/>
    <x v="0"/>
    <x v="0"/>
    <m/>
    <x v="0"/>
    <m/>
    <x v="0"/>
    <m/>
    <x v="0"/>
    <x v="0"/>
    <x v="0"/>
    <x v="0"/>
    <m/>
    <n v="0"/>
    <n v="0"/>
    <n v="0"/>
    <x v="0"/>
    <m/>
  </r>
  <r>
    <x v="3"/>
    <x v="0"/>
    <x v="0"/>
    <x v="1"/>
    <n v="5793"/>
    <x v="371"/>
    <x v="7"/>
    <n v="0.29600000381469699"/>
    <n v="525347"/>
    <n v="175071"/>
    <m/>
    <x v="427"/>
    <s v="PFLA"/>
    <d v="2014-11-26T00:00:00"/>
    <x v="138"/>
    <m/>
    <d v="2015-03-18T00:00:00"/>
    <s v="Nil"/>
    <m/>
    <m/>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x v="420"/>
    <s v="NB"/>
    <x v="0"/>
    <s v="UC"/>
    <m/>
    <d v="2017-03-31T00:00:00"/>
    <m/>
    <m/>
    <s v="C"/>
    <s v="BF"/>
    <x v="0"/>
    <m/>
    <d v="2017-03-31T00:00:00"/>
    <m/>
    <n v="138"/>
    <n v="110"/>
    <n v="105"/>
    <m/>
    <m/>
    <n v="353"/>
    <n v="117"/>
    <m/>
    <m/>
    <n v="117"/>
    <m/>
    <m/>
    <n v="117"/>
    <m/>
    <m/>
    <m/>
    <m/>
    <m/>
    <m/>
    <m/>
    <m/>
    <m/>
    <m/>
    <m/>
    <m/>
    <m/>
    <m/>
    <m/>
    <m/>
    <m/>
    <m/>
    <x v="1"/>
    <x v="1"/>
    <x v="1"/>
    <n v="138"/>
    <n v="110"/>
    <n v="105"/>
    <m/>
    <m/>
    <n v="353"/>
    <n v="117"/>
    <x v="0"/>
    <m/>
    <m/>
    <m/>
    <m/>
    <n v="117"/>
    <x v="0"/>
    <m/>
    <m/>
    <m/>
    <m/>
    <s v="Not Known"/>
    <s v="Not Known"/>
    <s v="Not Known"/>
    <s v="-"/>
    <s v="-"/>
    <s v="Not Known"/>
    <s v="-"/>
    <s v="-"/>
    <s v="-"/>
    <s v="-"/>
    <s v="-"/>
    <x v="1"/>
    <x v="0"/>
    <s v="-"/>
    <s v="-"/>
    <s v="-"/>
    <s v="-"/>
    <s v="-"/>
    <s v="-"/>
    <s v="-"/>
    <s v="-"/>
    <s v="-"/>
    <s v="-"/>
    <s v="-"/>
    <x v="0"/>
    <x v="0"/>
    <n v="4.9000000581144593E-2"/>
    <n v="1389"/>
    <n v="470"/>
    <n v="919"/>
    <x v="1"/>
    <x v="0"/>
    <m/>
    <x v="0"/>
    <m/>
    <x v="1"/>
    <s v="Osiers Road"/>
    <x v="0"/>
    <x v="0"/>
    <x v="0"/>
    <x v="0"/>
    <m/>
    <n v="5708"/>
    <n v="0"/>
    <n v="5708"/>
    <x v="1"/>
    <m/>
  </r>
  <r>
    <x v="3"/>
    <x v="0"/>
    <x v="0"/>
    <x v="1"/>
    <n v="5794"/>
    <x v="372"/>
    <x v="14"/>
    <n v="8.9999996125698107E-3"/>
    <n v="526672"/>
    <n v="171644"/>
    <m/>
    <x v="428"/>
    <s v="PF"/>
    <d v="2017-06-19T00:00:00"/>
    <x v="324"/>
    <s v="Y"/>
    <m/>
    <s v="Nil"/>
    <m/>
    <m/>
    <s v="Alterations including erection of single-storey rear extension in connection with the change of use of ground floor from office (Class B1) to 1 x 1 bedroom flat (Class C3),"/>
    <x v="421"/>
    <s v="MIX"/>
    <x v="0"/>
    <s v="UC"/>
    <m/>
    <d v="2018-03-31T00:00:00"/>
    <m/>
    <m/>
    <s v="C"/>
    <s v="BF"/>
    <x v="0"/>
    <m/>
    <d v="2018-03-31T00:00:00"/>
    <m/>
    <m/>
    <m/>
    <m/>
    <m/>
    <m/>
    <m/>
    <m/>
    <m/>
    <m/>
    <m/>
    <m/>
    <m/>
    <m/>
    <m/>
    <m/>
    <m/>
    <m/>
    <m/>
    <m/>
    <m/>
    <m/>
    <m/>
    <n v="29"/>
    <m/>
    <m/>
    <m/>
    <m/>
    <n v="29"/>
    <m/>
    <m/>
    <m/>
    <x v="0"/>
    <x v="1"/>
    <x v="1"/>
    <m/>
    <m/>
    <m/>
    <m/>
    <m/>
    <m/>
    <n v="-29"/>
    <x v="1"/>
    <m/>
    <m/>
    <m/>
    <m/>
    <n v="-29"/>
    <x v="1"/>
    <m/>
    <m/>
    <m/>
    <m/>
    <s v="-"/>
    <s v="-"/>
    <s v="-"/>
    <s v="-"/>
    <s v="-"/>
    <s v="-"/>
    <s v="-"/>
    <s v="-"/>
    <s v="-"/>
    <s v="-"/>
    <s v="-"/>
    <x v="1"/>
    <x v="0"/>
    <s v="-"/>
    <s v="-"/>
    <s v="-"/>
    <s v="-"/>
    <s v="-"/>
    <s v="Vacant"/>
    <s v="-"/>
    <s v="-"/>
    <s v="-"/>
    <s v="-"/>
    <s v="-"/>
    <x v="0"/>
    <x v="0"/>
    <n v="3.9999997243285205E-3"/>
    <n v="0"/>
    <n v="29"/>
    <n v="-29"/>
    <x v="0"/>
    <x v="0"/>
    <m/>
    <x v="0"/>
    <m/>
    <x v="0"/>
    <m/>
    <x v="0"/>
    <x v="0"/>
    <x v="0"/>
    <x v="0"/>
    <m/>
    <n v="49"/>
    <n v="0"/>
    <n v="49"/>
    <x v="1"/>
    <m/>
  </r>
  <r>
    <x v="0"/>
    <x v="2"/>
    <x v="2"/>
    <x v="0"/>
    <n v="5796"/>
    <x v="373"/>
    <x v="14"/>
    <n v="3.70000004768372E-2"/>
    <n v="527522"/>
    <n v="171673"/>
    <m/>
    <x v="429"/>
    <s v="PANR"/>
    <d v="2014-12-12T00:00:00"/>
    <x v="325"/>
    <m/>
    <m/>
    <s v="Nil"/>
    <m/>
    <m/>
    <s v="Determination as to whether prior approval is required to change of the use of first and second floors from offices to 10 x self contained studio flats."/>
    <x v="422"/>
    <s v="COU"/>
    <x v="2"/>
    <s v="OC"/>
    <m/>
    <d v="2017-10-25T00:00:00"/>
    <d v="2017-11-20T00:00:00"/>
    <d v="2017-11-20T00:00:00"/>
    <s v="C"/>
    <s v="BF"/>
    <x v="0"/>
    <m/>
    <d v="2017-10-25T00:00:00"/>
    <d v="2017-11-20T00:00:00"/>
    <m/>
    <m/>
    <m/>
    <m/>
    <m/>
    <m/>
    <m/>
    <m/>
    <m/>
    <m/>
    <m/>
    <m/>
    <m/>
    <m/>
    <m/>
    <m/>
    <m/>
    <m/>
    <m/>
    <m/>
    <m/>
    <m/>
    <n v="322"/>
    <m/>
    <m/>
    <m/>
    <m/>
    <n v="322"/>
    <m/>
    <m/>
    <m/>
    <x v="0"/>
    <x v="1"/>
    <x v="1"/>
    <m/>
    <m/>
    <m/>
    <m/>
    <m/>
    <m/>
    <n v="-322"/>
    <x v="1"/>
    <m/>
    <m/>
    <m/>
    <m/>
    <n v="-322"/>
    <x v="1"/>
    <m/>
    <m/>
    <m/>
    <m/>
    <s v="-"/>
    <s v="-"/>
    <s v="-"/>
    <s v="-"/>
    <s v="-"/>
    <s v="-"/>
    <s v="-"/>
    <s v="-"/>
    <s v="-"/>
    <s v="-"/>
    <s v="-"/>
    <x v="1"/>
    <x v="0"/>
    <s v="-"/>
    <s v="-"/>
    <s v="-"/>
    <s v="-"/>
    <s v="-"/>
    <s v="Not Known"/>
    <s v="-"/>
    <s v="-"/>
    <s v="-"/>
    <s v="-"/>
    <s v="-"/>
    <x v="0"/>
    <x v="0"/>
    <n v="1.2000000104308201E-2"/>
    <n v="0"/>
    <n v="322"/>
    <n v="-322"/>
    <x v="0"/>
    <x v="0"/>
    <m/>
    <x v="0"/>
    <m/>
    <x v="0"/>
    <m/>
    <x v="0"/>
    <x v="1"/>
    <x v="3"/>
    <x v="0"/>
    <m/>
    <n v="322"/>
    <n v="0"/>
    <n v="322"/>
    <x v="1"/>
    <m/>
  </r>
  <r>
    <x v="2"/>
    <x v="2"/>
    <x v="2"/>
    <x v="1"/>
    <n v="5801"/>
    <x v="374"/>
    <x v="4"/>
    <n v="1.4000000432133701E-2"/>
    <n v="526534"/>
    <n v="175822"/>
    <s v="10.15"/>
    <x v="430"/>
    <s v="PAG"/>
    <d v="2016-06-27T00:00:00"/>
    <x v="18"/>
    <m/>
    <m/>
    <s v="Nil"/>
    <m/>
    <m/>
    <s v="Determination as to whether prior approval is required for change of use of office at ground floor level (Class B1a) to residential (Class C3) to provide 1 x 1-bedroom residential flat at ground floor level."/>
    <x v="423"/>
    <s v="COU"/>
    <x v="2"/>
    <s v="NSV"/>
    <m/>
    <m/>
    <m/>
    <m/>
    <s v="C"/>
    <s v="BF"/>
    <x v="0"/>
    <m/>
    <m/>
    <m/>
    <m/>
    <m/>
    <m/>
    <m/>
    <m/>
    <m/>
    <m/>
    <m/>
    <m/>
    <m/>
    <m/>
    <m/>
    <m/>
    <m/>
    <m/>
    <m/>
    <m/>
    <m/>
    <m/>
    <m/>
    <m/>
    <m/>
    <n v="48"/>
    <m/>
    <m/>
    <m/>
    <m/>
    <n v="48"/>
    <m/>
    <m/>
    <m/>
    <x v="0"/>
    <x v="1"/>
    <x v="1"/>
    <m/>
    <m/>
    <m/>
    <m/>
    <m/>
    <m/>
    <n v="-48"/>
    <x v="1"/>
    <m/>
    <m/>
    <m/>
    <m/>
    <n v="-48"/>
    <x v="1"/>
    <m/>
    <m/>
    <m/>
    <m/>
    <s v="-"/>
    <s v="-"/>
    <s v="-"/>
    <s v="-"/>
    <s v="-"/>
    <s v="-"/>
    <s v="-"/>
    <s v="-"/>
    <s v="-"/>
    <s v="-"/>
    <s v="-"/>
    <x v="1"/>
    <x v="0"/>
    <s v="-"/>
    <s v="-"/>
    <s v="-"/>
    <s v="-"/>
    <s v="-"/>
    <s v="Not Known"/>
    <s v="-"/>
    <s v="-"/>
    <s v="-"/>
    <s v="-"/>
    <s v="-"/>
    <x v="0"/>
    <x v="0"/>
    <n v="9.0000005438924113E-3"/>
    <n v="0"/>
    <n v="48"/>
    <n v="-48"/>
    <x v="1"/>
    <x v="0"/>
    <m/>
    <x v="0"/>
    <m/>
    <x v="0"/>
    <m/>
    <x v="0"/>
    <x v="0"/>
    <x v="0"/>
    <x v="0"/>
    <m/>
    <n v="48"/>
    <n v="0"/>
    <n v="48"/>
    <x v="1"/>
    <m/>
  </r>
  <r>
    <x v="2"/>
    <x v="2"/>
    <x v="2"/>
    <x v="1"/>
    <n v="5803"/>
    <x v="375"/>
    <x v="4"/>
    <n v="1.4000000432133701E-2"/>
    <n v="526534"/>
    <n v="175822"/>
    <s v="10.15"/>
    <x v="431"/>
    <s v="PAG"/>
    <d v="2016-04-28T00:00:00"/>
    <x v="326"/>
    <m/>
    <m/>
    <s v="Nil"/>
    <m/>
    <m/>
    <s v="Determination as to whether prior approval is required for change of use from office (Class B1a) to 6 x 1-bedroom residential unit (Class C3) on first, second and third floors."/>
    <x v="424"/>
    <s v="COU"/>
    <x v="2"/>
    <s v="NSV"/>
    <m/>
    <m/>
    <m/>
    <m/>
    <s v="C"/>
    <s v="BF"/>
    <x v="0"/>
    <m/>
    <m/>
    <m/>
    <m/>
    <m/>
    <m/>
    <m/>
    <m/>
    <m/>
    <m/>
    <m/>
    <m/>
    <m/>
    <m/>
    <m/>
    <m/>
    <m/>
    <m/>
    <m/>
    <m/>
    <m/>
    <m/>
    <m/>
    <m/>
    <m/>
    <n v="287"/>
    <m/>
    <m/>
    <m/>
    <m/>
    <n v="287"/>
    <m/>
    <m/>
    <m/>
    <x v="0"/>
    <x v="1"/>
    <x v="1"/>
    <m/>
    <m/>
    <m/>
    <m/>
    <m/>
    <m/>
    <n v="-287"/>
    <x v="1"/>
    <m/>
    <m/>
    <m/>
    <m/>
    <n v="-287"/>
    <x v="1"/>
    <m/>
    <m/>
    <m/>
    <m/>
    <s v="-"/>
    <s v="-"/>
    <s v="-"/>
    <s v="-"/>
    <s v="-"/>
    <s v="-"/>
    <s v="-"/>
    <s v="-"/>
    <s v="-"/>
    <s v="-"/>
    <s v="-"/>
    <x v="1"/>
    <x v="0"/>
    <s v="-"/>
    <s v="-"/>
    <s v="-"/>
    <s v="-"/>
    <s v="-"/>
    <s v="Not Known"/>
    <s v="-"/>
    <s v="-"/>
    <s v="-"/>
    <s v="-"/>
    <s v="-"/>
    <x v="0"/>
    <x v="0"/>
    <n v="6.0000000521540902E-3"/>
    <n v="0"/>
    <n v="287"/>
    <n v="-287"/>
    <x v="1"/>
    <x v="0"/>
    <m/>
    <x v="0"/>
    <m/>
    <x v="0"/>
    <m/>
    <x v="0"/>
    <x v="0"/>
    <x v="0"/>
    <x v="0"/>
    <m/>
    <n v="287"/>
    <n v="0"/>
    <n v="287"/>
    <x v="1"/>
    <m/>
  </r>
  <r>
    <x v="2"/>
    <x v="2"/>
    <x v="2"/>
    <x v="1"/>
    <n v="5804"/>
    <x v="376"/>
    <x v="4"/>
    <n v="3.5999998450279201E-2"/>
    <n v="526485"/>
    <n v="175743"/>
    <s v="10.15"/>
    <x v="432"/>
    <s v="PAG"/>
    <d v="2016-06-17T00:00:00"/>
    <x v="217"/>
    <m/>
    <m/>
    <s v="Nil"/>
    <m/>
    <m/>
    <s v="Determination as to whether prior approval is required for change of use from office (Class B1a) to 5 x 3-bedroom residential units (Class C3) at first, second and third floor levels."/>
    <x v="425"/>
    <s v="COU"/>
    <x v="2"/>
    <s v="NSO"/>
    <m/>
    <m/>
    <m/>
    <m/>
    <s v="C"/>
    <s v="BF"/>
    <x v="0"/>
    <m/>
    <m/>
    <m/>
    <m/>
    <m/>
    <m/>
    <m/>
    <m/>
    <m/>
    <m/>
    <m/>
    <m/>
    <m/>
    <m/>
    <m/>
    <m/>
    <m/>
    <m/>
    <m/>
    <m/>
    <m/>
    <m/>
    <m/>
    <m/>
    <m/>
    <n v="510"/>
    <m/>
    <m/>
    <m/>
    <m/>
    <n v="510"/>
    <m/>
    <m/>
    <m/>
    <x v="0"/>
    <x v="1"/>
    <x v="1"/>
    <m/>
    <m/>
    <m/>
    <m/>
    <m/>
    <m/>
    <n v="-510"/>
    <x v="1"/>
    <m/>
    <m/>
    <m/>
    <m/>
    <n v="-510"/>
    <x v="1"/>
    <m/>
    <m/>
    <m/>
    <m/>
    <s v="-"/>
    <s v="-"/>
    <s v="-"/>
    <s v="-"/>
    <s v="-"/>
    <s v="-"/>
    <s v="-"/>
    <s v="-"/>
    <s v="-"/>
    <s v="-"/>
    <s v="-"/>
    <x v="1"/>
    <x v="0"/>
    <s v="-"/>
    <s v="-"/>
    <s v="-"/>
    <s v="-"/>
    <s v="-"/>
    <s v="Vacant"/>
    <s v="-"/>
    <s v="-"/>
    <s v="-"/>
    <s v="-"/>
    <s v="-"/>
    <x v="0"/>
    <x v="0"/>
    <n v="0"/>
    <n v="0"/>
    <n v="510"/>
    <n v="-510"/>
    <x v="1"/>
    <x v="0"/>
    <m/>
    <x v="0"/>
    <m/>
    <x v="0"/>
    <m/>
    <x v="0"/>
    <x v="0"/>
    <x v="0"/>
    <x v="0"/>
    <m/>
    <n v="510"/>
    <n v="0"/>
    <n v="510"/>
    <x v="1"/>
    <m/>
  </r>
  <r>
    <x v="2"/>
    <x v="2"/>
    <x v="2"/>
    <x v="1"/>
    <n v="5805"/>
    <x v="377"/>
    <x v="4"/>
    <n v="2.5000000372528999E-2"/>
    <n v="526469"/>
    <n v="175725"/>
    <s v="10.15"/>
    <x v="433"/>
    <s v="PAG"/>
    <d v="2016-04-27T00:00:00"/>
    <x v="223"/>
    <m/>
    <m/>
    <s v="Nil"/>
    <m/>
    <m/>
    <s v="Determination as to whether prior approval is required for change of use from office (Class B1a) to 3 x 2-bedroom and 3 x 1-bedroom residential units (Class C3) at first, second and third floors."/>
    <x v="426"/>
    <s v="COU"/>
    <x v="2"/>
    <s v="NSO"/>
    <m/>
    <m/>
    <m/>
    <m/>
    <s v="C"/>
    <s v="BF"/>
    <x v="0"/>
    <m/>
    <m/>
    <m/>
    <m/>
    <m/>
    <m/>
    <m/>
    <m/>
    <m/>
    <m/>
    <m/>
    <m/>
    <m/>
    <m/>
    <m/>
    <m/>
    <m/>
    <m/>
    <m/>
    <m/>
    <m/>
    <m/>
    <m/>
    <m/>
    <m/>
    <n v="389"/>
    <m/>
    <m/>
    <m/>
    <m/>
    <n v="389"/>
    <m/>
    <m/>
    <m/>
    <x v="0"/>
    <x v="1"/>
    <x v="1"/>
    <m/>
    <m/>
    <m/>
    <m/>
    <m/>
    <m/>
    <n v="-389"/>
    <x v="1"/>
    <m/>
    <m/>
    <m/>
    <m/>
    <n v="-389"/>
    <x v="1"/>
    <m/>
    <m/>
    <m/>
    <m/>
    <s v="-"/>
    <s v="-"/>
    <s v="-"/>
    <s v="-"/>
    <s v="-"/>
    <s v="-"/>
    <s v="-"/>
    <s v="-"/>
    <s v="-"/>
    <s v="-"/>
    <s v="-"/>
    <x v="1"/>
    <x v="0"/>
    <s v="-"/>
    <s v="-"/>
    <s v="-"/>
    <s v="-"/>
    <s v="-"/>
    <s v="Not Known"/>
    <s v="-"/>
    <s v="-"/>
    <s v="-"/>
    <s v="-"/>
    <s v="-"/>
    <x v="0"/>
    <x v="0"/>
    <n v="6.0000009834765972E-3"/>
    <n v="0"/>
    <n v="389"/>
    <n v="-389"/>
    <x v="1"/>
    <x v="0"/>
    <m/>
    <x v="0"/>
    <m/>
    <x v="0"/>
    <m/>
    <x v="0"/>
    <x v="0"/>
    <x v="0"/>
    <x v="0"/>
    <m/>
    <n v="389"/>
    <n v="0"/>
    <n v="389"/>
    <x v="1"/>
    <m/>
  </r>
  <r>
    <x v="3"/>
    <x v="0"/>
    <x v="0"/>
    <x v="1"/>
    <n v="5812"/>
    <x v="378"/>
    <x v="8"/>
    <n v="0.78399997949600198"/>
    <n v="529628"/>
    <n v="177338"/>
    <s v="2.1.20"/>
    <x v="434"/>
    <s v="PFLA"/>
    <d v="2015-08-18T00:00:00"/>
    <x v="327"/>
    <m/>
    <d v="2016-03-23T00:00:00"/>
    <s v="Nil"/>
    <m/>
    <m/>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x v="427"/>
    <s v="NB"/>
    <x v="0"/>
    <s v="UC"/>
    <m/>
    <d v="2017-02-27T00:00:00"/>
    <m/>
    <m/>
    <s v="C"/>
    <s v="BF"/>
    <x v="0"/>
    <m/>
    <d v="2017-02-27T00:00:00"/>
    <m/>
    <n v="123"/>
    <n v="123"/>
    <n v="123"/>
    <m/>
    <m/>
    <n v="369"/>
    <n v="123"/>
    <m/>
    <m/>
    <n v="123"/>
    <m/>
    <m/>
    <n v="123"/>
    <n v="123"/>
    <n v="310"/>
    <n v="433"/>
    <m/>
    <m/>
    <m/>
    <m/>
    <m/>
    <m/>
    <m/>
    <m/>
    <m/>
    <m/>
    <n v="6534"/>
    <n v="6534"/>
    <m/>
    <m/>
    <m/>
    <x v="1"/>
    <x v="1"/>
    <x v="0"/>
    <n v="123"/>
    <n v="123"/>
    <n v="123"/>
    <m/>
    <m/>
    <n v="369"/>
    <n v="123"/>
    <x v="0"/>
    <m/>
    <m/>
    <m/>
    <n v="-6534"/>
    <n v="-6411"/>
    <x v="1"/>
    <m/>
    <n v="123"/>
    <n v="310"/>
    <n v="433"/>
    <s v="Not Known"/>
    <s v="Not Known"/>
    <s v="Not Known"/>
    <s v="-"/>
    <s v="-"/>
    <s v="Not Known"/>
    <s v="-"/>
    <s v="-"/>
    <s v="-"/>
    <s v="-"/>
    <s v="-"/>
    <x v="5"/>
    <x v="3"/>
    <s v="-"/>
    <s v="-"/>
    <s v="-"/>
    <s v="-"/>
    <s v="-"/>
    <s v="-"/>
    <s v="-"/>
    <s v="-"/>
    <s v="-"/>
    <s v="Vacant"/>
    <s v="-"/>
    <x v="0"/>
    <x v="0"/>
    <n v="0.18999997526407253"/>
    <n v="925"/>
    <n v="6534"/>
    <n v="-5609"/>
    <x v="0"/>
    <x v="0"/>
    <m/>
    <x v="0"/>
    <m/>
    <x v="0"/>
    <m/>
    <x v="1"/>
    <x v="0"/>
    <x v="0"/>
    <x v="0"/>
    <m/>
    <n v="24835"/>
    <n v="0"/>
    <n v="24835"/>
    <x v="1"/>
    <m/>
  </r>
  <r>
    <x v="0"/>
    <x v="0"/>
    <x v="0"/>
    <x v="0"/>
    <n v="5813"/>
    <x v="379"/>
    <x v="6"/>
    <n v="1.09999999403954E-2"/>
    <n v="527658"/>
    <n v="175538"/>
    <m/>
    <x v="435"/>
    <s v="PF"/>
    <d v="2014-12-15T00:00:00"/>
    <x v="328"/>
    <m/>
    <m/>
    <s v="Nil"/>
    <m/>
    <m/>
    <s v="Erection of a part single-storey part two-storey rear extension, in connection with the change of use of first floor and part of the ground floor commercial space to form two residential flats (1 x 1 bed, 1 x studio) accessed off Dorothy Road."/>
    <x v="428"/>
    <s v="MIX"/>
    <x v="0"/>
    <s v="OC"/>
    <m/>
    <d v="2015-12-16T00:00:00"/>
    <d v="2017-05-04T00:00:00"/>
    <d v="2017-05-04T00:00:00"/>
    <s v="C"/>
    <s v="BF"/>
    <x v="0"/>
    <m/>
    <d v="2015-12-16T00:00:00"/>
    <d v="2017-05-04T00:00:00"/>
    <m/>
    <n v="72"/>
    <m/>
    <m/>
    <m/>
    <n v="72"/>
    <m/>
    <m/>
    <m/>
    <m/>
    <m/>
    <m/>
    <m/>
    <m/>
    <m/>
    <m/>
    <m/>
    <n v="128"/>
    <m/>
    <m/>
    <m/>
    <n v="128"/>
    <m/>
    <m/>
    <m/>
    <m/>
    <m/>
    <m/>
    <m/>
    <m/>
    <m/>
    <x v="1"/>
    <x v="0"/>
    <x v="1"/>
    <m/>
    <n v="-56"/>
    <m/>
    <m/>
    <m/>
    <n v="-56"/>
    <m/>
    <x v="0"/>
    <m/>
    <m/>
    <m/>
    <m/>
    <m/>
    <x v="0"/>
    <m/>
    <m/>
    <m/>
    <m/>
    <s v="-"/>
    <s v="Employment Agency"/>
    <s v="-"/>
    <s v="-"/>
    <s v="-"/>
    <s v="-"/>
    <s v="-"/>
    <s v="-"/>
    <s v="-"/>
    <s v="-"/>
    <s v="-"/>
    <x v="1"/>
    <x v="0"/>
    <s v="-"/>
    <s v="Employment Agency"/>
    <s v="-"/>
    <s v="-"/>
    <s v="-"/>
    <s v="-"/>
    <s v="-"/>
    <s v="-"/>
    <s v="-"/>
    <s v="-"/>
    <s v="-"/>
    <x v="0"/>
    <x v="0"/>
    <n v="4.9999998882413405E-3"/>
    <n v="72"/>
    <n v="128"/>
    <n v="-56"/>
    <x v="0"/>
    <x v="0"/>
    <m/>
    <x v="0"/>
    <m/>
    <x v="0"/>
    <m/>
    <x v="0"/>
    <x v="1"/>
    <x v="1"/>
    <x v="0"/>
    <m/>
    <n v="132"/>
    <n v="0"/>
    <n v="132"/>
    <x v="1"/>
    <m/>
  </r>
  <r>
    <x v="3"/>
    <x v="0"/>
    <x v="0"/>
    <x v="1"/>
    <n v="5816"/>
    <x v="380"/>
    <x v="12"/>
    <n v="4.80000004172325E-2"/>
    <n v="525646"/>
    <n v="174310"/>
    <m/>
    <x v="436"/>
    <s v="PFLA"/>
    <d v="2015-10-16T00:00:00"/>
    <x v="209"/>
    <m/>
    <d v="2015-12-15T00:00:00"/>
    <s v="Nil"/>
    <m/>
    <m/>
    <s v="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
    <x v="429"/>
    <s v="NB"/>
    <x v="0"/>
    <s v="UC"/>
    <m/>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423"/>
    <n v="-423"/>
    <x v="0"/>
    <x v="0"/>
    <m/>
    <x v="0"/>
    <m/>
    <x v="0"/>
    <m/>
    <x v="0"/>
    <x v="1"/>
    <x v="4"/>
    <x v="0"/>
    <m/>
    <n v="7300"/>
    <n v="0"/>
    <n v="7300"/>
    <x v="1"/>
    <m/>
  </r>
  <r>
    <x v="0"/>
    <x v="0"/>
    <x v="0"/>
    <x v="0"/>
    <n v="5817"/>
    <x v="381"/>
    <x v="13"/>
    <n v="9.9999997764825804E-3"/>
    <n v="525896"/>
    <n v="173915"/>
    <m/>
    <x v="437"/>
    <s v="PF"/>
    <d v="2016-06-13T00:00:00"/>
    <x v="241"/>
    <m/>
    <m/>
    <s v="Nil"/>
    <m/>
    <m/>
    <s v="Change of use of basement and part ground floor from Opticians (Class Use D1) to Retail (Class Use A1) and to convert part ground floor to C3 (residential) to enlarge existing studio flat to create 1 x 1-bedroom residential unit (Class Use C3). Relocation of existing side door at ground floor level."/>
    <x v="430"/>
    <s v="MIX"/>
    <x v="0"/>
    <s v="OC"/>
    <m/>
    <d v="2016-09-01T00:00:00"/>
    <d v="2017-05-01T00:00:00"/>
    <d v="2017-05-01T00:00:00"/>
    <s v="C"/>
    <s v="BF"/>
    <x v="0"/>
    <m/>
    <d v="2016-09-01T00:00:00"/>
    <d v="2017-05-01T00:00:00"/>
    <n v="45"/>
    <m/>
    <m/>
    <m/>
    <m/>
    <n v="45"/>
    <m/>
    <m/>
    <m/>
    <m/>
    <m/>
    <m/>
    <m/>
    <m/>
    <m/>
    <m/>
    <m/>
    <m/>
    <m/>
    <m/>
    <m/>
    <m/>
    <m/>
    <m/>
    <m/>
    <m/>
    <m/>
    <m/>
    <n v="86"/>
    <m/>
    <n v="86"/>
    <x v="1"/>
    <x v="0"/>
    <x v="0"/>
    <n v="45"/>
    <m/>
    <m/>
    <m/>
    <m/>
    <n v="45"/>
    <m/>
    <x v="0"/>
    <m/>
    <m/>
    <m/>
    <m/>
    <m/>
    <x v="0"/>
    <m/>
    <n v="-86"/>
    <m/>
    <n v="-86"/>
    <s v="Not Known"/>
    <s v="-"/>
    <s v="-"/>
    <s v="-"/>
    <s v="-"/>
    <s v="-"/>
    <s v="-"/>
    <s v="-"/>
    <s v="-"/>
    <s v="-"/>
    <s v="-"/>
    <x v="1"/>
    <x v="0"/>
    <s v="-"/>
    <s v="-"/>
    <s v="-"/>
    <s v="-"/>
    <s v="-"/>
    <s v="-"/>
    <s v="-"/>
    <s v="-"/>
    <s v="-"/>
    <s v="-"/>
    <s v="-"/>
    <x v="5"/>
    <x v="0"/>
    <n v="3.9999997243285205E-3"/>
    <n v="45"/>
    <n v="86"/>
    <n v="-41"/>
    <x v="0"/>
    <x v="0"/>
    <m/>
    <x v="0"/>
    <m/>
    <x v="0"/>
    <m/>
    <x v="0"/>
    <x v="0"/>
    <x v="0"/>
    <x v="0"/>
    <m/>
    <n v="51"/>
    <n v="17"/>
    <n v="34"/>
    <x v="1"/>
    <m/>
  </r>
  <r>
    <x v="3"/>
    <x v="0"/>
    <x v="0"/>
    <x v="1"/>
    <n v="5818"/>
    <x v="382"/>
    <x v="9"/>
    <n v="9.00000035762787E-2"/>
    <n v="527340"/>
    <n v="176146"/>
    <m/>
    <x v="438"/>
    <s v="PFLA"/>
    <d v="2014-12-31T00:00:00"/>
    <x v="329"/>
    <m/>
    <d v="2015-06-18T00:00:00"/>
    <s v="Nil"/>
    <m/>
    <m/>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x v="431"/>
    <s v="MIX"/>
    <x v="0"/>
    <s v="UC"/>
    <d v="2015-10-27T00:00:00"/>
    <d v="2015-10-27T00:00:00"/>
    <m/>
    <m/>
    <s v="C"/>
    <s v="BF"/>
    <x v="0"/>
    <m/>
    <d v="2015-10-27T00:00:00"/>
    <m/>
    <m/>
    <m/>
    <m/>
    <m/>
    <m/>
    <m/>
    <m/>
    <m/>
    <m/>
    <m/>
    <m/>
    <m/>
    <m/>
    <m/>
    <m/>
    <m/>
    <m/>
    <m/>
    <m/>
    <m/>
    <m/>
    <m/>
    <n v="110"/>
    <m/>
    <n v="570"/>
    <m/>
    <m/>
    <n v="680"/>
    <m/>
    <m/>
    <m/>
    <x v="0"/>
    <x v="1"/>
    <x v="1"/>
    <m/>
    <m/>
    <m/>
    <m/>
    <m/>
    <m/>
    <n v="-110"/>
    <x v="1"/>
    <m/>
    <n v="-570"/>
    <m/>
    <m/>
    <n v="-680"/>
    <x v="1"/>
    <m/>
    <m/>
    <m/>
    <m/>
    <s v="-"/>
    <s v="-"/>
    <s v="-"/>
    <s v="-"/>
    <s v="-"/>
    <s v="-"/>
    <s v="-"/>
    <s v="-"/>
    <s v="-"/>
    <s v="-"/>
    <s v="-"/>
    <x v="1"/>
    <x v="0"/>
    <s v="-"/>
    <s v="-"/>
    <s v="-"/>
    <s v="-"/>
    <s v="-"/>
    <s v="Not Known"/>
    <s v="-"/>
    <s v="Light Industrial"/>
    <s v="-"/>
    <s v="-"/>
    <s v="-"/>
    <x v="0"/>
    <x v="0"/>
    <n v="1.8626452047421083E-9"/>
    <n v="0"/>
    <n v="680"/>
    <n v="-680"/>
    <x v="0"/>
    <x v="0"/>
    <m/>
    <x v="0"/>
    <m/>
    <x v="0"/>
    <m/>
    <x v="0"/>
    <x v="0"/>
    <x v="0"/>
    <x v="0"/>
    <m/>
    <n v="2695"/>
    <n v="252"/>
    <n v="2443"/>
    <x v="1"/>
    <m/>
  </r>
  <r>
    <x v="3"/>
    <x v="0"/>
    <x v="0"/>
    <x v="1"/>
    <n v="5821"/>
    <x v="383"/>
    <x v="9"/>
    <n v="4.80000004172325E-2"/>
    <n v="528080"/>
    <n v="176610"/>
    <m/>
    <x v="439"/>
    <s v="PF"/>
    <d v="2016-01-04T00:00:00"/>
    <x v="330"/>
    <m/>
    <d v="2016-05-19T00:00:00"/>
    <s v="Nil"/>
    <m/>
    <m/>
    <s v="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
    <x v="432"/>
    <s v="NB"/>
    <x v="0"/>
    <s v="UC"/>
    <m/>
    <d v="2017-02-03T00:00:00"/>
    <m/>
    <m/>
    <s v="C"/>
    <s v="BF"/>
    <x v="0"/>
    <m/>
    <d v="2017-02-03T00:00:00"/>
    <m/>
    <n v="351"/>
    <m/>
    <m/>
    <m/>
    <m/>
    <n v="351"/>
    <m/>
    <m/>
    <m/>
    <m/>
    <m/>
    <m/>
    <m/>
    <m/>
    <m/>
    <m/>
    <n v="163"/>
    <m/>
    <m/>
    <m/>
    <m/>
    <n v="163"/>
    <n v="408"/>
    <m/>
    <n v="288"/>
    <m/>
    <m/>
    <n v="696"/>
    <m/>
    <m/>
    <m/>
    <x v="1"/>
    <x v="1"/>
    <x v="1"/>
    <n v="188"/>
    <m/>
    <m/>
    <m/>
    <m/>
    <n v="188"/>
    <n v="-408"/>
    <x v="1"/>
    <m/>
    <n v="-288"/>
    <m/>
    <m/>
    <n v="-696"/>
    <x v="1"/>
    <m/>
    <m/>
    <m/>
    <m/>
    <s v="Not Known"/>
    <s v="-"/>
    <s v="-"/>
    <s v="-"/>
    <s v="-"/>
    <s v="-"/>
    <s v="-"/>
    <s v="-"/>
    <s v="-"/>
    <s v="-"/>
    <s v="-"/>
    <x v="1"/>
    <x v="0"/>
    <s v="Not Known"/>
    <s v="-"/>
    <s v="-"/>
    <s v="-"/>
    <s v="-"/>
    <s v="Not Known"/>
    <s v="-"/>
    <s v="Not Known"/>
    <s v="-"/>
    <s v="-"/>
    <s v="-"/>
    <x v="0"/>
    <x v="0"/>
    <n v="0"/>
    <n v="351"/>
    <n v="859"/>
    <n v="-508"/>
    <x v="0"/>
    <x v="0"/>
    <m/>
    <x v="0"/>
    <m/>
    <x v="0"/>
    <m/>
    <x v="0"/>
    <x v="0"/>
    <x v="0"/>
    <x v="0"/>
    <m/>
    <n v="1100"/>
    <n v="0"/>
    <n v="1100"/>
    <x v="1"/>
    <m/>
  </r>
  <r>
    <x v="0"/>
    <x v="0"/>
    <x v="0"/>
    <x v="0"/>
    <n v="5824"/>
    <x v="384"/>
    <x v="14"/>
    <n v="7.0000002160668399E-3"/>
    <n v="527513"/>
    <n v="171624"/>
    <m/>
    <x v="440"/>
    <s v="PF"/>
    <d v="2014-12-12T00:00:00"/>
    <x v="325"/>
    <m/>
    <m/>
    <s v="Nil"/>
    <m/>
    <m/>
    <s v="Construction of mansard roof extension to main roof; creation of front entrance door and change of use of first floor all in association with the creation of a two-bedroom residential unit."/>
    <x v="433"/>
    <s v="NB"/>
    <x v="0"/>
    <s v="OC"/>
    <m/>
    <d v="2017-04-01T00:00:00"/>
    <d v="2018-03-31T00:00:00"/>
    <d v="2018-03-31T00:00:00"/>
    <s v="C"/>
    <s v="BF"/>
    <x v="0"/>
    <m/>
    <d v="2017-04-01T00:00:00"/>
    <d v="2018-03-31T00:00:00"/>
    <m/>
    <m/>
    <m/>
    <m/>
    <m/>
    <m/>
    <m/>
    <m/>
    <m/>
    <m/>
    <m/>
    <m/>
    <m/>
    <m/>
    <m/>
    <m/>
    <m/>
    <m/>
    <m/>
    <m/>
    <m/>
    <m/>
    <m/>
    <m/>
    <m/>
    <m/>
    <n v="42"/>
    <n v="42"/>
    <m/>
    <m/>
    <m/>
    <x v="0"/>
    <x v="1"/>
    <x v="1"/>
    <m/>
    <m/>
    <m/>
    <m/>
    <m/>
    <m/>
    <m/>
    <x v="0"/>
    <m/>
    <m/>
    <m/>
    <n v="-42"/>
    <n v="-42"/>
    <x v="1"/>
    <m/>
    <m/>
    <m/>
    <m/>
    <s v="-"/>
    <s v="-"/>
    <s v="-"/>
    <s v="-"/>
    <s v="-"/>
    <s v="-"/>
    <s v="-"/>
    <s v="-"/>
    <s v="-"/>
    <s v="-"/>
    <s v="-"/>
    <x v="1"/>
    <x v="0"/>
    <s v="-"/>
    <s v="-"/>
    <s v="-"/>
    <s v="-"/>
    <s v="-"/>
    <s v="-"/>
    <s v="-"/>
    <s v="-"/>
    <s v="-"/>
    <s v="Ancillary to A3"/>
    <s v="-"/>
    <x v="0"/>
    <x v="0"/>
    <n v="3.0000000260770295E-3"/>
    <n v="0"/>
    <n v="42"/>
    <n v="-42"/>
    <x v="0"/>
    <x v="0"/>
    <m/>
    <x v="0"/>
    <m/>
    <x v="0"/>
    <m/>
    <x v="0"/>
    <x v="1"/>
    <x v="3"/>
    <x v="0"/>
    <m/>
    <n v="66"/>
    <n v="0"/>
    <n v="66"/>
    <x v="1"/>
    <m/>
  </r>
  <r>
    <x v="2"/>
    <x v="0"/>
    <x v="0"/>
    <x v="1"/>
    <n v="5832"/>
    <x v="385"/>
    <x v="6"/>
    <n v="8.0000003799796104E-3"/>
    <n v="527798"/>
    <n v="175779"/>
    <m/>
    <x v="441"/>
    <s v="PF"/>
    <d v="2014-12-19T00:00:00"/>
    <x v="331"/>
    <m/>
    <m/>
    <s v="Nil"/>
    <m/>
    <m/>
    <s v="Demolition and excavation of 5 garages to form a two-bedroom residential dwelling with at basement level and off street parking for a single car."/>
    <x v="434"/>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92"/>
    <n v="-92"/>
    <x v="0"/>
    <x v="0"/>
    <m/>
    <x v="0"/>
    <m/>
    <x v="0"/>
    <m/>
    <x v="0"/>
    <x v="0"/>
    <x v="0"/>
    <x v="0"/>
    <m/>
    <n v="136"/>
    <n v="0"/>
    <n v="136"/>
    <x v="1"/>
    <m/>
  </r>
  <r>
    <x v="2"/>
    <x v="0"/>
    <x v="0"/>
    <x v="1"/>
    <n v="5833"/>
    <x v="386"/>
    <x v="6"/>
    <n v="1.09999999403954E-2"/>
    <n v="528459"/>
    <n v="175776"/>
    <m/>
    <x v="442"/>
    <s v="PF"/>
    <d v="2015-08-05T00:00:00"/>
    <x v="251"/>
    <m/>
    <m/>
    <s v="Nil"/>
    <m/>
    <m/>
    <s v="Alterations including excavation to enlarge basement; erection of part single/part two-storey rear/side extensions with formation of balconies at ground and first floor levels in connection with the creation of 2x1 bedroom self-contained flats."/>
    <x v="435"/>
    <s v="MIX"/>
    <x v="0"/>
    <s v="NSO"/>
    <m/>
    <m/>
    <m/>
    <m/>
    <s v="C"/>
    <s v="BF"/>
    <x v="0"/>
    <m/>
    <m/>
    <m/>
    <n v="60"/>
    <m/>
    <m/>
    <m/>
    <m/>
    <n v="60"/>
    <m/>
    <m/>
    <m/>
    <m/>
    <m/>
    <m/>
    <m/>
    <m/>
    <m/>
    <m/>
    <n v="67"/>
    <m/>
    <m/>
    <m/>
    <m/>
    <n v="67"/>
    <m/>
    <m/>
    <m/>
    <m/>
    <m/>
    <m/>
    <m/>
    <m/>
    <m/>
    <x v="1"/>
    <x v="0"/>
    <x v="1"/>
    <n v="-7"/>
    <m/>
    <m/>
    <m/>
    <m/>
    <n v="-7"/>
    <m/>
    <x v="0"/>
    <m/>
    <m/>
    <m/>
    <m/>
    <m/>
    <x v="0"/>
    <m/>
    <m/>
    <m/>
    <m/>
    <s v="Not Known"/>
    <s v="-"/>
    <s v="-"/>
    <s v="-"/>
    <s v="-"/>
    <s v="-"/>
    <s v="-"/>
    <s v="-"/>
    <s v="-"/>
    <s v="-"/>
    <s v="-"/>
    <x v="1"/>
    <x v="0"/>
    <s v="Not Known"/>
    <s v="-"/>
    <s v="-"/>
    <s v="-"/>
    <s v="-"/>
    <s v="-"/>
    <s v="-"/>
    <s v="-"/>
    <s v="-"/>
    <s v="-"/>
    <s v="-"/>
    <x v="0"/>
    <x v="0"/>
    <n v="5.99999981932347E-3"/>
    <n v="60"/>
    <n v="67"/>
    <n v="-7"/>
    <x v="0"/>
    <x v="0"/>
    <m/>
    <x v="0"/>
    <m/>
    <x v="0"/>
    <m/>
    <x v="0"/>
    <x v="0"/>
    <x v="0"/>
    <x v="1"/>
    <s v="Lavender Hill/Queenstown Road"/>
    <n v="101"/>
    <n v="0"/>
    <n v="101"/>
    <x v="1"/>
    <m/>
  </r>
  <r>
    <x v="3"/>
    <x v="2"/>
    <x v="2"/>
    <x v="1"/>
    <n v="5835"/>
    <x v="387"/>
    <x v="12"/>
    <n v="1.4000000432133701E-2"/>
    <n v="525002"/>
    <n v="173362"/>
    <m/>
    <x v="443"/>
    <s v="PANR"/>
    <d v="2015-01-06T00:00:00"/>
    <x v="239"/>
    <m/>
    <m/>
    <s v="Nil"/>
    <m/>
    <m/>
    <s v="Change of use for part of ground floor from hairdressers (Use Class A1) to a residential studio (Class Use C3) (42 sqm)."/>
    <x v="436"/>
    <s v="COU"/>
    <x v="2"/>
    <s v="UC"/>
    <m/>
    <d v="2016-03-31T00:00:00"/>
    <m/>
    <m/>
    <s v="C"/>
    <s v="BF"/>
    <x v="0"/>
    <m/>
    <d v="2016-03-31T00:00:00"/>
    <m/>
    <n v="18"/>
    <m/>
    <m/>
    <m/>
    <m/>
    <n v="18"/>
    <m/>
    <m/>
    <m/>
    <m/>
    <m/>
    <m/>
    <m/>
    <m/>
    <m/>
    <m/>
    <n v="60"/>
    <m/>
    <m/>
    <m/>
    <m/>
    <n v="60"/>
    <m/>
    <m/>
    <m/>
    <m/>
    <m/>
    <m/>
    <m/>
    <m/>
    <m/>
    <x v="1"/>
    <x v="0"/>
    <x v="1"/>
    <n v="-42"/>
    <m/>
    <m/>
    <m/>
    <m/>
    <n v="-42"/>
    <m/>
    <x v="0"/>
    <m/>
    <m/>
    <m/>
    <m/>
    <m/>
    <x v="0"/>
    <m/>
    <m/>
    <m/>
    <m/>
    <s v="Services"/>
    <s v="-"/>
    <s v="-"/>
    <s v="-"/>
    <s v="-"/>
    <s v="-"/>
    <s v="-"/>
    <s v="-"/>
    <s v="-"/>
    <s v="-"/>
    <s v="-"/>
    <x v="1"/>
    <x v="0"/>
    <s v="Services"/>
    <s v="-"/>
    <s v="-"/>
    <s v="-"/>
    <s v="-"/>
    <s v="-"/>
    <s v="-"/>
    <s v="-"/>
    <s v="-"/>
    <s v="-"/>
    <s v="-"/>
    <x v="0"/>
    <x v="0"/>
    <n v="1.000000024214389E-2"/>
    <n v="18"/>
    <n v="60"/>
    <n v="-42"/>
    <x v="0"/>
    <x v="0"/>
    <m/>
    <x v="0"/>
    <m/>
    <x v="0"/>
    <m/>
    <x v="0"/>
    <x v="0"/>
    <x v="0"/>
    <x v="0"/>
    <m/>
    <n v="42"/>
    <n v="0"/>
    <n v="42"/>
    <x v="1"/>
    <m/>
  </r>
  <r>
    <x v="0"/>
    <x v="2"/>
    <x v="2"/>
    <x v="0"/>
    <n v="5839"/>
    <x v="388"/>
    <x v="11"/>
    <n v="2.0000000949949E-3"/>
    <n v="528757"/>
    <n v="173681"/>
    <m/>
    <x v="444"/>
    <s v="PAG"/>
    <d v="2014-12-15T00:00:00"/>
    <x v="328"/>
    <m/>
    <m/>
    <s v="Nil"/>
    <m/>
    <m/>
    <s v="Conversion of ground and first floor shop (Class A1) to a one-bedroom dwelling (Class C3); and external alterations (Prior Approval Application)."/>
    <x v="437"/>
    <s v="COU"/>
    <x v="2"/>
    <s v="OC"/>
    <m/>
    <d v="2016-06-01T00:00:00"/>
    <d v="2017-05-30T00:00:00"/>
    <d v="2017-05-30T00:00:00"/>
    <s v="C"/>
    <s v="BF"/>
    <x v="0"/>
    <m/>
    <d v="2016-06-01T00:00:00"/>
    <d v="2017-05-30T00:00:00"/>
    <m/>
    <m/>
    <m/>
    <m/>
    <m/>
    <m/>
    <m/>
    <m/>
    <m/>
    <m/>
    <m/>
    <m/>
    <m/>
    <m/>
    <m/>
    <m/>
    <n v="45"/>
    <m/>
    <m/>
    <m/>
    <m/>
    <n v="45"/>
    <m/>
    <m/>
    <m/>
    <m/>
    <m/>
    <m/>
    <m/>
    <m/>
    <m/>
    <x v="1"/>
    <x v="0"/>
    <x v="1"/>
    <n v="-45"/>
    <m/>
    <m/>
    <m/>
    <m/>
    <n v="-45"/>
    <m/>
    <x v="0"/>
    <m/>
    <m/>
    <m/>
    <m/>
    <m/>
    <x v="0"/>
    <m/>
    <m/>
    <m/>
    <m/>
    <s v="-"/>
    <s v="-"/>
    <s v="-"/>
    <s v="-"/>
    <s v="-"/>
    <s v="-"/>
    <s v="-"/>
    <s v="-"/>
    <s v="-"/>
    <s v="-"/>
    <s v="-"/>
    <x v="1"/>
    <x v="0"/>
    <s v="Not Known"/>
    <s v="-"/>
    <s v="-"/>
    <s v="-"/>
    <s v="-"/>
    <s v="-"/>
    <s v="-"/>
    <s v="-"/>
    <s v="-"/>
    <s v="-"/>
    <s v="-"/>
    <x v="0"/>
    <x v="0"/>
    <n v="1.00000004749745E-3"/>
    <n v="0"/>
    <n v="45"/>
    <n v="-45"/>
    <x v="0"/>
    <x v="0"/>
    <m/>
    <x v="0"/>
    <m/>
    <x v="0"/>
    <m/>
    <x v="0"/>
    <x v="1"/>
    <x v="5"/>
    <x v="0"/>
    <m/>
    <n v="45"/>
    <n v="0"/>
    <n v="45"/>
    <x v="1"/>
    <m/>
  </r>
  <r>
    <x v="0"/>
    <x v="0"/>
    <x v="0"/>
    <x v="0"/>
    <n v="5848"/>
    <x v="389"/>
    <x v="12"/>
    <n v="6.1000000685453401E-2"/>
    <n v="525374"/>
    <n v="172805"/>
    <m/>
    <x v="445"/>
    <s v="PF"/>
    <d v="2015-01-06T00:00:00"/>
    <x v="5"/>
    <m/>
    <m/>
    <s v="Nil"/>
    <m/>
    <m/>
    <s v="Demolition of existing warehouse and the erection of a three-storey building to provide 9 flats."/>
    <x v="438"/>
    <s v="NB"/>
    <x v="0"/>
    <s v="OC"/>
    <d v="2015-10-06T00:00:00"/>
    <d v="2015-10-06T00:00:00"/>
    <d v="2018-02-28T00:00:00"/>
    <d v="2018-02-28T00:00:00"/>
    <s v="C"/>
    <s v="BF"/>
    <x v="0"/>
    <m/>
    <d v="2015-10-06T00:00:00"/>
    <d v="2018-02-28T00:00:00"/>
    <m/>
    <m/>
    <m/>
    <m/>
    <m/>
    <m/>
    <m/>
    <m/>
    <m/>
    <m/>
    <m/>
    <m/>
    <m/>
    <m/>
    <m/>
    <m/>
    <m/>
    <m/>
    <m/>
    <m/>
    <m/>
    <m/>
    <m/>
    <m/>
    <m/>
    <m/>
    <n v="302"/>
    <n v="302"/>
    <m/>
    <m/>
    <m/>
    <x v="0"/>
    <x v="1"/>
    <x v="1"/>
    <m/>
    <m/>
    <m/>
    <m/>
    <m/>
    <m/>
    <m/>
    <x v="0"/>
    <m/>
    <m/>
    <m/>
    <n v="-302"/>
    <n v="-302"/>
    <x v="1"/>
    <m/>
    <m/>
    <m/>
    <m/>
    <s v="-"/>
    <s v="-"/>
    <s v="-"/>
    <s v="-"/>
    <s v="-"/>
    <s v="-"/>
    <s v="-"/>
    <s v="-"/>
    <s v="-"/>
    <s v="-"/>
    <s v="-"/>
    <x v="1"/>
    <x v="0"/>
    <s v="-"/>
    <s v="-"/>
    <s v="-"/>
    <s v="-"/>
    <s v="-"/>
    <s v="-"/>
    <s v="-"/>
    <s v="-"/>
    <s v="-"/>
    <s v="Other"/>
    <s v="-"/>
    <x v="0"/>
    <x v="0"/>
    <n v="0"/>
    <n v="0"/>
    <n v="302"/>
    <n v="-302"/>
    <x v="0"/>
    <x v="0"/>
    <m/>
    <x v="0"/>
    <m/>
    <x v="0"/>
    <m/>
    <x v="0"/>
    <x v="0"/>
    <x v="0"/>
    <x v="0"/>
    <m/>
    <n v="1055"/>
    <n v="0"/>
    <n v="1055"/>
    <x v="1"/>
    <m/>
  </r>
  <r>
    <x v="3"/>
    <x v="0"/>
    <x v="0"/>
    <x v="1"/>
    <n v="5849"/>
    <x v="390"/>
    <x v="14"/>
    <n v="1.60000007599592E-2"/>
    <n v="527082"/>
    <n v="170938"/>
    <m/>
    <x v="446"/>
    <s v="PF"/>
    <d v="2015-03-12T00:00:00"/>
    <x v="7"/>
    <m/>
    <m/>
    <s v="Nil"/>
    <m/>
    <m/>
    <s v="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
    <x v="439"/>
    <s v="MIX"/>
    <x v="0"/>
    <s v="UC"/>
    <m/>
    <d v="2017-10-12T00:00:00"/>
    <m/>
    <m/>
    <s v="C"/>
    <s v="BF"/>
    <x v="0"/>
    <m/>
    <d v="2017-10-12T00:00:00"/>
    <m/>
    <m/>
    <m/>
    <m/>
    <m/>
    <m/>
    <m/>
    <m/>
    <m/>
    <m/>
    <m/>
    <m/>
    <m/>
    <m/>
    <m/>
    <m/>
    <m/>
    <n v="96"/>
    <m/>
    <m/>
    <m/>
    <m/>
    <n v="96"/>
    <m/>
    <m/>
    <n v="116"/>
    <m/>
    <m/>
    <n v="116"/>
    <m/>
    <m/>
    <m/>
    <x v="1"/>
    <x v="1"/>
    <x v="1"/>
    <n v="-96"/>
    <m/>
    <m/>
    <m/>
    <m/>
    <n v="-96"/>
    <m/>
    <x v="0"/>
    <m/>
    <n v="-116"/>
    <m/>
    <m/>
    <n v="-116"/>
    <x v="1"/>
    <m/>
    <m/>
    <m/>
    <m/>
    <s v="-"/>
    <s v="-"/>
    <s v="-"/>
    <s v="-"/>
    <s v="-"/>
    <s v="-"/>
    <s v="-"/>
    <s v="-"/>
    <s v="-"/>
    <s v="-"/>
    <s v="-"/>
    <x v="1"/>
    <x v="0"/>
    <s v="Not Known"/>
    <s v="-"/>
    <s v="-"/>
    <s v="-"/>
    <s v="-"/>
    <s v="-"/>
    <s v="-"/>
    <s v="Light Industrial"/>
    <s v="-"/>
    <s v="-"/>
    <s v="-"/>
    <x v="0"/>
    <x v="0"/>
    <n v="4.6566130118552707E-10"/>
    <n v="0"/>
    <n v="212"/>
    <n v="-212"/>
    <x v="0"/>
    <x v="0"/>
    <m/>
    <x v="0"/>
    <m/>
    <x v="0"/>
    <m/>
    <x v="0"/>
    <x v="0"/>
    <x v="0"/>
    <x v="0"/>
    <m/>
    <n v="275"/>
    <n v="92"/>
    <n v="183"/>
    <x v="1"/>
    <m/>
  </r>
  <r>
    <x v="2"/>
    <x v="0"/>
    <x v="0"/>
    <x v="1"/>
    <n v="5855"/>
    <x v="391"/>
    <x v="16"/>
    <n v="8.0000003799796104E-3"/>
    <n v="527771"/>
    <n v="171157"/>
    <m/>
    <x v="447"/>
    <s v="PF"/>
    <d v="2017-04-11T00:00:00"/>
    <x v="332"/>
    <s v="Y"/>
    <m/>
    <s v="Nil"/>
    <m/>
    <m/>
    <s v="Change of use from office (Class B1) to 1 x 1-bedroom dwelling (Class C3) and alterations including erection of first floor extension.."/>
    <x v="440"/>
    <s v="MIX"/>
    <x v="0"/>
    <s v="NSO"/>
    <m/>
    <m/>
    <m/>
    <m/>
    <s v="C"/>
    <s v="BF"/>
    <x v="0"/>
    <m/>
    <m/>
    <m/>
    <m/>
    <m/>
    <m/>
    <m/>
    <m/>
    <m/>
    <m/>
    <m/>
    <m/>
    <m/>
    <m/>
    <m/>
    <m/>
    <m/>
    <m/>
    <m/>
    <m/>
    <m/>
    <m/>
    <m/>
    <m/>
    <m/>
    <n v="40"/>
    <m/>
    <m/>
    <m/>
    <m/>
    <n v="40"/>
    <m/>
    <m/>
    <m/>
    <x v="0"/>
    <x v="1"/>
    <x v="1"/>
    <m/>
    <m/>
    <m/>
    <m/>
    <m/>
    <m/>
    <n v="-40"/>
    <x v="1"/>
    <m/>
    <m/>
    <m/>
    <m/>
    <n v="-40"/>
    <x v="1"/>
    <m/>
    <m/>
    <m/>
    <m/>
    <s v="-"/>
    <s v="-"/>
    <s v="-"/>
    <s v="-"/>
    <s v="-"/>
    <s v="-"/>
    <s v="-"/>
    <s v="-"/>
    <s v="-"/>
    <s v="-"/>
    <s v="-"/>
    <x v="1"/>
    <x v="0"/>
    <s v="-"/>
    <s v="-"/>
    <s v="-"/>
    <s v="-"/>
    <s v="-"/>
    <s v="Other"/>
    <s v="-"/>
    <s v="-"/>
    <s v="-"/>
    <s v="-"/>
    <s v="-"/>
    <x v="0"/>
    <x v="0"/>
    <n v="0"/>
    <n v="0"/>
    <n v="40"/>
    <n v="-40"/>
    <x v="0"/>
    <x v="0"/>
    <m/>
    <x v="0"/>
    <m/>
    <x v="0"/>
    <m/>
    <x v="0"/>
    <x v="1"/>
    <x v="3"/>
    <x v="0"/>
    <m/>
    <n v="62"/>
    <n v="0"/>
    <n v="62"/>
    <x v="1"/>
    <m/>
  </r>
  <r>
    <x v="3"/>
    <x v="0"/>
    <x v="0"/>
    <x v="1"/>
    <n v="5858"/>
    <x v="392"/>
    <x v="6"/>
    <n v="9.3999996781349196E-2"/>
    <n v="528141"/>
    <n v="175625"/>
    <m/>
    <x v="448"/>
    <s v="PF"/>
    <d v="2015-01-19T00:00:00"/>
    <x v="5"/>
    <m/>
    <m/>
    <s v="Nil"/>
    <m/>
    <m/>
    <s v="Demolition of existing industrial buildings (Use Class B2) and erection of 9 x 4 bedroom three-storey (with basement) residential dwellings (Class Use C3) with second floor balconies and roof terraces, including new access and parking areas."/>
    <x v="441"/>
    <s v="NB"/>
    <x v="0"/>
    <s v="UC"/>
    <d v="2015-07-07T00:00:00"/>
    <d v="2016-07-27T00:00:00"/>
    <m/>
    <m/>
    <s v="C"/>
    <s v="BF"/>
    <x v="0"/>
    <m/>
    <d v="2016-07-27T00:00:00"/>
    <m/>
    <m/>
    <m/>
    <m/>
    <m/>
    <m/>
    <m/>
    <m/>
    <m/>
    <m/>
    <m/>
    <m/>
    <m/>
    <m/>
    <m/>
    <m/>
    <m/>
    <m/>
    <m/>
    <m/>
    <m/>
    <m/>
    <m/>
    <m/>
    <m/>
    <m/>
    <n v="904"/>
    <m/>
    <n v="904"/>
    <m/>
    <m/>
    <m/>
    <x v="0"/>
    <x v="1"/>
    <x v="1"/>
    <m/>
    <m/>
    <m/>
    <m/>
    <m/>
    <m/>
    <m/>
    <x v="0"/>
    <m/>
    <m/>
    <n v="-904"/>
    <m/>
    <n v="-904"/>
    <x v="1"/>
    <m/>
    <m/>
    <m/>
    <m/>
    <s v="-"/>
    <s v="-"/>
    <s v="-"/>
    <s v="-"/>
    <s v="-"/>
    <s v="-"/>
    <s v="-"/>
    <s v="-"/>
    <s v="-"/>
    <s v="-"/>
    <s v="-"/>
    <x v="1"/>
    <x v="0"/>
    <s v="-"/>
    <s v="-"/>
    <s v="-"/>
    <s v="-"/>
    <s v="-"/>
    <s v="-"/>
    <s v="-"/>
    <s v="-"/>
    <s v="General Industry"/>
    <s v="-"/>
    <s v="-"/>
    <x v="0"/>
    <x v="0"/>
    <n v="0"/>
    <n v="0"/>
    <n v="904"/>
    <n v="-904"/>
    <x v="0"/>
    <x v="0"/>
    <m/>
    <x v="0"/>
    <m/>
    <x v="0"/>
    <m/>
    <x v="0"/>
    <x v="0"/>
    <x v="0"/>
    <x v="0"/>
    <m/>
    <n v="1602"/>
    <n v="0"/>
    <n v="1602"/>
    <x v="1"/>
    <m/>
  </r>
  <r>
    <x v="2"/>
    <x v="0"/>
    <x v="0"/>
    <x v="1"/>
    <n v="5860"/>
    <x v="393"/>
    <x v="12"/>
    <n v="1.30000002682209E-2"/>
    <n v="524899"/>
    <n v="173289"/>
    <m/>
    <x v="449"/>
    <s v="PF"/>
    <d v="2016-06-20T00:00:00"/>
    <x v="80"/>
    <m/>
    <m/>
    <s v="Nil"/>
    <m/>
    <m/>
    <s v="Alterations including erection of a single storey rear extension to provide an ancillary seating area for an existing cafe."/>
    <x v="442"/>
    <s v="NB"/>
    <x v="0"/>
    <s v="NSO"/>
    <m/>
    <m/>
    <m/>
    <m/>
    <s v="C"/>
    <s v="BF"/>
    <x v="0"/>
    <m/>
    <m/>
    <m/>
    <m/>
    <m/>
    <n v="23"/>
    <m/>
    <m/>
    <n v="23"/>
    <m/>
    <m/>
    <m/>
    <m/>
    <m/>
    <m/>
    <m/>
    <m/>
    <m/>
    <m/>
    <m/>
    <m/>
    <m/>
    <m/>
    <m/>
    <m/>
    <m/>
    <m/>
    <m/>
    <m/>
    <m/>
    <m/>
    <m/>
    <m/>
    <m/>
    <x v="1"/>
    <x v="0"/>
    <x v="1"/>
    <m/>
    <m/>
    <n v="23"/>
    <m/>
    <m/>
    <n v="23"/>
    <m/>
    <x v="0"/>
    <m/>
    <m/>
    <m/>
    <m/>
    <m/>
    <x v="0"/>
    <m/>
    <m/>
    <m/>
    <m/>
    <s v="-"/>
    <s v="-"/>
    <s v="-"/>
    <s v="-"/>
    <s v="-"/>
    <s v="-"/>
    <s v="-"/>
    <s v="-"/>
    <s v="-"/>
    <s v="-"/>
    <s v="-"/>
    <x v="1"/>
    <x v="0"/>
    <s v="-"/>
    <s v="-"/>
    <s v="-"/>
    <s v="-"/>
    <s v="-"/>
    <s v="-"/>
    <s v="-"/>
    <s v="-"/>
    <s v="-"/>
    <s v="-"/>
    <s v="-"/>
    <x v="0"/>
    <x v="0"/>
    <n v="1.30000002682209E-2"/>
    <n v="23"/>
    <n v="0"/>
    <n v="23"/>
    <x v="0"/>
    <x v="0"/>
    <m/>
    <x v="0"/>
    <m/>
    <x v="0"/>
    <m/>
    <x v="0"/>
    <x v="0"/>
    <x v="0"/>
    <x v="1"/>
    <s v="Southfields"/>
    <n v="0"/>
    <n v="0"/>
    <n v="0"/>
    <x v="0"/>
    <m/>
  </r>
  <r>
    <x v="3"/>
    <x v="0"/>
    <x v="0"/>
    <x v="1"/>
    <n v="5862"/>
    <x v="394"/>
    <x v="7"/>
    <n v="2.4000000208616298E-2"/>
    <n v="524068"/>
    <n v="175336"/>
    <m/>
    <x v="450"/>
    <s v="PF"/>
    <d v="2015-01-22T00:00:00"/>
    <x v="333"/>
    <m/>
    <m/>
    <s v="Nil"/>
    <m/>
    <m/>
    <s v="Alterations and erection of three-storey (first to third floors) rear extension in connection with conversion of upper floors into 3 x 1 bedroom self contained flats with communal first floor rear terrace. Erection of three-storey house at rear with first floor rear terrace and second floor rear balcony."/>
    <x v="443"/>
    <s v="MIX"/>
    <x v="0"/>
    <s v="UC"/>
    <m/>
    <d v="2018-03-31T00:00:00"/>
    <m/>
    <m/>
    <s v="C"/>
    <s v="BF"/>
    <x v="0"/>
    <m/>
    <d v="2018-03-31T00:00:00"/>
    <m/>
    <n v="112"/>
    <m/>
    <m/>
    <m/>
    <m/>
    <n v="112"/>
    <m/>
    <m/>
    <m/>
    <m/>
    <m/>
    <m/>
    <m/>
    <m/>
    <m/>
    <m/>
    <n v="215"/>
    <m/>
    <m/>
    <m/>
    <m/>
    <n v="215"/>
    <m/>
    <m/>
    <m/>
    <m/>
    <m/>
    <m/>
    <m/>
    <m/>
    <m/>
    <x v="1"/>
    <x v="0"/>
    <x v="1"/>
    <n v="-103"/>
    <m/>
    <m/>
    <m/>
    <m/>
    <n v="-103"/>
    <m/>
    <x v="0"/>
    <m/>
    <m/>
    <m/>
    <m/>
    <m/>
    <x v="0"/>
    <m/>
    <m/>
    <m/>
    <m/>
    <s v="Not Known"/>
    <s v="-"/>
    <s v="-"/>
    <s v="-"/>
    <s v="-"/>
    <s v="-"/>
    <s v="-"/>
    <s v="-"/>
    <s v="-"/>
    <s v="-"/>
    <s v="-"/>
    <x v="1"/>
    <x v="0"/>
    <s v="Not Known"/>
    <s v="-"/>
    <s v="-"/>
    <s v="-"/>
    <s v="-"/>
    <s v="-"/>
    <s v="-"/>
    <s v="-"/>
    <s v="-"/>
    <s v="-"/>
    <s v="-"/>
    <x v="0"/>
    <x v="0"/>
    <n v="6.0000009834766978E-3"/>
    <n v="112"/>
    <n v="215"/>
    <n v="-103"/>
    <x v="0"/>
    <x v="0"/>
    <m/>
    <x v="0"/>
    <m/>
    <x v="0"/>
    <m/>
    <x v="0"/>
    <x v="1"/>
    <x v="2"/>
    <x v="0"/>
    <m/>
    <n v="303"/>
    <n v="143"/>
    <n v="160"/>
    <x v="1"/>
    <m/>
  </r>
  <r>
    <x v="2"/>
    <x v="0"/>
    <x v="0"/>
    <x v="1"/>
    <n v="5882"/>
    <x v="395"/>
    <x v="3"/>
    <n v="4.39999997615814E-2"/>
    <n v="527560"/>
    <n v="175472"/>
    <m/>
    <x v="451"/>
    <s v="PF"/>
    <d v="2016-11-30T00:00:00"/>
    <x v="334"/>
    <m/>
    <m/>
    <s v="Nil"/>
    <m/>
    <m/>
    <s v="Continued use of application site as shop/restaurant (Class A1/A3) and garden as a seating area for the restaurant between the hours of 0800 and 2130hrs Monday to Sunday (removal of condition 1 on permission ref. 2015/5108 for change of use from A3 use (restaurant) to A1/A3 use (shop/restaurant) with new exterior access for use of the garden as a seating area for the restaurant, and shopfront alterations)."/>
    <x v="444"/>
    <s v="COU"/>
    <x v="2"/>
    <s v="NSV"/>
    <m/>
    <m/>
    <m/>
    <m/>
    <s v="C"/>
    <s v="BF"/>
    <x v="0"/>
    <m/>
    <m/>
    <m/>
    <n v="116"/>
    <m/>
    <n v="116"/>
    <m/>
    <m/>
    <n v="232"/>
    <m/>
    <m/>
    <m/>
    <m/>
    <m/>
    <m/>
    <m/>
    <m/>
    <m/>
    <m/>
    <m/>
    <m/>
    <n v="232"/>
    <m/>
    <m/>
    <n v="232"/>
    <m/>
    <m/>
    <m/>
    <m/>
    <m/>
    <m/>
    <m/>
    <m/>
    <m/>
    <x v="1"/>
    <x v="0"/>
    <x v="1"/>
    <n v="116"/>
    <m/>
    <n v="-116"/>
    <m/>
    <m/>
    <m/>
    <m/>
    <x v="0"/>
    <m/>
    <m/>
    <m/>
    <m/>
    <m/>
    <x v="0"/>
    <m/>
    <m/>
    <m/>
    <m/>
    <s v="Other"/>
    <s v="-"/>
    <s v="Restaurant"/>
    <s v="-"/>
    <s v="-"/>
    <s v="-"/>
    <s v="-"/>
    <s v="-"/>
    <s v="-"/>
    <s v="-"/>
    <s v="-"/>
    <x v="1"/>
    <x v="0"/>
    <s v="-"/>
    <s v="-"/>
    <s v="Restaurant"/>
    <s v="-"/>
    <s v="-"/>
    <s v="-"/>
    <s v="-"/>
    <s v="-"/>
    <s v="-"/>
    <s v="-"/>
    <s v="-"/>
    <x v="0"/>
    <x v="0"/>
    <n v="4.39999997615814E-2"/>
    <n v="232"/>
    <n v="232"/>
    <n v="0"/>
    <x v="0"/>
    <x v="0"/>
    <m/>
    <x v="0"/>
    <m/>
    <x v="0"/>
    <m/>
    <x v="0"/>
    <x v="1"/>
    <x v="1"/>
    <x v="0"/>
    <m/>
    <n v="0"/>
    <n v="0"/>
    <n v="0"/>
    <x v="0"/>
    <m/>
  </r>
  <r>
    <x v="2"/>
    <x v="0"/>
    <x v="0"/>
    <x v="1"/>
    <n v="5887"/>
    <x v="396"/>
    <x v="11"/>
    <n v="1.4999999664723899E-2"/>
    <n v="528584"/>
    <n v="173489"/>
    <m/>
    <x v="452"/>
    <s v="PF"/>
    <d v="2015-08-03T00:00:00"/>
    <x v="335"/>
    <m/>
    <m/>
    <s v="Nil"/>
    <m/>
    <m/>
    <s v="Erection of three storey, 3-bedroom dwelling unit (Use Class C3) with rear glazed balcony at first floor level."/>
    <x v="445"/>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
    <n v="0"/>
    <n v="105"/>
    <n v="-105"/>
    <x v="0"/>
    <x v="0"/>
    <m/>
    <x v="0"/>
    <m/>
    <x v="0"/>
    <m/>
    <x v="0"/>
    <x v="0"/>
    <x v="0"/>
    <x v="0"/>
    <m/>
    <n v="111"/>
    <n v="0"/>
    <n v="111"/>
    <x v="1"/>
    <m/>
  </r>
  <r>
    <x v="2"/>
    <x v="0"/>
    <x v="0"/>
    <x v="1"/>
    <n v="5890"/>
    <x v="397"/>
    <x v="10"/>
    <n v="8.6999997496604906E-2"/>
    <n v="524758"/>
    <n v="174759"/>
    <m/>
    <x v="453"/>
    <s v="PF"/>
    <d v="2015-03-06T00:00:00"/>
    <x v="333"/>
    <m/>
    <m/>
    <s v="Nil"/>
    <m/>
    <m/>
    <s v="Demolition of existing garages and erection of detached two-storey 4 bedroom dwelling."/>
    <x v="446"/>
    <s v="NB"/>
    <x v="0"/>
    <s v="NSO"/>
    <m/>
    <m/>
    <m/>
    <m/>
    <s v="C"/>
    <s v="BF"/>
    <x v="0"/>
    <m/>
    <m/>
    <m/>
    <m/>
    <m/>
    <m/>
    <m/>
    <m/>
    <m/>
    <m/>
    <m/>
    <m/>
    <m/>
    <m/>
    <m/>
    <m/>
    <m/>
    <m/>
    <m/>
    <m/>
    <m/>
    <m/>
    <m/>
    <m/>
    <m/>
    <m/>
    <m/>
    <m/>
    <m/>
    <m/>
    <m/>
    <m/>
    <m/>
    <m/>
    <x v="0"/>
    <x v="0"/>
    <x v="1"/>
    <m/>
    <m/>
    <m/>
    <m/>
    <m/>
    <m/>
    <m/>
    <x v="0"/>
    <m/>
    <m/>
    <m/>
    <m/>
    <m/>
    <x v="0"/>
    <m/>
    <m/>
    <m/>
    <m/>
    <s v="-"/>
    <s v="-"/>
    <s v="-"/>
    <s v="-"/>
    <s v="-"/>
    <s v="-"/>
    <s v="-"/>
    <s v="-"/>
    <s v="-"/>
    <s v="-"/>
    <s v="-"/>
    <x v="1"/>
    <x v="0"/>
    <s v="-"/>
    <s v="-"/>
    <s v="-"/>
    <s v="-"/>
    <s v="-"/>
    <s v="-"/>
    <s v="-"/>
    <s v="-"/>
    <s v="-"/>
    <s v="-"/>
    <s v="-"/>
    <x v="0"/>
    <x v="0"/>
    <n v="6.7999998107552501E-2"/>
    <n v="0"/>
    <n v="112"/>
    <n v="-112"/>
    <x v="0"/>
    <x v="0"/>
    <m/>
    <x v="0"/>
    <m/>
    <x v="0"/>
    <m/>
    <x v="0"/>
    <x v="0"/>
    <x v="0"/>
    <x v="0"/>
    <m/>
    <n v="186"/>
    <n v="0"/>
    <n v="186"/>
    <x v="1"/>
    <m/>
  </r>
  <r>
    <x v="2"/>
    <x v="0"/>
    <x v="0"/>
    <x v="1"/>
    <n v="5892"/>
    <x v="398"/>
    <x v="3"/>
    <n v="1.09999999403954E-2"/>
    <n v="527620"/>
    <n v="174551"/>
    <m/>
    <x v="454"/>
    <s v="PF"/>
    <d v="2015-03-04T00:00:00"/>
    <x v="336"/>
    <m/>
    <m/>
    <s v="Nil"/>
    <m/>
    <m/>
    <s v="Change of use office (Class B1) to residential (Class C3) to form a one bedroom house, with associated external alterations and front boundary wall on Bramfield Road frontage."/>
    <x v="447"/>
    <s v="COU"/>
    <x v="2"/>
    <s v="NSO"/>
    <m/>
    <m/>
    <m/>
    <m/>
    <s v="C"/>
    <s v="BF"/>
    <x v="0"/>
    <m/>
    <m/>
    <m/>
    <m/>
    <m/>
    <m/>
    <m/>
    <m/>
    <m/>
    <m/>
    <m/>
    <m/>
    <m/>
    <m/>
    <m/>
    <m/>
    <m/>
    <m/>
    <m/>
    <m/>
    <m/>
    <m/>
    <m/>
    <m/>
    <m/>
    <n v="62"/>
    <m/>
    <m/>
    <m/>
    <m/>
    <n v="62"/>
    <m/>
    <m/>
    <m/>
    <x v="0"/>
    <x v="1"/>
    <x v="1"/>
    <m/>
    <m/>
    <m/>
    <m/>
    <m/>
    <m/>
    <n v="-62"/>
    <x v="1"/>
    <m/>
    <m/>
    <m/>
    <m/>
    <n v="-62"/>
    <x v="1"/>
    <m/>
    <m/>
    <m/>
    <m/>
    <s v="-"/>
    <s v="-"/>
    <s v="-"/>
    <s v="-"/>
    <s v="-"/>
    <s v="-"/>
    <s v="-"/>
    <s v="-"/>
    <s v="-"/>
    <s v="-"/>
    <s v="-"/>
    <x v="1"/>
    <x v="0"/>
    <s v="-"/>
    <s v="-"/>
    <s v="-"/>
    <s v="-"/>
    <s v="-"/>
    <s v="Not Known"/>
    <s v="-"/>
    <s v="-"/>
    <s v="-"/>
    <s v="-"/>
    <s v="-"/>
    <x v="0"/>
    <x v="0"/>
    <n v="0"/>
    <n v="0"/>
    <n v="62"/>
    <n v="-62"/>
    <x v="0"/>
    <x v="0"/>
    <m/>
    <x v="0"/>
    <m/>
    <x v="0"/>
    <m/>
    <x v="0"/>
    <x v="0"/>
    <x v="0"/>
    <x v="0"/>
    <m/>
    <n v="71"/>
    <n v="0"/>
    <n v="71"/>
    <x v="1"/>
    <m/>
  </r>
  <r>
    <x v="2"/>
    <x v="0"/>
    <x v="0"/>
    <x v="1"/>
    <n v="5894"/>
    <x v="399"/>
    <x v="4"/>
    <n v="4.5000001788139302E-2"/>
    <n v="526821"/>
    <n v="176772"/>
    <m/>
    <x v="455"/>
    <s v="PF"/>
    <d v="2015-09-18T00:00:00"/>
    <x v="115"/>
    <m/>
    <m/>
    <s v="Nil"/>
    <m/>
    <m/>
    <s v="Demolition of existing boiler room at roof level; erection of roof extension to provide additional storey to create 2 bedroom flat and associated roof terrace."/>
    <x v="448"/>
    <s v="EXT"/>
    <x v="1"/>
    <s v="NSO"/>
    <m/>
    <m/>
    <m/>
    <m/>
    <s v="C"/>
    <s v="BF"/>
    <x v="0"/>
    <m/>
    <m/>
    <m/>
    <m/>
    <m/>
    <m/>
    <m/>
    <m/>
    <m/>
    <m/>
    <m/>
    <m/>
    <m/>
    <m/>
    <m/>
    <m/>
    <m/>
    <m/>
    <m/>
    <m/>
    <m/>
    <m/>
    <m/>
    <m/>
    <m/>
    <m/>
    <m/>
    <m/>
    <m/>
    <m/>
    <m/>
    <m/>
    <m/>
    <m/>
    <x v="0"/>
    <x v="0"/>
    <x v="1"/>
    <m/>
    <m/>
    <m/>
    <m/>
    <m/>
    <m/>
    <m/>
    <x v="0"/>
    <m/>
    <m/>
    <m/>
    <m/>
    <m/>
    <x v="0"/>
    <m/>
    <m/>
    <m/>
    <m/>
    <s v="-"/>
    <s v="-"/>
    <s v="-"/>
    <s v="-"/>
    <s v="-"/>
    <s v="-"/>
    <s v="-"/>
    <s v="-"/>
    <s v="-"/>
    <s v="-"/>
    <s v="-"/>
    <x v="1"/>
    <x v="0"/>
    <s v="-"/>
    <s v="-"/>
    <s v="-"/>
    <s v="-"/>
    <s v="-"/>
    <s v="-"/>
    <s v="-"/>
    <s v="-"/>
    <s v="-"/>
    <s v="-"/>
    <s v="-"/>
    <x v="0"/>
    <x v="0"/>
    <n v="3.500000201165672E-2"/>
    <n v="0"/>
    <n v="20"/>
    <n v="-20"/>
    <x v="0"/>
    <x v="0"/>
    <m/>
    <x v="0"/>
    <m/>
    <x v="0"/>
    <m/>
    <x v="0"/>
    <x v="0"/>
    <x v="0"/>
    <x v="0"/>
    <m/>
    <n v="99"/>
    <n v="0"/>
    <n v="99"/>
    <x v="1"/>
    <m/>
  </r>
  <r>
    <x v="3"/>
    <x v="0"/>
    <x v="0"/>
    <x v="1"/>
    <n v="5909"/>
    <x v="400"/>
    <x v="2"/>
    <n v="1.7000000923872001E-2"/>
    <n v="527564"/>
    <n v="173450"/>
    <m/>
    <x v="456"/>
    <s v="PF"/>
    <d v="2015-03-09T00:00:00"/>
    <x v="337"/>
    <m/>
    <m/>
    <s v="Nil"/>
    <m/>
    <m/>
    <s v="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
    <x v="449"/>
    <s v="MIX"/>
    <x v="0"/>
    <s v="UC"/>
    <m/>
    <d v="2018-03-31T00:00:00"/>
    <m/>
    <m/>
    <s v="C"/>
    <s v="BF"/>
    <x v="0"/>
    <m/>
    <d v="2018-03-31T00:00:00"/>
    <m/>
    <n v="52"/>
    <m/>
    <m/>
    <m/>
    <m/>
    <n v="52"/>
    <m/>
    <m/>
    <m/>
    <m/>
    <m/>
    <m/>
    <m/>
    <m/>
    <m/>
    <m/>
    <n v="62"/>
    <m/>
    <m/>
    <m/>
    <m/>
    <n v="62"/>
    <m/>
    <m/>
    <m/>
    <m/>
    <m/>
    <m/>
    <m/>
    <m/>
    <m/>
    <x v="1"/>
    <x v="0"/>
    <x v="1"/>
    <n v="-10"/>
    <m/>
    <m/>
    <m/>
    <m/>
    <n v="-10"/>
    <m/>
    <x v="0"/>
    <m/>
    <m/>
    <m/>
    <m/>
    <m/>
    <x v="0"/>
    <m/>
    <m/>
    <m/>
    <m/>
    <s v="Not Known"/>
    <s v="-"/>
    <s v="-"/>
    <s v="-"/>
    <s v="-"/>
    <s v="-"/>
    <s v="-"/>
    <s v="-"/>
    <s v="-"/>
    <s v="-"/>
    <s v="-"/>
    <x v="1"/>
    <x v="0"/>
    <s v="Not Known"/>
    <s v="-"/>
    <s v="-"/>
    <s v="-"/>
    <s v="-"/>
    <s v="-"/>
    <s v="-"/>
    <s v="-"/>
    <s v="-"/>
    <s v="-"/>
    <s v="-"/>
    <x v="0"/>
    <x v="0"/>
    <n v="6.0000009834766006E-3"/>
    <n v="52"/>
    <n v="62"/>
    <n v="-10"/>
    <x v="0"/>
    <x v="0"/>
    <m/>
    <x v="0"/>
    <m/>
    <x v="0"/>
    <m/>
    <x v="0"/>
    <x v="0"/>
    <x v="0"/>
    <x v="1"/>
    <s v="Bellevue Road"/>
    <n v="188"/>
    <n v="92"/>
    <n v="96"/>
    <x v="1"/>
    <m/>
  </r>
  <r>
    <x v="2"/>
    <x v="0"/>
    <x v="0"/>
    <x v="1"/>
    <n v="5918"/>
    <x v="401"/>
    <x v="7"/>
    <n v="7.0000002160668399E-3"/>
    <n v="523322"/>
    <n v="175861"/>
    <m/>
    <x v="457"/>
    <s v="PF"/>
    <d v="2015-03-23T00:00:00"/>
    <x v="338"/>
    <m/>
    <m/>
    <s v="Nil"/>
    <m/>
    <m/>
    <s v="Alterations including increase in scale of rear extension and alterations to existing fenestration, in connection with change of use from Restaurant (A3) to a Live Work Unit (C3/A1/A2)."/>
    <x v="450"/>
    <s v="MIX"/>
    <x v="0"/>
    <s v="NSO"/>
    <m/>
    <m/>
    <m/>
    <m/>
    <s v="C"/>
    <s v="BF"/>
    <x v="0"/>
    <m/>
    <m/>
    <m/>
    <n v="26"/>
    <n v="30"/>
    <m/>
    <m/>
    <m/>
    <n v="56"/>
    <m/>
    <m/>
    <m/>
    <m/>
    <m/>
    <m/>
    <m/>
    <m/>
    <m/>
    <m/>
    <m/>
    <m/>
    <n v="136"/>
    <m/>
    <m/>
    <n v="136"/>
    <m/>
    <m/>
    <m/>
    <m/>
    <m/>
    <m/>
    <m/>
    <m/>
    <m/>
    <x v="1"/>
    <x v="0"/>
    <x v="1"/>
    <n v="26"/>
    <n v="30"/>
    <n v="-136"/>
    <m/>
    <m/>
    <n v="-80"/>
    <m/>
    <x v="0"/>
    <m/>
    <m/>
    <m/>
    <m/>
    <m/>
    <x v="0"/>
    <m/>
    <m/>
    <m/>
    <m/>
    <s v="Not Known"/>
    <s v="Not Known"/>
    <s v="-"/>
    <s v="-"/>
    <s v="-"/>
    <s v="-"/>
    <s v="-"/>
    <s v="-"/>
    <s v="-"/>
    <s v="-"/>
    <s v="-"/>
    <x v="1"/>
    <x v="0"/>
    <s v="-"/>
    <s v="-"/>
    <s v="Restaurant"/>
    <s v="-"/>
    <s v="-"/>
    <s v="-"/>
    <s v="-"/>
    <s v="-"/>
    <s v="-"/>
    <s v="-"/>
    <s v="-"/>
    <x v="0"/>
    <x v="0"/>
    <n v="2.0000003278255497E-3"/>
    <n v="56"/>
    <n v="136"/>
    <n v="-80"/>
    <x v="0"/>
    <x v="0"/>
    <m/>
    <x v="0"/>
    <m/>
    <x v="0"/>
    <m/>
    <x v="0"/>
    <x v="0"/>
    <x v="0"/>
    <x v="0"/>
    <m/>
    <n v="62"/>
    <n v="0"/>
    <n v="62"/>
    <x v="1"/>
    <m/>
  </r>
  <r>
    <x v="2"/>
    <x v="2"/>
    <x v="2"/>
    <x v="1"/>
    <n v="5920"/>
    <x v="402"/>
    <x v="10"/>
    <n v="6.0000000521540598E-3"/>
    <n v="524021"/>
    <n v="175002"/>
    <m/>
    <x v="458"/>
    <s v="PANR"/>
    <d v="2015-04-23T00:00:00"/>
    <x v="339"/>
    <m/>
    <m/>
    <s v="Nil"/>
    <m/>
    <m/>
    <s v="Determination as to whether prior approval is required for change of use from office (Class B1a) to three residential units (Class C3)."/>
    <x v="221"/>
    <s v="COU"/>
    <x v="2"/>
    <s v="NSO"/>
    <m/>
    <m/>
    <m/>
    <m/>
    <s v="C"/>
    <s v="BF"/>
    <x v="0"/>
    <m/>
    <m/>
    <m/>
    <m/>
    <m/>
    <m/>
    <m/>
    <m/>
    <m/>
    <m/>
    <m/>
    <m/>
    <m/>
    <m/>
    <m/>
    <m/>
    <m/>
    <m/>
    <m/>
    <m/>
    <m/>
    <m/>
    <m/>
    <m/>
    <m/>
    <n v="167"/>
    <m/>
    <m/>
    <m/>
    <m/>
    <n v="167"/>
    <m/>
    <m/>
    <m/>
    <x v="0"/>
    <x v="1"/>
    <x v="1"/>
    <m/>
    <m/>
    <m/>
    <m/>
    <m/>
    <m/>
    <n v="-167"/>
    <x v="1"/>
    <m/>
    <m/>
    <m/>
    <m/>
    <n v="-167"/>
    <x v="1"/>
    <m/>
    <m/>
    <m/>
    <m/>
    <s v="-"/>
    <s v="-"/>
    <s v="-"/>
    <s v="-"/>
    <s v="-"/>
    <s v="-"/>
    <s v="-"/>
    <s v="-"/>
    <s v="-"/>
    <s v="-"/>
    <s v="-"/>
    <x v="1"/>
    <x v="0"/>
    <s v="-"/>
    <s v="-"/>
    <s v="-"/>
    <s v="-"/>
    <s v="-"/>
    <s v="Not Known"/>
    <s v="-"/>
    <s v="-"/>
    <s v="-"/>
    <s v="-"/>
    <s v="-"/>
    <x v="0"/>
    <x v="0"/>
    <n v="0"/>
    <n v="0"/>
    <n v="167"/>
    <n v="-167"/>
    <x v="0"/>
    <x v="0"/>
    <m/>
    <x v="0"/>
    <m/>
    <x v="0"/>
    <m/>
    <x v="0"/>
    <x v="1"/>
    <x v="2"/>
    <x v="0"/>
    <m/>
    <n v="167"/>
    <n v="0"/>
    <n v="167"/>
    <x v="1"/>
    <m/>
  </r>
  <r>
    <x v="3"/>
    <x v="2"/>
    <x v="2"/>
    <x v="1"/>
    <n v="5924"/>
    <x v="403"/>
    <x v="11"/>
    <n v="1.4999999664723899E-2"/>
    <n v="528796"/>
    <n v="173797"/>
    <m/>
    <x v="459"/>
    <s v="PANR"/>
    <d v="2015-04-28T00:00:00"/>
    <x v="340"/>
    <m/>
    <m/>
    <s v="Nil"/>
    <m/>
    <m/>
    <s v="Determination as to whether prior approval is required for change of use from office (Class B1a) at ground floor and basement levels to three residential units (Class C3)."/>
    <x v="451"/>
    <s v="COU"/>
    <x v="2"/>
    <s v="UC"/>
    <m/>
    <d v="2018-03-31T00:00:00"/>
    <m/>
    <m/>
    <s v="C"/>
    <s v="BF"/>
    <x v="0"/>
    <m/>
    <d v="2018-03-31T00:00:00"/>
    <m/>
    <m/>
    <m/>
    <m/>
    <m/>
    <m/>
    <m/>
    <m/>
    <m/>
    <m/>
    <m/>
    <m/>
    <m/>
    <m/>
    <m/>
    <m/>
    <m/>
    <m/>
    <m/>
    <m/>
    <m/>
    <m/>
    <m/>
    <n v="130"/>
    <m/>
    <m/>
    <m/>
    <m/>
    <n v="130"/>
    <m/>
    <m/>
    <m/>
    <x v="0"/>
    <x v="1"/>
    <x v="1"/>
    <m/>
    <m/>
    <m/>
    <m/>
    <m/>
    <m/>
    <n v="-130"/>
    <x v="1"/>
    <m/>
    <m/>
    <m/>
    <m/>
    <n v="-130"/>
    <x v="1"/>
    <m/>
    <m/>
    <m/>
    <m/>
    <s v="-"/>
    <s v="-"/>
    <s v="-"/>
    <s v="-"/>
    <s v="-"/>
    <s v="-"/>
    <s v="-"/>
    <s v="-"/>
    <s v="-"/>
    <s v="-"/>
    <s v="-"/>
    <x v="1"/>
    <x v="0"/>
    <s v="-"/>
    <s v="-"/>
    <s v="-"/>
    <s v="-"/>
    <s v="-"/>
    <s v="Other"/>
    <s v="-"/>
    <s v="-"/>
    <s v="-"/>
    <s v="-"/>
    <s v="-"/>
    <x v="0"/>
    <x v="0"/>
    <n v="9.9999997764826098E-3"/>
    <n v="0"/>
    <n v="130"/>
    <n v="-130"/>
    <x v="0"/>
    <x v="0"/>
    <m/>
    <x v="0"/>
    <m/>
    <x v="0"/>
    <m/>
    <x v="0"/>
    <x v="0"/>
    <x v="0"/>
    <x v="0"/>
    <m/>
    <n v="130"/>
    <n v="0"/>
    <n v="130"/>
    <x v="1"/>
    <m/>
  </r>
  <r>
    <x v="3"/>
    <x v="0"/>
    <x v="0"/>
    <x v="1"/>
    <n v="5924"/>
    <x v="403"/>
    <x v="11"/>
    <n v="1.4999999664723899E-2"/>
    <n v="528796"/>
    <n v="173797"/>
    <m/>
    <x v="460"/>
    <s v="PF"/>
    <d v="2015-05-27T00:00:00"/>
    <x v="341"/>
    <m/>
    <m/>
    <s v="Nil"/>
    <m/>
    <m/>
    <s v="Alterations to ground floor frontage along Dinsmore Road, and basement extension."/>
    <x v="452"/>
    <s v="EXT"/>
    <x v="1"/>
    <s v="UC"/>
    <m/>
    <d v="2018-03-31T00:00:00"/>
    <m/>
    <m/>
    <s v="C"/>
    <s v="BF"/>
    <x v="0"/>
    <m/>
    <d v="2018-03-31T00:00:00"/>
    <m/>
    <m/>
    <m/>
    <m/>
    <m/>
    <m/>
    <m/>
    <n v="101"/>
    <m/>
    <m/>
    <n v="101"/>
    <m/>
    <m/>
    <n v="101"/>
    <m/>
    <m/>
    <m/>
    <m/>
    <m/>
    <m/>
    <m/>
    <m/>
    <m/>
    <m/>
    <m/>
    <m/>
    <m/>
    <m/>
    <m/>
    <m/>
    <m/>
    <m/>
    <x v="0"/>
    <x v="1"/>
    <x v="1"/>
    <m/>
    <m/>
    <m/>
    <m/>
    <m/>
    <m/>
    <n v="101"/>
    <x v="0"/>
    <m/>
    <m/>
    <m/>
    <m/>
    <n v="101"/>
    <x v="0"/>
    <m/>
    <m/>
    <m/>
    <m/>
    <s v="-"/>
    <s v="-"/>
    <s v="-"/>
    <s v="-"/>
    <s v="-"/>
    <s v="Not Known"/>
    <s v="-"/>
    <s v="-"/>
    <s v="-"/>
    <s v="-"/>
    <s v="-"/>
    <x v="1"/>
    <x v="0"/>
    <s v="-"/>
    <s v="-"/>
    <s v="-"/>
    <s v="-"/>
    <s v="-"/>
    <s v="-"/>
    <s v="-"/>
    <s v="-"/>
    <s v="-"/>
    <s v="-"/>
    <s v="-"/>
    <x v="0"/>
    <x v="0"/>
    <n v="1.4999999664723899E-2"/>
    <n v="101"/>
    <n v="0"/>
    <n v="101"/>
    <x v="0"/>
    <x v="0"/>
    <m/>
    <x v="0"/>
    <m/>
    <x v="0"/>
    <m/>
    <x v="0"/>
    <x v="0"/>
    <x v="0"/>
    <x v="0"/>
    <m/>
    <n v="0"/>
    <n v="0"/>
    <n v="0"/>
    <x v="0"/>
    <m/>
  </r>
  <r>
    <x v="0"/>
    <x v="0"/>
    <x v="0"/>
    <x v="0"/>
    <n v="5930"/>
    <x v="404"/>
    <x v="13"/>
    <n v="2.70000007003546E-2"/>
    <n v="526145"/>
    <n v="172581"/>
    <m/>
    <x v="461"/>
    <s v="PF"/>
    <d v="2015-05-11T00:00:00"/>
    <x v="342"/>
    <m/>
    <m/>
    <s v="Nil"/>
    <m/>
    <m/>
    <s v="Alterations and extensions to provide 4 self-contained units, including part single / part two-storey rear extension; mansard roof extension above part of back addition and to main rear roof. Refurbishment and alterations to existing shop (Class A1) to provide a commercial unit (shop/Class A1 or financial and professional services/Class A2) on the ground and basement levels."/>
    <x v="453"/>
    <s v="MIX"/>
    <x v="0"/>
    <s v="OC"/>
    <m/>
    <d v="2015-11-18T00:00:00"/>
    <d v="2018-03-30T00:00:00"/>
    <d v="2018-03-30T00:00:00"/>
    <s v="C"/>
    <s v="BF"/>
    <x v="0"/>
    <m/>
    <d v="2015-11-18T00:00:00"/>
    <d v="2018-03-30T00:00:00"/>
    <n v="75"/>
    <m/>
    <m/>
    <m/>
    <m/>
    <n v="75"/>
    <m/>
    <m/>
    <m/>
    <m/>
    <m/>
    <m/>
    <m/>
    <m/>
    <m/>
    <m/>
    <n v="141"/>
    <m/>
    <m/>
    <m/>
    <m/>
    <n v="141"/>
    <m/>
    <m/>
    <m/>
    <m/>
    <m/>
    <m/>
    <m/>
    <m/>
    <m/>
    <x v="1"/>
    <x v="0"/>
    <x v="1"/>
    <n v="-66"/>
    <m/>
    <m/>
    <m/>
    <m/>
    <n v="-66"/>
    <m/>
    <x v="0"/>
    <m/>
    <m/>
    <m/>
    <m/>
    <m/>
    <x v="0"/>
    <m/>
    <m/>
    <m/>
    <m/>
    <s v="Consumables"/>
    <s v="-"/>
    <s v="-"/>
    <s v="-"/>
    <s v="-"/>
    <s v="-"/>
    <s v="-"/>
    <s v="-"/>
    <s v="-"/>
    <s v="-"/>
    <s v="-"/>
    <x v="1"/>
    <x v="0"/>
    <s v="Consumables"/>
    <s v="-"/>
    <s v="-"/>
    <s v="-"/>
    <s v="-"/>
    <s v="-"/>
    <s v="-"/>
    <s v="-"/>
    <s v="-"/>
    <s v="-"/>
    <s v="-"/>
    <x v="0"/>
    <x v="0"/>
    <n v="4.0000006556510995E-3"/>
    <n v="75"/>
    <n v="141"/>
    <n v="-66"/>
    <x v="0"/>
    <x v="0"/>
    <m/>
    <x v="0"/>
    <m/>
    <x v="0"/>
    <m/>
    <x v="0"/>
    <x v="0"/>
    <x v="0"/>
    <x v="0"/>
    <m/>
    <n v="237"/>
    <n v="0"/>
    <n v="237"/>
    <x v="1"/>
    <m/>
  </r>
  <r>
    <x v="0"/>
    <x v="0"/>
    <x v="0"/>
    <x v="2"/>
    <n v="5931"/>
    <x v="405"/>
    <x v="15"/>
    <n v="0.12600000202655801"/>
    <n v="529306"/>
    <n v="171047"/>
    <m/>
    <x v="462"/>
    <s v="PF"/>
    <d v="2015-04-15T00:00:00"/>
    <x v="13"/>
    <m/>
    <m/>
    <s v="Nil"/>
    <m/>
    <m/>
    <s v="Demolition of the existing garage/workshop buildings and the erection of 9 x 2-storey 3-bedroom dwellings with associated alterations including 9 car parking spaces and  cycle storage."/>
    <x v="454"/>
    <s v="NB"/>
    <x v="0"/>
    <s v="CO"/>
    <m/>
    <d v="2017-03-31T00:00:00"/>
    <d v="2018-03-31T00:00:00"/>
    <m/>
    <s v="C"/>
    <s v="BF"/>
    <x v="0"/>
    <m/>
    <d v="2017-03-31T00:00:00"/>
    <d v="2018-03-31T00:00:00"/>
    <m/>
    <m/>
    <m/>
    <m/>
    <m/>
    <m/>
    <m/>
    <m/>
    <m/>
    <m/>
    <m/>
    <m/>
    <m/>
    <m/>
    <m/>
    <m/>
    <m/>
    <m/>
    <m/>
    <m/>
    <m/>
    <m/>
    <n v="601"/>
    <m/>
    <m/>
    <m/>
    <m/>
    <n v="601"/>
    <m/>
    <m/>
    <m/>
    <x v="0"/>
    <x v="1"/>
    <x v="1"/>
    <m/>
    <m/>
    <m/>
    <m/>
    <m/>
    <m/>
    <n v="-601"/>
    <x v="1"/>
    <m/>
    <m/>
    <m/>
    <m/>
    <n v="-601"/>
    <x v="1"/>
    <m/>
    <m/>
    <m/>
    <m/>
    <s v="-"/>
    <s v="-"/>
    <s v="-"/>
    <s v="-"/>
    <s v="-"/>
    <s v="-"/>
    <s v="-"/>
    <s v="-"/>
    <s v="-"/>
    <s v="-"/>
    <s v="-"/>
    <x v="1"/>
    <x v="0"/>
    <s v="-"/>
    <s v="-"/>
    <s v="-"/>
    <s v="-"/>
    <s v="-"/>
    <s v="Other"/>
    <s v="-"/>
    <s v="-"/>
    <s v="-"/>
    <s v="-"/>
    <s v="-"/>
    <x v="0"/>
    <x v="0"/>
    <n v="0"/>
    <n v="0"/>
    <n v="601"/>
    <n v="-601"/>
    <x v="0"/>
    <x v="0"/>
    <m/>
    <x v="0"/>
    <m/>
    <x v="0"/>
    <m/>
    <x v="0"/>
    <x v="0"/>
    <x v="0"/>
    <x v="0"/>
    <m/>
    <n v="965"/>
    <n v="0"/>
    <n v="965"/>
    <x v="1"/>
    <m/>
  </r>
  <r>
    <x v="0"/>
    <x v="2"/>
    <x v="2"/>
    <x v="0"/>
    <n v="5933"/>
    <x v="406"/>
    <x v="3"/>
    <n v="1.4999999664723899E-2"/>
    <n v="527226"/>
    <n v="175356"/>
    <m/>
    <x v="463"/>
    <s v="PANR"/>
    <d v="2015-04-23T00:00:00"/>
    <x v="343"/>
    <m/>
    <m/>
    <s v="Nil"/>
    <m/>
    <m/>
    <s v="Determination as to whether prior approval is required for change of use of first floor from office (Class B1a) to one residential unit (Class C3)."/>
    <x v="455"/>
    <s v="COU"/>
    <x v="2"/>
    <s v="OC"/>
    <m/>
    <d v="2015-09-07T00:00:00"/>
    <d v="2017-04-19T00:00:00"/>
    <d v="2017-04-19T00:00:00"/>
    <s v="C"/>
    <s v="BF"/>
    <x v="0"/>
    <m/>
    <d v="2015-09-07T00:00:00"/>
    <d v="2017-04-19T00:00:00"/>
    <m/>
    <m/>
    <m/>
    <m/>
    <m/>
    <m/>
    <m/>
    <m/>
    <m/>
    <m/>
    <m/>
    <m/>
    <m/>
    <m/>
    <m/>
    <m/>
    <m/>
    <m/>
    <m/>
    <m/>
    <m/>
    <m/>
    <n v="49"/>
    <m/>
    <m/>
    <m/>
    <m/>
    <n v="49"/>
    <m/>
    <m/>
    <m/>
    <x v="0"/>
    <x v="1"/>
    <x v="1"/>
    <m/>
    <m/>
    <m/>
    <m/>
    <m/>
    <m/>
    <n v="-49"/>
    <x v="1"/>
    <m/>
    <m/>
    <m/>
    <m/>
    <n v="-49"/>
    <x v="1"/>
    <m/>
    <m/>
    <m/>
    <m/>
    <s v="-"/>
    <s v="-"/>
    <s v="-"/>
    <s v="-"/>
    <s v="-"/>
    <s v="-"/>
    <s v="-"/>
    <s v="-"/>
    <s v="-"/>
    <s v="-"/>
    <s v="-"/>
    <x v="1"/>
    <x v="0"/>
    <s v="-"/>
    <s v="-"/>
    <s v="-"/>
    <s v="-"/>
    <s v="-"/>
    <s v="Not Known"/>
    <s v="-"/>
    <s v="-"/>
    <s v="-"/>
    <s v="-"/>
    <s v="-"/>
    <x v="0"/>
    <x v="0"/>
    <n v="9.9999997764826098E-3"/>
    <n v="0"/>
    <n v="49"/>
    <n v="-49"/>
    <x v="0"/>
    <x v="0"/>
    <m/>
    <x v="0"/>
    <m/>
    <x v="0"/>
    <m/>
    <x v="0"/>
    <x v="1"/>
    <x v="1"/>
    <x v="0"/>
    <m/>
    <n v="49"/>
    <n v="0"/>
    <n v="49"/>
    <x v="1"/>
    <m/>
  </r>
  <r>
    <x v="0"/>
    <x v="0"/>
    <x v="0"/>
    <x v="0"/>
    <n v="5933"/>
    <x v="406"/>
    <x v="3"/>
    <n v="1.4999999664723899E-2"/>
    <n v="527226"/>
    <n v="175356"/>
    <m/>
    <x v="464"/>
    <s v="PF"/>
    <d v="2016-04-13T00:00:00"/>
    <x v="344"/>
    <m/>
    <m/>
    <s v="Nil"/>
    <m/>
    <m/>
    <s v="Change of use of part of the ground floor from retail (Class A1) to residential (Class C3) to provide a self-contained studio flat including erection of single-storey side/rear extension.  Erection of front and rear roof extension to provide an additional floor of accommodation to provide a self-contained studio flat."/>
    <x v="456"/>
    <s v="MIX"/>
    <x v="0"/>
    <s v="OC"/>
    <m/>
    <d v="2015-09-07T00:00:00"/>
    <d v="2017-04-19T00:00:00"/>
    <d v="2018-03-31T00:00:00"/>
    <s v="C"/>
    <s v="BF"/>
    <x v="0"/>
    <m/>
    <d v="2015-09-07T00:00:00"/>
    <d v="2017-04-19T00:00:00"/>
    <n v="86"/>
    <m/>
    <m/>
    <m/>
    <m/>
    <n v="86"/>
    <m/>
    <m/>
    <m/>
    <m/>
    <m/>
    <m/>
    <m/>
    <m/>
    <m/>
    <m/>
    <n v="118"/>
    <m/>
    <m/>
    <m/>
    <m/>
    <n v="118"/>
    <m/>
    <m/>
    <m/>
    <m/>
    <m/>
    <m/>
    <m/>
    <m/>
    <m/>
    <x v="1"/>
    <x v="0"/>
    <x v="1"/>
    <n v="-32"/>
    <m/>
    <m/>
    <m/>
    <m/>
    <n v="-32"/>
    <m/>
    <x v="0"/>
    <m/>
    <m/>
    <m/>
    <m/>
    <m/>
    <x v="0"/>
    <m/>
    <m/>
    <m/>
    <m/>
    <s v="Not Known"/>
    <s v="-"/>
    <s v="-"/>
    <s v="-"/>
    <s v="-"/>
    <s v="-"/>
    <s v="-"/>
    <s v="-"/>
    <s v="-"/>
    <s v="-"/>
    <s v="-"/>
    <x v="1"/>
    <x v="0"/>
    <s v="Vacant"/>
    <s v="-"/>
    <s v="-"/>
    <s v="-"/>
    <s v="-"/>
    <s v="-"/>
    <s v="-"/>
    <s v="-"/>
    <s v="-"/>
    <s v="-"/>
    <s v="-"/>
    <x v="0"/>
    <x v="0"/>
    <n v="4.9999998882413188E-3"/>
    <n v="86"/>
    <n v="118"/>
    <n v="-32"/>
    <x v="0"/>
    <x v="0"/>
    <m/>
    <x v="0"/>
    <m/>
    <x v="0"/>
    <m/>
    <x v="0"/>
    <x v="1"/>
    <x v="1"/>
    <x v="0"/>
    <m/>
    <n v="82"/>
    <n v="0"/>
    <n v="82"/>
    <x v="1"/>
    <m/>
  </r>
  <r>
    <x v="2"/>
    <x v="2"/>
    <x v="2"/>
    <x v="1"/>
    <n v="5935"/>
    <x v="407"/>
    <x v="7"/>
    <n v="7.0000002160668399E-3"/>
    <n v="523208"/>
    <n v="175814"/>
    <m/>
    <x v="465"/>
    <s v="PANR"/>
    <d v="2015-04-27T00:00:00"/>
    <x v="339"/>
    <m/>
    <m/>
    <s v="Nil"/>
    <m/>
    <m/>
    <s v="Determination as to whether prior approval is required for change of use from office (Class B1a) to one residential unit (Class C3)."/>
    <x v="457"/>
    <s v="COU"/>
    <x v="2"/>
    <s v="NSO"/>
    <m/>
    <m/>
    <m/>
    <m/>
    <s v="C"/>
    <s v="BF"/>
    <x v="0"/>
    <m/>
    <m/>
    <m/>
    <m/>
    <m/>
    <m/>
    <m/>
    <m/>
    <m/>
    <m/>
    <m/>
    <m/>
    <m/>
    <m/>
    <m/>
    <m/>
    <m/>
    <m/>
    <m/>
    <m/>
    <m/>
    <m/>
    <m/>
    <m/>
    <m/>
    <n v="75"/>
    <m/>
    <m/>
    <m/>
    <m/>
    <n v="75"/>
    <m/>
    <m/>
    <m/>
    <x v="0"/>
    <x v="1"/>
    <x v="1"/>
    <m/>
    <m/>
    <m/>
    <m/>
    <m/>
    <m/>
    <n v="-75"/>
    <x v="1"/>
    <m/>
    <m/>
    <m/>
    <m/>
    <n v="-75"/>
    <x v="1"/>
    <m/>
    <m/>
    <m/>
    <m/>
    <s v="-"/>
    <s v="-"/>
    <s v="-"/>
    <s v="-"/>
    <s v="-"/>
    <s v="-"/>
    <s v="-"/>
    <s v="-"/>
    <s v="-"/>
    <s v="-"/>
    <s v="-"/>
    <x v="1"/>
    <x v="0"/>
    <s v="-"/>
    <s v="-"/>
    <s v="-"/>
    <s v="-"/>
    <s v="-"/>
    <s v="Not Known"/>
    <s v="-"/>
    <s v="-"/>
    <s v="-"/>
    <s v="-"/>
    <s v="-"/>
    <x v="0"/>
    <x v="0"/>
    <n v="0"/>
    <n v="0"/>
    <n v="75"/>
    <n v="-75"/>
    <x v="0"/>
    <x v="0"/>
    <m/>
    <x v="0"/>
    <m/>
    <x v="0"/>
    <m/>
    <x v="0"/>
    <x v="0"/>
    <x v="0"/>
    <x v="0"/>
    <m/>
    <n v="75"/>
    <n v="0"/>
    <n v="75"/>
    <x v="1"/>
    <m/>
  </r>
  <r>
    <x v="3"/>
    <x v="2"/>
    <x v="2"/>
    <x v="1"/>
    <n v="5938"/>
    <x v="408"/>
    <x v="12"/>
    <n v="2.0999999716877899E-2"/>
    <n v="524894"/>
    <n v="173570"/>
    <m/>
    <x v="466"/>
    <s v="PAR"/>
    <d v="2015-05-08T00:00:00"/>
    <x v="340"/>
    <m/>
    <m/>
    <s v="APG"/>
    <d v="2015-07-28T00:00:00"/>
    <d v="2016-01-27T00:00:00"/>
    <s v="Determination as to whether prior approval is required for change of use from retail (Class A1) to one residential unit (Class C3)."/>
    <x v="458"/>
    <s v="COU"/>
    <x v="2"/>
    <s v="UC"/>
    <m/>
    <d v="2018-03-31T00:00:00"/>
    <m/>
    <m/>
    <s v="C"/>
    <s v="BF"/>
    <x v="0"/>
    <m/>
    <d v="2018-03-31T00:00:00"/>
    <m/>
    <m/>
    <m/>
    <m/>
    <m/>
    <m/>
    <m/>
    <m/>
    <m/>
    <m/>
    <m/>
    <m/>
    <m/>
    <m/>
    <m/>
    <m/>
    <m/>
    <n v="42"/>
    <m/>
    <m/>
    <m/>
    <m/>
    <n v="42"/>
    <m/>
    <m/>
    <m/>
    <m/>
    <m/>
    <m/>
    <m/>
    <m/>
    <m/>
    <x v="1"/>
    <x v="0"/>
    <x v="1"/>
    <n v="-42"/>
    <m/>
    <m/>
    <m/>
    <m/>
    <n v="-42"/>
    <m/>
    <x v="0"/>
    <m/>
    <m/>
    <m/>
    <m/>
    <m/>
    <x v="0"/>
    <m/>
    <m/>
    <m/>
    <m/>
    <s v="-"/>
    <s v="-"/>
    <s v="-"/>
    <s v="-"/>
    <s v="-"/>
    <s v="-"/>
    <s v="-"/>
    <s v="-"/>
    <s v="-"/>
    <s v="-"/>
    <s v="-"/>
    <x v="1"/>
    <x v="0"/>
    <s v="Not Known"/>
    <s v="-"/>
    <s v="-"/>
    <s v="-"/>
    <s v="-"/>
    <s v="-"/>
    <s v="-"/>
    <s v="-"/>
    <s v="-"/>
    <s v="-"/>
    <s v="-"/>
    <x v="0"/>
    <x v="0"/>
    <n v="0"/>
    <n v="0"/>
    <n v="42"/>
    <n v="-42"/>
    <x v="0"/>
    <x v="0"/>
    <m/>
    <x v="0"/>
    <m/>
    <x v="0"/>
    <m/>
    <x v="0"/>
    <x v="0"/>
    <x v="0"/>
    <x v="0"/>
    <m/>
    <n v="42"/>
    <n v="0"/>
    <n v="42"/>
    <x v="1"/>
    <m/>
  </r>
  <r>
    <x v="3"/>
    <x v="0"/>
    <x v="0"/>
    <x v="1"/>
    <n v="5942"/>
    <x v="409"/>
    <x v="2"/>
    <n v="5.4000001400709201E-2"/>
    <n v="528486"/>
    <n v="173287"/>
    <m/>
    <x v="467"/>
    <s v="PF"/>
    <d v="2016-07-04T00:00:00"/>
    <x v="155"/>
    <m/>
    <m/>
    <s v="Nil"/>
    <m/>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x v="459"/>
    <s v="MIX"/>
    <x v="0"/>
    <s v="UC"/>
    <m/>
    <d v="2018-03-31T00:00:00"/>
    <m/>
    <m/>
    <s v="C"/>
    <s v="BF"/>
    <x v="0"/>
    <m/>
    <d v="2018-03-31T00:00:00"/>
    <m/>
    <n v="326"/>
    <n v="100"/>
    <m/>
    <m/>
    <m/>
    <n v="426"/>
    <m/>
    <m/>
    <m/>
    <m/>
    <m/>
    <m/>
    <m/>
    <m/>
    <m/>
    <m/>
    <n v="346"/>
    <n v="323"/>
    <m/>
    <m/>
    <m/>
    <n v="669"/>
    <m/>
    <m/>
    <m/>
    <m/>
    <m/>
    <m/>
    <m/>
    <m/>
    <m/>
    <x v="1"/>
    <x v="0"/>
    <x v="1"/>
    <n v="-20"/>
    <n v="-223"/>
    <m/>
    <m/>
    <m/>
    <n v="-243"/>
    <m/>
    <x v="0"/>
    <m/>
    <m/>
    <m/>
    <m/>
    <m/>
    <x v="0"/>
    <m/>
    <m/>
    <m/>
    <m/>
    <s v="Not Known"/>
    <s v="Not Known"/>
    <s v="-"/>
    <s v="-"/>
    <s v="-"/>
    <s v="-"/>
    <s v="-"/>
    <s v="-"/>
    <s v="-"/>
    <s v="-"/>
    <s v="-"/>
    <x v="1"/>
    <x v="0"/>
    <s v="Not Known"/>
    <s v="Not Known"/>
    <s v="-"/>
    <s v="-"/>
    <s v="-"/>
    <s v="-"/>
    <s v="-"/>
    <s v="-"/>
    <s v="-"/>
    <s v="-"/>
    <s v="-"/>
    <x v="0"/>
    <x v="0"/>
    <n v="1.3000002130866099E-2"/>
    <n v="426"/>
    <n v="669"/>
    <n v="-243"/>
    <x v="0"/>
    <x v="0"/>
    <m/>
    <x v="0"/>
    <m/>
    <x v="0"/>
    <m/>
    <x v="0"/>
    <x v="1"/>
    <x v="5"/>
    <x v="0"/>
    <m/>
    <n v="737"/>
    <n v="0"/>
    <n v="737"/>
    <x v="1"/>
    <m/>
  </r>
  <r>
    <x v="0"/>
    <x v="0"/>
    <x v="0"/>
    <x v="2"/>
    <n v="5943"/>
    <x v="410"/>
    <x v="2"/>
    <n v="0.103000000119209"/>
    <n v="527832"/>
    <n v="172523"/>
    <m/>
    <x v="468"/>
    <s v="PF"/>
    <d v="2015-04-20T00:00:00"/>
    <x v="337"/>
    <m/>
    <m/>
    <s v="Nil"/>
    <m/>
    <m/>
    <s v="Erection of two-storey rear extension in connection with change of use of from office (Use Class B1) to 9 self-contained residential flats (3x1, 6x2 bed) (Use Class C3); external alterations including demolition of various ancillary buildings."/>
    <x v="460"/>
    <s v="MIX"/>
    <x v="0"/>
    <s v="CO"/>
    <m/>
    <d v="2017-03-31T00:00:00"/>
    <d v="2018-03-31T00:00:00"/>
    <m/>
    <s v="C"/>
    <s v="BF"/>
    <x v="0"/>
    <m/>
    <d v="2017-03-31T00:00:00"/>
    <d v="2018-03-31T00:00:00"/>
    <m/>
    <m/>
    <m/>
    <m/>
    <m/>
    <m/>
    <m/>
    <m/>
    <m/>
    <m/>
    <m/>
    <m/>
    <m/>
    <m/>
    <m/>
    <m/>
    <m/>
    <m/>
    <m/>
    <m/>
    <m/>
    <m/>
    <n v="262"/>
    <m/>
    <m/>
    <m/>
    <m/>
    <n v="262"/>
    <m/>
    <m/>
    <m/>
    <x v="0"/>
    <x v="1"/>
    <x v="1"/>
    <m/>
    <m/>
    <m/>
    <m/>
    <m/>
    <m/>
    <n v="-262"/>
    <x v="1"/>
    <m/>
    <m/>
    <m/>
    <m/>
    <n v="-262"/>
    <x v="1"/>
    <m/>
    <m/>
    <m/>
    <m/>
    <s v="-"/>
    <s v="-"/>
    <s v="-"/>
    <s v="-"/>
    <s v="-"/>
    <s v="-"/>
    <s v="-"/>
    <s v="-"/>
    <s v="-"/>
    <s v="-"/>
    <s v="-"/>
    <x v="1"/>
    <x v="0"/>
    <s v="-"/>
    <s v="-"/>
    <s v="-"/>
    <s v="-"/>
    <s v="-"/>
    <s v="-"/>
    <s v="-"/>
    <s v="-"/>
    <s v="-"/>
    <s v="-"/>
    <s v="-"/>
    <x v="0"/>
    <x v="0"/>
    <n v="0"/>
    <n v="0"/>
    <n v="351"/>
    <n v="-351"/>
    <x v="0"/>
    <x v="0"/>
    <m/>
    <x v="0"/>
    <m/>
    <x v="0"/>
    <m/>
    <x v="0"/>
    <x v="0"/>
    <x v="0"/>
    <x v="0"/>
    <m/>
    <n v="699"/>
    <n v="0"/>
    <n v="699"/>
    <x v="1"/>
    <m/>
  </r>
  <r>
    <x v="3"/>
    <x v="0"/>
    <x v="0"/>
    <x v="1"/>
    <n v="5946"/>
    <x v="411"/>
    <x v="6"/>
    <n v="1.09999999403954E-2"/>
    <n v="528334"/>
    <n v="175747"/>
    <m/>
    <x v="469"/>
    <s v="PF"/>
    <d v="2015-04-29T00:00:00"/>
    <x v="345"/>
    <m/>
    <m/>
    <s v="Nil"/>
    <m/>
    <m/>
    <s v="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
    <x v="461"/>
    <s v="MIX"/>
    <x v="0"/>
    <s v="UC"/>
    <m/>
    <d v="2017-03-31T00:00:00"/>
    <m/>
    <m/>
    <s v="C"/>
    <s v="BF"/>
    <x v="0"/>
    <m/>
    <d v="2017-03-31T00:00:00"/>
    <m/>
    <n v="42"/>
    <m/>
    <m/>
    <m/>
    <m/>
    <n v="42"/>
    <m/>
    <m/>
    <m/>
    <m/>
    <m/>
    <m/>
    <m/>
    <m/>
    <m/>
    <m/>
    <n v="102"/>
    <m/>
    <m/>
    <m/>
    <m/>
    <n v="102"/>
    <m/>
    <m/>
    <m/>
    <m/>
    <m/>
    <m/>
    <m/>
    <m/>
    <m/>
    <x v="1"/>
    <x v="0"/>
    <x v="1"/>
    <n v="-60"/>
    <m/>
    <m/>
    <m/>
    <m/>
    <n v="-60"/>
    <m/>
    <x v="0"/>
    <m/>
    <m/>
    <m/>
    <m/>
    <m/>
    <x v="0"/>
    <m/>
    <m/>
    <m/>
    <m/>
    <s v="Not Known"/>
    <s v="-"/>
    <s v="-"/>
    <s v="-"/>
    <s v="-"/>
    <s v="-"/>
    <s v="-"/>
    <s v="-"/>
    <s v="-"/>
    <s v="-"/>
    <s v="-"/>
    <x v="1"/>
    <x v="0"/>
    <s v="Not Known"/>
    <s v="-"/>
    <s v="-"/>
    <s v="-"/>
    <s v="-"/>
    <s v="-"/>
    <s v="-"/>
    <s v="-"/>
    <s v="-"/>
    <s v="-"/>
    <s v="-"/>
    <x v="0"/>
    <x v="0"/>
    <n v="0"/>
    <n v="42"/>
    <n v="102"/>
    <n v="-60"/>
    <x v="0"/>
    <x v="0"/>
    <m/>
    <x v="0"/>
    <m/>
    <x v="0"/>
    <m/>
    <x v="0"/>
    <x v="0"/>
    <x v="0"/>
    <x v="1"/>
    <s v="Lavender Hill/Queenstown Road"/>
    <n v="169"/>
    <n v="83"/>
    <n v="86"/>
    <x v="1"/>
    <m/>
  </r>
  <r>
    <x v="3"/>
    <x v="0"/>
    <x v="0"/>
    <x v="1"/>
    <n v="5946"/>
    <x v="411"/>
    <x v="6"/>
    <n v="1.09999999403954E-2"/>
    <n v="528334"/>
    <n v="175747"/>
    <m/>
    <x v="470"/>
    <s v="PF"/>
    <d v="2016-07-05T00:00:00"/>
    <x v="346"/>
    <m/>
    <m/>
    <s v="Nil"/>
    <m/>
    <m/>
    <s v="Change of use to upper and lower ground floor shop (Class A1)  to include both Class A1 (retail) and Class A2 (financial and professional services) uses."/>
    <x v="462"/>
    <s v="COU"/>
    <x v="2"/>
    <s v="UC"/>
    <m/>
    <d v="2017-03-31T00:00:00"/>
    <m/>
    <m/>
    <s v="C"/>
    <s v="BF"/>
    <x v="0"/>
    <m/>
    <d v="2017-03-31T00:00:00"/>
    <m/>
    <n v="23"/>
    <n v="23"/>
    <m/>
    <m/>
    <m/>
    <n v="46"/>
    <m/>
    <m/>
    <m/>
    <m/>
    <m/>
    <m/>
    <m/>
    <m/>
    <m/>
    <m/>
    <n v="46"/>
    <m/>
    <m/>
    <m/>
    <m/>
    <n v="46"/>
    <m/>
    <m/>
    <m/>
    <m/>
    <m/>
    <m/>
    <m/>
    <m/>
    <m/>
    <x v="1"/>
    <x v="0"/>
    <x v="1"/>
    <n v="-23"/>
    <n v="23"/>
    <m/>
    <m/>
    <m/>
    <m/>
    <m/>
    <x v="0"/>
    <m/>
    <m/>
    <m/>
    <m/>
    <m/>
    <x v="0"/>
    <m/>
    <m/>
    <m/>
    <m/>
    <s v="Not Known"/>
    <s v="Not Known"/>
    <s v="-"/>
    <s v="-"/>
    <s v="-"/>
    <s v="-"/>
    <s v="-"/>
    <s v="-"/>
    <s v="-"/>
    <s v="-"/>
    <s v="-"/>
    <x v="1"/>
    <x v="0"/>
    <s v="Vacant"/>
    <s v="-"/>
    <s v="-"/>
    <s v="-"/>
    <s v="-"/>
    <s v="-"/>
    <s v="-"/>
    <s v="-"/>
    <s v="-"/>
    <s v="-"/>
    <s v="-"/>
    <x v="0"/>
    <x v="0"/>
    <n v="1.09999999403954E-2"/>
    <n v="46"/>
    <n v="46"/>
    <n v="0"/>
    <x v="0"/>
    <x v="0"/>
    <m/>
    <x v="0"/>
    <m/>
    <x v="0"/>
    <m/>
    <x v="0"/>
    <x v="0"/>
    <x v="0"/>
    <x v="1"/>
    <s v="Lavender Hill/Queenstown Road"/>
    <n v="0"/>
    <n v="0"/>
    <n v="0"/>
    <x v="0"/>
    <m/>
  </r>
  <r>
    <x v="3"/>
    <x v="0"/>
    <x v="0"/>
    <x v="1"/>
    <n v="5947"/>
    <x v="412"/>
    <x v="12"/>
    <n v="0.73100000619888295"/>
    <n v="525329"/>
    <n v="173732"/>
    <m/>
    <x v="471"/>
    <s v="PF"/>
    <d v="2015-05-13T00:00:00"/>
    <x v="347"/>
    <m/>
    <m/>
    <s v="Nil"/>
    <m/>
    <m/>
    <s v="Demolition of existing building and erection of two-storey building to provide approximately 4816.sqm of Class B8 (storage and distribution) use and associated office space, creation of new vehicle access from Kimber Road, creation of 8 on-site car parking spaces, vehicle loading bay and turning circle accessed from Kimber Road."/>
    <x v="463"/>
    <s v="NB"/>
    <x v="0"/>
    <s v="UC"/>
    <m/>
    <d v="2017-03-31T00:00:00"/>
    <m/>
    <m/>
    <s v="C"/>
    <s v="BF"/>
    <x v="0"/>
    <m/>
    <d v="2017-03-31T00:00:00"/>
    <m/>
    <m/>
    <m/>
    <m/>
    <m/>
    <m/>
    <m/>
    <m/>
    <m/>
    <m/>
    <m/>
    <m/>
    <n v="4816"/>
    <n v="4816"/>
    <m/>
    <m/>
    <m/>
    <m/>
    <m/>
    <m/>
    <m/>
    <m/>
    <m/>
    <m/>
    <m/>
    <m/>
    <m/>
    <n v="2510"/>
    <n v="2510"/>
    <m/>
    <m/>
    <m/>
    <x v="0"/>
    <x v="1"/>
    <x v="1"/>
    <m/>
    <m/>
    <m/>
    <m/>
    <m/>
    <m/>
    <m/>
    <x v="0"/>
    <m/>
    <m/>
    <m/>
    <n v="2306"/>
    <n v="2306"/>
    <x v="0"/>
    <m/>
    <m/>
    <m/>
    <m/>
    <s v="-"/>
    <s v="-"/>
    <s v="-"/>
    <s v="-"/>
    <s v="-"/>
    <s v="-"/>
    <s v="-"/>
    <s v="-"/>
    <s v="-"/>
    <s v="Storage"/>
    <s v="-"/>
    <x v="1"/>
    <x v="0"/>
    <s v="-"/>
    <s v="-"/>
    <s v="-"/>
    <s v="-"/>
    <s v="-"/>
    <s v="-"/>
    <s v="-"/>
    <s v="-"/>
    <s v="-"/>
    <s v="Storage"/>
    <s v="-"/>
    <x v="0"/>
    <x v="0"/>
    <n v="0.73100000619888295"/>
    <n v="4816"/>
    <n v="2510"/>
    <n v="2306"/>
    <x v="0"/>
    <x v="0"/>
    <m/>
    <x v="1"/>
    <s v="Kimber Road"/>
    <x v="0"/>
    <m/>
    <x v="0"/>
    <x v="0"/>
    <x v="0"/>
    <x v="0"/>
    <m/>
    <n v="0"/>
    <n v="0"/>
    <n v="0"/>
    <x v="0"/>
    <m/>
  </r>
  <r>
    <x v="0"/>
    <x v="0"/>
    <x v="0"/>
    <x v="0"/>
    <n v="5956"/>
    <x v="413"/>
    <x v="7"/>
    <n v="9.9999997764825804E-3"/>
    <n v="523775"/>
    <n v="175783"/>
    <m/>
    <x v="472"/>
    <s v="PF"/>
    <d v="2015-04-15T00:00:00"/>
    <x v="348"/>
    <m/>
    <m/>
    <s v="Nil"/>
    <m/>
    <m/>
    <s v="Conversion of the rear part of ground floor retail unit and upper floor flat into 1x1bedroom and 1x2-bedroom self contained flats. Alterations to front dormer and enlargement of rear dormer including erection of two-storey side extension; insertion of additional windows, french doors safety railings to rear and side elevation, including new entrance door fronting onto Glendarvon Street. Formation of roof terrace at second floor level with screening."/>
    <x v="464"/>
    <s v="MIX"/>
    <x v="0"/>
    <s v="OC"/>
    <m/>
    <d v="2015-10-28T00:00:00"/>
    <d v="2018-03-31T00:00:00"/>
    <d v="2018-03-31T00:00:00"/>
    <s v="C"/>
    <s v="BF"/>
    <x v="0"/>
    <m/>
    <d v="2015-10-28T00:00:00"/>
    <d v="2018-03-31T00:00:00"/>
    <n v="77"/>
    <m/>
    <m/>
    <m/>
    <m/>
    <n v="77"/>
    <m/>
    <m/>
    <m/>
    <m/>
    <m/>
    <m/>
    <m/>
    <m/>
    <m/>
    <m/>
    <n v="107"/>
    <m/>
    <m/>
    <m/>
    <m/>
    <n v="107"/>
    <m/>
    <m/>
    <m/>
    <m/>
    <m/>
    <m/>
    <m/>
    <m/>
    <m/>
    <x v="1"/>
    <x v="0"/>
    <x v="1"/>
    <n v="-30"/>
    <m/>
    <m/>
    <m/>
    <m/>
    <n v="-30"/>
    <m/>
    <x v="0"/>
    <m/>
    <m/>
    <m/>
    <m/>
    <m/>
    <x v="0"/>
    <m/>
    <m/>
    <m/>
    <m/>
    <s v="Not Known"/>
    <s v="-"/>
    <s v="-"/>
    <s v="-"/>
    <s v="-"/>
    <s v="-"/>
    <s v="-"/>
    <s v="-"/>
    <s v="-"/>
    <s v="-"/>
    <s v="-"/>
    <x v="1"/>
    <x v="0"/>
    <s v="Not Known"/>
    <s v="-"/>
    <s v="-"/>
    <s v="-"/>
    <s v="-"/>
    <s v="-"/>
    <s v="-"/>
    <s v="-"/>
    <s v="-"/>
    <s v="-"/>
    <s v="-"/>
    <x v="0"/>
    <x v="0"/>
    <n v="2.9999995604157404E-3"/>
    <n v="77"/>
    <n v="107"/>
    <n v="-30"/>
    <x v="0"/>
    <x v="0"/>
    <m/>
    <x v="0"/>
    <m/>
    <x v="0"/>
    <m/>
    <x v="0"/>
    <x v="0"/>
    <x v="0"/>
    <x v="0"/>
    <m/>
    <n v="124"/>
    <n v="94"/>
    <n v="30"/>
    <x v="1"/>
    <m/>
  </r>
  <r>
    <x v="2"/>
    <x v="0"/>
    <x v="0"/>
    <x v="1"/>
    <n v="5958"/>
    <x v="414"/>
    <x v="14"/>
    <n v="1.4999999664723899E-2"/>
    <n v="527576"/>
    <n v="171713"/>
    <m/>
    <x v="473"/>
    <s v="PF"/>
    <d v="2016-02-23T00:00:00"/>
    <x v="160"/>
    <m/>
    <m/>
    <s v="Nil"/>
    <m/>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x v="465"/>
    <s v="MIX"/>
    <x v="0"/>
    <s v="NSO"/>
    <m/>
    <m/>
    <m/>
    <m/>
    <s v="C"/>
    <s v="BF"/>
    <x v="0"/>
    <m/>
    <m/>
    <m/>
    <m/>
    <m/>
    <n v="239"/>
    <m/>
    <m/>
    <n v="239"/>
    <m/>
    <m/>
    <m/>
    <m/>
    <m/>
    <m/>
    <m/>
    <m/>
    <m/>
    <m/>
    <m/>
    <m/>
    <n v="212"/>
    <m/>
    <m/>
    <n v="212"/>
    <m/>
    <m/>
    <m/>
    <m/>
    <m/>
    <m/>
    <m/>
    <m/>
    <m/>
    <x v="1"/>
    <x v="0"/>
    <x v="1"/>
    <m/>
    <m/>
    <n v="27"/>
    <m/>
    <m/>
    <n v="27"/>
    <m/>
    <x v="0"/>
    <m/>
    <m/>
    <m/>
    <m/>
    <m/>
    <x v="0"/>
    <m/>
    <m/>
    <m/>
    <m/>
    <s v="-"/>
    <s v="-"/>
    <s v="Restaurant"/>
    <s v="-"/>
    <s v="-"/>
    <s v="-"/>
    <s v="-"/>
    <s v="-"/>
    <s v="-"/>
    <s v="-"/>
    <s v="-"/>
    <x v="1"/>
    <x v="0"/>
    <s v="-"/>
    <s v="-"/>
    <s v="Restaurant"/>
    <s v="-"/>
    <s v="-"/>
    <s v="-"/>
    <s v="-"/>
    <s v="-"/>
    <s v="-"/>
    <s v="-"/>
    <s v="-"/>
    <x v="0"/>
    <x v="0"/>
    <n v="4.9999998882413188E-3"/>
    <n v="239"/>
    <n v="212"/>
    <n v="27"/>
    <x v="0"/>
    <x v="0"/>
    <m/>
    <x v="0"/>
    <m/>
    <x v="0"/>
    <m/>
    <x v="0"/>
    <x v="1"/>
    <x v="3"/>
    <x v="0"/>
    <m/>
    <n v="247"/>
    <n v="125"/>
    <n v="122"/>
    <x v="1"/>
    <m/>
  </r>
  <r>
    <x v="3"/>
    <x v="0"/>
    <x v="0"/>
    <x v="1"/>
    <n v="5959"/>
    <x v="415"/>
    <x v="0"/>
    <n v="1.8999999389052401E-2"/>
    <n v="524608"/>
    <n v="173417"/>
    <m/>
    <x v="474"/>
    <s v="PF"/>
    <d v="2015-05-20T00:00:00"/>
    <x v="349"/>
    <m/>
    <m/>
    <s v="Nil"/>
    <m/>
    <m/>
    <s v="Demolition of existing garages. Erection of 1 x single-storey, with basement, dwellinghouse (Class C3) fronting Combemartin Road with lightwells to the front and rear and new boundary treatment."/>
    <x v="446"/>
    <s v="NB"/>
    <x v="0"/>
    <s v="UC"/>
    <m/>
    <d v="2017-08-03T00:00:00"/>
    <m/>
    <m/>
    <s v="C"/>
    <s v="Gdn"/>
    <x v="0"/>
    <m/>
    <d v="2017-08-03T00:00:00"/>
    <m/>
    <m/>
    <m/>
    <m/>
    <m/>
    <m/>
    <m/>
    <m/>
    <m/>
    <m/>
    <m/>
    <m/>
    <m/>
    <m/>
    <m/>
    <m/>
    <m/>
    <m/>
    <m/>
    <m/>
    <m/>
    <m/>
    <m/>
    <m/>
    <m/>
    <m/>
    <m/>
    <m/>
    <m/>
    <m/>
    <m/>
    <m/>
    <x v="0"/>
    <x v="0"/>
    <x v="1"/>
    <m/>
    <m/>
    <m/>
    <m/>
    <m/>
    <m/>
    <m/>
    <x v="0"/>
    <m/>
    <m/>
    <m/>
    <m/>
    <m/>
    <x v="0"/>
    <m/>
    <m/>
    <m/>
    <m/>
    <s v="-"/>
    <s v="-"/>
    <s v="-"/>
    <s v="-"/>
    <s v="-"/>
    <s v="-"/>
    <s v="-"/>
    <s v="-"/>
    <s v="-"/>
    <s v="-"/>
    <s v="-"/>
    <x v="1"/>
    <x v="0"/>
    <s v="-"/>
    <s v="-"/>
    <s v="-"/>
    <s v="-"/>
    <s v="-"/>
    <s v="-"/>
    <s v="-"/>
    <s v="-"/>
    <s v="-"/>
    <s v="-"/>
    <s v="-"/>
    <x v="0"/>
    <x v="0"/>
    <n v="0"/>
    <n v="0"/>
    <n v="241"/>
    <n v="-241"/>
    <x v="0"/>
    <x v="0"/>
    <m/>
    <x v="0"/>
    <m/>
    <x v="0"/>
    <m/>
    <x v="0"/>
    <x v="0"/>
    <x v="0"/>
    <x v="0"/>
    <m/>
    <n v="173"/>
    <n v="0"/>
    <n v="173"/>
    <x v="1"/>
    <m/>
  </r>
  <r>
    <x v="2"/>
    <x v="2"/>
    <x v="2"/>
    <x v="1"/>
    <n v="5960"/>
    <x v="416"/>
    <x v="8"/>
    <n v="8.2000002264976501E-2"/>
    <n v="528068"/>
    <n v="176644"/>
    <m/>
    <x v="475"/>
    <s v="PAG"/>
    <d v="2015-08-13T00:00:00"/>
    <x v="350"/>
    <m/>
    <m/>
    <s v="Nil"/>
    <m/>
    <m/>
    <s v="Determination as to whether prior approval is required for change of use of second and third floors from office (Class B1a) to 2 x 2-bedroom residential units (Class C3)."/>
    <x v="466"/>
    <s v="COU"/>
    <x v="2"/>
    <s v="NSO"/>
    <m/>
    <m/>
    <m/>
    <m/>
    <s v="C"/>
    <s v="BF"/>
    <x v="0"/>
    <m/>
    <m/>
    <m/>
    <m/>
    <m/>
    <m/>
    <m/>
    <m/>
    <m/>
    <m/>
    <m/>
    <m/>
    <m/>
    <m/>
    <m/>
    <m/>
    <m/>
    <m/>
    <m/>
    <m/>
    <m/>
    <m/>
    <m/>
    <m/>
    <m/>
    <n v="122"/>
    <m/>
    <m/>
    <m/>
    <m/>
    <n v="122"/>
    <m/>
    <m/>
    <m/>
    <x v="0"/>
    <x v="1"/>
    <x v="1"/>
    <m/>
    <m/>
    <m/>
    <m/>
    <m/>
    <m/>
    <n v="-122"/>
    <x v="1"/>
    <m/>
    <m/>
    <m/>
    <m/>
    <n v="-122"/>
    <x v="1"/>
    <m/>
    <m/>
    <m/>
    <m/>
    <s v="-"/>
    <s v="-"/>
    <s v="-"/>
    <s v="-"/>
    <s v="-"/>
    <s v="-"/>
    <s v="-"/>
    <s v="-"/>
    <s v="-"/>
    <s v="-"/>
    <s v="-"/>
    <x v="1"/>
    <x v="0"/>
    <s v="-"/>
    <s v="-"/>
    <s v="-"/>
    <s v="-"/>
    <s v="-"/>
    <s v="Not Known"/>
    <s v="-"/>
    <s v="-"/>
    <s v="-"/>
    <s v="-"/>
    <s v="-"/>
    <x v="0"/>
    <x v="0"/>
    <n v="2.7000002562999705E-2"/>
    <n v="0"/>
    <n v="122"/>
    <n v="-122"/>
    <x v="0"/>
    <x v="0"/>
    <m/>
    <x v="0"/>
    <m/>
    <x v="0"/>
    <m/>
    <x v="0"/>
    <x v="0"/>
    <x v="0"/>
    <x v="0"/>
    <m/>
    <n v="155"/>
    <n v="0"/>
    <n v="155"/>
    <x v="1"/>
    <m/>
  </r>
  <r>
    <x v="2"/>
    <x v="2"/>
    <x v="2"/>
    <x v="1"/>
    <n v="5961"/>
    <x v="417"/>
    <x v="7"/>
    <n v="6.0000000521540598E-3"/>
    <n v="523197"/>
    <n v="175814"/>
    <m/>
    <x v="476"/>
    <s v="PANR"/>
    <d v="2015-07-01T00:00:00"/>
    <x v="351"/>
    <m/>
    <m/>
    <s v="Nil"/>
    <m/>
    <m/>
    <s v="Determination as to whether prior approval is required for change of use from office (Class B1a) to one residential unit (Class C3)."/>
    <x v="7"/>
    <s v="COU"/>
    <x v="2"/>
    <s v="NSO"/>
    <m/>
    <m/>
    <m/>
    <m/>
    <s v="C"/>
    <s v="BF"/>
    <x v="0"/>
    <m/>
    <m/>
    <m/>
    <m/>
    <m/>
    <m/>
    <m/>
    <m/>
    <m/>
    <m/>
    <m/>
    <m/>
    <m/>
    <m/>
    <m/>
    <m/>
    <m/>
    <m/>
    <m/>
    <m/>
    <m/>
    <m/>
    <m/>
    <m/>
    <m/>
    <n v="92"/>
    <m/>
    <m/>
    <m/>
    <m/>
    <n v="92"/>
    <m/>
    <m/>
    <m/>
    <x v="0"/>
    <x v="1"/>
    <x v="1"/>
    <m/>
    <m/>
    <m/>
    <m/>
    <m/>
    <m/>
    <n v="-92"/>
    <x v="1"/>
    <m/>
    <m/>
    <m/>
    <m/>
    <n v="-92"/>
    <x v="1"/>
    <m/>
    <m/>
    <m/>
    <m/>
    <s v="-"/>
    <s v="-"/>
    <s v="-"/>
    <s v="-"/>
    <s v="-"/>
    <s v="-"/>
    <s v="-"/>
    <s v="-"/>
    <s v="-"/>
    <s v="-"/>
    <s v="-"/>
    <x v="1"/>
    <x v="0"/>
    <s v="-"/>
    <s v="-"/>
    <s v="-"/>
    <s v="-"/>
    <s v="-"/>
    <s v="Vacant"/>
    <s v="-"/>
    <s v="-"/>
    <s v="-"/>
    <s v="-"/>
    <s v="-"/>
    <x v="0"/>
    <x v="0"/>
    <n v="0"/>
    <n v="0"/>
    <n v="92"/>
    <n v="-92"/>
    <x v="0"/>
    <x v="0"/>
    <m/>
    <x v="0"/>
    <m/>
    <x v="0"/>
    <m/>
    <x v="0"/>
    <x v="0"/>
    <x v="0"/>
    <x v="0"/>
    <m/>
    <n v="92"/>
    <n v="0"/>
    <n v="92"/>
    <x v="1"/>
    <m/>
  </r>
  <r>
    <x v="2"/>
    <x v="2"/>
    <x v="2"/>
    <x v="1"/>
    <n v="5963"/>
    <x v="418"/>
    <x v="7"/>
    <n v="4.6999998390674598E-2"/>
    <n v="523225"/>
    <n v="175820"/>
    <m/>
    <x v="477"/>
    <s v="PANR"/>
    <d v="2015-09-18T00:00:00"/>
    <x v="347"/>
    <m/>
    <m/>
    <s v="Nil"/>
    <m/>
    <m/>
    <s v="Determination as to whether prior approval is required for change of use from office (Class B1a) to one residential unit (Class C3)."/>
    <x v="7"/>
    <s v="COU"/>
    <x v="2"/>
    <s v="NSO"/>
    <m/>
    <m/>
    <m/>
    <m/>
    <s v="C"/>
    <s v="BF"/>
    <x v="0"/>
    <m/>
    <m/>
    <m/>
    <m/>
    <m/>
    <m/>
    <m/>
    <m/>
    <m/>
    <m/>
    <m/>
    <m/>
    <m/>
    <m/>
    <m/>
    <m/>
    <m/>
    <m/>
    <m/>
    <m/>
    <m/>
    <m/>
    <m/>
    <m/>
    <m/>
    <n v="92"/>
    <m/>
    <m/>
    <m/>
    <m/>
    <n v="92"/>
    <m/>
    <m/>
    <m/>
    <x v="0"/>
    <x v="1"/>
    <x v="1"/>
    <m/>
    <m/>
    <m/>
    <m/>
    <m/>
    <m/>
    <n v="-92"/>
    <x v="1"/>
    <m/>
    <m/>
    <m/>
    <m/>
    <n v="-92"/>
    <x v="1"/>
    <m/>
    <m/>
    <m/>
    <m/>
    <s v="-"/>
    <s v="-"/>
    <s v="-"/>
    <s v="-"/>
    <s v="-"/>
    <s v="-"/>
    <s v="-"/>
    <s v="-"/>
    <s v="-"/>
    <s v="-"/>
    <s v="-"/>
    <x v="1"/>
    <x v="0"/>
    <s v="-"/>
    <s v="-"/>
    <s v="-"/>
    <s v="-"/>
    <s v="-"/>
    <s v="Not Known"/>
    <s v="-"/>
    <s v="-"/>
    <s v="-"/>
    <s v="-"/>
    <s v="-"/>
    <x v="0"/>
    <x v="0"/>
    <n v="0"/>
    <n v="0"/>
    <n v="92"/>
    <n v="-92"/>
    <x v="0"/>
    <x v="0"/>
    <m/>
    <x v="0"/>
    <m/>
    <x v="0"/>
    <m/>
    <x v="0"/>
    <x v="0"/>
    <x v="0"/>
    <x v="0"/>
    <m/>
    <n v="92"/>
    <n v="0"/>
    <n v="92"/>
    <x v="1"/>
    <m/>
  </r>
  <r>
    <x v="0"/>
    <x v="2"/>
    <x v="2"/>
    <x v="0"/>
    <n v="5964"/>
    <x v="419"/>
    <x v="9"/>
    <n v="8.0000003799796104E-3"/>
    <n v="527305"/>
    <n v="176281"/>
    <m/>
    <x v="478"/>
    <s v="PAG"/>
    <d v="2016-04-01T00:00:00"/>
    <x v="352"/>
    <m/>
    <m/>
    <s v="Nil"/>
    <m/>
    <m/>
    <s v="Determination as to whether prior approval is required for change of use from office (Class B1a) to 1 x 1-bedroom residential unit (Class C3)."/>
    <x v="169"/>
    <s v="COU"/>
    <x v="2"/>
    <s v="OC"/>
    <m/>
    <d v="2016-08-23T00:00:00"/>
    <d v="2017-06-08T00:00:00"/>
    <d v="2017-06-08T00:00:00"/>
    <s v="C"/>
    <s v="BF"/>
    <x v="0"/>
    <m/>
    <d v="2016-08-23T00:00:00"/>
    <d v="2017-06-08T00:00:00"/>
    <m/>
    <m/>
    <m/>
    <m/>
    <m/>
    <m/>
    <m/>
    <m/>
    <m/>
    <m/>
    <m/>
    <m/>
    <m/>
    <m/>
    <m/>
    <m/>
    <m/>
    <m/>
    <m/>
    <m/>
    <m/>
    <m/>
    <n v="57"/>
    <m/>
    <m/>
    <m/>
    <m/>
    <n v="57"/>
    <m/>
    <m/>
    <m/>
    <x v="0"/>
    <x v="1"/>
    <x v="1"/>
    <m/>
    <m/>
    <m/>
    <m/>
    <m/>
    <m/>
    <n v="-57"/>
    <x v="1"/>
    <m/>
    <m/>
    <m/>
    <m/>
    <n v="-57"/>
    <x v="1"/>
    <m/>
    <m/>
    <m/>
    <m/>
    <s v="-"/>
    <s v="-"/>
    <s v="-"/>
    <s v="-"/>
    <s v="-"/>
    <s v="-"/>
    <s v="-"/>
    <s v="-"/>
    <s v="-"/>
    <s v="-"/>
    <s v="-"/>
    <x v="1"/>
    <x v="0"/>
    <s v="-"/>
    <s v="-"/>
    <s v="-"/>
    <s v="-"/>
    <s v="-"/>
    <s v="Not Known"/>
    <s v="-"/>
    <s v="-"/>
    <s v="-"/>
    <s v="-"/>
    <s v="-"/>
    <x v="0"/>
    <x v="0"/>
    <n v="4.0000001899898E-3"/>
    <n v="0"/>
    <n v="57"/>
    <n v="-57"/>
    <x v="0"/>
    <x v="0"/>
    <m/>
    <x v="0"/>
    <m/>
    <x v="0"/>
    <m/>
    <x v="0"/>
    <x v="0"/>
    <x v="0"/>
    <x v="0"/>
    <m/>
    <n v="57"/>
    <n v="0"/>
    <n v="57"/>
    <x v="1"/>
    <m/>
  </r>
  <r>
    <x v="3"/>
    <x v="2"/>
    <x v="2"/>
    <x v="1"/>
    <n v="5966"/>
    <x v="420"/>
    <x v="4"/>
    <n v="8.79999995231628E-2"/>
    <n v="527304"/>
    <n v="177160"/>
    <m/>
    <x v="479"/>
    <s v="PANR"/>
    <d v="2015-12-13T00:00:00"/>
    <x v="353"/>
    <m/>
    <m/>
    <s v="Nil"/>
    <m/>
    <m/>
    <s v="Determination as to whether prior approval is required for change of use from office (Class B1a) to two residential units (Class C3)."/>
    <x v="467"/>
    <s v="COU"/>
    <x v="2"/>
    <s v="UC"/>
    <m/>
    <d v="2017-03-31T00:00:00"/>
    <m/>
    <m/>
    <s v="C"/>
    <s v="BF"/>
    <x v="0"/>
    <m/>
    <d v="2017-03-31T00:00:00"/>
    <m/>
    <m/>
    <m/>
    <m/>
    <m/>
    <m/>
    <m/>
    <m/>
    <m/>
    <m/>
    <m/>
    <m/>
    <m/>
    <m/>
    <m/>
    <m/>
    <m/>
    <m/>
    <m/>
    <m/>
    <m/>
    <m/>
    <m/>
    <n v="72"/>
    <m/>
    <m/>
    <m/>
    <m/>
    <n v="72"/>
    <m/>
    <m/>
    <m/>
    <x v="0"/>
    <x v="1"/>
    <x v="1"/>
    <m/>
    <m/>
    <m/>
    <m/>
    <m/>
    <m/>
    <n v="-72"/>
    <x v="1"/>
    <m/>
    <m/>
    <m/>
    <m/>
    <n v="-72"/>
    <x v="1"/>
    <m/>
    <m/>
    <m/>
    <m/>
    <s v="-"/>
    <s v="-"/>
    <s v="-"/>
    <s v="-"/>
    <s v="-"/>
    <s v="-"/>
    <s v="-"/>
    <s v="-"/>
    <s v="-"/>
    <s v="-"/>
    <s v="-"/>
    <x v="1"/>
    <x v="0"/>
    <s v="-"/>
    <s v="-"/>
    <s v="-"/>
    <s v="-"/>
    <s v="-"/>
    <s v="Not Known"/>
    <s v="-"/>
    <s v="-"/>
    <s v="-"/>
    <s v="-"/>
    <s v="-"/>
    <x v="0"/>
    <x v="0"/>
    <n v="2.9000001028180102E-2"/>
    <n v="0"/>
    <n v="72"/>
    <n v="-72"/>
    <x v="1"/>
    <x v="0"/>
    <m/>
    <x v="0"/>
    <m/>
    <x v="0"/>
    <m/>
    <x v="0"/>
    <x v="0"/>
    <x v="0"/>
    <x v="0"/>
    <m/>
    <n v="72"/>
    <n v="0"/>
    <n v="72"/>
    <x v="1"/>
    <m/>
  </r>
  <r>
    <x v="3"/>
    <x v="0"/>
    <x v="0"/>
    <x v="1"/>
    <n v="5968"/>
    <x v="421"/>
    <x v="2"/>
    <n v="0.13300000131130199"/>
    <n v="528235"/>
    <n v="172781"/>
    <m/>
    <x v="480"/>
    <s v="S73"/>
    <d v="2017-11-17T00:00:00"/>
    <x v="148"/>
    <s v="Y"/>
    <d v="2018-01-25T00:00:00"/>
    <s v="Nil"/>
    <m/>
    <m/>
    <s v="Variation of condition 10 (in accordance with approved drawings) of planning permission 2017/1369 dated 7 July 2017 which granted 'Demolition of existing petrol filling station (Class Sui Generis) and redevelopment of the site including erection of a 4-7 storey building to provide 71 self-contained residential units (Class C3)(22 x 1 bedrooms, 41x 2 bedrooms, 8 x 3 bedrooms) with associated cycle parking and landscaping) to allow alterations in association with reconfigured layout of 69 units).) to allow alterations in association with reconfigured layout of 69 units ((20 x 1 bedrooms, 40x 2 bedrooms, 7 x 3 bedrooms, 1 x 4 bedroom and 1 studio)'.  Approved drawings to be amended by way of: Minor changes to floor plates on all levels (incl. basement); Internal reconfigurations; Minor changes to schedule of accommodation; Minor elevational alterations (omission of stallrisers, minor changes to fenestration, minor changes to configuration of materials - increased vertical emphasis)"/>
    <x v="468"/>
    <s v="NB"/>
    <x v="0"/>
    <s v="UC"/>
    <d v="2017-05-01T00:00:00"/>
    <d v="2017-05-01T00:00:00"/>
    <m/>
    <m/>
    <s v="C"/>
    <s v="BF"/>
    <x v="0"/>
    <m/>
    <d v="2017-05-01T00:00:00"/>
    <m/>
    <m/>
    <m/>
    <m/>
    <m/>
    <m/>
    <m/>
    <m/>
    <m/>
    <m/>
    <m/>
    <m/>
    <m/>
    <m/>
    <m/>
    <m/>
    <m/>
    <m/>
    <m/>
    <m/>
    <m/>
    <m/>
    <m/>
    <m/>
    <m/>
    <m/>
    <m/>
    <m/>
    <m/>
    <m/>
    <m/>
    <m/>
    <x v="0"/>
    <x v="0"/>
    <x v="1"/>
    <m/>
    <m/>
    <m/>
    <m/>
    <m/>
    <m/>
    <m/>
    <x v="0"/>
    <m/>
    <m/>
    <m/>
    <m/>
    <m/>
    <x v="0"/>
    <m/>
    <m/>
    <m/>
    <m/>
    <s v="-"/>
    <s v="-"/>
    <s v="-"/>
    <s v="-"/>
    <s v="-"/>
    <s v="-"/>
    <s v="-"/>
    <s v="-"/>
    <s v="-"/>
    <s v="-"/>
    <s v="-"/>
    <x v="1"/>
    <x v="0"/>
    <s v="-"/>
    <s v="-"/>
    <s v="-"/>
    <s v="-"/>
    <s v="-"/>
    <s v="-"/>
    <s v="-"/>
    <s v="-"/>
    <s v="-"/>
    <s v="-"/>
    <s v="-"/>
    <x v="0"/>
    <x v="0"/>
    <n v="9.9999979138369888E-3"/>
    <n v="0"/>
    <n v="94"/>
    <n v="-94"/>
    <x v="0"/>
    <x v="0"/>
    <m/>
    <x v="0"/>
    <m/>
    <x v="0"/>
    <m/>
    <x v="0"/>
    <x v="0"/>
    <x v="0"/>
    <x v="0"/>
    <m/>
    <n v="5949"/>
    <n v="0"/>
    <n v="5949"/>
    <x v="1"/>
    <m/>
  </r>
  <r>
    <x v="0"/>
    <x v="0"/>
    <x v="0"/>
    <x v="0"/>
    <n v="5979"/>
    <x v="422"/>
    <x v="8"/>
    <n v="4.0000001899898104E-3"/>
    <n v="527947"/>
    <n v="176687"/>
    <m/>
    <x v="481"/>
    <s v="PF"/>
    <d v="2015-05-27T00:00:00"/>
    <x v="341"/>
    <m/>
    <m/>
    <s v="Nil"/>
    <m/>
    <m/>
    <s v="Erection of single-storey rear extension to Caretaker office at rear of garages."/>
    <x v="469"/>
    <s v="NB"/>
    <x v="0"/>
    <s v="OC"/>
    <m/>
    <d v="2015-11-26T00:00:00"/>
    <d v="2018-03-31T00:00:00"/>
    <d v="2018-03-31T00:00:00"/>
    <s v="C"/>
    <s v="BF"/>
    <x v="0"/>
    <m/>
    <d v="2015-11-26T00:00:00"/>
    <d v="2018-03-31T00:00:00"/>
    <m/>
    <m/>
    <m/>
    <m/>
    <m/>
    <m/>
    <n v="26"/>
    <m/>
    <m/>
    <n v="26"/>
    <m/>
    <m/>
    <n v="26"/>
    <m/>
    <m/>
    <m/>
    <m/>
    <m/>
    <m/>
    <m/>
    <m/>
    <m/>
    <m/>
    <m/>
    <m/>
    <m/>
    <m/>
    <m/>
    <m/>
    <m/>
    <m/>
    <x v="0"/>
    <x v="1"/>
    <x v="1"/>
    <m/>
    <m/>
    <m/>
    <m/>
    <m/>
    <m/>
    <n v="26"/>
    <x v="0"/>
    <m/>
    <m/>
    <m/>
    <m/>
    <n v="26"/>
    <x v="0"/>
    <m/>
    <m/>
    <m/>
    <m/>
    <s v="-"/>
    <s v="-"/>
    <s v="-"/>
    <s v="-"/>
    <s v="-"/>
    <s v="Other"/>
    <s v="-"/>
    <s v="-"/>
    <s v="-"/>
    <s v="-"/>
    <s v="-"/>
    <x v="1"/>
    <x v="0"/>
    <s v="-"/>
    <s v="-"/>
    <s v="-"/>
    <s v="-"/>
    <s v="-"/>
    <s v="-"/>
    <s v="-"/>
    <s v="-"/>
    <s v="-"/>
    <s v="-"/>
    <s v="-"/>
    <x v="0"/>
    <x v="0"/>
    <n v="4.0000001899898104E-3"/>
    <n v="26"/>
    <n v="0"/>
    <n v="26"/>
    <x v="0"/>
    <x v="0"/>
    <m/>
    <x v="0"/>
    <m/>
    <x v="0"/>
    <m/>
    <x v="0"/>
    <x v="0"/>
    <x v="0"/>
    <x v="0"/>
    <m/>
    <n v="0"/>
    <n v="0"/>
    <n v="0"/>
    <x v="0"/>
    <m/>
  </r>
  <r>
    <x v="3"/>
    <x v="0"/>
    <x v="0"/>
    <x v="1"/>
    <n v="5992"/>
    <x v="423"/>
    <x v="13"/>
    <n v="3.9000000804662698E-2"/>
    <n v="526101"/>
    <n v="172518"/>
    <m/>
    <x v="482"/>
    <s v="PF"/>
    <d v="2015-05-27T00:00:00"/>
    <x v="354"/>
    <m/>
    <m/>
    <s v="Nil"/>
    <m/>
    <m/>
    <s v="Demolition of existing school building, and construction of a new four-storey plus basement level building for use as a school for up to 36 pupils and 40 staff, with associated landscaping, boundary treatment and ancillary works."/>
    <x v="470"/>
    <s v="NB"/>
    <x v="0"/>
    <s v="UC"/>
    <m/>
    <d v="2017-03-31T00:00:00"/>
    <m/>
    <m/>
    <s v="C"/>
    <s v="BF"/>
    <x v="0"/>
    <m/>
    <d v="2017-03-31T00:00:00"/>
    <m/>
    <m/>
    <m/>
    <m/>
    <m/>
    <m/>
    <m/>
    <m/>
    <m/>
    <m/>
    <m/>
    <m/>
    <m/>
    <m/>
    <n v="990"/>
    <m/>
    <n v="990"/>
    <m/>
    <m/>
    <m/>
    <m/>
    <m/>
    <m/>
    <m/>
    <m/>
    <m/>
    <m/>
    <m/>
    <m/>
    <n v="280"/>
    <m/>
    <n v="280"/>
    <x v="0"/>
    <x v="0"/>
    <x v="0"/>
    <m/>
    <m/>
    <m/>
    <m/>
    <m/>
    <m/>
    <m/>
    <x v="0"/>
    <m/>
    <m/>
    <m/>
    <m/>
    <m/>
    <x v="0"/>
    <m/>
    <n v="710"/>
    <m/>
    <n v="710"/>
    <s v="-"/>
    <s v="-"/>
    <s v="-"/>
    <s v="-"/>
    <s v="-"/>
    <s v="-"/>
    <s v="-"/>
    <s v="-"/>
    <s v="-"/>
    <s v="-"/>
    <s v="-"/>
    <x v="0"/>
    <x v="0"/>
    <s v="-"/>
    <s v="-"/>
    <s v="-"/>
    <s v="-"/>
    <s v="-"/>
    <s v="-"/>
    <s v="-"/>
    <s v="-"/>
    <s v="-"/>
    <s v="-"/>
    <s v="-"/>
    <x v="6"/>
    <x v="0"/>
    <n v="3.9000000804662698E-2"/>
    <n v="990"/>
    <n v="280"/>
    <n v="710"/>
    <x v="0"/>
    <x v="0"/>
    <m/>
    <x v="0"/>
    <m/>
    <x v="0"/>
    <m/>
    <x v="0"/>
    <x v="0"/>
    <x v="0"/>
    <x v="0"/>
    <m/>
    <n v="0"/>
    <n v="0"/>
    <n v="0"/>
    <x v="0"/>
    <m/>
  </r>
  <r>
    <x v="2"/>
    <x v="0"/>
    <x v="0"/>
    <x v="1"/>
    <n v="5996"/>
    <x v="424"/>
    <x v="14"/>
    <n v="1.2000000104308101E-2"/>
    <n v="527571"/>
    <n v="171743"/>
    <m/>
    <x v="483"/>
    <s v="PF"/>
    <d v="2017-05-18T00:00:00"/>
    <x v="35"/>
    <s v="Y"/>
    <m/>
    <s v="Nil"/>
    <m/>
    <m/>
    <s v="Demolition of commercial properties and erection of three - storey building (plus roof terrace) to provide 1 x two bedroom &amp; 2 x one bedroom flats, with associated landscaping and refuse stores."/>
    <x v="471"/>
    <s v="NB"/>
    <x v="0"/>
    <s v="NSO"/>
    <m/>
    <m/>
    <m/>
    <m/>
    <s v="C"/>
    <s v="BF"/>
    <x v="0"/>
    <m/>
    <m/>
    <m/>
    <m/>
    <m/>
    <m/>
    <m/>
    <m/>
    <m/>
    <m/>
    <m/>
    <m/>
    <m/>
    <m/>
    <m/>
    <m/>
    <m/>
    <m/>
    <m/>
    <n v="67"/>
    <m/>
    <m/>
    <m/>
    <m/>
    <n v="67"/>
    <m/>
    <m/>
    <m/>
    <m/>
    <m/>
    <m/>
    <m/>
    <m/>
    <m/>
    <x v="1"/>
    <x v="0"/>
    <x v="1"/>
    <n v="-67"/>
    <m/>
    <m/>
    <m/>
    <m/>
    <n v="-67"/>
    <m/>
    <x v="0"/>
    <m/>
    <m/>
    <m/>
    <m/>
    <m/>
    <x v="0"/>
    <m/>
    <m/>
    <m/>
    <m/>
    <s v="-"/>
    <s v="-"/>
    <s v="-"/>
    <s v="-"/>
    <s v="-"/>
    <s v="-"/>
    <s v="-"/>
    <s v="-"/>
    <s v="-"/>
    <s v="-"/>
    <s v="-"/>
    <x v="1"/>
    <x v="0"/>
    <s v="Vacant"/>
    <s v="-"/>
    <s v="-"/>
    <s v="-"/>
    <s v="-"/>
    <s v="-"/>
    <s v="-"/>
    <s v="-"/>
    <s v="-"/>
    <s v="-"/>
    <s v="-"/>
    <x v="0"/>
    <x v="0"/>
    <n v="0"/>
    <n v="0"/>
    <n v="67"/>
    <n v="-67"/>
    <x v="0"/>
    <x v="0"/>
    <m/>
    <x v="0"/>
    <m/>
    <x v="0"/>
    <m/>
    <x v="0"/>
    <x v="0"/>
    <x v="0"/>
    <x v="0"/>
    <m/>
    <n v="178"/>
    <n v="0"/>
    <n v="178"/>
    <x v="1"/>
    <m/>
  </r>
  <r>
    <x v="0"/>
    <x v="0"/>
    <x v="0"/>
    <x v="0"/>
    <n v="6004"/>
    <x v="425"/>
    <x v="16"/>
    <n v="2.5000000372528999E-2"/>
    <n v="527498"/>
    <n v="171520"/>
    <s v="5.2"/>
    <x v="484"/>
    <s v="PF"/>
    <d v="2015-06-24T00:00:00"/>
    <x v="355"/>
    <m/>
    <m/>
    <s v="Nil"/>
    <m/>
    <m/>
    <s v="Erection of two-storey rear extension (at first and second floor levels) with roof extension above in association with the creation of 6 no. residential units. Erection of ground floor rear extension to retail unit, basement alterations, and replacement external stair to rear.  Erection of detached cycle and refuse store to the rear of the site."/>
    <x v="472"/>
    <s v="MIX"/>
    <x v="0"/>
    <s v="OC"/>
    <m/>
    <d v="2016-04-12T00:00:00"/>
    <d v="2017-08-18T00:00:00"/>
    <d v="2017-08-18T00:00:00"/>
    <s v="C"/>
    <s v="BF"/>
    <x v="0"/>
    <m/>
    <d v="2016-04-12T00:00:00"/>
    <d v="2017-08-18T00:00:00"/>
    <n v="168"/>
    <m/>
    <m/>
    <m/>
    <m/>
    <n v="168"/>
    <m/>
    <m/>
    <m/>
    <m/>
    <m/>
    <m/>
    <m/>
    <m/>
    <m/>
    <m/>
    <n v="133"/>
    <m/>
    <m/>
    <m/>
    <m/>
    <n v="133"/>
    <m/>
    <m/>
    <m/>
    <m/>
    <m/>
    <m/>
    <m/>
    <m/>
    <m/>
    <x v="1"/>
    <x v="0"/>
    <x v="1"/>
    <n v="35"/>
    <m/>
    <m/>
    <m/>
    <m/>
    <n v="35"/>
    <m/>
    <x v="0"/>
    <m/>
    <m/>
    <m/>
    <m/>
    <m/>
    <x v="0"/>
    <m/>
    <m/>
    <m/>
    <m/>
    <s v="Not Known"/>
    <s v="-"/>
    <s v="-"/>
    <s v="-"/>
    <s v="-"/>
    <s v="-"/>
    <s v="-"/>
    <s v="-"/>
    <s v="-"/>
    <s v="-"/>
    <s v="-"/>
    <x v="1"/>
    <x v="0"/>
    <s v="Not Known"/>
    <s v="-"/>
    <s v="-"/>
    <s v="-"/>
    <s v="-"/>
    <s v="-"/>
    <s v="-"/>
    <s v="-"/>
    <s v="-"/>
    <s v="-"/>
    <s v="-"/>
    <x v="0"/>
    <x v="0"/>
    <n v="7.9999994486569977E-3"/>
    <n v="168"/>
    <n v="133"/>
    <n v="35"/>
    <x v="0"/>
    <x v="0"/>
    <m/>
    <x v="0"/>
    <m/>
    <x v="0"/>
    <m/>
    <x v="0"/>
    <x v="1"/>
    <x v="3"/>
    <x v="0"/>
    <m/>
    <n v="112"/>
    <n v="0"/>
    <n v="112"/>
    <x v="1"/>
    <m/>
  </r>
  <r>
    <x v="3"/>
    <x v="0"/>
    <x v="0"/>
    <x v="1"/>
    <n v="6006"/>
    <x v="426"/>
    <x v="10"/>
    <n v="2.70000007003546E-2"/>
    <n v="524739"/>
    <n v="174137"/>
    <m/>
    <x v="485"/>
    <s v="PF"/>
    <d v="2016-04-22T00:00:00"/>
    <x v="254"/>
    <m/>
    <m/>
    <s v="Nil"/>
    <m/>
    <m/>
    <s v="Demolition of garages and excavation in connection with erection of two storey dwelling (basement and ground floors). (Reduced lower ground footprint)."/>
    <x v="473"/>
    <s v="NB"/>
    <x v="0"/>
    <s v="UC"/>
    <m/>
    <d v="2017-07-21T00:00:00"/>
    <m/>
    <m/>
    <s v="C"/>
    <s v="BF"/>
    <x v="0"/>
    <m/>
    <d v="2017-07-21T00:00:00"/>
    <m/>
    <m/>
    <m/>
    <m/>
    <m/>
    <m/>
    <m/>
    <m/>
    <m/>
    <m/>
    <m/>
    <m/>
    <m/>
    <m/>
    <m/>
    <m/>
    <m/>
    <m/>
    <m/>
    <m/>
    <m/>
    <m/>
    <m/>
    <m/>
    <m/>
    <m/>
    <m/>
    <m/>
    <m/>
    <m/>
    <m/>
    <m/>
    <x v="0"/>
    <x v="0"/>
    <x v="1"/>
    <m/>
    <m/>
    <m/>
    <m/>
    <m/>
    <m/>
    <m/>
    <x v="0"/>
    <m/>
    <m/>
    <m/>
    <m/>
    <m/>
    <x v="0"/>
    <m/>
    <m/>
    <m/>
    <m/>
    <s v="-"/>
    <s v="-"/>
    <s v="-"/>
    <s v="-"/>
    <s v="-"/>
    <s v="-"/>
    <s v="-"/>
    <s v="-"/>
    <s v="-"/>
    <s v="-"/>
    <s v="-"/>
    <x v="1"/>
    <x v="0"/>
    <s v="-"/>
    <s v="-"/>
    <s v="-"/>
    <s v="-"/>
    <s v="-"/>
    <s v="-"/>
    <s v="-"/>
    <s v="-"/>
    <s v="-"/>
    <s v="-"/>
    <s v="-"/>
    <x v="0"/>
    <x v="0"/>
    <n v="0"/>
    <n v="0"/>
    <n v="100"/>
    <n v="-100"/>
    <x v="0"/>
    <x v="0"/>
    <m/>
    <x v="0"/>
    <m/>
    <x v="0"/>
    <m/>
    <x v="0"/>
    <x v="0"/>
    <x v="0"/>
    <x v="0"/>
    <m/>
    <n v="220"/>
    <n v="0"/>
    <n v="220"/>
    <x v="1"/>
    <m/>
  </r>
  <r>
    <x v="2"/>
    <x v="0"/>
    <x v="0"/>
    <x v="1"/>
    <n v="6010"/>
    <x v="427"/>
    <x v="18"/>
    <n v="5.7000000029802302E-2"/>
    <n v="526682"/>
    <n v="173711"/>
    <m/>
    <x v="486"/>
    <s v="PF"/>
    <d v="2016-01-20T00:00:00"/>
    <x v="0"/>
    <m/>
    <m/>
    <s v="Nil"/>
    <m/>
    <m/>
    <s v="Partial demolition of club house in connection with the part change of use of the building from D2 (assembly and leisure) to C3 (residential) with the erection of 2x3 storey 4 bedroom semi-detached dwellinghouses including creation of 4 x car parking spaces in roadway."/>
    <x v="474"/>
    <s v="MIX"/>
    <x v="0"/>
    <s v="NSO"/>
    <m/>
    <m/>
    <m/>
    <m/>
    <s v="C"/>
    <s v="BF"/>
    <x v="0"/>
    <m/>
    <m/>
    <m/>
    <m/>
    <m/>
    <m/>
    <m/>
    <m/>
    <m/>
    <m/>
    <m/>
    <m/>
    <m/>
    <m/>
    <m/>
    <m/>
    <m/>
    <n v="239"/>
    <n v="239"/>
    <m/>
    <m/>
    <m/>
    <m/>
    <m/>
    <m/>
    <m/>
    <m/>
    <m/>
    <m/>
    <m/>
    <m/>
    <m/>
    <n v="531"/>
    <n v="531"/>
    <x v="0"/>
    <x v="0"/>
    <x v="0"/>
    <m/>
    <m/>
    <m/>
    <m/>
    <m/>
    <m/>
    <m/>
    <x v="0"/>
    <m/>
    <m/>
    <m/>
    <m/>
    <m/>
    <x v="0"/>
    <m/>
    <m/>
    <n v="-292"/>
    <n v="-292"/>
    <s v="-"/>
    <s v="-"/>
    <s v="-"/>
    <s v="-"/>
    <s v="-"/>
    <s v="-"/>
    <s v="-"/>
    <s v="-"/>
    <s v="-"/>
    <s v="-"/>
    <s v="-"/>
    <x v="1"/>
    <x v="2"/>
    <s v="-"/>
    <s v="-"/>
    <s v="-"/>
    <s v="-"/>
    <s v="-"/>
    <s v="-"/>
    <s v="-"/>
    <s v="-"/>
    <s v="-"/>
    <s v="-"/>
    <s v="-"/>
    <x v="0"/>
    <x v="4"/>
    <n v="1.9000001251697499E-2"/>
    <n v="239"/>
    <n v="531"/>
    <n v="-292"/>
    <x v="0"/>
    <x v="0"/>
    <m/>
    <x v="0"/>
    <m/>
    <x v="0"/>
    <m/>
    <x v="0"/>
    <x v="0"/>
    <x v="0"/>
    <x v="0"/>
    <m/>
    <n v="299"/>
    <n v="0"/>
    <n v="299"/>
    <x v="1"/>
    <m/>
  </r>
  <r>
    <x v="0"/>
    <x v="0"/>
    <x v="0"/>
    <x v="0"/>
    <n v="6012"/>
    <x v="428"/>
    <x v="0"/>
    <n v="3.4000001847744002E-2"/>
    <n v="523712"/>
    <n v="172976"/>
    <m/>
    <x v="487"/>
    <s v="PF"/>
    <d v="2015-07-06T00:00:00"/>
    <x v="356"/>
    <m/>
    <m/>
    <s v="Nil"/>
    <m/>
    <m/>
    <s v="Demolition of six of existing garages, nine storage sheds and erection of two semi-detached houses with associated landscaping."/>
    <x v="475"/>
    <s v="NB"/>
    <x v="0"/>
    <s v="OC"/>
    <m/>
    <d v="2016-09-27T00:00:00"/>
    <d v="2017-07-28T00:00:00"/>
    <d v="2017-07-28T00:00:00"/>
    <s v="C"/>
    <s v="BF"/>
    <x v="0"/>
    <m/>
    <d v="2016-09-27T00:00:00"/>
    <d v="2017-07-28T00:00:00"/>
    <m/>
    <m/>
    <m/>
    <m/>
    <m/>
    <m/>
    <m/>
    <m/>
    <m/>
    <m/>
    <m/>
    <m/>
    <m/>
    <m/>
    <m/>
    <m/>
    <m/>
    <m/>
    <m/>
    <m/>
    <m/>
    <m/>
    <m/>
    <m/>
    <m/>
    <m/>
    <n v="98"/>
    <n v="98"/>
    <m/>
    <m/>
    <m/>
    <x v="0"/>
    <x v="1"/>
    <x v="1"/>
    <m/>
    <m/>
    <m/>
    <m/>
    <m/>
    <m/>
    <m/>
    <x v="0"/>
    <m/>
    <m/>
    <m/>
    <n v="-98"/>
    <n v="-98"/>
    <x v="1"/>
    <m/>
    <m/>
    <m/>
    <m/>
    <s v="-"/>
    <s v="-"/>
    <s v="-"/>
    <s v="-"/>
    <s v="-"/>
    <s v="-"/>
    <s v="-"/>
    <s v="-"/>
    <s v="-"/>
    <s v="-"/>
    <s v="-"/>
    <x v="1"/>
    <x v="0"/>
    <s v="-"/>
    <s v="-"/>
    <s v="-"/>
    <s v="-"/>
    <s v="-"/>
    <s v="-"/>
    <s v="-"/>
    <s v="-"/>
    <s v="-"/>
    <s v="Storage"/>
    <s v="-"/>
    <x v="0"/>
    <x v="0"/>
    <n v="0"/>
    <n v="0"/>
    <n v="98"/>
    <n v="-98"/>
    <x v="0"/>
    <x v="0"/>
    <m/>
    <x v="0"/>
    <m/>
    <x v="0"/>
    <m/>
    <x v="0"/>
    <x v="0"/>
    <x v="0"/>
    <x v="0"/>
    <m/>
    <n v="188"/>
    <n v="0"/>
    <n v="188"/>
    <x v="1"/>
    <m/>
  </r>
  <r>
    <x v="0"/>
    <x v="0"/>
    <x v="0"/>
    <x v="0"/>
    <n v="6014"/>
    <x v="429"/>
    <x v="3"/>
    <n v="2.4000000208616298E-2"/>
    <n v="527855"/>
    <n v="174092"/>
    <m/>
    <x v="488"/>
    <s v="RP"/>
    <d v="2015-10-22T00:00:00"/>
    <x v="357"/>
    <m/>
    <m/>
    <s v="APG"/>
    <d v="2016-03-15T00:00:00"/>
    <d v="2016-07-26T00:00:00"/>
    <s v="Erection of single-storey rear/side extension, external alterations, excavation to enlarge basement including formation of front lightwell (with railings surround), replacement windows and insertion of rooflights in connection with the conversion of existing nine bedroom (House of Multiple Occupation - Use Class sui generis) to a six bedroom family dwelling house (Use Class C3). Formation of hard landscaping to front garden and vehicle crossover in connection with the provision of one car parking space."/>
    <x v="476"/>
    <s v="MIX"/>
    <x v="0"/>
    <s v="OC"/>
    <m/>
    <d v="2016-11-28T00:00:00"/>
    <d v="2018-01-16T00:00:00"/>
    <d v="2018-01-16T00:00:00"/>
    <s v="C"/>
    <s v="BF"/>
    <x v="0"/>
    <m/>
    <d v="2016-11-28T00:00:00"/>
    <d v="2018-01-16T00:00:00"/>
    <m/>
    <m/>
    <m/>
    <m/>
    <m/>
    <m/>
    <m/>
    <m/>
    <m/>
    <m/>
    <m/>
    <m/>
    <m/>
    <m/>
    <m/>
    <m/>
    <m/>
    <m/>
    <m/>
    <m/>
    <m/>
    <m/>
    <m/>
    <m/>
    <m/>
    <m/>
    <m/>
    <m/>
    <m/>
    <m/>
    <m/>
    <x v="0"/>
    <x v="0"/>
    <x v="1"/>
    <m/>
    <m/>
    <m/>
    <m/>
    <m/>
    <m/>
    <m/>
    <x v="0"/>
    <m/>
    <m/>
    <m/>
    <m/>
    <m/>
    <x v="0"/>
    <m/>
    <m/>
    <m/>
    <m/>
    <s v="-"/>
    <s v="-"/>
    <s v="-"/>
    <s v="-"/>
    <s v="-"/>
    <s v="-"/>
    <s v="-"/>
    <s v="-"/>
    <s v="-"/>
    <s v="-"/>
    <s v="-"/>
    <x v="1"/>
    <x v="0"/>
    <s v="-"/>
    <s v="-"/>
    <s v="-"/>
    <s v="-"/>
    <s v="-"/>
    <s v="-"/>
    <s v="-"/>
    <s v="-"/>
    <s v="-"/>
    <s v="-"/>
    <s v="-"/>
    <x v="0"/>
    <x v="0"/>
    <n v="0"/>
    <n v="0"/>
    <n v="263"/>
    <n v="-263"/>
    <x v="0"/>
    <x v="0"/>
    <m/>
    <x v="0"/>
    <m/>
    <x v="0"/>
    <m/>
    <x v="0"/>
    <x v="0"/>
    <x v="0"/>
    <x v="0"/>
    <m/>
    <n v="351"/>
    <n v="0"/>
    <n v="351"/>
    <x v="1"/>
    <m/>
  </r>
  <r>
    <x v="2"/>
    <x v="2"/>
    <x v="2"/>
    <x v="1"/>
    <n v="6016"/>
    <x v="430"/>
    <x v="12"/>
    <n v="8.9999996125698107E-3"/>
    <n v="525206"/>
    <n v="173428"/>
    <m/>
    <x v="489"/>
    <s v="PANR"/>
    <d v="2017-01-11T00:00:00"/>
    <x v="358"/>
    <m/>
    <m/>
    <s v="Nil"/>
    <m/>
    <m/>
    <s v="Determination as to whether prior approval is required for change of use from retail (Class A1) to 2 x 1-bedroom flats (Class C3)."/>
    <x v="477"/>
    <s v="COU"/>
    <x v="2"/>
    <s v="NSO"/>
    <m/>
    <m/>
    <m/>
    <m/>
    <s v="C"/>
    <s v="BF"/>
    <x v="0"/>
    <m/>
    <m/>
    <m/>
    <m/>
    <m/>
    <m/>
    <m/>
    <m/>
    <m/>
    <m/>
    <m/>
    <m/>
    <m/>
    <m/>
    <m/>
    <m/>
    <m/>
    <m/>
    <m/>
    <n v="100"/>
    <m/>
    <m/>
    <m/>
    <m/>
    <n v="100"/>
    <m/>
    <m/>
    <m/>
    <m/>
    <m/>
    <m/>
    <m/>
    <m/>
    <m/>
    <x v="1"/>
    <x v="0"/>
    <x v="1"/>
    <n v="-100"/>
    <m/>
    <m/>
    <m/>
    <m/>
    <n v="-100"/>
    <m/>
    <x v="0"/>
    <m/>
    <m/>
    <m/>
    <m/>
    <m/>
    <x v="0"/>
    <m/>
    <m/>
    <m/>
    <m/>
    <s v="-"/>
    <s v="-"/>
    <s v="-"/>
    <s v="-"/>
    <s v="-"/>
    <s v="-"/>
    <s v="-"/>
    <s v="-"/>
    <s v="-"/>
    <s v="-"/>
    <s v="-"/>
    <x v="1"/>
    <x v="0"/>
    <s v="Services"/>
    <s v="-"/>
    <s v="-"/>
    <s v="-"/>
    <s v="-"/>
    <s v="-"/>
    <s v="-"/>
    <s v="-"/>
    <s v="-"/>
    <s v="-"/>
    <s v="-"/>
    <x v="0"/>
    <x v="0"/>
    <n v="5.9999995864927803E-3"/>
    <n v="0"/>
    <n v="100"/>
    <n v="-100"/>
    <x v="0"/>
    <x v="0"/>
    <m/>
    <x v="0"/>
    <m/>
    <x v="0"/>
    <m/>
    <x v="0"/>
    <x v="0"/>
    <x v="0"/>
    <x v="0"/>
    <m/>
    <n v="100"/>
    <n v="0"/>
    <n v="100"/>
    <x v="1"/>
    <m/>
  </r>
  <r>
    <x v="0"/>
    <x v="0"/>
    <x v="0"/>
    <x v="0"/>
    <n v="6026"/>
    <x v="431"/>
    <x v="11"/>
    <n v="3.7999998778104803E-2"/>
    <n v="528765"/>
    <n v="174023"/>
    <m/>
    <x v="490"/>
    <s v="PF"/>
    <d v="2015-08-11T00:00:00"/>
    <x v="41"/>
    <m/>
    <m/>
    <s v="Nil"/>
    <m/>
    <m/>
    <s v="Demolition of existing buildings to rear of site (Use Class B1) and erection of part 2/3-storey buildings to provide 7 residential units (Use Class C3) formed of 1x studio unit, 3x 1-bedroom units and 3x 2-bedroom units with associated balconies and roof terraces.  Retention of and alterations to front building to provide 1x 3-bedroom unit with associated cycle and refuse storage and landscaping."/>
    <x v="478"/>
    <s v="MIX"/>
    <x v="0"/>
    <s v="OC"/>
    <m/>
    <d v="2017-03-31T00:00:00"/>
    <d v="2018-01-12T00:00:00"/>
    <d v="2018-01-12T00:00:00"/>
    <s v="C"/>
    <s v="BF"/>
    <x v="0"/>
    <m/>
    <d v="2017-03-31T00:00:00"/>
    <d v="2018-01-12T00:00:00"/>
    <m/>
    <m/>
    <m/>
    <m/>
    <m/>
    <m/>
    <m/>
    <m/>
    <m/>
    <m/>
    <m/>
    <m/>
    <m/>
    <m/>
    <m/>
    <m/>
    <m/>
    <m/>
    <m/>
    <m/>
    <m/>
    <m/>
    <n v="331"/>
    <m/>
    <m/>
    <m/>
    <m/>
    <n v="331"/>
    <m/>
    <m/>
    <m/>
    <x v="0"/>
    <x v="1"/>
    <x v="1"/>
    <m/>
    <m/>
    <m/>
    <m/>
    <m/>
    <m/>
    <n v="-331"/>
    <x v="1"/>
    <m/>
    <m/>
    <m/>
    <m/>
    <n v="-331"/>
    <x v="1"/>
    <m/>
    <m/>
    <m/>
    <m/>
    <s v="-"/>
    <s v="-"/>
    <s v="-"/>
    <s v="-"/>
    <s v="-"/>
    <s v="-"/>
    <s v="-"/>
    <s v="-"/>
    <s v="-"/>
    <s v="-"/>
    <s v="-"/>
    <x v="1"/>
    <x v="0"/>
    <s v="-"/>
    <s v="-"/>
    <s v="-"/>
    <s v="-"/>
    <s v="-"/>
    <s v="Not Known"/>
    <s v="-"/>
    <s v="-"/>
    <s v="-"/>
    <s v="-"/>
    <s v="-"/>
    <x v="0"/>
    <x v="0"/>
    <n v="0"/>
    <n v="0"/>
    <n v="331"/>
    <n v="-331"/>
    <x v="0"/>
    <x v="0"/>
    <m/>
    <x v="0"/>
    <m/>
    <x v="0"/>
    <m/>
    <x v="0"/>
    <x v="0"/>
    <x v="0"/>
    <x v="0"/>
    <m/>
    <n v="386"/>
    <n v="0"/>
    <n v="386"/>
    <x v="1"/>
    <m/>
  </r>
  <r>
    <x v="3"/>
    <x v="0"/>
    <x v="0"/>
    <x v="1"/>
    <n v="6027"/>
    <x v="432"/>
    <x v="16"/>
    <n v="2.8999999165535001E-2"/>
    <n v="527409"/>
    <n v="171118"/>
    <m/>
    <x v="491"/>
    <s v="PF"/>
    <d v="2015-08-10T00:00:00"/>
    <x v="359"/>
    <m/>
    <m/>
    <s v="Nil"/>
    <m/>
    <m/>
    <s v="Demolition of existing storesheds and erection of two semi-detached 3 bedroom houses with associated landscaping."/>
    <x v="479"/>
    <s v="NB"/>
    <x v="0"/>
    <s v="UC"/>
    <m/>
    <d v="2017-02-23T00:00:00"/>
    <m/>
    <m/>
    <s v="C"/>
    <s v="BF"/>
    <x v="0"/>
    <m/>
    <d v="2017-02-23T00:00:00"/>
    <m/>
    <m/>
    <m/>
    <m/>
    <m/>
    <m/>
    <m/>
    <m/>
    <m/>
    <m/>
    <m/>
    <m/>
    <m/>
    <m/>
    <m/>
    <m/>
    <m/>
    <m/>
    <m/>
    <m/>
    <m/>
    <m/>
    <m/>
    <m/>
    <m/>
    <m/>
    <m/>
    <n v="38"/>
    <n v="38"/>
    <m/>
    <m/>
    <m/>
    <x v="0"/>
    <x v="1"/>
    <x v="1"/>
    <m/>
    <m/>
    <m/>
    <m/>
    <m/>
    <m/>
    <m/>
    <x v="0"/>
    <m/>
    <m/>
    <m/>
    <n v="-38"/>
    <n v="-38"/>
    <x v="1"/>
    <m/>
    <m/>
    <m/>
    <m/>
    <s v="-"/>
    <s v="-"/>
    <s v="-"/>
    <s v="-"/>
    <s v="-"/>
    <s v="-"/>
    <s v="-"/>
    <s v="-"/>
    <s v="-"/>
    <s v="-"/>
    <s v="-"/>
    <x v="1"/>
    <x v="0"/>
    <s v="-"/>
    <s v="-"/>
    <s v="-"/>
    <s v="-"/>
    <s v="-"/>
    <s v="-"/>
    <s v="-"/>
    <s v="-"/>
    <s v="-"/>
    <s v="Storage"/>
    <s v="-"/>
    <x v="0"/>
    <x v="0"/>
    <n v="0"/>
    <n v="0"/>
    <n v="38"/>
    <n v="-38"/>
    <x v="0"/>
    <x v="0"/>
    <m/>
    <x v="0"/>
    <m/>
    <x v="0"/>
    <m/>
    <x v="0"/>
    <x v="0"/>
    <x v="0"/>
    <x v="0"/>
    <m/>
    <n v="216"/>
    <n v="0"/>
    <n v="216"/>
    <x v="1"/>
    <m/>
  </r>
  <r>
    <x v="0"/>
    <x v="0"/>
    <x v="0"/>
    <x v="2"/>
    <n v="6028"/>
    <x v="433"/>
    <x v="16"/>
    <n v="4.1999999433755902E-2"/>
    <n v="527839"/>
    <n v="171091"/>
    <m/>
    <x v="492"/>
    <s v="PF"/>
    <d v="2015-08-03T00:00:00"/>
    <x v="360"/>
    <m/>
    <m/>
    <s v="Nil"/>
    <m/>
    <m/>
    <s v="Demolition of existing buildings and erection of a three-storey office building, with associated landscaping and boundary treatments."/>
    <x v="480"/>
    <s v="NB"/>
    <x v="0"/>
    <s v="CO"/>
    <m/>
    <d v="2017-04-01T00:00:00"/>
    <d v="2018-03-31T00:00:00"/>
    <m/>
    <s v="C"/>
    <s v="BF"/>
    <x v="0"/>
    <m/>
    <d v="2017-04-01T00:00:00"/>
    <d v="2018-03-31T00:00:00"/>
    <m/>
    <m/>
    <m/>
    <m/>
    <m/>
    <m/>
    <n v="348"/>
    <m/>
    <m/>
    <n v="348"/>
    <m/>
    <m/>
    <n v="348"/>
    <m/>
    <m/>
    <m/>
    <m/>
    <m/>
    <m/>
    <m/>
    <m/>
    <m/>
    <m/>
    <m/>
    <n v="309"/>
    <m/>
    <m/>
    <n v="309"/>
    <m/>
    <m/>
    <m/>
    <x v="0"/>
    <x v="1"/>
    <x v="1"/>
    <m/>
    <m/>
    <m/>
    <m/>
    <m/>
    <m/>
    <n v="348"/>
    <x v="0"/>
    <m/>
    <n v="-309"/>
    <m/>
    <m/>
    <n v="39"/>
    <x v="0"/>
    <m/>
    <m/>
    <m/>
    <m/>
    <s v="-"/>
    <s v="-"/>
    <s v="-"/>
    <s v="-"/>
    <s v="-"/>
    <s v="Not Known"/>
    <s v="-"/>
    <s v="-"/>
    <s v="-"/>
    <s v="-"/>
    <s v="-"/>
    <x v="1"/>
    <x v="0"/>
    <s v="-"/>
    <s v="-"/>
    <s v="-"/>
    <s v="-"/>
    <s v="-"/>
    <s v="-"/>
    <s v="-"/>
    <s v="Light Industrial"/>
    <s v="-"/>
    <s v="-"/>
    <s v="-"/>
    <x v="0"/>
    <x v="0"/>
    <n v="4.1999999433755902E-2"/>
    <n v="348"/>
    <n v="309"/>
    <n v="39"/>
    <x v="0"/>
    <x v="0"/>
    <m/>
    <x v="0"/>
    <m/>
    <x v="0"/>
    <m/>
    <x v="0"/>
    <x v="1"/>
    <x v="3"/>
    <x v="0"/>
    <m/>
    <n v="0"/>
    <n v="0"/>
    <n v="0"/>
    <x v="0"/>
    <m/>
  </r>
  <r>
    <x v="2"/>
    <x v="2"/>
    <x v="2"/>
    <x v="1"/>
    <n v="6031"/>
    <x v="434"/>
    <x v="7"/>
    <n v="4.6999998390674598E-2"/>
    <n v="523225"/>
    <n v="175820"/>
    <m/>
    <x v="493"/>
    <s v="PANR"/>
    <d v="2015-10-30T00:00:00"/>
    <x v="361"/>
    <m/>
    <m/>
    <s v="Nil"/>
    <m/>
    <m/>
    <s v="Determination as to whether prior approval is required for change of use from office (Class B1a) to one residential unit (Class C3)."/>
    <x v="234"/>
    <s v="COU"/>
    <x v="2"/>
    <s v="NSO"/>
    <m/>
    <m/>
    <m/>
    <m/>
    <s v="C"/>
    <s v="BF"/>
    <x v="0"/>
    <m/>
    <m/>
    <m/>
    <m/>
    <m/>
    <m/>
    <m/>
    <m/>
    <m/>
    <m/>
    <m/>
    <m/>
    <m/>
    <m/>
    <m/>
    <m/>
    <m/>
    <m/>
    <m/>
    <m/>
    <m/>
    <m/>
    <m/>
    <m/>
    <m/>
    <n v="100"/>
    <m/>
    <m/>
    <m/>
    <m/>
    <n v="100"/>
    <m/>
    <m/>
    <m/>
    <x v="0"/>
    <x v="1"/>
    <x v="1"/>
    <m/>
    <m/>
    <m/>
    <m/>
    <m/>
    <m/>
    <n v="-100"/>
    <x v="1"/>
    <m/>
    <m/>
    <m/>
    <m/>
    <n v="-100"/>
    <x v="1"/>
    <m/>
    <m/>
    <m/>
    <m/>
    <s v="-"/>
    <s v="-"/>
    <s v="-"/>
    <s v="-"/>
    <s v="-"/>
    <s v="-"/>
    <s v="-"/>
    <s v="-"/>
    <s v="-"/>
    <s v="-"/>
    <s v="-"/>
    <x v="1"/>
    <x v="0"/>
    <s v="-"/>
    <s v="-"/>
    <s v="-"/>
    <s v="-"/>
    <s v="-"/>
    <s v="Not Known"/>
    <s v="-"/>
    <s v="-"/>
    <s v="-"/>
    <s v="-"/>
    <s v="-"/>
    <x v="0"/>
    <x v="0"/>
    <n v="3.6999998614192016E-2"/>
    <n v="0"/>
    <n v="100"/>
    <n v="-100"/>
    <x v="0"/>
    <x v="0"/>
    <m/>
    <x v="0"/>
    <m/>
    <x v="0"/>
    <m/>
    <x v="0"/>
    <x v="0"/>
    <x v="0"/>
    <x v="0"/>
    <m/>
    <n v="100"/>
    <n v="0"/>
    <n v="100"/>
    <x v="1"/>
    <m/>
  </r>
  <r>
    <x v="2"/>
    <x v="2"/>
    <x v="2"/>
    <x v="1"/>
    <n v="6032"/>
    <x v="435"/>
    <x v="7"/>
    <n v="1.09999999403954E-2"/>
    <n v="524386"/>
    <n v="175298"/>
    <m/>
    <x v="494"/>
    <s v="PAG"/>
    <d v="2016-04-01T00:00:00"/>
    <x v="171"/>
    <m/>
    <m/>
    <s v="Nil"/>
    <m/>
    <m/>
    <s v="Determination as to whether prior approval is required for change of use of lower ground and ground floors from retail (Class A1) to 1x2 bedroom unit (Class C3) with associated external alterations to front and rear."/>
    <x v="481"/>
    <s v="COU"/>
    <x v="2"/>
    <s v="NSO"/>
    <m/>
    <m/>
    <m/>
    <m/>
    <s v="C"/>
    <s v="BF"/>
    <x v="0"/>
    <m/>
    <m/>
    <m/>
    <m/>
    <m/>
    <m/>
    <m/>
    <m/>
    <m/>
    <m/>
    <m/>
    <m/>
    <m/>
    <m/>
    <m/>
    <m/>
    <m/>
    <m/>
    <m/>
    <n v="61"/>
    <m/>
    <m/>
    <m/>
    <m/>
    <n v="61"/>
    <m/>
    <m/>
    <m/>
    <m/>
    <m/>
    <m/>
    <m/>
    <m/>
    <m/>
    <x v="1"/>
    <x v="0"/>
    <x v="1"/>
    <n v="-61"/>
    <m/>
    <m/>
    <m/>
    <m/>
    <n v="-61"/>
    <m/>
    <x v="0"/>
    <m/>
    <m/>
    <m/>
    <m/>
    <m/>
    <x v="0"/>
    <m/>
    <m/>
    <m/>
    <m/>
    <s v="-"/>
    <s v="-"/>
    <s v="-"/>
    <s v="-"/>
    <s v="-"/>
    <s v="-"/>
    <s v="-"/>
    <s v="-"/>
    <s v="-"/>
    <s v="-"/>
    <s v="-"/>
    <x v="1"/>
    <x v="0"/>
    <s v="Services"/>
    <s v="-"/>
    <s v="-"/>
    <s v="-"/>
    <s v="-"/>
    <s v="-"/>
    <s v="-"/>
    <s v="-"/>
    <s v="-"/>
    <s v="-"/>
    <s v="-"/>
    <x v="0"/>
    <x v="0"/>
    <n v="4.9999998882413405E-3"/>
    <n v="0"/>
    <n v="61"/>
    <n v="-61"/>
    <x v="0"/>
    <x v="0"/>
    <m/>
    <x v="0"/>
    <m/>
    <x v="0"/>
    <m/>
    <x v="0"/>
    <x v="0"/>
    <x v="0"/>
    <x v="0"/>
    <m/>
    <n v="61"/>
    <n v="0"/>
    <n v="61"/>
    <x v="1"/>
    <m/>
  </r>
  <r>
    <x v="2"/>
    <x v="0"/>
    <x v="0"/>
    <x v="1"/>
    <n v="6035"/>
    <x v="436"/>
    <x v="7"/>
    <n v="7.0000002160668399E-3"/>
    <n v="524786"/>
    <n v="175120"/>
    <m/>
    <x v="495"/>
    <s v="PF"/>
    <d v="2016-04-28T00:00:00"/>
    <x v="223"/>
    <m/>
    <m/>
    <s v="Nil"/>
    <m/>
    <m/>
    <s v="Change of Use from Office [class B1] to Residential [class C3] in connection with the provision of a one- bedroom flat."/>
    <x v="482"/>
    <s v="COU"/>
    <x v="2"/>
    <s v="NSO"/>
    <m/>
    <m/>
    <m/>
    <m/>
    <s v="C"/>
    <s v="BF"/>
    <x v="0"/>
    <m/>
    <m/>
    <m/>
    <m/>
    <m/>
    <m/>
    <m/>
    <m/>
    <m/>
    <m/>
    <m/>
    <m/>
    <m/>
    <m/>
    <m/>
    <m/>
    <m/>
    <m/>
    <m/>
    <m/>
    <m/>
    <m/>
    <m/>
    <m/>
    <m/>
    <n v="54"/>
    <m/>
    <m/>
    <m/>
    <m/>
    <n v="54"/>
    <m/>
    <m/>
    <m/>
    <x v="0"/>
    <x v="1"/>
    <x v="1"/>
    <m/>
    <m/>
    <m/>
    <m/>
    <m/>
    <m/>
    <n v="-54"/>
    <x v="1"/>
    <m/>
    <m/>
    <m/>
    <m/>
    <n v="-54"/>
    <x v="1"/>
    <m/>
    <m/>
    <m/>
    <m/>
    <s v="-"/>
    <s v="-"/>
    <s v="-"/>
    <s v="-"/>
    <s v="-"/>
    <s v="-"/>
    <s v="-"/>
    <s v="-"/>
    <s v="-"/>
    <s v="-"/>
    <s v="-"/>
    <x v="1"/>
    <x v="0"/>
    <s v="-"/>
    <s v="-"/>
    <s v="-"/>
    <s v="-"/>
    <s v="-"/>
    <s v="Financial or Professional Services"/>
    <s v="-"/>
    <s v="-"/>
    <s v="-"/>
    <s v="-"/>
    <s v="-"/>
    <x v="0"/>
    <x v="0"/>
    <n v="3.0000000260770295E-3"/>
    <n v="0"/>
    <n v="54"/>
    <n v="-54"/>
    <x v="0"/>
    <x v="0"/>
    <m/>
    <x v="0"/>
    <m/>
    <x v="0"/>
    <m/>
    <x v="0"/>
    <x v="0"/>
    <x v="0"/>
    <x v="0"/>
    <m/>
    <n v="54"/>
    <n v="0"/>
    <n v="54"/>
    <x v="1"/>
    <m/>
  </r>
  <r>
    <x v="2"/>
    <x v="2"/>
    <x v="2"/>
    <x v="1"/>
    <n v="6035"/>
    <x v="436"/>
    <x v="7"/>
    <n v="7.0000002160668399E-3"/>
    <n v="524786"/>
    <n v="175120"/>
    <m/>
    <x v="496"/>
    <s v="PAG"/>
    <d v="2017-01-17T00:00:00"/>
    <x v="96"/>
    <m/>
    <m/>
    <s v="Nil"/>
    <m/>
    <m/>
    <s v="Determination as to whether prior approval is required for change of use from office (Class B1a) to one residential unit (Class C3)."/>
    <x v="483"/>
    <s v="COU"/>
    <x v="2"/>
    <s v="NSO"/>
    <m/>
    <m/>
    <m/>
    <m/>
    <s v="C"/>
    <s v="BF"/>
    <x v="0"/>
    <m/>
    <m/>
    <m/>
    <m/>
    <m/>
    <m/>
    <m/>
    <m/>
    <m/>
    <m/>
    <m/>
    <m/>
    <m/>
    <m/>
    <m/>
    <m/>
    <m/>
    <m/>
    <m/>
    <m/>
    <m/>
    <m/>
    <m/>
    <m/>
    <m/>
    <n v="66"/>
    <m/>
    <m/>
    <m/>
    <m/>
    <n v="66"/>
    <m/>
    <m/>
    <m/>
    <x v="0"/>
    <x v="1"/>
    <x v="1"/>
    <m/>
    <m/>
    <m/>
    <m/>
    <m/>
    <m/>
    <n v="-66"/>
    <x v="1"/>
    <m/>
    <m/>
    <m/>
    <m/>
    <n v="-66"/>
    <x v="1"/>
    <m/>
    <m/>
    <m/>
    <m/>
    <s v="-"/>
    <s v="-"/>
    <s v="-"/>
    <s v="-"/>
    <s v="-"/>
    <s v="-"/>
    <s v="-"/>
    <s v="-"/>
    <s v="-"/>
    <s v="-"/>
    <s v="-"/>
    <x v="1"/>
    <x v="0"/>
    <s v="-"/>
    <s v="-"/>
    <s v="-"/>
    <s v="-"/>
    <s v="-"/>
    <s v="Other"/>
    <s v="-"/>
    <s v="-"/>
    <s v="-"/>
    <s v="-"/>
    <s v="-"/>
    <x v="0"/>
    <x v="0"/>
    <n v="3.0000000260770295E-3"/>
    <n v="0"/>
    <n v="66"/>
    <n v="-66"/>
    <x v="0"/>
    <x v="0"/>
    <m/>
    <x v="0"/>
    <m/>
    <x v="0"/>
    <m/>
    <x v="0"/>
    <x v="0"/>
    <x v="0"/>
    <x v="0"/>
    <m/>
    <n v="66"/>
    <n v="0"/>
    <n v="66"/>
    <x v="1"/>
    <m/>
  </r>
  <r>
    <x v="3"/>
    <x v="0"/>
    <x v="0"/>
    <x v="1"/>
    <n v="6040"/>
    <x v="437"/>
    <x v="7"/>
    <n v="9.6000000834464999E-2"/>
    <n v="524968"/>
    <n v="175095"/>
    <m/>
    <x v="497"/>
    <s v="PFLA"/>
    <d v="2015-06-02T00:00:00"/>
    <x v="362"/>
    <m/>
    <d v="2015-11-10T00:00:00"/>
    <s v="Nil"/>
    <m/>
    <m/>
    <s v="Demolition of existing building and redevelopment of the site by the erection of two buildings of two to four-storeys high to provide 16 residential units fronting either Putney Bridge Road or Fawe Park Road, including balconies/terraces and with associated cycle parking provision."/>
    <x v="484"/>
    <s v="NB"/>
    <x v="0"/>
    <s v="UC"/>
    <d v="2017-03-31T00:00:00"/>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681"/>
    <n v="-681"/>
    <x v="0"/>
    <x v="0"/>
    <m/>
    <x v="0"/>
    <m/>
    <x v="0"/>
    <m/>
    <x v="0"/>
    <x v="0"/>
    <x v="0"/>
    <x v="0"/>
    <m/>
    <n v="1653"/>
    <n v="972"/>
    <n v="681"/>
    <x v="1"/>
    <m/>
  </r>
  <r>
    <x v="0"/>
    <x v="0"/>
    <x v="0"/>
    <x v="0"/>
    <n v="6041"/>
    <x v="438"/>
    <x v="2"/>
    <n v="2.5000000372528999E-2"/>
    <n v="528421"/>
    <n v="173244"/>
    <m/>
    <x v="498"/>
    <s v="PF"/>
    <d v="2015-12-10T00:00:00"/>
    <x v="139"/>
    <m/>
    <m/>
    <s v="Nil"/>
    <m/>
    <m/>
    <s v="Erection of a part single/part three-storey rear extension and rear roof extensions to provide additional accommodation for existing flats at no.9 and no.11 including conversion of the upper floors of no. 11 to provide (2 x 2-bedroom and 2 x1-bedroom units)."/>
    <x v="485"/>
    <s v="MIX"/>
    <x v="0"/>
    <s v="OC"/>
    <m/>
    <d v="2016-03-03T00:00:00"/>
    <d v="2017-04-13T00:00:00"/>
    <d v="2017-04-13T00:00:00"/>
    <s v="C"/>
    <s v="BF"/>
    <x v="0"/>
    <m/>
    <d v="2016-03-03T00:00:00"/>
    <d v="2017-04-13T00:00:00"/>
    <m/>
    <m/>
    <m/>
    <m/>
    <m/>
    <m/>
    <m/>
    <m/>
    <m/>
    <m/>
    <m/>
    <m/>
    <m/>
    <m/>
    <m/>
    <m/>
    <m/>
    <m/>
    <m/>
    <m/>
    <m/>
    <m/>
    <m/>
    <m/>
    <m/>
    <m/>
    <m/>
    <m/>
    <m/>
    <m/>
    <m/>
    <x v="0"/>
    <x v="0"/>
    <x v="1"/>
    <m/>
    <m/>
    <m/>
    <m/>
    <m/>
    <m/>
    <m/>
    <x v="0"/>
    <m/>
    <m/>
    <m/>
    <m/>
    <m/>
    <x v="0"/>
    <m/>
    <m/>
    <m/>
    <m/>
    <s v="-"/>
    <s v="-"/>
    <s v="-"/>
    <s v="-"/>
    <s v="-"/>
    <s v="-"/>
    <s v="-"/>
    <s v="-"/>
    <s v="-"/>
    <s v="-"/>
    <s v="-"/>
    <x v="1"/>
    <x v="0"/>
    <s v="-"/>
    <s v="-"/>
    <s v="-"/>
    <s v="-"/>
    <s v="-"/>
    <s v="-"/>
    <s v="-"/>
    <s v="-"/>
    <s v="-"/>
    <s v="-"/>
    <s v="-"/>
    <x v="0"/>
    <x v="0"/>
    <n v="1.0000001639127003E-3"/>
    <n v="27"/>
    <n v="73"/>
    <n v="-46"/>
    <x v="0"/>
    <x v="0"/>
    <m/>
    <x v="0"/>
    <m/>
    <x v="0"/>
    <m/>
    <x v="0"/>
    <x v="1"/>
    <x v="5"/>
    <x v="0"/>
    <m/>
    <n v="138"/>
    <n v="94"/>
    <n v="44"/>
    <x v="1"/>
    <m/>
  </r>
  <r>
    <x v="2"/>
    <x v="0"/>
    <x v="0"/>
    <x v="1"/>
    <n v="6044"/>
    <x v="439"/>
    <x v="13"/>
    <n v="1.4000000432133701E-2"/>
    <n v="526143"/>
    <n v="172628"/>
    <m/>
    <x v="499"/>
    <s v="PF"/>
    <d v="2016-04-12T00:00:00"/>
    <x v="363"/>
    <m/>
    <m/>
    <s v="Nil"/>
    <m/>
    <m/>
    <s v="Excavation to enlarge basement including formation of front and rear lightwells; erection of single-storey rear extension in connection with change of use of basement and ground floors from retail (Class A1) to 1 x 1-bedroom and 1 x 2-bedroom flats (Class C3)."/>
    <x v="486"/>
    <s v="MIX"/>
    <x v="0"/>
    <s v="NSV"/>
    <m/>
    <m/>
    <m/>
    <m/>
    <s v="C"/>
    <s v="BF"/>
    <x v="0"/>
    <m/>
    <m/>
    <m/>
    <m/>
    <m/>
    <m/>
    <m/>
    <m/>
    <m/>
    <m/>
    <m/>
    <m/>
    <m/>
    <m/>
    <m/>
    <m/>
    <m/>
    <m/>
    <m/>
    <n v="119"/>
    <m/>
    <m/>
    <m/>
    <m/>
    <n v="119"/>
    <m/>
    <m/>
    <m/>
    <m/>
    <m/>
    <m/>
    <m/>
    <m/>
    <m/>
    <x v="1"/>
    <x v="0"/>
    <x v="1"/>
    <n v="-119"/>
    <m/>
    <m/>
    <m/>
    <m/>
    <n v="-119"/>
    <m/>
    <x v="0"/>
    <m/>
    <m/>
    <m/>
    <m/>
    <m/>
    <x v="0"/>
    <m/>
    <m/>
    <m/>
    <m/>
    <s v="-"/>
    <s v="-"/>
    <s v="-"/>
    <s v="-"/>
    <s v="-"/>
    <s v="-"/>
    <s v="-"/>
    <s v="-"/>
    <s v="-"/>
    <s v="-"/>
    <s v="-"/>
    <x v="1"/>
    <x v="0"/>
    <s v="Not Known"/>
    <s v="-"/>
    <s v="-"/>
    <s v="-"/>
    <s v="-"/>
    <s v="-"/>
    <s v="-"/>
    <s v="-"/>
    <s v="-"/>
    <s v="-"/>
    <s v="-"/>
    <x v="0"/>
    <x v="0"/>
    <n v="9.0000005438924113E-3"/>
    <n v="0"/>
    <n v="119"/>
    <n v="-119"/>
    <x v="0"/>
    <x v="0"/>
    <m/>
    <x v="0"/>
    <m/>
    <x v="0"/>
    <m/>
    <x v="0"/>
    <x v="0"/>
    <x v="0"/>
    <x v="0"/>
    <m/>
    <n v="156"/>
    <n v="0"/>
    <n v="156"/>
    <x v="1"/>
    <m/>
  </r>
  <r>
    <x v="3"/>
    <x v="0"/>
    <x v="0"/>
    <x v="1"/>
    <n v="6046"/>
    <x v="440"/>
    <x v="9"/>
    <n v="6.8999998271465302E-2"/>
    <n v="528204"/>
    <n v="176387"/>
    <m/>
    <x v="500"/>
    <s v="PF"/>
    <d v="2015-08-20T00:00:00"/>
    <x v="364"/>
    <m/>
    <m/>
    <s v="Nil"/>
    <m/>
    <m/>
    <s v="Demolition of existing garages in connection with the erection of a two-storey building comprising 6 houses (5 x 3 bed and 1 x 2 bed) with associated parking and landscaping."/>
    <x v="487"/>
    <s v="NB"/>
    <x v="0"/>
    <s v="UC"/>
    <m/>
    <d v="2017-05-30T00:00:00"/>
    <m/>
    <m/>
    <s v="C"/>
    <s v="BF"/>
    <x v="0"/>
    <m/>
    <d v="2017-05-30T00:00:00"/>
    <m/>
    <m/>
    <m/>
    <m/>
    <m/>
    <m/>
    <m/>
    <m/>
    <m/>
    <m/>
    <m/>
    <m/>
    <m/>
    <m/>
    <m/>
    <m/>
    <m/>
    <m/>
    <m/>
    <m/>
    <m/>
    <m/>
    <m/>
    <m/>
    <m/>
    <m/>
    <m/>
    <m/>
    <m/>
    <m/>
    <m/>
    <m/>
    <x v="0"/>
    <x v="0"/>
    <x v="1"/>
    <m/>
    <m/>
    <m/>
    <m/>
    <m/>
    <m/>
    <m/>
    <x v="0"/>
    <m/>
    <m/>
    <m/>
    <m/>
    <m/>
    <x v="0"/>
    <m/>
    <m/>
    <m/>
    <m/>
    <s v="-"/>
    <s v="-"/>
    <s v="-"/>
    <s v="-"/>
    <s v="-"/>
    <s v="-"/>
    <s v="-"/>
    <s v="-"/>
    <s v="-"/>
    <s v="-"/>
    <s v="-"/>
    <x v="1"/>
    <x v="0"/>
    <s v="-"/>
    <s v="-"/>
    <s v="-"/>
    <s v="-"/>
    <s v="-"/>
    <s v="-"/>
    <s v="-"/>
    <s v="-"/>
    <s v="-"/>
    <s v="-"/>
    <s v="-"/>
    <x v="0"/>
    <x v="0"/>
    <n v="0"/>
    <n v="0"/>
    <n v="380"/>
    <n v="-380"/>
    <x v="0"/>
    <x v="0"/>
    <m/>
    <x v="0"/>
    <m/>
    <x v="0"/>
    <m/>
    <x v="0"/>
    <x v="0"/>
    <x v="0"/>
    <x v="0"/>
    <m/>
    <n v="600"/>
    <n v="0"/>
    <n v="600"/>
    <x v="1"/>
    <m/>
  </r>
  <r>
    <x v="0"/>
    <x v="0"/>
    <x v="0"/>
    <x v="0"/>
    <n v="6052"/>
    <x v="441"/>
    <x v="16"/>
    <n v="4.9999998882412902E-3"/>
    <n v="527365"/>
    <n v="171122"/>
    <m/>
    <x v="501"/>
    <s v="PF"/>
    <d v="2015-09-02T00:00:00"/>
    <x v="348"/>
    <m/>
    <m/>
    <s v="Nil"/>
    <m/>
    <m/>
    <s v="Alterations including erection of 10 storage sheds for use by occupiers of Gravenel Gardens."/>
    <x v="488"/>
    <s v="NB"/>
    <x v="0"/>
    <s v="OC"/>
    <m/>
    <d v="2016-12-09T00:00:00"/>
    <d v="2018-03-31T00:00:00"/>
    <d v="2018-03-31T00:00:00"/>
    <s v="C"/>
    <s v="BF"/>
    <x v="0"/>
    <m/>
    <d v="2016-12-09T00:00:00"/>
    <d v="2018-03-31T00:00:00"/>
    <m/>
    <m/>
    <m/>
    <m/>
    <m/>
    <m/>
    <m/>
    <m/>
    <m/>
    <m/>
    <m/>
    <n v="24"/>
    <n v="24"/>
    <m/>
    <m/>
    <m/>
    <m/>
    <m/>
    <m/>
    <m/>
    <m/>
    <m/>
    <m/>
    <m/>
    <m/>
    <m/>
    <m/>
    <m/>
    <m/>
    <m/>
    <m/>
    <x v="0"/>
    <x v="1"/>
    <x v="1"/>
    <m/>
    <m/>
    <m/>
    <m/>
    <m/>
    <m/>
    <m/>
    <x v="0"/>
    <m/>
    <m/>
    <m/>
    <n v="24"/>
    <n v="24"/>
    <x v="0"/>
    <m/>
    <m/>
    <m/>
    <m/>
    <s v="-"/>
    <s v="-"/>
    <s v="-"/>
    <s v="-"/>
    <s v="-"/>
    <s v="-"/>
    <s v="-"/>
    <s v="-"/>
    <s v="-"/>
    <s v="Storage"/>
    <s v="-"/>
    <x v="1"/>
    <x v="0"/>
    <s v="-"/>
    <s v="-"/>
    <s v="-"/>
    <s v="-"/>
    <s v="-"/>
    <s v="-"/>
    <s v="-"/>
    <s v="-"/>
    <s v="-"/>
    <s v="-"/>
    <s v="-"/>
    <x v="0"/>
    <x v="0"/>
    <n v="4.9999998882412902E-3"/>
    <n v="24"/>
    <n v="0"/>
    <n v="24"/>
    <x v="0"/>
    <x v="0"/>
    <m/>
    <x v="0"/>
    <m/>
    <x v="0"/>
    <m/>
    <x v="0"/>
    <x v="0"/>
    <x v="0"/>
    <x v="0"/>
    <m/>
    <n v="0"/>
    <n v="0"/>
    <n v="0"/>
    <x v="0"/>
    <m/>
  </r>
  <r>
    <x v="0"/>
    <x v="0"/>
    <x v="0"/>
    <x v="0"/>
    <n v="6056"/>
    <x v="442"/>
    <x v="12"/>
    <n v="1.7000000923872001E-2"/>
    <n v="525134"/>
    <n v="173399"/>
    <m/>
    <x v="502"/>
    <s v="PF"/>
    <d v="2015-11-17T00:00:00"/>
    <x v="365"/>
    <m/>
    <m/>
    <s v="Nil"/>
    <m/>
    <m/>
    <s v="Change of use from restaurant (Class A3) to residential (Class C3) with alterations to provide two additional self contained flats. Alterations include; modifications to ground floor front elevation; erection of mansard roof extension to main rear roof including raising the ridge by 300mm (with French doors) and above part of two-storey back addition; formation of roof terrace above two-storey back addition with 1.7m screen adjacent to 177 Replingham Road; erection of single-storey rear/side extension including alterations to the rear to include 1.8m high rear boundary fence."/>
    <x v="489"/>
    <s v="MIX"/>
    <x v="0"/>
    <s v="OC"/>
    <m/>
    <d v="2016-01-19T00:00:00"/>
    <d v="2017-04-05T00:00:00"/>
    <d v="2017-04-05T00:00:00"/>
    <s v="C"/>
    <s v="BF"/>
    <x v="0"/>
    <m/>
    <d v="2016-01-19T00:00:00"/>
    <d v="2017-04-05T00:00:00"/>
    <m/>
    <m/>
    <m/>
    <m/>
    <m/>
    <m/>
    <m/>
    <m/>
    <m/>
    <m/>
    <m/>
    <m/>
    <m/>
    <m/>
    <m/>
    <m/>
    <m/>
    <m/>
    <n v="170"/>
    <m/>
    <m/>
    <n v="170"/>
    <m/>
    <m/>
    <m/>
    <m/>
    <m/>
    <m/>
    <m/>
    <m/>
    <m/>
    <x v="1"/>
    <x v="0"/>
    <x v="1"/>
    <m/>
    <m/>
    <n v="-170"/>
    <m/>
    <m/>
    <n v="-170"/>
    <m/>
    <x v="0"/>
    <m/>
    <m/>
    <m/>
    <m/>
    <m/>
    <x v="0"/>
    <m/>
    <m/>
    <m/>
    <m/>
    <s v="-"/>
    <s v="-"/>
    <s v="-"/>
    <s v="-"/>
    <s v="-"/>
    <s v="-"/>
    <s v="-"/>
    <s v="-"/>
    <s v="-"/>
    <s v="-"/>
    <s v="-"/>
    <x v="1"/>
    <x v="0"/>
    <s v="-"/>
    <s v="-"/>
    <s v="Vacant"/>
    <s v="-"/>
    <s v="-"/>
    <s v="-"/>
    <s v="-"/>
    <s v="-"/>
    <s v="-"/>
    <s v="-"/>
    <s v="-"/>
    <x v="0"/>
    <x v="0"/>
    <n v="0"/>
    <n v="0"/>
    <n v="170"/>
    <n v="-170"/>
    <x v="0"/>
    <x v="0"/>
    <m/>
    <x v="0"/>
    <m/>
    <x v="0"/>
    <m/>
    <x v="0"/>
    <x v="0"/>
    <x v="0"/>
    <x v="0"/>
    <m/>
    <n v="228"/>
    <n v="0"/>
    <n v="228"/>
    <x v="1"/>
    <m/>
  </r>
  <r>
    <x v="2"/>
    <x v="0"/>
    <x v="0"/>
    <x v="1"/>
    <n v="6058"/>
    <x v="443"/>
    <x v="7"/>
    <n v="2.19999998807907E-2"/>
    <n v="523963"/>
    <n v="175629"/>
    <m/>
    <x v="503"/>
    <s v="PF"/>
    <d v="2015-09-17T00:00:00"/>
    <x v="366"/>
    <m/>
    <m/>
    <s v="Nil"/>
    <m/>
    <m/>
    <s v="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
    <x v="490"/>
    <s v="NB"/>
    <x v="0"/>
    <s v="NSO"/>
    <m/>
    <m/>
    <m/>
    <m/>
    <s v="C"/>
    <s v="BF"/>
    <x v="0"/>
    <m/>
    <m/>
    <m/>
    <m/>
    <m/>
    <m/>
    <n v="79"/>
    <m/>
    <n v="79"/>
    <m/>
    <m/>
    <m/>
    <m/>
    <m/>
    <m/>
    <m/>
    <m/>
    <m/>
    <m/>
    <m/>
    <m/>
    <m/>
    <m/>
    <m/>
    <m/>
    <m/>
    <m/>
    <m/>
    <m/>
    <m/>
    <m/>
    <m/>
    <m/>
    <m/>
    <x v="1"/>
    <x v="0"/>
    <x v="1"/>
    <m/>
    <m/>
    <m/>
    <n v="79"/>
    <m/>
    <n v="79"/>
    <m/>
    <x v="0"/>
    <m/>
    <m/>
    <m/>
    <m/>
    <m/>
    <x v="0"/>
    <m/>
    <m/>
    <m/>
    <m/>
    <s v="-"/>
    <s v="-"/>
    <s v="-"/>
    <s v="Public House"/>
    <s v="-"/>
    <s v="-"/>
    <s v="-"/>
    <s v="-"/>
    <s v="-"/>
    <s v="-"/>
    <s v="-"/>
    <x v="1"/>
    <x v="0"/>
    <s v="-"/>
    <s v="-"/>
    <s v="-"/>
    <s v="-"/>
    <s v="-"/>
    <s v="-"/>
    <s v="-"/>
    <s v="-"/>
    <s v="-"/>
    <s v="-"/>
    <s v="-"/>
    <x v="0"/>
    <x v="0"/>
    <n v="0"/>
    <n v="79"/>
    <n v="0"/>
    <n v="79"/>
    <x v="0"/>
    <x v="0"/>
    <m/>
    <x v="0"/>
    <m/>
    <x v="0"/>
    <m/>
    <x v="0"/>
    <x v="0"/>
    <x v="0"/>
    <x v="0"/>
    <m/>
    <n v="165"/>
    <n v="0"/>
    <n v="165"/>
    <x v="1"/>
    <m/>
  </r>
  <r>
    <x v="3"/>
    <x v="0"/>
    <x v="0"/>
    <x v="1"/>
    <n v="6061"/>
    <x v="444"/>
    <x v="2"/>
    <n v="2.14800000190735"/>
    <n v="528297"/>
    <n v="173334"/>
    <m/>
    <x v="504"/>
    <s v="PF"/>
    <d v="2015-09-23T00:00:00"/>
    <x v="367"/>
    <m/>
    <m/>
    <s v="Nil"/>
    <m/>
    <m/>
    <s v="Demolition of the main school building, sixth form common room, and two demountable classrooms. Erection of two school buildings comprising a 3-storey 'L' shaped building fronting Hearnville Road and Chestnut Grove, and a part 2-part 3-storey rectangular building parallel to the railway line. Erection of substation to the east of the Victorian Building on Hearnville Road, and erection of kiln and store as an extension to the Art Block. Relocation of temporary buildings and containers. Provision of a central landscaped area and replacement sports pitches. Alterations to the access arrangements. Reconfiguration of the existing car park, and provision of cycle storage."/>
    <x v="491"/>
    <s v="NB"/>
    <x v="0"/>
    <s v="UC"/>
    <m/>
    <d v="2016-07-01T00:00:00"/>
    <m/>
    <m/>
    <s v="C"/>
    <s v="BF"/>
    <x v="0"/>
    <m/>
    <d v="2016-07-01T00:00:00"/>
    <m/>
    <m/>
    <m/>
    <m/>
    <m/>
    <m/>
    <m/>
    <m/>
    <m/>
    <m/>
    <m/>
    <m/>
    <m/>
    <m/>
    <n v="8446"/>
    <m/>
    <n v="8446"/>
    <m/>
    <m/>
    <m/>
    <m/>
    <m/>
    <m/>
    <m/>
    <m/>
    <m/>
    <m/>
    <m/>
    <m/>
    <n v="11557"/>
    <m/>
    <n v="11557"/>
    <x v="0"/>
    <x v="0"/>
    <x v="0"/>
    <m/>
    <m/>
    <m/>
    <m/>
    <m/>
    <m/>
    <m/>
    <x v="0"/>
    <m/>
    <m/>
    <m/>
    <m/>
    <m/>
    <x v="0"/>
    <m/>
    <n v="-3111"/>
    <m/>
    <n v="-3111"/>
    <s v="-"/>
    <s v="-"/>
    <s v="-"/>
    <s v="-"/>
    <s v="-"/>
    <s v="-"/>
    <s v="-"/>
    <s v="-"/>
    <s v="-"/>
    <s v="-"/>
    <s v="-"/>
    <x v="0"/>
    <x v="0"/>
    <s v="-"/>
    <s v="-"/>
    <s v="-"/>
    <s v="-"/>
    <s v="-"/>
    <s v="-"/>
    <s v="-"/>
    <s v="-"/>
    <s v="-"/>
    <s v="-"/>
    <s v="-"/>
    <x v="6"/>
    <x v="0"/>
    <n v="2.032999999821187"/>
    <n v="9609"/>
    <n v="12720"/>
    <n v="-3111"/>
    <x v="0"/>
    <x v="0"/>
    <m/>
    <x v="0"/>
    <m/>
    <x v="0"/>
    <m/>
    <x v="0"/>
    <x v="0"/>
    <x v="0"/>
    <x v="0"/>
    <m/>
    <n v="0"/>
    <n v="0"/>
    <n v="0"/>
    <x v="0"/>
    <m/>
  </r>
  <r>
    <x v="0"/>
    <x v="0"/>
    <x v="0"/>
    <x v="0"/>
    <n v="6061"/>
    <x v="444"/>
    <x v="2"/>
    <n v="2.14800000190735"/>
    <n v="528297"/>
    <n v="173334"/>
    <m/>
    <x v="505"/>
    <s v="PF"/>
    <d v="2016-06-30T00:00:00"/>
    <x v="179"/>
    <m/>
    <m/>
    <s v="Nil"/>
    <m/>
    <m/>
    <s v="Erection of a substation; alterations to access and gates."/>
    <x v="492"/>
    <s v="NB"/>
    <x v="0"/>
    <s v="OC"/>
    <m/>
    <d v="2017-03-31T00:00:00"/>
    <d v="2018-03-31T00:00:00"/>
    <d v="2018-03-31T00:00:00"/>
    <s v="C"/>
    <s v="BF"/>
    <x v="0"/>
    <m/>
    <d v="2017-03-31T00:00:00"/>
    <d v="2018-03-31T00:00:00"/>
    <m/>
    <m/>
    <m/>
    <m/>
    <m/>
    <m/>
    <m/>
    <m/>
    <m/>
    <m/>
    <m/>
    <m/>
    <m/>
    <m/>
    <m/>
    <m/>
    <m/>
    <m/>
    <m/>
    <m/>
    <m/>
    <m/>
    <m/>
    <m/>
    <m/>
    <m/>
    <m/>
    <m/>
    <m/>
    <m/>
    <m/>
    <x v="0"/>
    <x v="0"/>
    <x v="1"/>
    <m/>
    <m/>
    <m/>
    <m/>
    <m/>
    <m/>
    <m/>
    <x v="0"/>
    <m/>
    <m/>
    <m/>
    <m/>
    <m/>
    <x v="0"/>
    <m/>
    <m/>
    <m/>
    <m/>
    <s v="-"/>
    <s v="-"/>
    <s v="-"/>
    <s v="-"/>
    <s v="-"/>
    <s v="-"/>
    <s v="-"/>
    <s v="-"/>
    <s v="-"/>
    <s v="-"/>
    <s v="-"/>
    <x v="1"/>
    <x v="0"/>
    <s v="-"/>
    <s v="-"/>
    <s v="-"/>
    <s v="-"/>
    <s v="-"/>
    <s v="-"/>
    <s v="-"/>
    <s v="-"/>
    <s v="-"/>
    <s v="-"/>
    <s v="-"/>
    <x v="0"/>
    <x v="0"/>
    <n v="2.14800000190735"/>
    <n v="21"/>
    <n v="0"/>
    <n v="21"/>
    <x v="0"/>
    <x v="0"/>
    <m/>
    <x v="0"/>
    <m/>
    <x v="0"/>
    <m/>
    <x v="0"/>
    <x v="0"/>
    <x v="0"/>
    <x v="0"/>
    <m/>
    <n v="0"/>
    <n v="0"/>
    <n v="0"/>
    <x v="0"/>
    <m/>
  </r>
  <r>
    <x v="3"/>
    <x v="0"/>
    <x v="0"/>
    <x v="1"/>
    <n v="6061"/>
    <x v="444"/>
    <x v="2"/>
    <n v="2.14800000190735"/>
    <n v="528297"/>
    <n v="173334"/>
    <m/>
    <x v="506"/>
    <s v="S73"/>
    <d v="2016-11-24T00:00:00"/>
    <x v="334"/>
    <m/>
    <m/>
    <s v="Nil"/>
    <m/>
    <m/>
    <s v="Variation of conditions 2 (in accordance with approved drawings), 4 (surface water drainage scheme) &amp; 30 (external lighting)  pursuant to planning permission dated 16/12/2015 ref 2015/5395 (Demolition of the main school building, sixth form common room, and two demountable classrooms. Erection of two school buildings comprising a 3-storey 'L' shaped building fronting Hearnville Road and Chestnut Grove, and a part 2-part 3-storey rectangular building parallel to the railway line. Erection of substation to the east of the Victorian Building on Hearnville Road, and erection of kiln and store as an extension to the Art Block. Relocation of temporary buildings and containers. Provision of a central landscaped area and replacement sports pitches. Alterations to the access arrangements. Reconfiguration of the existing car park, and provision of cycle storage) to provide floodlighting, additional sports pitch, outdoor dining space and retain portacabin classrooms."/>
    <x v="493"/>
    <s v="NB"/>
    <x v="0"/>
    <s v="UC"/>
    <m/>
    <d v="2017-03-31T00:00:00"/>
    <m/>
    <m/>
    <s v="C"/>
    <s v="BF"/>
    <x v="0"/>
    <m/>
    <d v="2017-03-31T00:00:00"/>
    <m/>
    <m/>
    <m/>
    <m/>
    <m/>
    <m/>
    <m/>
    <m/>
    <m/>
    <m/>
    <m/>
    <m/>
    <m/>
    <m/>
    <n v="248"/>
    <m/>
    <n v="248"/>
    <m/>
    <m/>
    <m/>
    <m/>
    <m/>
    <m/>
    <m/>
    <m/>
    <m/>
    <m/>
    <m/>
    <m/>
    <m/>
    <m/>
    <m/>
    <x v="0"/>
    <x v="0"/>
    <x v="0"/>
    <m/>
    <m/>
    <m/>
    <m/>
    <m/>
    <m/>
    <m/>
    <x v="0"/>
    <m/>
    <m/>
    <m/>
    <m/>
    <m/>
    <x v="0"/>
    <m/>
    <n v="248"/>
    <m/>
    <n v="248"/>
    <s v="-"/>
    <s v="-"/>
    <s v="-"/>
    <s v="-"/>
    <s v="-"/>
    <s v="-"/>
    <s v="-"/>
    <s v="-"/>
    <s v="-"/>
    <s v="-"/>
    <s v="-"/>
    <x v="0"/>
    <x v="0"/>
    <s v="-"/>
    <s v="-"/>
    <s v="-"/>
    <s v="-"/>
    <s v="-"/>
    <s v="-"/>
    <s v="-"/>
    <s v="-"/>
    <s v="-"/>
    <s v="-"/>
    <s v="-"/>
    <x v="0"/>
    <x v="0"/>
    <n v="2.0960000008344664"/>
    <n v="248"/>
    <n v="0"/>
    <n v="248"/>
    <x v="0"/>
    <x v="0"/>
    <m/>
    <x v="0"/>
    <m/>
    <x v="0"/>
    <m/>
    <x v="0"/>
    <x v="0"/>
    <x v="0"/>
    <x v="0"/>
    <m/>
    <n v="0"/>
    <n v="0"/>
    <n v="0"/>
    <x v="0"/>
    <m/>
  </r>
  <r>
    <x v="2"/>
    <x v="0"/>
    <x v="0"/>
    <x v="1"/>
    <n v="6063"/>
    <x v="445"/>
    <x v="4"/>
    <n v="1.7999999225139601E-2"/>
    <n v="527408"/>
    <n v="176440"/>
    <m/>
    <x v="507"/>
    <s v="PF"/>
    <d v="2015-09-10T00:00:00"/>
    <x v="368"/>
    <m/>
    <m/>
    <s v="Nil"/>
    <m/>
    <m/>
    <s v="Erection of two-storey 2-bedroom dwelling at basement and ground floor levels (accessed from passage between 11 and 13 Stanmer Street and entrance gate) with lightwell to Stanmer Street."/>
    <x v="494"/>
    <s v="NB"/>
    <x v="0"/>
    <s v="NSV"/>
    <m/>
    <m/>
    <m/>
    <m/>
    <s v="C"/>
    <s v="BF"/>
    <x v="0"/>
    <m/>
    <m/>
    <m/>
    <m/>
    <m/>
    <m/>
    <m/>
    <m/>
    <m/>
    <m/>
    <m/>
    <m/>
    <m/>
    <m/>
    <m/>
    <m/>
    <m/>
    <m/>
    <m/>
    <m/>
    <m/>
    <m/>
    <m/>
    <m/>
    <m/>
    <m/>
    <m/>
    <m/>
    <m/>
    <m/>
    <m/>
    <n v="172"/>
    <m/>
    <n v="172"/>
    <x v="0"/>
    <x v="0"/>
    <x v="0"/>
    <m/>
    <m/>
    <m/>
    <m/>
    <m/>
    <m/>
    <m/>
    <x v="0"/>
    <m/>
    <m/>
    <m/>
    <m/>
    <m/>
    <x v="0"/>
    <m/>
    <n v="-172"/>
    <m/>
    <n v="-172"/>
    <s v="-"/>
    <s v="-"/>
    <s v="-"/>
    <s v="-"/>
    <s v="-"/>
    <s v="-"/>
    <s v="-"/>
    <s v="-"/>
    <s v="-"/>
    <s v="-"/>
    <s v="-"/>
    <x v="1"/>
    <x v="0"/>
    <s v="-"/>
    <s v="-"/>
    <s v="-"/>
    <s v="-"/>
    <s v="-"/>
    <s v="-"/>
    <s v="-"/>
    <s v="-"/>
    <s v="-"/>
    <s v="-"/>
    <s v="-"/>
    <x v="5"/>
    <x v="0"/>
    <n v="0"/>
    <n v="0"/>
    <n v="172"/>
    <n v="-172"/>
    <x v="0"/>
    <x v="0"/>
    <m/>
    <x v="0"/>
    <m/>
    <x v="0"/>
    <m/>
    <x v="0"/>
    <x v="0"/>
    <x v="0"/>
    <x v="0"/>
    <m/>
    <n v="261"/>
    <n v="0"/>
    <n v="261"/>
    <x v="1"/>
    <m/>
  </r>
  <r>
    <x v="0"/>
    <x v="0"/>
    <x v="0"/>
    <x v="0"/>
    <n v="6065"/>
    <x v="446"/>
    <x v="11"/>
    <n v="4.6000000089407002E-2"/>
    <n v="528949"/>
    <n v="173592"/>
    <m/>
    <x v="508"/>
    <s v="PF"/>
    <d v="2015-09-29T00:00:00"/>
    <x v="369"/>
    <m/>
    <m/>
    <s v="Nil"/>
    <m/>
    <m/>
    <s v="Alterations to retained public house including the erection of roof extension over to provide 1 x 1-bedroom, 2 x 2-bedroom and 1 x 3-bedroom residential units with roof terraces. Erection of two-storey 2-bedroom house with roof terrace to the west of the public house. Erection of three-storey (plus basement) building to the north of the public house to provide 4 x 2-bedroom flats accessed via a glazed bridge link.  Associated landscaping to include bicycle and waste storage and communal garden"/>
    <x v="495"/>
    <s v="MIX"/>
    <x v="0"/>
    <s v="OC"/>
    <m/>
    <d v="2016-02-01T00:00:00"/>
    <d v="2017-05-30T00:00:00"/>
    <d v="2017-05-30T00:00:00"/>
    <s v="C"/>
    <s v="BF"/>
    <x v="0"/>
    <m/>
    <d v="2016-02-01T00:00:00"/>
    <d v="2017-05-30T00:00:00"/>
    <m/>
    <m/>
    <m/>
    <n v="246"/>
    <m/>
    <n v="246"/>
    <m/>
    <m/>
    <m/>
    <m/>
    <m/>
    <m/>
    <m/>
    <m/>
    <m/>
    <m/>
    <m/>
    <m/>
    <m/>
    <n v="550"/>
    <m/>
    <n v="550"/>
    <m/>
    <m/>
    <m/>
    <m/>
    <m/>
    <m/>
    <m/>
    <m/>
    <m/>
    <x v="1"/>
    <x v="0"/>
    <x v="1"/>
    <m/>
    <m/>
    <m/>
    <n v="-304"/>
    <m/>
    <n v="-304"/>
    <m/>
    <x v="0"/>
    <m/>
    <m/>
    <m/>
    <m/>
    <m/>
    <x v="0"/>
    <m/>
    <m/>
    <m/>
    <m/>
    <s v="-"/>
    <s v="-"/>
    <s v="-"/>
    <s v="Public House"/>
    <s v="-"/>
    <s v="-"/>
    <s v="-"/>
    <s v="-"/>
    <s v="-"/>
    <s v="-"/>
    <s v="-"/>
    <x v="1"/>
    <x v="0"/>
    <s v="-"/>
    <s v="-"/>
    <s v="-"/>
    <s v="Public House"/>
    <s v="-"/>
    <s v="-"/>
    <s v="-"/>
    <s v="-"/>
    <s v="-"/>
    <s v="-"/>
    <s v="-"/>
    <x v="0"/>
    <x v="0"/>
    <n v="9.9999997764826029E-3"/>
    <n v="246"/>
    <n v="550"/>
    <n v="-304"/>
    <x v="0"/>
    <x v="0"/>
    <m/>
    <x v="0"/>
    <m/>
    <x v="0"/>
    <m/>
    <x v="0"/>
    <x v="0"/>
    <x v="0"/>
    <x v="0"/>
    <m/>
    <n v="663"/>
    <n v="0"/>
    <n v="663"/>
    <x v="1"/>
    <m/>
  </r>
  <r>
    <x v="2"/>
    <x v="0"/>
    <x v="0"/>
    <x v="1"/>
    <n v="6068"/>
    <x v="447"/>
    <x v="4"/>
    <n v="8.9999996125698107E-3"/>
    <n v="526422"/>
    <n v="175660"/>
    <s v="10.8"/>
    <x v="509"/>
    <s v="PF"/>
    <d v="2015-09-17T00:00:00"/>
    <x v="140"/>
    <m/>
    <m/>
    <s v="Nil"/>
    <m/>
    <m/>
    <s v="Part change of use of ground floor from general industrial use (Use Class B2) to a personal training studio (Use Class D2)."/>
    <x v="496"/>
    <s v="COU"/>
    <x v="2"/>
    <s v="NSO"/>
    <m/>
    <m/>
    <m/>
    <m/>
    <s v="C"/>
    <s v="BF"/>
    <x v="0"/>
    <m/>
    <m/>
    <m/>
    <m/>
    <m/>
    <m/>
    <m/>
    <m/>
    <m/>
    <m/>
    <m/>
    <m/>
    <m/>
    <m/>
    <m/>
    <m/>
    <m/>
    <n v="90"/>
    <n v="90"/>
    <m/>
    <m/>
    <m/>
    <m/>
    <m/>
    <m/>
    <m/>
    <m/>
    <m/>
    <n v="90"/>
    <m/>
    <n v="90"/>
    <m/>
    <m/>
    <m/>
    <x v="0"/>
    <x v="1"/>
    <x v="0"/>
    <m/>
    <m/>
    <m/>
    <m/>
    <m/>
    <m/>
    <m/>
    <x v="0"/>
    <m/>
    <m/>
    <n v="-90"/>
    <m/>
    <n v="-90"/>
    <x v="1"/>
    <m/>
    <m/>
    <n v="90"/>
    <n v="90"/>
    <s v="-"/>
    <s v="-"/>
    <s v="-"/>
    <s v="-"/>
    <s v="-"/>
    <s v="-"/>
    <s v="-"/>
    <s v="-"/>
    <s v="-"/>
    <s v="-"/>
    <s v="-"/>
    <x v="1"/>
    <x v="1"/>
    <s v="-"/>
    <s v="-"/>
    <s v="-"/>
    <s v="-"/>
    <s v="-"/>
    <s v="-"/>
    <s v="-"/>
    <s v="-"/>
    <s v="General Industry"/>
    <s v="-"/>
    <s v="-"/>
    <x v="0"/>
    <x v="0"/>
    <n v="8.9999996125698107E-3"/>
    <n v="90"/>
    <n v="90"/>
    <n v="0"/>
    <x v="1"/>
    <x v="0"/>
    <m/>
    <x v="0"/>
    <m/>
    <x v="1"/>
    <s v="Chatfield/Mendip Roads"/>
    <x v="0"/>
    <x v="0"/>
    <x v="0"/>
    <x v="0"/>
    <m/>
    <n v="0"/>
    <n v="0"/>
    <n v="0"/>
    <x v="0"/>
    <m/>
  </r>
  <r>
    <x v="2"/>
    <x v="0"/>
    <x v="0"/>
    <x v="1"/>
    <n v="6072"/>
    <x v="448"/>
    <x v="17"/>
    <n v="1.7000000923872001E-2"/>
    <n v="528353"/>
    <n v="172928"/>
    <m/>
    <x v="510"/>
    <s v="PF"/>
    <d v="2015-11-19T00:00:00"/>
    <x v="365"/>
    <m/>
    <m/>
    <s v="Nil"/>
    <m/>
    <m/>
    <s v="Erection of a part single, part two-storey rear extension, installation of external metal staircase and additional windows in connection with the conversion of the first floor into a 1-bedroom residential unit."/>
    <x v="497"/>
    <s v="MIX"/>
    <x v="0"/>
    <s v="NSO"/>
    <m/>
    <m/>
    <m/>
    <m/>
    <s v="C"/>
    <s v="BF"/>
    <x v="0"/>
    <m/>
    <m/>
    <m/>
    <n v="108"/>
    <m/>
    <m/>
    <m/>
    <m/>
    <n v="108"/>
    <m/>
    <m/>
    <m/>
    <m/>
    <m/>
    <m/>
    <m/>
    <m/>
    <m/>
    <m/>
    <n v="106"/>
    <m/>
    <m/>
    <m/>
    <m/>
    <n v="106"/>
    <m/>
    <m/>
    <m/>
    <m/>
    <n v="49"/>
    <n v="49"/>
    <m/>
    <m/>
    <m/>
    <x v="1"/>
    <x v="1"/>
    <x v="1"/>
    <n v="2"/>
    <m/>
    <m/>
    <m/>
    <m/>
    <n v="2"/>
    <m/>
    <x v="0"/>
    <m/>
    <m/>
    <m/>
    <n v="-49"/>
    <n v="-49"/>
    <x v="1"/>
    <m/>
    <m/>
    <m/>
    <m/>
    <s v="Not Known"/>
    <s v="-"/>
    <s v="-"/>
    <s v="-"/>
    <s v="-"/>
    <s v="-"/>
    <s v="-"/>
    <s v="-"/>
    <s v="-"/>
    <s v="-"/>
    <s v="-"/>
    <x v="1"/>
    <x v="0"/>
    <s v="Not Known"/>
    <s v="-"/>
    <s v="-"/>
    <s v="-"/>
    <s v="-"/>
    <s v="-"/>
    <s v="-"/>
    <s v="-"/>
    <s v="-"/>
    <s v="Ancillary to A1"/>
    <s v="-"/>
    <x v="0"/>
    <x v="0"/>
    <n v="1.3000000733882191E-2"/>
    <n v="108"/>
    <n v="155"/>
    <n v="-47"/>
    <x v="0"/>
    <x v="0"/>
    <m/>
    <x v="0"/>
    <m/>
    <x v="0"/>
    <m/>
    <x v="0"/>
    <x v="0"/>
    <x v="0"/>
    <x v="0"/>
    <m/>
    <n v="54"/>
    <n v="0"/>
    <n v="54"/>
    <x v="1"/>
    <m/>
  </r>
  <r>
    <x v="0"/>
    <x v="0"/>
    <x v="0"/>
    <x v="2"/>
    <n v="6073"/>
    <x v="449"/>
    <x v="4"/>
    <n v="8.9999996125698107E-3"/>
    <n v="527023"/>
    <n v="176159"/>
    <m/>
    <x v="511"/>
    <s v="PF"/>
    <d v="2015-10-07T00:00:00"/>
    <x v="370"/>
    <m/>
    <m/>
    <s v="Nil"/>
    <m/>
    <m/>
    <s v="Alterations and extension of rear of building, erection of a mansard-style roof extension and internal alterations including part conversion of ground floor from restaurant to residential, all in connection with the formation of 6 self-contained flats."/>
    <x v="498"/>
    <s v="MIX"/>
    <x v="0"/>
    <s v="CO"/>
    <m/>
    <d v="2017-03-31T00:00:00"/>
    <d v="2018-03-31T00:00:00"/>
    <m/>
    <s v="C"/>
    <s v="BF"/>
    <x v="0"/>
    <m/>
    <d v="2017-03-31T00:00:00"/>
    <d v="2018-03-31T00:00:00"/>
    <m/>
    <m/>
    <n v="46"/>
    <m/>
    <m/>
    <n v="46"/>
    <m/>
    <m/>
    <m/>
    <m/>
    <m/>
    <m/>
    <m/>
    <m/>
    <m/>
    <m/>
    <m/>
    <m/>
    <n v="144"/>
    <m/>
    <m/>
    <n v="144"/>
    <m/>
    <m/>
    <m/>
    <m/>
    <m/>
    <m/>
    <m/>
    <m/>
    <m/>
    <x v="1"/>
    <x v="0"/>
    <x v="1"/>
    <m/>
    <m/>
    <n v="-98"/>
    <m/>
    <m/>
    <n v="-98"/>
    <m/>
    <x v="0"/>
    <m/>
    <m/>
    <m/>
    <m/>
    <m/>
    <x v="0"/>
    <m/>
    <m/>
    <m/>
    <m/>
    <s v="-"/>
    <s v="-"/>
    <s v="Restaurant"/>
    <s v="-"/>
    <s v="-"/>
    <s v="-"/>
    <s v="-"/>
    <s v="-"/>
    <s v="-"/>
    <s v="-"/>
    <s v="-"/>
    <x v="1"/>
    <x v="0"/>
    <s v="-"/>
    <s v="-"/>
    <s v="Restaurant"/>
    <s v="-"/>
    <s v="-"/>
    <s v="-"/>
    <s v="-"/>
    <s v="-"/>
    <s v="-"/>
    <s v="-"/>
    <s v="-"/>
    <x v="0"/>
    <x v="0"/>
    <n v="2.9999993275851011E-3"/>
    <n v="46"/>
    <n v="144"/>
    <n v="-98"/>
    <x v="0"/>
    <x v="0"/>
    <m/>
    <x v="0"/>
    <m/>
    <x v="0"/>
    <m/>
    <x v="0"/>
    <x v="0"/>
    <x v="0"/>
    <x v="0"/>
    <m/>
    <n v="331"/>
    <n v="57"/>
    <n v="274"/>
    <x v="1"/>
    <m/>
  </r>
  <r>
    <x v="3"/>
    <x v="0"/>
    <x v="0"/>
    <x v="1"/>
    <n v="6082"/>
    <x v="450"/>
    <x v="11"/>
    <n v="3.4000001847744002E-2"/>
    <n v="529010"/>
    <n v="174056"/>
    <m/>
    <x v="512"/>
    <s v="PF"/>
    <d v="2015-10-21T00:00:00"/>
    <x v="88"/>
    <m/>
    <m/>
    <s v="Nil"/>
    <m/>
    <m/>
    <s v="Demolition of existing garages and erection of part one, part two, part three-storey building to provide 4x2 bedroom flats and 2x1 bed flats with associated cycle storage and boundary treatments."/>
    <x v="499"/>
    <s v="NB"/>
    <x v="0"/>
    <s v="UC"/>
    <m/>
    <d v="2018-03-19T00:00:00"/>
    <m/>
    <m/>
    <s v="C"/>
    <s v="BF"/>
    <x v="0"/>
    <m/>
    <d v="2018-03-19T00:00:00"/>
    <m/>
    <m/>
    <m/>
    <m/>
    <m/>
    <m/>
    <m/>
    <m/>
    <m/>
    <m/>
    <m/>
    <m/>
    <m/>
    <m/>
    <m/>
    <m/>
    <m/>
    <m/>
    <m/>
    <m/>
    <m/>
    <m/>
    <m/>
    <m/>
    <m/>
    <m/>
    <m/>
    <m/>
    <m/>
    <m/>
    <m/>
    <m/>
    <x v="0"/>
    <x v="0"/>
    <x v="1"/>
    <m/>
    <m/>
    <m/>
    <m/>
    <m/>
    <m/>
    <m/>
    <x v="0"/>
    <m/>
    <m/>
    <m/>
    <m/>
    <m/>
    <x v="0"/>
    <m/>
    <m/>
    <m/>
    <m/>
    <s v="-"/>
    <s v="-"/>
    <s v="-"/>
    <s v="-"/>
    <s v="-"/>
    <s v="-"/>
    <s v="-"/>
    <s v="-"/>
    <s v="-"/>
    <s v="-"/>
    <s v="-"/>
    <x v="1"/>
    <x v="0"/>
    <s v="-"/>
    <s v="-"/>
    <s v="-"/>
    <s v="-"/>
    <s v="-"/>
    <s v="-"/>
    <s v="-"/>
    <s v="-"/>
    <s v="-"/>
    <s v="-"/>
    <s v="-"/>
    <x v="0"/>
    <x v="0"/>
    <n v="0"/>
    <n v="0"/>
    <n v="68"/>
    <n v="-68"/>
    <x v="0"/>
    <x v="0"/>
    <m/>
    <x v="0"/>
    <m/>
    <x v="0"/>
    <m/>
    <x v="0"/>
    <x v="0"/>
    <x v="0"/>
    <x v="0"/>
    <m/>
    <n v="470"/>
    <n v="0"/>
    <n v="470"/>
    <x v="1"/>
    <m/>
  </r>
  <r>
    <x v="0"/>
    <x v="0"/>
    <x v="0"/>
    <x v="2"/>
    <n v="6087"/>
    <x v="451"/>
    <x v="7"/>
    <n v="9.9999997764825804E-3"/>
    <n v="523892"/>
    <n v="175481"/>
    <m/>
    <x v="513"/>
    <s v="PF"/>
    <d v="2015-10-22T00:00:00"/>
    <x v="367"/>
    <m/>
    <m/>
    <s v="Nil"/>
    <m/>
    <m/>
    <s v="Change of use of accommodation from retail (Class Use A1) to residential (Class Use C3), incorporating amended rear roof extension and extension above two-storey back addition and creation of roof terrace, enlargement of single-storey rear infill extension and basement, and creation of lightwell at front with railings surround. Removal of shed in rear garden and alterations to side boundary wall, removal of shopfront to create two self-contained residential flats."/>
    <x v="500"/>
    <s v="MIX"/>
    <x v="0"/>
    <s v="CO"/>
    <m/>
    <d v="2017-04-01T00:00:00"/>
    <d v="2018-03-31T00:00:00"/>
    <m/>
    <s v="C"/>
    <s v="BF"/>
    <x v="0"/>
    <m/>
    <d v="2017-04-01T00:00:00"/>
    <d v="2018-03-31T00:00:00"/>
    <m/>
    <m/>
    <m/>
    <m/>
    <m/>
    <m/>
    <m/>
    <m/>
    <m/>
    <m/>
    <m/>
    <m/>
    <m/>
    <m/>
    <m/>
    <m/>
    <n v="76"/>
    <m/>
    <m/>
    <m/>
    <m/>
    <n v="76"/>
    <m/>
    <m/>
    <m/>
    <m/>
    <m/>
    <m/>
    <m/>
    <m/>
    <m/>
    <x v="1"/>
    <x v="0"/>
    <x v="1"/>
    <n v="-76"/>
    <m/>
    <m/>
    <m/>
    <m/>
    <n v="-76"/>
    <m/>
    <x v="0"/>
    <m/>
    <m/>
    <m/>
    <m/>
    <m/>
    <x v="0"/>
    <m/>
    <m/>
    <m/>
    <m/>
    <s v="-"/>
    <s v="-"/>
    <s v="-"/>
    <s v="-"/>
    <s v="-"/>
    <s v="-"/>
    <s v="-"/>
    <s v="-"/>
    <s v="-"/>
    <s v="-"/>
    <s v="-"/>
    <x v="1"/>
    <x v="0"/>
    <s v="Vacant"/>
    <s v="-"/>
    <s v="-"/>
    <s v="-"/>
    <s v="-"/>
    <s v="-"/>
    <s v="-"/>
    <s v="-"/>
    <s v="-"/>
    <s v="-"/>
    <s v="-"/>
    <x v="0"/>
    <x v="0"/>
    <n v="0"/>
    <n v="0"/>
    <n v="76"/>
    <n v="-76"/>
    <x v="0"/>
    <x v="0"/>
    <m/>
    <x v="0"/>
    <m/>
    <x v="0"/>
    <m/>
    <x v="0"/>
    <x v="0"/>
    <x v="0"/>
    <x v="0"/>
    <m/>
    <n v="76"/>
    <n v="0"/>
    <n v="76"/>
    <x v="1"/>
    <m/>
  </r>
  <r>
    <x v="1"/>
    <x v="0"/>
    <x v="0"/>
    <x v="1"/>
    <n v="6088"/>
    <x v="452"/>
    <x v="14"/>
    <n v="1.30000002682209E-2"/>
    <n v="527736"/>
    <n v="172067"/>
    <m/>
    <x v="514"/>
    <s v="AF"/>
    <d v="2017-09-19T00:00:00"/>
    <x v="1"/>
    <m/>
    <m/>
    <m/>
    <m/>
    <m/>
    <s v="Alterations including excavation of basement and rear courtyard and erection of four-storey (including basement) rear extension to provide commercial floorspace (Class A1/A2 use) over part of ground and basement levels and 4 x residential studios (Class C3)."/>
    <x v="501"/>
    <s v="MIX"/>
    <x v="0"/>
    <s v="NSO"/>
    <m/>
    <m/>
    <m/>
    <m/>
    <s v="P"/>
    <s v="BF"/>
    <x v="0"/>
    <m/>
    <m/>
    <m/>
    <n v="22"/>
    <n v="35"/>
    <m/>
    <m/>
    <m/>
    <n v="57"/>
    <m/>
    <m/>
    <m/>
    <m/>
    <m/>
    <m/>
    <m/>
    <m/>
    <m/>
    <m/>
    <m/>
    <m/>
    <m/>
    <m/>
    <n v="112"/>
    <n v="112"/>
    <m/>
    <m/>
    <m/>
    <m/>
    <m/>
    <m/>
    <m/>
    <m/>
    <m/>
    <x v="1"/>
    <x v="0"/>
    <x v="1"/>
    <n v="22"/>
    <n v="35"/>
    <m/>
    <m/>
    <n v="-112"/>
    <n v="-55"/>
    <m/>
    <x v="0"/>
    <m/>
    <m/>
    <m/>
    <m/>
    <m/>
    <x v="0"/>
    <m/>
    <m/>
    <m/>
    <m/>
    <s v="Not Known"/>
    <s v="Not Known"/>
    <s v="-"/>
    <s v="-"/>
    <s v="-"/>
    <s v="-"/>
    <s v="-"/>
    <s v="-"/>
    <s v="-"/>
    <s v="-"/>
    <s v="-"/>
    <x v="1"/>
    <x v="0"/>
    <s v="-"/>
    <s v="-"/>
    <s v="-"/>
    <s v="-"/>
    <s v="Take-Aways"/>
    <s v="-"/>
    <s v="-"/>
    <s v="-"/>
    <s v="-"/>
    <s v="-"/>
    <s v="-"/>
    <x v="0"/>
    <x v="0"/>
    <n v="3.0000004917383194E-3"/>
    <n v="57"/>
    <n v="112"/>
    <n v="-55"/>
    <x v="0"/>
    <x v="0"/>
    <m/>
    <x v="0"/>
    <m/>
    <x v="0"/>
    <m/>
    <x v="0"/>
    <x v="0"/>
    <x v="0"/>
    <x v="0"/>
    <m/>
    <n v="174"/>
    <n v="0"/>
    <n v="174"/>
    <x v="1"/>
    <m/>
  </r>
  <r>
    <x v="2"/>
    <x v="0"/>
    <x v="0"/>
    <x v="1"/>
    <n v="6090"/>
    <x v="453"/>
    <x v="14"/>
    <n v="1.09999999403954E-2"/>
    <n v="526934"/>
    <n v="171768"/>
    <m/>
    <x v="515"/>
    <s v="PF"/>
    <d v="2015-10-27T00:00:00"/>
    <x v="361"/>
    <m/>
    <m/>
    <s v="Nil"/>
    <m/>
    <m/>
    <s v="Alterations including erection of roof extensions to main rear/side roof with a terrace at second floor rear level; erection of a two storey rear/side extension with french doors and balustrade at first floor rear level and infilling gated entrance at street level all in connection with the conversion of the property to form 1 no. maisonette and 2 no. flats (2 x 1 bedroom units) and retaining a smaller office on ground floor level"/>
    <x v="502"/>
    <s v="MIX"/>
    <x v="0"/>
    <s v="NSO"/>
    <m/>
    <m/>
    <m/>
    <m/>
    <s v="C"/>
    <s v="BF"/>
    <x v="0"/>
    <m/>
    <m/>
    <m/>
    <m/>
    <n v="45"/>
    <m/>
    <m/>
    <m/>
    <n v="45"/>
    <m/>
    <m/>
    <m/>
    <m/>
    <m/>
    <m/>
    <m/>
    <m/>
    <m/>
    <m/>
    <m/>
    <n v="77"/>
    <m/>
    <m/>
    <m/>
    <n v="77"/>
    <m/>
    <m/>
    <m/>
    <m/>
    <m/>
    <m/>
    <m/>
    <m/>
    <m/>
    <x v="1"/>
    <x v="0"/>
    <x v="1"/>
    <m/>
    <n v="-32"/>
    <m/>
    <m/>
    <m/>
    <n v="-32"/>
    <m/>
    <x v="0"/>
    <m/>
    <m/>
    <m/>
    <m/>
    <m/>
    <x v="0"/>
    <m/>
    <m/>
    <m/>
    <m/>
    <s v="-"/>
    <s v="Not Known"/>
    <s v="-"/>
    <s v="-"/>
    <s v="-"/>
    <s v="-"/>
    <s v="-"/>
    <s v="-"/>
    <s v="-"/>
    <s v="-"/>
    <s v="-"/>
    <x v="1"/>
    <x v="0"/>
    <s v="-"/>
    <s v="Not Known"/>
    <s v="-"/>
    <s v="-"/>
    <s v="-"/>
    <s v="-"/>
    <s v="-"/>
    <s v="-"/>
    <s v="-"/>
    <s v="-"/>
    <s v="-"/>
    <x v="0"/>
    <x v="0"/>
    <n v="3.9999997243285604E-3"/>
    <n v="45"/>
    <n v="77"/>
    <n v="-32"/>
    <x v="0"/>
    <x v="0"/>
    <m/>
    <x v="0"/>
    <m/>
    <x v="0"/>
    <m/>
    <x v="0"/>
    <x v="0"/>
    <x v="0"/>
    <x v="0"/>
    <m/>
    <n v="180"/>
    <n v="67"/>
    <n v="113"/>
    <x v="1"/>
    <m/>
  </r>
  <r>
    <x v="2"/>
    <x v="0"/>
    <x v="0"/>
    <x v="1"/>
    <n v="6092"/>
    <x v="454"/>
    <x v="7"/>
    <n v="5.2999999374151202E-2"/>
    <n v="524111"/>
    <n v="175594"/>
    <m/>
    <x v="516"/>
    <s v="PF"/>
    <d v="2015-09-11T00:00:00"/>
    <x v="371"/>
    <m/>
    <m/>
    <s v="Nil"/>
    <m/>
    <m/>
    <s v="Alterations including removal of rear external staircases, flues and soil vent pipes; erection of three-storey rear extension at second floor level; erection of single-storey rear extension at forth-floor level; installation of lantern style roof light at second floor level to the rear; installation of new and replacement windows and doors to side and rear elevations; installation of metal security gate to undercroft fronting Putney High Street; installation of replacement shopfront and installation of lanterns to front elevation; internal alterations; restoration works and other alterations in connection with the use as a public house with 16 hotel guest bedrooms. Three-storey extension to the detached building at the rear of the site."/>
    <x v="503"/>
    <s v="MIX"/>
    <x v="0"/>
    <s v="NSO"/>
    <m/>
    <m/>
    <m/>
    <m/>
    <s v="C"/>
    <s v="BF"/>
    <x v="0"/>
    <m/>
    <m/>
    <m/>
    <m/>
    <m/>
    <m/>
    <n v="595"/>
    <m/>
    <n v="595"/>
    <m/>
    <m/>
    <m/>
    <m/>
    <m/>
    <m/>
    <m/>
    <m/>
    <m/>
    <m/>
    <m/>
    <m/>
    <m/>
    <n v="1260"/>
    <m/>
    <n v="1260"/>
    <m/>
    <m/>
    <m/>
    <m/>
    <m/>
    <m/>
    <m/>
    <m/>
    <m/>
    <x v="1"/>
    <x v="0"/>
    <x v="1"/>
    <m/>
    <m/>
    <m/>
    <n v="-665"/>
    <m/>
    <n v="-665"/>
    <m/>
    <x v="0"/>
    <m/>
    <m/>
    <m/>
    <m/>
    <m/>
    <x v="0"/>
    <n v="751"/>
    <m/>
    <m/>
    <m/>
    <s v="-"/>
    <s v="-"/>
    <s v="-"/>
    <s v="Public House"/>
    <s v="-"/>
    <s v="-"/>
    <s v="-"/>
    <s v="-"/>
    <s v="-"/>
    <s v="-"/>
    <s v="Hotel"/>
    <x v="1"/>
    <x v="0"/>
    <s v="-"/>
    <s v="-"/>
    <s v="-"/>
    <s v="Vacant"/>
    <s v="-"/>
    <s v="-"/>
    <s v="-"/>
    <s v="-"/>
    <s v="-"/>
    <s v="-"/>
    <s v="-"/>
    <x v="0"/>
    <x v="0"/>
    <n v="5.2999999374151202E-2"/>
    <n v="1346"/>
    <n v="1260"/>
    <n v="86"/>
    <x v="0"/>
    <x v="0"/>
    <m/>
    <x v="0"/>
    <m/>
    <x v="0"/>
    <m/>
    <x v="0"/>
    <x v="1"/>
    <x v="2"/>
    <x v="0"/>
    <m/>
    <n v="0"/>
    <n v="0"/>
    <n v="0"/>
    <x v="0"/>
    <m/>
  </r>
  <r>
    <x v="2"/>
    <x v="0"/>
    <x v="0"/>
    <x v="1"/>
    <n v="6098"/>
    <x v="455"/>
    <x v="7"/>
    <n v="1.09999999403954E-2"/>
    <n v="523682"/>
    <n v="175813"/>
    <m/>
    <x v="517"/>
    <s v="PF"/>
    <d v="2015-10-28T00:00:00"/>
    <x v="361"/>
    <m/>
    <m/>
    <s v="Nil"/>
    <m/>
    <m/>
    <s v="Change of Use of lower and ground floor from retail (Use Class A1) to an estate agents (Use Class A2)."/>
    <x v="504"/>
    <s v="COU"/>
    <x v="2"/>
    <s v="NSO"/>
    <m/>
    <m/>
    <m/>
    <m/>
    <s v="C"/>
    <s v="BF"/>
    <x v="0"/>
    <m/>
    <m/>
    <m/>
    <m/>
    <n v="49"/>
    <m/>
    <m/>
    <m/>
    <n v="49"/>
    <m/>
    <m/>
    <m/>
    <m/>
    <m/>
    <m/>
    <m/>
    <m/>
    <m/>
    <m/>
    <n v="49"/>
    <m/>
    <m/>
    <m/>
    <m/>
    <n v="49"/>
    <m/>
    <m/>
    <m/>
    <m/>
    <m/>
    <m/>
    <m/>
    <m/>
    <m/>
    <x v="1"/>
    <x v="0"/>
    <x v="1"/>
    <n v="-49"/>
    <n v="49"/>
    <m/>
    <m/>
    <m/>
    <m/>
    <m/>
    <x v="0"/>
    <m/>
    <m/>
    <m/>
    <m/>
    <m/>
    <x v="0"/>
    <m/>
    <m/>
    <m/>
    <m/>
    <s v="-"/>
    <s v="Estate Agent"/>
    <s v="-"/>
    <s v="-"/>
    <s v="-"/>
    <s v="-"/>
    <s v="-"/>
    <s v="-"/>
    <s v="-"/>
    <s v="-"/>
    <s v="-"/>
    <x v="1"/>
    <x v="0"/>
    <s v="Not Known"/>
    <s v="-"/>
    <s v="-"/>
    <s v="-"/>
    <s v="-"/>
    <s v="-"/>
    <s v="-"/>
    <s v="-"/>
    <s v="-"/>
    <s v="-"/>
    <s v="-"/>
    <x v="0"/>
    <x v="0"/>
    <n v="1.09999999403954E-2"/>
    <n v="49"/>
    <n v="49"/>
    <n v="0"/>
    <x v="0"/>
    <x v="0"/>
    <m/>
    <x v="0"/>
    <m/>
    <x v="0"/>
    <m/>
    <x v="0"/>
    <x v="0"/>
    <x v="0"/>
    <x v="0"/>
    <m/>
    <n v="0"/>
    <n v="0"/>
    <n v="0"/>
    <x v="0"/>
    <m/>
  </r>
  <r>
    <x v="3"/>
    <x v="0"/>
    <x v="0"/>
    <x v="1"/>
    <n v="6112"/>
    <x v="456"/>
    <x v="13"/>
    <n v="1.7000000923872001E-2"/>
    <n v="525940"/>
    <n v="173410"/>
    <m/>
    <x v="518"/>
    <s v="PF"/>
    <d v="2018-01-19T00:00:00"/>
    <x v="372"/>
    <s v="Y"/>
    <m/>
    <s v="Nil"/>
    <m/>
    <m/>
    <s v="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
    <x v="505"/>
    <s v="MIX"/>
    <x v="0"/>
    <s v="UC"/>
    <m/>
    <d v="2018-03-31T00:00:00"/>
    <m/>
    <m/>
    <s v="C"/>
    <s v="BF"/>
    <x v="0"/>
    <m/>
    <d v="2018-03-31T00:00:00"/>
    <m/>
    <n v="142"/>
    <m/>
    <m/>
    <m/>
    <m/>
    <n v="142"/>
    <m/>
    <m/>
    <m/>
    <m/>
    <m/>
    <m/>
    <m/>
    <m/>
    <m/>
    <m/>
    <n v="441"/>
    <m/>
    <m/>
    <m/>
    <m/>
    <n v="441"/>
    <m/>
    <m/>
    <m/>
    <m/>
    <m/>
    <m/>
    <m/>
    <m/>
    <m/>
    <x v="1"/>
    <x v="0"/>
    <x v="1"/>
    <n v="-299"/>
    <m/>
    <m/>
    <m/>
    <m/>
    <n v="-299"/>
    <m/>
    <x v="0"/>
    <m/>
    <m/>
    <m/>
    <m/>
    <m/>
    <x v="0"/>
    <m/>
    <m/>
    <m/>
    <m/>
    <s v="Not Known"/>
    <s v="-"/>
    <s v="-"/>
    <s v="-"/>
    <s v="-"/>
    <s v="-"/>
    <s v="-"/>
    <s v="-"/>
    <s v="-"/>
    <s v="-"/>
    <s v="-"/>
    <x v="1"/>
    <x v="0"/>
    <s v="Vacant"/>
    <s v="-"/>
    <s v="-"/>
    <s v="-"/>
    <s v="-"/>
    <s v="-"/>
    <s v="-"/>
    <s v="-"/>
    <s v="-"/>
    <s v="-"/>
    <s v="-"/>
    <x v="0"/>
    <x v="0"/>
    <n v="4.0000011213124007E-3"/>
    <n v="142"/>
    <n v="441"/>
    <n v="-299"/>
    <x v="0"/>
    <x v="0"/>
    <m/>
    <x v="0"/>
    <m/>
    <x v="0"/>
    <m/>
    <x v="0"/>
    <x v="0"/>
    <x v="0"/>
    <x v="0"/>
    <m/>
    <n v="427"/>
    <n v="0"/>
    <n v="427"/>
    <x v="1"/>
    <m/>
  </r>
  <r>
    <x v="0"/>
    <x v="0"/>
    <x v="0"/>
    <x v="0"/>
    <n v="6113"/>
    <x v="457"/>
    <x v="13"/>
    <n v="1.09999999403954E-2"/>
    <n v="525900"/>
    <n v="173881"/>
    <m/>
    <x v="519"/>
    <s v="PF"/>
    <d v="2016-02-25T00:00:00"/>
    <x v="110"/>
    <m/>
    <m/>
    <s v="Nil"/>
    <m/>
    <m/>
    <s v="Alterations in connection with the conversion of basement and ground floor self contained flats (Class C3) and office (Class B1) into part retail (Class A1) and part residential (Class C3) (1 x one-bedroom flat); conversion of the remainder of the property from 1 x three-bedrrom flat into 1 x one-bedroom flat and 1 x two-bedroom flat including erection of single storey rear/side extension, mansard roof extension to main rear roof and above part of two-storey back addition. Excavation at basement level to create rear lightwell; alterations to include replacement shopfront. (Revised description following amendments to drawings)."/>
    <x v="506"/>
    <s v="MIX"/>
    <x v="0"/>
    <s v="OC"/>
    <m/>
    <d v="2016-08-31T00:00:00"/>
    <d v="2017-06-13T00:00:00"/>
    <d v="2017-06-13T00:00:00"/>
    <s v="C"/>
    <s v="BF"/>
    <x v="0"/>
    <m/>
    <d v="2016-08-31T00:00:00"/>
    <d v="2017-06-13T00:00:00"/>
    <n v="69"/>
    <m/>
    <m/>
    <m/>
    <m/>
    <n v="69"/>
    <m/>
    <m/>
    <m/>
    <m/>
    <m/>
    <m/>
    <m/>
    <m/>
    <m/>
    <m/>
    <m/>
    <m/>
    <m/>
    <m/>
    <m/>
    <m/>
    <n v="33"/>
    <m/>
    <m/>
    <m/>
    <m/>
    <n v="33"/>
    <m/>
    <m/>
    <m/>
    <x v="1"/>
    <x v="1"/>
    <x v="1"/>
    <n v="69"/>
    <m/>
    <m/>
    <m/>
    <m/>
    <n v="69"/>
    <n v="-33"/>
    <x v="1"/>
    <m/>
    <m/>
    <m/>
    <m/>
    <n v="-33"/>
    <x v="1"/>
    <m/>
    <m/>
    <m/>
    <m/>
    <s v="Not Known"/>
    <s v="-"/>
    <s v="-"/>
    <s v="-"/>
    <s v="-"/>
    <s v="-"/>
    <s v="-"/>
    <s v="-"/>
    <s v="-"/>
    <s v="-"/>
    <s v="-"/>
    <x v="1"/>
    <x v="0"/>
    <s v="-"/>
    <s v="-"/>
    <s v="-"/>
    <s v="-"/>
    <s v="-"/>
    <s v="Vacant"/>
    <s v="-"/>
    <s v="-"/>
    <s v="-"/>
    <s v="-"/>
    <s v="-"/>
    <x v="0"/>
    <x v="0"/>
    <n v="3.9999999571592101E-3"/>
    <n v="69"/>
    <n v="33"/>
    <n v="36"/>
    <x v="0"/>
    <x v="0"/>
    <m/>
    <x v="0"/>
    <m/>
    <x v="0"/>
    <m/>
    <x v="0"/>
    <x v="0"/>
    <x v="0"/>
    <x v="0"/>
    <m/>
    <n v="203"/>
    <n v="217"/>
    <n v="-14"/>
    <x v="0"/>
    <m/>
  </r>
  <r>
    <x v="2"/>
    <x v="0"/>
    <x v="0"/>
    <x v="1"/>
    <n v="6117"/>
    <x v="458"/>
    <x v="10"/>
    <n v="4.0000001899898104E-3"/>
    <n v="523702"/>
    <n v="175127"/>
    <m/>
    <x v="520"/>
    <s v="PF"/>
    <d v="2015-12-17T00:00:00"/>
    <x v="373"/>
    <m/>
    <m/>
    <s v="Nil"/>
    <m/>
    <m/>
    <s v="Erection of a mansard roof extension to form living accommodation in connection with the conversion of part of the ground floor cafe, and first floor into a maisonette."/>
    <x v="507"/>
    <s v="MIX"/>
    <x v="0"/>
    <s v="NSV"/>
    <m/>
    <m/>
    <m/>
    <m/>
    <s v="C"/>
    <s v="BF"/>
    <x v="0"/>
    <m/>
    <m/>
    <m/>
    <m/>
    <m/>
    <n v="26"/>
    <m/>
    <m/>
    <n v="26"/>
    <m/>
    <m/>
    <m/>
    <m/>
    <m/>
    <m/>
    <m/>
    <m/>
    <m/>
    <m/>
    <m/>
    <m/>
    <n v="62"/>
    <m/>
    <m/>
    <n v="62"/>
    <m/>
    <m/>
    <m/>
    <m/>
    <m/>
    <m/>
    <m/>
    <m/>
    <m/>
    <x v="1"/>
    <x v="0"/>
    <x v="1"/>
    <m/>
    <m/>
    <n v="-36"/>
    <m/>
    <m/>
    <n v="-36"/>
    <m/>
    <x v="0"/>
    <m/>
    <m/>
    <m/>
    <m/>
    <m/>
    <x v="0"/>
    <m/>
    <m/>
    <m/>
    <m/>
    <s v="-"/>
    <s v="-"/>
    <s v="Café"/>
    <s v="-"/>
    <s v="-"/>
    <s v="-"/>
    <s v="-"/>
    <s v="-"/>
    <s v="-"/>
    <s v="-"/>
    <s v="-"/>
    <x v="1"/>
    <x v="0"/>
    <s v="-"/>
    <s v="-"/>
    <s v="Café"/>
    <s v="-"/>
    <s v="-"/>
    <s v="-"/>
    <s v="-"/>
    <s v="-"/>
    <s v="-"/>
    <s v="-"/>
    <s v="-"/>
    <x v="0"/>
    <x v="0"/>
    <n v="1.0000001639127805E-3"/>
    <n v="26"/>
    <n v="62"/>
    <n v="-36"/>
    <x v="0"/>
    <x v="0"/>
    <m/>
    <x v="0"/>
    <m/>
    <x v="0"/>
    <m/>
    <x v="0"/>
    <x v="1"/>
    <x v="2"/>
    <x v="0"/>
    <m/>
    <n v="64"/>
    <n v="0"/>
    <n v="64"/>
    <x v="1"/>
    <m/>
  </r>
  <r>
    <x v="3"/>
    <x v="0"/>
    <x v="0"/>
    <x v="1"/>
    <n v="6119"/>
    <x v="459"/>
    <x v="11"/>
    <n v="0.181999996304512"/>
    <n v="528391"/>
    <n v="174060"/>
    <m/>
    <x v="521"/>
    <s v="PFLA"/>
    <d v="2015-12-16T00:00:00"/>
    <x v="203"/>
    <m/>
    <d v="2016-03-23T00:00:00"/>
    <s v="Nil"/>
    <m/>
    <m/>
    <s v="Retention and conversion of main Audiology House building, and demolition and redevelopment of the side and rear extensions and factory building to rear, to create 16. residential units (consisting of 13 flats and 3 dwellinghouses; provision of associated car parking  (to provide 7 spaces) and cycle parking, private and communal amenity space, hard and soft landscaping and other associated works"/>
    <x v="508"/>
    <s v="MIX"/>
    <x v="0"/>
    <s v="UC"/>
    <m/>
    <d v="2017-03-31T00:00:00"/>
    <m/>
    <m/>
    <s v="C"/>
    <s v="BF"/>
    <x v="0"/>
    <m/>
    <d v="2017-03-31T00:00:00"/>
    <m/>
    <m/>
    <m/>
    <m/>
    <m/>
    <m/>
    <m/>
    <m/>
    <m/>
    <m/>
    <m/>
    <m/>
    <m/>
    <m/>
    <m/>
    <m/>
    <m/>
    <m/>
    <m/>
    <m/>
    <m/>
    <m/>
    <m/>
    <m/>
    <m/>
    <n v="2370"/>
    <m/>
    <m/>
    <n v="2370"/>
    <m/>
    <m/>
    <m/>
    <x v="0"/>
    <x v="1"/>
    <x v="1"/>
    <m/>
    <m/>
    <m/>
    <m/>
    <m/>
    <m/>
    <m/>
    <x v="0"/>
    <m/>
    <n v="-2370"/>
    <m/>
    <m/>
    <n v="-2370"/>
    <x v="1"/>
    <m/>
    <m/>
    <m/>
    <m/>
    <s v="-"/>
    <s v="-"/>
    <s v="-"/>
    <s v="-"/>
    <s v="-"/>
    <s v="-"/>
    <s v="-"/>
    <s v="-"/>
    <s v="-"/>
    <s v="-"/>
    <s v="-"/>
    <x v="1"/>
    <x v="0"/>
    <s v="-"/>
    <s v="-"/>
    <s v="-"/>
    <s v="-"/>
    <s v="-"/>
    <s v="-"/>
    <s v="-"/>
    <s v="Light Industrial"/>
    <s v="-"/>
    <s v="-"/>
    <s v="-"/>
    <x v="0"/>
    <x v="0"/>
    <n v="0"/>
    <n v="0"/>
    <n v="2370"/>
    <n v="-2370"/>
    <x v="0"/>
    <x v="0"/>
    <m/>
    <x v="0"/>
    <m/>
    <x v="0"/>
    <m/>
    <x v="0"/>
    <x v="0"/>
    <x v="0"/>
    <x v="0"/>
    <m/>
    <n v="1782"/>
    <n v="0"/>
    <n v="1782"/>
    <x v="1"/>
    <m/>
  </r>
  <r>
    <x v="0"/>
    <x v="0"/>
    <x v="0"/>
    <x v="0"/>
    <n v="6123"/>
    <x v="460"/>
    <x v="13"/>
    <n v="3.0000000260770299E-3"/>
    <n v="525966"/>
    <n v="172682"/>
    <m/>
    <x v="522"/>
    <s v="PF"/>
    <d v="2016-01-06T00:00:00"/>
    <x v="374"/>
    <m/>
    <m/>
    <s v="Nil"/>
    <m/>
    <m/>
    <s v="Use of the building  for storage purposes (Class B8)."/>
    <x v="509"/>
    <s v="COU"/>
    <x v="2"/>
    <s v="OC"/>
    <m/>
    <d v="2017-04-01T00:00:00"/>
    <d v="2018-03-31T00:00:00"/>
    <d v="2018-03-31T00:00:00"/>
    <s v="C"/>
    <s v="BF"/>
    <x v="0"/>
    <m/>
    <d v="2017-04-01T00:00:00"/>
    <d v="2018-03-31T00:00:00"/>
    <m/>
    <m/>
    <m/>
    <m/>
    <m/>
    <m/>
    <m/>
    <m/>
    <m/>
    <m/>
    <m/>
    <n v="14"/>
    <n v="14"/>
    <m/>
    <m/>
    <m/>
    <m/>
    <m/>
    <m/>
    <m/>
    <m/>
    <m/>
    <m/>
    <m/>
    <m/>
    <m/>
    <m/>
    <m/>
    <m/>
    <m/>
    <m/>
    <x v="0"/>
    <x v="1"/>
    <x v="1"/>
    <m/>
    <m/>
    <m/>
    <m/>
    <m/>
    <m/>
    <m/>
    <x v="0"/>
    <m/>
    <m/>
    <m/>
    <n v="14"/>
    <n v="14"/>
    <x v="0"/>
    <m/>
    <m/>
    <m/>
    <m/>
    <s v="-"/>
    <s v="-"/>
    <s v="-"/>
    <s v="-"/>
    <s v="-"/>
    <s v="-"/>
    <s v="-"/>
    <s v="-"/>
    <s v="-"/>
    <s v="Storage"/>
    <s v="-"/>
    <x v="1"/>
    <x v="0"/>
    <s v="-"/>
    <s v="-"/>
    <s v="-"/>
    <s v="-"/>
    <s v="-"/>
    <s v="-"/>
    <s v="-"/>
    <s v="-"/>
    <s v="-"/>
    <s v="-"/>
    <s v="-"/>
    <x v="0"/>
    <x v="0"/>
    <n v="3.0000000260770299E-3"/>
    <n v="14"/>
    <n v="14"/>
    <n v="0"/>
    <x v="0"/>
    <x v="0"/>
    <m/>
    <x v="0"/>
    <m/>
    <x v="0"/>
    <m/>
    <x v="0"/>
    <x v="0"/>
    <x v="0"/>
    <x v="0"/>
    <m/>
    <n v="0"/>
    <n v="0"/>
    <n v="0"/>
    <x v="0"/>
    <m/>
  </r>
  <r>
    <x v="3"/>
    <x v="0"/>
    <x v="0"/>
    <x v="1"/>
    <n v="6124"/>
    <x v="461"/>
    <x v="5"/>
    <n v="1.7999999225139601E-2"/>
    <n v="526974"/>
    <n v="175176"/>
    <m/>
    <x v="523"/>
    <s v="PF"/>
    <d v="2016-01-05T00:00:00"/>
    <x v="237"/>
    <m/>
    <m/>
    <s v="Nil"/>
    <m/>
    <m/>
    <s v="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
    <x v="510"/>
    <s v="MIX"/>
    <x v="0"/>
    <s v="UC"/>
    <m/>
    <d v="2017-03-31T00:00:00"/>
    <m/>
    <m/>
    <s v="C"/>
    <s v="BF"/>
    <x v="0"/>
    <m/>
    <d v="2017-03-31T00:00:00"/>
    <m/>
    <n v="57"/>
    <m/>
    <m/>
    <m/>
    <m/>
    <n v="57"/>
    <m/>
    <m/>
    <m/>
    <m/>
    <m/>
    <m/>
    <m/>
    <m/>
    <m/>
    <m/>
    <n v="127"/>
    <m/>
    <m/>
    <m/>
    <m/>
    <n v="127"/>
    <m/>
    <m/>
    <m/>
    <m/>
    <m/>
    <m/>
    <m/>
    <m/>
    <m/>
    <x v="1"/>
    <x v="0"/>
    <x v="1"/>
    <n v="-70"/>
    <m/>
    <m/>
    <m/>
    <m/>
    <n v="-70"/>
    <m/>
    <x v="0"/>
    <m/>
    <m/>
    <m/>
    <m/>
    <m/>
    <x v="0"/>
    <m/>
    <m/>
    <m/>
    <m/>
    <s v="Not Known"/>
    <s v="-"/>
    <s v="-"/>
    <s v="-"/>
    <s v="-"/>
    <s v="-"/>
    <s v="-"/>
    <s v="-"/>
    <s v="-"/>
    <s v="-"/>
    <s v="-"/>
    <x v="1"/>
    <x v="0"/>
    <s v="Not Known"/>
    <s v="-"/>
    <s v="-"/>
    <s v="-"/>
    <s v="-"/>
    <s v="-"/>
    <s v="-"/>
    <s v="-"/>
    <s v="-"/>
    <s v="-"/>
    <s v="-"/>
    <x v="0"/>
    <x v="0"/>
    <n v="4.9999989569187008E-3"/>
    <n v="57"/>
    <n v="127"/>
    <n v="-70"/>
    <x v="0"/>
    <x v="0"/>
    <m/>
    <x v="0"/>
    <m/>
    <x v="0"/>
    <m/>
    <x v="0"/>
    <x v="0"/>
    <x v="0"/>
    <x v="0"/>
    <m/>
    <n v="240"/>
    <n v="134"/>
    <n v="106"/>
    <x v="1"/>
    <m/>
  </r>
  <r>
    <x v="0"/>
    <x v="0"/>
    <x v="0"/>
    <x v="0"/>
    <n v="6126"/>
    <x v="462"/>
    <x v="12"/>
    <n v="0.25299999117851302"/>
    <n v="525531"/>
    <n v="173776"/>
    <m/>
    <x v="524"/>
    <s v="PF"/>
    <d v="2016-01-08T00:00:00"/>
    <x v="88"/>
    <m/>
    <m/>
    <s v="Nil"/>
    <m/>
    <m/>
    <s v="Change of use of less than 500sqm of internal floorspace from storage (Use Class B8) to office (Use Class B1)."/>
    <x v="511"/>
    <s v="COU"/>
    <x v="2"/>
    <s v="OC"/>
    <m/>
    <d v="2016-11-02T00:00:00"/>
    <d v="2017-04-06T00:00:00"/>
    <d v="2017-04-06T00:00:00"/>
    <s v="C"/>
    <s v="BF"/>
    <x v="0"/>
    <m/>
    <d v="2016-11-02T00:00:00"/>
    <d v="2017-04-06T00:00:00"/>
    <m/>
    <m/>
    <m/>
    <m/>
    <m/>
    <m/>
    <n v="497"/>
    <m/>
    <m/>
    <n v="497"/>
    <m/>
    <m/>
    <n v="497"/>
    <m/>
    <m/>
    <m/>
    <m/>
    <m/>
    <m/>
    <m/>
    <m/>
    <m/>
    <m/>
    <m/>
    <m/>
    <m/>
    <n v="497"/>
    <n v="497"/>
    <m/>
    <m/>
    <m/>
    <x v="0"/>
    <x v="1"/>
    <x v="1"/>
    <m/>
    <m/>
    <m/>
    <m/>
    <m/>
    <m/>
    <n v="497"/>
    <x v="0"/>
    <m/>
    <m/>
    <m/>
    <n v="-497"/>
    <m/>
    <x v="0"/>
    <m/>
    <m/>
    <m/>
    <m/>
    <s v="-"/>
    <s v="-"/>
    <s v="-"/>
    <s v="-"/>
    <s v="-"/>
    <s v="Other"/>
    <s v="-"/>
    <s v="-"/>
    <s v="-"/>
    <s v="-"/>
    <s v="-"/>
    <x v="1"/>
    <x v="0"/>
    <s v="-"/>
    <s v="-"/>
    <s v="-"/>
    <s v="-"/>
    <s v="-"/>
    <s v="-"/>
    <s v="-"/>
    <s v="-"/>
    <s v="-"/>
    <s v="Storage"/>
    <s v="-"/>
    <x v="0"/>
    <x v="0"/>
    <n v="0.25299999117851302"/>
    <n v="497"/>
    <n v="497"/>
    <n v="0"/>
    <x v="0"/>
    <x v="0"/>
    <m/>
    <x v="1"/>
    <s v="Kimber Road"/>
    <x v="0"/>
    <m/>
    <x v="0"/>
    <x v="0"/>
    <x v="0"/>
    <x v="0"/>
    <m/>
    <n v="0"/>
    <n v="0"/>
    <n v="0"/>
    <x v="0"/>
    <m/>
  </r>
  <r>
    <x v="0"/>
    <x v="0"/>
    <x v="0"/>
    <x v="2"/>
    <n v="6126"/>
    <x v="462"/>
    <x v="12"/>
    <n v="0.25299999117851302"/>
    <n v="525531"/>
    <n v="173776"/>
    <m/>
    <x v="525"/>
    <s v="PF"/>
    <d v="2017-01-03T00:00:00"/>
    <x v="206"/>
    <m/>
    <m/>
    <s v="Nil"/>
    <m/>
    <m/>
    <s v="Erection of extension to plant enclosure at ground level at rear of property and installation of 6 x air conditioning units and 1 x emergency generator."/>
    <x v="512"/>
    <s v="EXT"/>
    <x v="1"/>
    <s v="CO"/>
    <m/>
    <d v="2017-04-01T00:00:00"/>
    <d v="2018-03-31T00:00:00"/>
    <m/>
    <s v="C"/>
    <s v="BF"/>
    <x v="0"/>
    <m/>
    <d v="2017-04-01T00:00:00"/>
    <d v="2018-03-31T00:00:00"/>
    <m/>
    <m/>
    <m/>
    <m/>
    <m/>
    <m/>
    <n v="60"/>
    <m/>
    <m/>
    <n v="60"/>
    <m/>
    <m/>
    <n v="60"/>
    <m/>
    <m/>
    <m/>
    <m/>
    <m/>
    <m/>
    <m/>
    <m/>
    <m/>
    <m/>
    <m/>
    <m/>
    <m/>
    <m/>
    <m/>
    <m/>
    <m/>
    <m/>
    <x v="0"/>
    <x v="1"/>
    <x v="1"/>
    <m/>
    <m/>
    <m/>
    <m/>
    <m/>
    <m/>
    <n v="60"/>
    <x v="0"/>
    <m/>
    <m/>
    <m/>
    <m/>
    <n v="60"/>
    <x v="0"/>
    <m/>
    <m/>
    <m/>
    <m/>
    <s v="-"/>
    <s v="-"/>
    <s v="-"/>
    <s v="-"/>
    <s v="-"/>
    <s v="Other"/>
    <s v="-"/>
    <s v="-"/>
    <s v="-"/>
    <s v="-"/>
    <s v="-"/>
    <x v="1"/>
    <x v="0"/>
    <s v="-"/>
    <s v="-"/>
    <s v="-"/>
    <s v="-"/>
    <s v="-"/>
    <s v="-"/>
    <s v="-"/>
    <s v="-"/>
    <s v="-"/>
    <s v="-"/>
    <s v="-"/>
    <x v="0"/>
    <x v="0"/>
    <n v="0.25299999117851302"/>
    <n v="60"/>
    <n v="0"/>
    <n v="60"/>
    <x v="0"/>
    <x v="0"/>
    <m/>
    <x v="1"/>
    <s v="Kimber Road"/>
    <x v="0"/>
    <m/>
    <x v="0"/>
    <x v="0"/>
    <x v="0"/>
    <x v="0"/>
    <m/>
    <n v="0"/>
    <n v="0"/>
    <n v="0"/>
    <x v="0"/>
    <m/>
  </r>
  <r>
    <x v="2"/>
    <x v="0"/>
    <x v="0"/>
    <x v="1"/>
    <n v="6127"/>
    <x v="463"/>
    <x v="4"/>
    <n v="0.140000000596046"/>
    <n v="527282"/>
    <n v="177348"/>
    <m/>
    <x v="526"/>
    <s v="PF"/>
    <d v="2015-07-21T00:00:00"/>
    <x v="374"/>
    <m/>
    <m/>
    <s v="Nil"/>
    <m/>
    <m/>
    <s v="Erection of a glass pavilion, a pergola and swimming pool at roof level. Construction of terraces and landscaping with steps to 8th floor terrace. Alterations to 8th floor fenestration on south elevation."/>
    <x v="513"/>
    <s v="EXT"/>
    <x v="1"/>
    <s v="NSO"/>
    <m/>
    <m/>
    <m/>
    <m/>
    <s v="C"/>
    <s v="BF"/>
    <x v="0"/>
    <m/>
    <m/>
    <m/>
    <m/>
    <m/>
    <m/>
    <m/>
    <m/>
    <m/>
    <m/>
    <m/>
    <m/>
    <m/>
    <m/>
    <m/>
    <m/>
    <m/>
    <m/>
    <m/>
    <m/>
    <m/>
    <m/>
    <m/>
    <m/>
    <m/>
    <m/>
    <m/>
    <m/>
    <m/>
    <m/>
    <m/>
    <m/>
    <m/>
    <m/>
    <x v="0"/>
    <x v="0"/>
    <x v="1"/>
    <m/>
    <m/>
    <m/>
    <m/>
    <m/>
    <m/>
    <m/>
    <x v="0"/>
    <m/>
    <m/>
    <m/>
    <m/>
    <m/>
    <x v="0"/>
    <m/>
    <m/>
    <m/>
    <m/>
    <s v="-"/>
    <s v="-"/>
    <s v="-"/>
    <s v="-"/>
    <s v="-"/>
    <s v="-"/>
    <s v="-"/>
    <s v="-"/>
    <s v="-"/>
    <s v="-"/>
    <s v="-"/>
    <x v="1"/>
    <x v="0"/>
    <s v="-"/>
    <s v="-"/>
    <s v="-"/>
    <s v="-"/>
    <s v="-"/>
    <s v="-"/>
    <s v="-"/>
    <s v="-"/>
    <s v="-"/>
    <s v="-"/>
    <s v="-"/>
    <x v="0"/>
    <x v="0"/>
    <n v="0.140000000596046"/>
    <n v="564"/>
    <n v="0"/>
    <n v="564"/>
    <x v="1"/>
    <x v="0"/>
    <m/>
    <x v="0"/>
    <m/>
    <x v="0"/>
    <m/>
    <x v="0"/>
    <x v="0"/>
    <x v="0"/>
    <x v="0"/>
    <m/>
    <n v="0"/>
    <n v="0"/>
    <n v="0"/>
    <x v="0"/>
    <m/>
  </r>
  <r>
    <x v="3"/>
    <x v="0"/>
    <x v="0"/>
    <x v="1"/>
    <n v="6132"/>
    <x v="464"/>
    <x v="11"/>
    <n v="2.3000000044703501E-2"/>
    <n v="528883"/>
    <n v="173580"/>
    <m/>
    <x v="527"/>
    <s v="PF"/>
    <d v="2016-01-04T00:00:00"/>
    <x v="209"/>
    <m/>
    <m/>
    <s v="Nil"/>
    <m/>
    <m/>
    <s v="Erection of 3 x three-bedroom, three-storey terrace houses"/>
    <x v="514"/>
    <s v="NB"/>
    <x v="0"/>
    <s v="UC"/>
    <m/>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237"/>
    <n v="-237"/>
    <x v="0"/>
    <x v="0"/>
    <m/>
    <x v="0"/>
    <m/>
    <x v="0"/>
    <m/>
    <x v="0"/>
    <x v="0"/>
    <x v="0"/>
    <x v="0"/>
    <m/>
    <n v="366"/>
    <n v="0"/>
    <n v="366"/>
    <x v="1"/>
    <m/>
  </r>
  <r>
    <x v="0"/>
    <x v="0"/>
    <x v="0"/>
    <x v="0"/>
    <n v="6139"/>
    <x v="465"/>
    <x v="7"/>
    <n v="8.0000003799796104E-3"/>
    <n v="522866"/>
    <n v="175962"/>
    <m/>
    <x v="528"/>
    <s v="PF"/>
    <d v="2016-01-21T00:00:00"/>
    <x v="199"/>
    <m/>
    <m/>
    <s v="Nil"/>
    <m/>
    <m/>
    <s v="Change of use from Cemetery Chapel (Sui Generis) to a single bedroom residential dwelling (Class C3) including external and internal refurbishment and alterations."/>
    <x v="515"/>
    <s v="COU"/>
    <x v="2"/>
    <s v="OC"/>
    <m/>
    <d v="2016-10-24T00:00:00"/>
    <d v="2017-08-01T00:00:00"/>
    <d v="2017-08-01T00:00:00"/>
    <s v="C"/>
    <s v="BF"/>
    <x v="0"/>
    <m/>
    <d v="2016-10-24T00:00:00"/>
    <d v="2017-08-01T00:00:00"/>
    <m/>
    <m/>
    <m/>
    <m/>
    <m/>
    <m/>
    <m/>
    <m/>
    <m/>
    <m/>
    <m/>
    <m/>
    <m/>
    <m/>
    <m/>
    <m/>
    <m/>
    <m/>
    <m/>
    <m/>
    <m/>
    <m/>
    <m/>
    <m/>
    <m/>
    <m/>
    <m/>
    <m/>
    <m/>
    <m/>
    <m/>
    <x v="0"/>
    <x v="0"/>
    <x v="1"/>
    <m/>
    <m/>
    <m/>
    <m/>
    <m/>
    <m/>
    <m/>
    <x v="0"/>
    <m/>
    <m/>
    <m/>
    <m/>
    <m/>
    <x v="0"/>
    <m/>
    <m/>
    <m/>
    <m/>
    <s v="-"/>
    <s v="-"/>
    <s v="-"/>
    <s v="-"/>
    <s v="-"/>
    <s v="-"/>
    <s v="-"/>
    <s v="-"/>
    <s v="-"/>
    <s v="-"/>
    <s v="-"/>
    <x v="1"/>
    <x v="0"/>
    <s v="-"/>
    <s v="-"/>
    <s v="-"/>
    <s v="-"/>
    <s v="-"/>
    <s v="-"/>
    <s v="-"/>
    <s v="-"/>
    <s v="-"/>
    <s v="-"/>
    <s v="-"/>
    <x v="0"/>
    <x v="0"/>
    <n v="0"/>
    <n v="0"/>
    <n v="56"/>
    <n v="-56"/>
    <x v="0"/>
    <x v="0"/>
    <m/>
    <x v="0"/>
    <m/>
    <x v="0"/>
    <m/>
    <x v="0"/>
    <x v="0"/>
    <x v="0"/>
    <x v="0"/>
    <m/>
    <n v="63"/>
    <n v="0"/>
    <n v="63"/>
    <x v="1"/>
    <m/>
  </r>
  <r>
    <x v="0"/>
    <x v="0"/>
    <x v="0"/>
    <x v="2"/>
    <n v="6140"/>
    <x v="466"/>
    <x v="10"/>
    <n v="2.60000005364418E-2"/>
    <n v="524679"/>
    <n v="174038"/>
    <m/>
    <x v="529"/>
    <s v="PF"/>
    <d v="2015-11-16T00:00:00"/>
    <x v="0"/>
    <m/>
    <m/>
    <s v="Nil"/>
    <m/>
    <m/>
    <s v="Change of use from office (Class B1a) to one residential unit (Class C3) including erection of single-storey rear extension."/>
    <x v="516"/>
    <s v="MIX"/>
    <x v="0"/>
    <s v="CO"/>
    <m/>
    <d v="2017-03-31T00:00:00"/>
    <d v="2018-03-31T00:00:00"/>
    <m/>
    <s v="C"/>
    <s v="BF"/>
    <x v="0"/>
    <m/>
    <d v="2017-03-31T00:00:00"/>
    <d v="2018-03-31T00:00:00"/>
    <m/>
    <m/>
    <m/>
    <m/>
    <m/>
    <m/>
    <m/>
    <m/>
    <m/>
    <m/>
    <m/>
    <m/>
    <m/>
    <m/>
    <m/>
    <m/>
    <m/>
    <m/>
    <m/>
    <m/>
    <m/>
    <m/>
    <n v="151"/>
    <m/>
    <m/>
    <m/>
    <m/>
    <n v="151"/>
    <m/>
    <m/>
    <m/>
    <x v="0"/>
    <x v="1"/>
    <x v="1"/>
    <m/>
    <m/>
    <m/>
    <m/>
    <m/>
    <m/>
    <n v="-151"/>
    <x v="1"/>
    <m/>
    <m/>
    <m/>
    <m/>
    <n v="-151"/>
    <x v="1"/>
    <m/>
    <m/>
    <m/>
    <m/>
    <s v="-"/>
    <s v="-"/>
    <s v="-"/>
    <s v="-"/>
    <s v="-"/>
    <s v="-"/>
    <s v="-"/>
    <s v="-"/>
    <s v="-"/>
    <s v="-"/>
    <s v="-"/>
    <x v="1"/>
    <x v="0"/>
    <s v="-"/>
    <s v="-"/>
    <s v="-"/>
    <s v="-"/>
    <s v="-"/>
    <s v="Not Known"/>
    <s v="-"/>
    <s v="-"/>
    <s v="-"/>
    <s v="-"/>
    <s v="-"/>
    <x v="0"/>
    <x v="0"/>
    <n v="0"/>
    <n v="0"/>
    <n v="151"/>
    <n v="-151"/>
    <x v="0"/>
    <x v="0"/>
    <m/>
    <x v="0"/>
    <m/>
    <x v="0"/>
    <m/>
    <x v="0"/>
    <x v="0"/>
    <x v="0"/>
    <x v="0"/>
    <m/>
    <n v="159"/>
    <n v="0"/>
    <n v="159"/>
    <x v="1"/>
    <m/>
  </r>
  <r>
    <x v="2"/>
    <x v="2"/>
    <x v="2"/>
    <x v="1"/>
    <n v="6142"/>
    <x v="467"/>
    <x v="7"/>
    <n v="8.3999998867511694E-2"/>
    <n v="525109"/>
    <n v="175279"/>
    <m/>
    <x v="530"/>
    <s v="PANR"/>
    <d v="2016-01-25T00:00:00"/>
    <x v="281"/>
    <m/>
    <m/>
    <s v="Nil"/>
    <m/>
    <m/>
    <s v="Determination as to whether prior approval is required for change of use from office (Class B1a) to one residential unit (Class C3)."/>
    <x v="234"/>
    <s v="COU"/>
    <x v="2"/>
    <s v="NSO"/>
    <m/>
    <m/>
    <m/>
    <m/>
    <s v="C"/>
    <s v="BF"/>
    <x v="0"/>
    <m/>
    <m/>
    <m/>
    <m/>
    <m/>
    <m/>
    <m/>
    <m/>
    <m/>
    <m/>
    <m/>
    <m/>
    <m/>
    <m/>
    <m/>
    <m/>
    <m/>
    <m/>
    <m/>
    <m/>
    <m/>
    <m/>
    <m/>
    <m/>
    <m/>
    <n v="75"/>
    <m/>
    <m/>
    <m/>
    <m/>
    <n v="75"/>
    <m/>
    <m/>
    <m/>
    <x v="0"/>
    <x v="1"/>
    <x v="1"/>
    <m/>
    <m/>
    <m/>
    <m/>
    <m/>
    <m/>
    <n v="-75"/>
    <x v="1"/>
    <m/>
    <m/>
    <m/>
    <m/>
    <n v="-75"/>
    <x v="1"/>
    <m/>
    <m/>
    <m/>
    <m/>
    <s v="-"/>
    <s v="-"/>
    <s v="-"/>
    <s v="-"/>
    <s v="-"/>
    <s v="-"/>
    <s v="-"/>
    <s v="-"/>
    <s v="-"/>
    <s v="-"/>
    <s v="-"/>
    <x v="1"/>
    <x v="0"/>
    <s v="-"/>
    <s v="-"/>
    <s v="-"/>
    <s v="-"/>
    <s v="-"/>
    <s v="Not Known"/>
    <s v="-"/>
    <s v="-"/>
    <s v="-"/>
    <s v="-"/>
    <s v="-"/>
    <x v="0"/>
    <x v="0"/>
    <n v="6.2999999150633798E-2"/>
    <n v="0"/>
    <n v="75"/>
    <n v="-75"/>
    <x v="1"/>
    <x v="0"/>
    <m/>
    <x v="0"/>
    <m/>
    <x v="0"/>
    <m/>
    <x v="0"/>
    <x v="0"/>
    <x v="0"/>
    <x v="0"/>
    <m/>
    <n v="75"/>
    <n v="0"/>
    <n v="75"/>
    <x v="1"/>
    <m/>
  </r>
  <r>
    <x v="0"/>
    <x v="0"/>
    <x v="0"/>
    <x v="2"/>
    <n v="6146"/>
    <x v="468"/>
    <x v="9"/>
    <n v="1.2000000104308101E-2"/>
    <n v="527723"/>
    <n v="176500"/>
    <m/>
    <x v="531"/>
    <s v="PF"/>
    <d v="2017-02-28T00:00:00"/>
    <x v="375"/>
    <s v="Y"/>
    <m/>
    <s v="Nil"/>
    <m/>
    <m/>
    <s v="Alterations including erection of mansard roof extension to main rear roof (with french doors and safety railings), erection of extension over two storey back addition and formation of roof terrace over with 1.7m screen surround, and erection of single-storey side extension in connection with conversion into 2 x 2-bedroom flats."/>
    <x v="517"/>
    <s v="CON"/>
    <x v="2"/>
    <s v="CO"/>
    <m/>
    <d v="2017-10-10T00:00:00"/>
    <d v="2018-03-31T00:00:00"/>
    <m/>
    <s v="C"/>
    <s v="BF"/>
    <x v="0"/>
    <m/>
    <d v="2017-10-10T00:00:00"/>
    <d v="2018-03-31T00:00:00"/>
    <m/>
    <n v="78"/>
    <m/>
    <m/>
    <m/>
    <n v="78"/>
    <m/>
    <m/>
    <m/>
    <m/>
    <m/>
    <m/>
    <m/>
    <m/>
    <m/>
    <m/>
    <m/>
    <n v="102"/>
    <m/>
    <m/>
    <m/>
    <n v="102"/>
    <m/>
    <m/>
    <m/>
    <m/>
    <m/>
    <m/>
    <m/>
    <m/>
    <m/>
    <x v="1"/>
    <x v="0"/>
    <x v="1"/>
    <m/>
    <n v="-24"/>
    <m/>
    <m/>
    <m/>
    <n v="-24"/>
    <m/>
    <x v="0"/>
    <m/>
    <m/>
    <m/>
    <m/>
    <m/>
    <x v="0"/>
    <m/>
    <m/>
    <m/>
    <m/>
    <s v="-"/>
    <s v="Estate Agent"/>
    <s v="-"/>
    <s v="-"/>
    <s v="-"/>
    <s v="-"/>
    <s v="-"/>
    <s v="-"/>
    <s v="-"/>
    <s v="-"/>
    <s v="-"/>
    <x v="1"/>
    <x v="0"/>
    <s v="-"/>
    <s v="Estate Agent"/>
    <s v="-"/>
    <s v="-"/>
    <s v="-"/>
    <s v="-"/>
    <s v="-"/>
    <s v="-"/>
    <s v="-"/>
    <s v="-"/>
    <s v="-"/>
    <x v="0"/>
    <x v="0"/>
    <n v="3.9999997243284902E-3"/>
    <n v="78"/>
    <n v="102"/>
    <n v="-24"/>
    <x v="0"/>
    <x v="0"/>
    <m/>
    <x v="0"/>
    <m/>
    <x v="0"/>
    <m/>
    <x v="0"/>
    <x v="0"/>
    <x v="0"/>
    <x v="0"/>
    <m/>
    <n v="177"/>
    <n v="110"/>
    <n v="67"/>
    <x v="1"/>
    <m/>
  </r>
  <r>
    <x v="3"/>
    <x v="0"/>
    <x v="0"/>
    <x v="1"/>
    <n v="6148"/>
    <x v="469"/>
    <x v="15"/>
    <n v="5.6000001728534698E-2"/>
    <n v="529113"/>
    <n v="170439"/>
    <m/>
    <x v="532"/>
    <s v="PO"/>
    <d v="2016-01-26T00:00:00"/>
    <x v="376"/>
    <m/>
    <m/>
    <s v="Nil"/>
    <m/>
    <m/>
    <s v="Demolition of existing building and erection of three-storey building to provide 9 residential self-contained flats (Outline All matters reserved)."/>
    <x v="518"/>
    <s v="NB"/>
    <x v="0"/>
    <s v="UC"/>
    <d v="2017-08-31T00:00:00"/>
    <d v="2017-02-03T00:00:00"/>
    <m/>
    <m/>
    <s v="C"/>
    <s v="BF"/>
    <x v="0"/>
    <m/>
    <d v="2017-02-03T00:00:00"/>
    <m/>
    <m/>
    <m/>
    <m/>
    <m/>
    <m/>
    <m/>
    <m/>
    <m/>
    <m/>
    <m/>
    <m/>
    <m/>
    <m/>
    <m/>
    <m/>
    <m/>
    <m/>
    <m/>
    <m/>
    <m/>
    <m/>
    <m/>
    <m/>
    <m/>
    <m/>
    <m/>
    <m/>
    <m/>
    <m/>
    <m/>
    <m/>
    <x v="0"/>
    <x v="0"/>
    <x v="1"/>
    <m/>
    <m/>
    <m/>
    <m/>
    <m/>
    <m/>
    <m/>
    <x v="0"/>
    <m/>
    <m/>
    <m/>
    <m/>
    <m/>
    <x v="0"/>
    <m/>
    <m/>
    <m/>
    <m/>
    <s v="-"/>
    <s v="-"/>
    <s v="-"/>
    <s v="-"/>
    <s v="-"/>
    <s v="-"/>
    <s v="-"/>
    <s v="-"/>
    <s v="-"/>
    <s v="-"/>
    <s v="-"/>
    <x v="1"/>
    <x v="0"/>
    <s v="-"/>
    <s v="-"/>
    <s v="-"/>
    <s v="-"/>
    <s v="-"/>
    <s v="-"/>
    <s v="-"/>
    <s v="-"/>
    <s v="-"/>
    <s v="-"/>
    <s v="-"/>
    <x v="0"/>
    <x v="0"/>
    <n v="3.4000001847744002E-2"/>
    <n v="0"/>
    <n v="158"/>
    <n v="-158"/>
    <x v="0"/>
    <x v="0"/>
    <m/>
    <x v="0"/>
    <m/>
    <x v="0"/>
    <m/>
    <x v="0"/>
    <x v="0"/>
    <x v="0"/>
    <x v="0"/>
    <m/>
    <n v="222"/>
    <n v="0"/>
    <n v="222"/>
    <x v="1"/>
    <m/>
  </r>
  <r>
    <x v="1"/>
    <x v="4"/>
    <x v="4"/>
    <x v="1"/>
    <n v="6149"/>
    <x v="470"/>
    <x v="12"/>
    <n v="6.7000001668930095E-2"/>
    <n v="525867"/>
    <n v="172948"/>
    <m/>
    <x v="533"/>
    <s v="SLA"/>
    <d v="2016-09-02T00:00:00"/>
    <x v="1"/>
    <m/>
    <d v="2018-05-24T00:00:00"/>
    <s v="Nil"/>
    <m/>
    <m/>
    <s v="Demolition of existing buildings and erection of a part 3, part 4-storey building to accommodate 15 residential dwellings including landscaping, cycle and refuse storage and a riverside walkway. (Revised scheme following refusal of 2015/6103)."/>
    <x v="519"/>
    <s v="NB"/>
    <x v="0"/>
    <s v="NSO"/>
    <m/>
    <m/>
    <m/>
    <m/>
    <s v="P"/>
    <s v="BF"/>
    <x v="0"/>
    <m/>
    <m/>
    <m/>
    <m/>
    <m/>
    <m/>
    <m/>
    <m/>
    <m/>
    <m/>
    <m/>
    <m/>
    <m/>
    <m/>
    <m/>
    <m/>
    <m/>
    <m/>
    <m/>
    <m/>
    <m/>
    <m/>
    <m/>
    <m/>
    <m/>
    <m/>
    <m/>
    <n v="323"/>
    <m/>
    <m/>
    <n v="323"/>
    <m/>
    <m/>
    <m/>
    <x v="0"/>
    <x v="1"/>
    <x v="1"/>
    <m/>
    <m/>
    <m/>
    <m/>
    <m/>
    <m/>
    <m/>
    <x v="0"/>
    <m/>
    <n v="-323"/>
    <m/>
    <m/>
    <n v="-323"/>
    <x v="1"/>
    <m/>
    <m/>
    <m/>
    <m/>
    <s v="-"/>
    <s v="-"/>
    <s v="-"/>
    <s v="-"/>
    <s v="-"/>
    <s v="-"/>
    <s v="-"/>
    <s v="-"/>
    <s v="-"/>
    <s v="-"/>
    <s v="-"/>
    <x v="1"/>
    <x v="0"/>
    <s v="-"/>
    <s v="-"/>
    <s v="-"/>
    <s v="-"/>
    <s v="-"/>
    <s v="-"/>
    <s v="-"/>
    <s v="Light Industrial"/>
    <s v="-"/>
    <s v="-"/>
    <s v="-"/>
    <x v="0"/>
    <x v="0"/>
    <n v="0"/>
    <n v="0"/>
    <n v="323"/>
    <n v="-323"/>
    <x v="0"/>
    <x v="0"/>
    <m/>
    <x v="0"/>
    <m/>
    <x v="0"/>
    <m/>
    <x v="0"/>
    <x v="0"/>
    <x v="0"/>
    <x v="0"/>
    <m/>
    <n v="1281"/>
    <n v="0"/>
    <n v="1281"/>
    <x v="1"/>
    <m/>
  </r>
  <r>
    <x v="1"/>
    <x v="0"/>
    <x v="0"/>
    <x v="1"/>
    <n v="6149"/>
    <x v="470"/>
    <x v="12"/>
    <n v="6.7000001668930095E-2"/>
    <n v="525867"/>
    <n v="172948"/>
    <m/>
    <x v="534"/>
    <s v="AF"/>
    <d v="2018-02-15T00:00:00"/>
    <x v="1"/>
    <m/>
    <m/>
    <s v="Nil"/>
    <m/>
    <m/>
    <s v="Demolition of existing buildings and erection of a part 1, part 3, part 4-storey building to accommodate 9 residential dwellings (1x 1-bedroom, 7 x 2-bedroom and 1 x 3-bedroom units) and 344sq.m  of business floorspace (Class B1 use), with associated landscaping, cycle and refuse storage, and works to the river wall."/>
    <x v="520"/>
    <s v="NB"/>
    <x v="0"/>
    <s v="NSO"/>
    <m/>
    <m/>
    <m/>
    <m/>
    <s v="P"/>
    <s v="BF"/>
    <x v="0"/>
    <m/>
    <m/>
    <m/>
    <m/>
    <m/>
    <m/>
    <m/>
    <m/>
    <m/>
    <n v="345"/>
    <m/>
    <m/>
    <n v="345"/>
    <m/>
    <m/>
    <n v="345"/>
    <m/>
    <m/>
    <m/>
    <m/>
    <m/>
    <m/>
    <m/>
    <m/>
    <m/>
    <m/>
    <m/>
    <n v="323"/>
    <m/>
    <m/>
    <n v="323"/>
    <m/>
    <m/>
    <m/>
    <x v="0"/>
    <x v="1"/>
    <x v="1"/>
    <m/>
    <m/>
    <m/>
    <m/>
    <m/>
    <m/>
    <n v="345"/>
    <x v="0"/>
    <m/>
    <n v="-323"/>
    <m/>
    <m/>
    <n v="22"/>
    <x v="0"/>
    <m/>
    <m/>
    <m/>
    <m/>
    <s v="-"/>
    <s v="-"/>
    <s v="-"/>
    <s v="-"/>
    <s v="-"/>
    <s v="Other"/>
    <s v="-"/>
    <s v="-"/>
    <s v="-"/>
    <s v="-"/>
    <s v="-"/>
    <x v="1"/>
    <x v="0"/>
    <s v="-"/>
    <s v="-"/>
    <s v="-"/>
    <s v="-"/>
    <s v="-"/>
    <s v="-"/>
    <s v="-"/>
    <s v="Light Industrial"/>
    <s v="-"/>
    <s v="-"/>
    <s v="-"/>
    <x v="0"/>
    <x v="0"/>
    <n v="1.6000002622604398E-2"/>
    <n v="345"/>
    <n v="323"/>
    <n v="22"/>
    <x v="0"/>
    <x v="0"/>
    <m/>
    <x v="0"/>
    <m/>
    <x v="0"/>
    <m/>
    <x v="0"/>
    <x v="0"/>
    <x v="0"/>
    <x v="0"/>
    <m/>
    <n v="1075"/>
    <n v="0"/>
    <n v="1075"/>
    <x v="1"/>
    <m/>
  </r>
  <r>
    <x v="2"/>
    <x v="0"/>
    <x v="0"/>
    <x v="1"/>
    <n v="6151"/>
    <x v="471"/>
    <x v="7"/>
    <n v="1.7999999225139601E-2"/>
    <n v="523227"/>
    <n v="175844"/>
    <m/>
    <x v="535"/>
    <s v="PF"/>
    <d v="2016-05-07T00:00:00"/>
    <x v="377"/>
    <m/>
    <m/>
    <s v="Nil"/>
    <m/>
    <m/>
    <s v="Conversion of cafe (ground floor and basement) into a 3 x  bed Self Contained Flat"/>
    <x v="521"/>
    <s v="COU"/>
    <x v="2"/>
    <s v="NSO"/>
    <m/>
    <m/>
    <m/>
    <m/>
    <s v="C"/>
    <s v="BF"/>
    <x v="0"/>
    <m/>
    <m/>
    <m/>
    <m/>
    <m/>
    <m/>
    <m/>
    <m/>
    <m/>
    <m/>
    <m/>
    <m/>
    <m/>
    <m/>
    <m/>
    <m/>
    <m/>
    <m/>
    <m/>
    <m/>
    <m/>
    <n v="88"/>
    <m/>
    <m/>
    <n v="88"/>
    <m/>
    <m/>
    <m/>
    <m/>
    <m/>
    <m/>
    <m/>
    <m/>
    <m/>
    <x v="1"/>
    <x v="0"/>
    <x v="1"/>
    <m/>
    <m/>
    <n v="-88"/>
    <m/>
    <m/>
    <n v="-88"/>
    <m/>
    <x v="0"/>
    <m/>
    <m/>
    <m/>
    <m/>
    <m/>
    <x v="0"/>
    <m/>
    <m/>
    <m/>
    <m/>
    <s v="-"/>
    <s v="-"/>
    <s v="-"/>
    <s v="-"/>
    <s v="-"/>
    <s v="-"/>
    <s v="-"/>
    <s v="-"/>
    <s v="-"/>
    <s v="-"/>
    <s v="-"/>
    <x v="1"/>
    <x v="0"/>
    <s v="-"/>
    <s v="-"/>
    <s v="Café"/>
    <s v="-"/>
    <s v="-"/>
    <s v="-"/>
    <s v="-"/>
    <s v="-"/>
    <s v="-"/>
    <s v="-"/>
    <s v="-"/>
    <x v="0"/>
    <x v="0"/>
    <n v="0"/>
    <n v="0"/>
    <n v="88"/>
    <n v="-88"/>
    <x v="0"/>
    <x v="0"/>
    <m/>
    <x v="0"/>
    <m/>
    <x v="0"/>
    <m/>
    <x v="0"/>
    <x v="0"/>
    <x v="0"/>
    <x v="0"/>
    <m/>
    <n v="88"/>
    <n v="0"/>
    <n v="88"/>
    <x v="1"/>
    <m/>
  </r>
  <r>
    <x v="0"/>
    <x v="0"/>
    <x v="0"/>
    <x v="0"/>
    <n v="6156"/>
    <x v="472"/>
    <x v="13"/>
    <n v="1.60000007599592E-2"/>
    <n v="526138"/>
    <n v="172736"/>
    <m/>
    <x v="536"/>
    <s v="PF"/>
    <d v="2016-03-29T00:00:00"/>
    <x v="378"/>
    <m/>
    <m/>
    <s v="Nil"/>
    <m/>
    <m/>
    <s v="Alterations including change of use of part of the ground floor from shop (Class A1) to residential  (Class C3) to provide 1 x two-bedroom flat including erection of single-storey rear/side extension and internal alterations."/>
    <x v="522"/>
    <s v="MIX"/>
    <x v="0"/>
    <s v="OC"/>
    <m/>
    <d v="2016-07-26T00:00:00"/>
    <d v="2017-11-21T00:00:00"/>
    <d v="2018-03-31T00:00:00"/>
    <s v="C"/>
    <s v="BF"/>
    <x v="0"/>
    <m/>
    <d v="2016-07-26T00:00:00"/>
    <d v="2017-11-21T00:00:00"/>
    <n v="21"/>
    <m/>
    <m/>
    <m/>
    <m/>
    <n v="21"/>
    <m/>
    <m/>
    <m/>
    <m/>
    <m/>
    <m/>
    <m/>
    <m/>
    <m/>
    <m/>
    <n v="58"/>
    <m/>
    <m/>
    <m/>
    <m/>
    <n v="58"/>
    <m/>
    <m/>
    <m/>
    <m/>
    <m/>
    <m/>
    <m/>
    <m/>
    <m/>
    <x v="1"/>
    <x v="0"/>
    <x v="1"/>
    <n v="-37"/>
    <m/>
    <m/>
    <m/>
    <m/>
    <n v="-37"/>
    <m/>
    <x v="0"/>
    <m/>
    <m/>
    <m/>
    <m/>
    <m/>
    <x v="0"/>
    <m/>
    <m/>
    <m/>
    <m/>
    <s v="Not Known"/>
    <s v="-"/>
    <s v="-"/>
    <s v="-"/>
    <s v="-"/>
    <s v="-"/>
    <s v="-"/>
    <s v="-"/>
    <s v="-"/>
    <s v="-"/>
    <s v="-"/>
    <x v="1"/>
    <x v="0"/>
    <s v="Vacant"/>
    <s v="-"/>
    <s v="-"/>
    <s v="-"/>
    <s v="-"/>
    <s v="-"/>
    <s v="-"/>
    <s v="-"/>
    <s v="-"/>
    <s v="-"/>
    <s v="-"/>
    <x v="0"/>
    <x v="0"/>
    <n v="1.0000000707805139E-2"/>
    <n v="21"/>
    <n v="58"/>
    <n v="-37"/>
    <x v="0"/>
    <x v="0"/>
    <m/>
    <x v="0"/>
    <m/>
    <x v="0"/>
    <m/>
    <x v="0"/>
    <x v="0"/>
    <x v="0"/>
    <x v="1"/>
    <s v="Earlsfield"/>
    <n v="64"/>
    <n v="0"/>
    <n v="64"/>
    <x v="1"/>
    <m/>
  </r>
  <r>
    <x v="2"/>
    <x v="0"/>
    <x v="0"/>
    <x v="1"/>
    <n v="6159"/>
    <x v="473"/>
    <x v="4"/>
    <n v="0.234999999403954"/>
    <n v="526827"/>
    <n v="176609"/>
    <m/>
    <x v="537"/>
    <s v="PFLA"/>
    <d v="2016-01-06T00:00:00"/>
    <x v="192"/>
    <m/>
    <d v="2016-04-21T00:00:00"/>
    <s v="Nil"/>
    <m/>
    <m/>
    <s v="Part demolition and conversion of dance academy (Use Class D1) to residential (Use Class C3), erection of single-storey roof extension and erection of five-storey extension (to provide 34 residential units); erection of 5 x four-storey townhouses; associated landscaping and car parking."/>
    <x v="523"/>
    <s v="MIX"/>
    <x v="0"/>
    <s v="NSO"/>
    <m/>
    <m/>
    <m/>
    <m/>
    <s v="C"/>
    <s v="BF"/>
    <x v="0"/>
    <m/>
    <m/>
    <m/>
    <m/>
    <m/>
    <m/>
    <m/>
    <m/>
    <m/>
    <m/>
    <m/>
    <m/>
    <m/>
    <m/>
    <m/>
    <m/>
    <m/>
    <m/>
    <m/>
    <m/>
    <m/>
    <m/>
    <m/>
    <m/>
    <m/>
    <m/>
    <m/>
    <m/>
    <m/>
    <m/>
    <m/>
    <n v="3328"/>
    <m/>
    <n v="3328"/>
    <x v="0"/>
    <x v="0"/>
    <x v="0"/>
    <m/>
    <m/>
    <m/>
    <m/>
    <m/>
    <m/>
    <m/>
    <x v="0"/>
    <m/>
    <m/>
    <m/>
    <m/>
    <m/>
    <x v="0"/>
    <m/>
    <n v="-3328"/>
    <m/>
    <n v="-3328"/>
    <s v="-"/>
    <s v="-"/>
    <s v="-"/>
    <s v="-"/>
    <s v="-"/>
    <s v="-"/>
    <s v="-"/>
    <s v="-"/>
    <s v="-"/>
    <s v="-"/>
    <s v="-"/>
    <x v="1"/>
    <x v="0"/>
    <s v="-"/>
    <s v="-"/>
    <s v="-"/>
    <s v="-"/>
    <s v="-"/>
    <s v="-"/>
    <s v="-"/>
    <s v="-"/>
    <s v="-"/>
    <s v="-"/>
    <s v="-"/>
    <x v="2"/>
    <x v="0"/>
    <n v="6.8900000303983994E-2"/>
    <n v="0"/>
    <n v="3328"/>
    <n v="-3328"/>
    <x v="0"/>
    <x v="0"/>
    <m/>
    <x v="0"/>
    <m/>
    <x v="0"/>
    <m/>
    <x v="0"/>
    <x v="0"/>
    <x v="0"/>
    <x v="0"/>
    <m/>
    <n v="4354"/>
    <n v="0"/>
    <n v="4354"/>
    <x v="1"/>
    <m/>
  </r>
  <r>
    <x v="0"/>
    <x v="0"/>
    <x v="0"/>
    <x v="0"/>
    <n v="6166"/>
    <x v="474"/>
    <x v="14"/>
    <n v="2.3000000044703501E-2"/>
    <n v="527326"/>
    <n v="171532"/>
    <m/>
    <x v="538"/>
    <s v="PF"/>
    <d v="2016-01-13T00:00:00"/>
    <x v="379"/>
    <m/>
    <m/>
    <s v="Nil"/>
    <m/>
    <m/>
    <s v="Demolition of existing garage to the rear of 958 Garratt Lane (fronting Garratt Terrace) and construction of a two-storey 2-bedroom house with the subdivision of the garden of 958 Garratt Lane."/>
    <x v="524"/>
    <s v="NB"/>
    <x v="0"/>
    <s v="OC"/>
    <m/>
    <d v="2016-09-07T00:00:00"/>
    <d v="2017-06-21T00:00:00"/>
    <d v="2017-06-21T00:00:00"/>
    <s v="C"/>
    <s v="BF"/>
    <x v="0"/>
    <m/>
    <d v="2016-09-07T00:00:00"/>
    <d v="2017-06-21T00:00:00"/>
    <m/>
    <m/>
    <m/>
    <m/>
    <m/>
    <m/>
    <m/>
    <m/>
    <m/>
    <m/>
    <m/>
    <m/>
    <m/>
    <m/>
    <m/>
    <m/>
    <m/>
    <m/>
    <m/>
    <m/>
    <m/>
    <m/>
    <m/>
    <m/>
    <m/>
    <m/>
    <m/>
    <m/>
    <m/>
    <m/>
    <m/>
    <x v="0"/>
    <x v="0"/>
    <x v="1"/>
    <m/>
    <m/>
    <m/>
    <m/>
    <m/>
    <m/>
    <m/>
    <x v="0"/>
    <m/>
    <m/>
    <m/>
    <m/>
    <m/>
    <x v="0"/>
    <m/>
    <m/>
    <m/>
    <m/>
    <s v="-"/>
    <s v="-"/>
    <s v="-"/>
    <s v="-"/>
    <s v="-"/>
    <s v="-"/>
    <s v="-"/>
    <s v="-"/>
    <s v="-"/>
    <s v="-"/>
    <s v="-"/>
    <x v="1"/>
    <x v="0"/>
    <s v="-"/>
    <s v="-"/>
    <s v="-"/>
    <s v="-"/>
    <s v="-"/>
    <s v="-"/>
    <s v="-"/>
    <s v="-"/>
    <s v="-"/>
    <s v="-"/>
    <s v="-"/>
    <x v="0"/>
    <x v="0"/>
    <n v="0"/>
    <n v="0"/>
    <n v="28"/>
    <n v="-28"/>
    <x v="0"/>
    <x v="0"/>
    <m/>
    <x v="0"/>
    <m/>
    <x v="0"/>
    <m/>
    <x v="0"/>
    <x v="0"/>
    <x v="0"/>
    <x v="0"/>
    <m/>
    <n v="70"/>
    <n v="0"/>
    <n v="70"/>
    <x v="1"/>
    <m/>
  </r>
  <r>
    <x v="0"/>
    <x v="0"/>
    <x v="0"/>
    <x v="0"/>
    <n v="6172"/>
    <x v="475"/>
    <x v="7"/>
    <n v="1.09999999403954E-2"/>
    <n v="524062"/>
    <n v="175343"/>
    <m/>
    <x v="539"/>
    <s v="PF"/>
    <d v="2016-02-05T00:00:00"/>
    <x v="380"/>
    <m/>
    <m/>
    <s v="Nil"/>
    <m/>
    <m/>
    <s v="Change of use of ground and basement levels from retail (Class A1) to restaurant and cafe (Class A3). Erection of a single-storey plant unit located on the flat roof to rear of the building to house two air conditioning units. Installation of new shop front."/>
    <x v="525"/>
    <s v="COU"/>
    <x v="2"/>
    <s v="OC"/>
    <m/>
    <d v="2016-06-01T00:00:00"/>
    <d v="2018-03-31T00:00:00"/>
    <d v="2018-03-31T00:00:00"/>
    <s v="C"/>
    <s v="BF"/>
    <x v="0"/>
    <m/>
    <d v="2016-06-01T00:00:00"/>
    <d v="2018-03-31T00:00:00"/>
    <m/>
    <m/>
    <n v="140"/>
    <m/>
    <m/>
    <n v="140"/>
    <m/>
    <m/>
    <m/>
    <m/>
    <m/>
    <m/>
    <m/>
    <m/>
    <m/>
    <m/>
    <n v="140"/>
    <m/>
    <m/>
    <m/>
    <m/>
    <n v="140"/>
    <m/>
    <m/>
    <m/>
    <m/>
    <m/>
    <m/>
    <m/>
    <m/>
    <m/>
    <x v="1"/>
    <x v="0"/>
    <x v="1"/>
    <n v="-140"/>
    <m/>
    <n v="140"/>
    <m/>
    <m/>
    <m/>
    <m/>
    <x v="0"/>
    <m/>
    <m/>
    <m/>
    <m/>
    <m/>
    <x v="0"/>
    <m/>
    <m/>
    <m/>
    <m/>
    <s v="-"/>
    <s v="-"/>
    <s v="Restaurant"/>
    <s v="-"/>
    <s v="-"/>
    <s v="-"/>
    <s v="-"/>
    <s v="-"/>
    <s v="-"/>
    <s v="-"/>
    <s v="-"/>
    <x v="1"/>
    <x v="0"/>
    <s v="Not Known"/>
    <s v="-"/>
    <s v="-"/>
    <s v="-"/>
    <s v="-"/>
    <s v="-"/>
    <s v="-"/>
    <s v="-"/>
    <s v="-"/>
    <s v="-"/>
    <s v="-"/>
    <x v="0"/>
    <x v="0"/>
    <n v="1.09999999403954E-2"/>
    <n v="140"/>
    <n v="140"/>
    <n v="0"/>
    <x v="0"/>
    <x v="0"/>
    <m/>
    <x v="0"/>
    <m/>
    <x v="0"/>
    <m/>
    <x v="0"/>
    <x v="1"/>
    <x v="2"/>
    <x v="0"/>
    <m/>
    <n v="0"/>
    <n v="0"/>
    <n v="0"/>
    <x v="0"/>
    <m/>
  </r>
  <r>
    <x v="0"/>
    <x v="0"/>
    <x v="0"/>
    <x v="0"/>
    <n v="6179"/>
    <x v="476"/>
    <x v="12"/>
    <n v="2.0999999716877899E-2"/>
    <n v="525196"/>
    <n v="173412"/>
    <m/>
    <x v="540"/>
    <s v="PF"/>
    <d v="2016-03-02T00:00:00"/>
    <x v="381"/>
    <m/>
    <m/>
    <s v="Nil"/>
    <m/>
    <m/>
    <s v="Change of use from restaurant (Class A3) to mixed use restaurant (Class A3) and drinking establishment (Class A4). Proposed opening hours  8:00am to 00:00pm Mondays to Saturdays and 08:00am to 22:30pm on Sundays and Bank Holidays."/>
    <x v="526"/>
    <s v="COU"/>
    <x v="2"/>
    <s v="OC"/>
    <m/>
    <d v="2017-03-31T00:00:00"/>
    <d v="2018-03-31T00:00:00"/>
    <d v="2018-03-31T00:00:00"/>
    <s v="C"/>
    <s v="BF"/>
    <x v="0"/>
    <m/>
    <d v="2017-03-31T00:00:00"/>
    <d v="2018-03-31T00:00:00"/>
    <m/>
    <m/>
    <n v="119"/>
    <n v="60"/>
    <m/>
    <n v="179"/>
    <m/>
    <m/>
    <m/>
    <m/>
    <m/>
    <m/>
    <m/>
    <m/>
    <m/>
    <m/>
    <m/>
    <m/>
    <n v="179"/>
    <m/>
    <m/>
    <n v="179"/>
    <m/>
    <m/>
    <m/>
    <m/>
    <m/>
    <m/>
    <m/>
    <m/>
    <m/>
    <x v="1"/>
    <x v="0"/>
    <x v="1"/>
    <m/>
    <m/>
    <n v="-60"/>
    <n v="60"/>
    <m/>
    <m/>
    <m/>
    <x v="0"/>
    <m/>
    <m/>
    <m/>
    <m/>
    <m/>
    <x v="0"/>
    <m/>
    <m/>
    <m/>
    <m/>
    <s v="-"/>
    <s v="-"/>
    <s v="Restaurant"/>
    <s v="Bar"/>
    <s v="-"/>
    <s v="-"/>
    <s v="-"/>
    <s v="-"/>
    <s v="-"/>
    <s v="-"/>
    <s v="-"/>
    <x v="1"/>
    <x v="0"/>
    <s v="-"/>
    <s v="-"/>
    <s v="Restaurant"/>
    <s v="-"/>
    <s v="-"/>
    <s v="-"/>
    <s v="-"/>
    <s v="-"/>
    <s v="-"/>
    <s v="-"/>
    <s v="-"/>
    <x v="0"/>
    <x v="0"/>
    <n v="2.0999999716877899E-2"/>
    <n v="179"/>
    <n v="179"/>
    <n v="0"/>
    <x v="0"/>
    <x v="0"/>
    <m/>
    <x v="0"/>
    <m/>
    <x v="0"/>
    <m/>
    <x v="0"/>
    <x v="0"/>
    <x v="0"/>
    <x v="0"/>
    <m/>
    <n v="0"/>
    <n v="0"/>
    <n v="0"/>
    <x v="0"/>
    <m/>
  </r>
  <r>
    <x v="2"/>
    <x v="0"/>
    <x v="0"/>
    <x v="1"/>
    <n v="6180"/>
    <x v="477"/>
    <x v="14"/>
    <n v="1.7999999225139601E-2"/>
    <n v="527804"/>
    <n v="172172"/>
    <m/>
    <x v="541"/>
    <s v="PF"/>
    <d v="2016-02-09T00:00:00"/>
    <x v="66"/>
    <m/>
    <m/>
    <s v="Nil"/>
    <m/>
    <m/>
    <s v="Erection of single-storey rear extension to create 1 x 2-bedroom flat (Corresponding Listed Building Reference Number 2016/0793)."/>
    <x v="527"/>
    <s v="MIX"/>
    <x v="0"/>
    <s v="NSO"/>
    <m/>
    <m/>
    <m/>
    <m/>
    <s v="C"/>
    <s v="BF"/>
    <x v="0"/>
    <m/>
    <m/>
    <m/>
    <n v="52"/>
    <m/>
    <m/>
    <m/>
    <m/>
    <n v="52"/>
    <m/>
    <m/>
    <m/>
    <m/>
    <m/>
    <m/>
    <m/>
    <m/>
    <m/>
    <m/>
    <n v="84"/>
    <m/>
    <m/>
    <m/>
    <m/>
    <n v="84"/>
    <m/>
    <m/>
    <m/>
    <m/>
    <m/>
    <m/>
    <m/>
    <m/>
    <m/>
    <x v="1"/>
    <x v="0"/>
    <x v="1"/>
    <n v="-32"/>
    <m/>
    <m/>
    <m/>
    <m/>
    <n v="-32"/>
    <m/>
    <x v="0"/>
    <m/>
    <m/>
    <m/>
    <m/>
    <m/>
    <x v="0"/>
    <m/>
    <m/>
    <m/>
    <m/>
    <s v="-"/>
    <s v="-"/>
    <s v="-"/>
    <s v="-"/>
    <s v="-"/>
    <s v="-"/>
    <s v="-"/>
    <s v="-"/>
    <s v="-"/>
    <s v="-"/>
    <s v="-"/>
    <x v="1"/>
    <x v="0"/>
    <s v="Not Known"/>
    <s v="-"/>
    <s v="-"/>
    <s v="-"/>
    <s v="-"/>
    <s v="-"/>
    <s v="-"/>
    <s v="-"/>
    <s v="-"/>
    <s v="-"/>
    <s v="-"/>
    <x v="0"/>
    <x v="0"/>
    <n v="1.199999917298554E-2"/>
    <n v="52"/>
    <n v="84"/>
    <n v="-32"/>
    <x v="0"/>
    <x v="0"/>
    <m/>
    <x v="0"/>
    <m/>
    <x v="0"/>
    <m/>
    <x v="0"/>
    <x v="0"/>
    <x v="0"/>
    <x v="0"/>
    <m/>
    <n v="64"/>
    <n v="0"/>
    <n v="64"/>
    <x v="1"/>
    <m/>
  </r>
  <r>
    <x v="2"/>
    <x v="0"/>
    <x v="0"/>
    <x v="1"/>
    <n v="6181"/>
    <x v="478"/>
    <x v="10"/>
    <n v="1.2000000104308101E-2"/>
    <n v="525098"/>
    <n v="174605"/>
    <m/>
    <x v="542"/>
    <s v="PF"/>
    <d v="2016-02-10T00:00:00"/>
    <x v="29"/>
    <m/>
    <m/>
    <s v="Nil"/>
    <m/>
    <m/>
    <s v="Alterations including change of use of ground floor from retail (Use Class A1) to 1x2-bedroom residential unit (Use Class C3); and associated external alterations to the front elevation (including removal of shopfront)."/>
    <x v="528"/>
    <s v="MIX"/>
    <x v="0"/>
    <s v="NSO"/>
    <m/>
    <m/>
    <m/>
    <m/>
    <s v="C"/>
    <s v="BF"/>
    <x v="0"/>
    <m/>
    <m/>
    <m/>
    <m/>
    <m/>
    <m/>
    <m/>
    <m/>
    <m/>
    <m/>
    <m/>
    <m/>
    <m/>
    <m/>
    <m/>
    <m/>
    <m/>
    <m/>
    <m/>
    <n v="86"/>
    <m/>
    <m/>
    <m/>
    <m/>
    <n v="86"/>
    <m/>
    <m/>
    <m/>
    <m/>
    <m/>
    <m/>
    <m/>
    <m/>
    <m/>
    <x v="1"/>
    <x v="0"/>
    <x v="1"/>
    <n v="-86"/>
    <m/>
    <m/>
    <m/>
    <m/>
    <n v="-86"/>
    <m/>
    <x v="0"/>
    <m/>
    <m/>
    <m/>
    <m/>
    <m/>
    <x v="0"/>
    <m/>
    <m/>
    <m/>
    <m/>
    <s v="-"/>
    <s v="-"/>
    <s v="-"/>
    <s v="-"/>
    <s v="-"/>
    <s v="-"/>
    <s v="-"/>
    <s v="-"/>
    <s v="-"/>
    <s v="-"/>
    <s v="-"/>
    <x v="1"/>
    <x v="0"/>
    <s v="Not Known"/>
    <s v="-"/>
    <s v="-"/>
    <s v="-"/>
    <s v="-"/>
    <s v="-"/>
    <s v="-"/>
    <s v="-"/>
    <s v="-"/>
    <s v="-"/>
    <s v="-"/>
    <x v="0"/>
    <x v="0"/>
    <n v="7.9999999143182902E-3"/>
    <n v="0"/>
    <n v="86"/>
    <n v="-86"/>
    <x v="0"/>
    <x v="0"/>
    <m/>
    <x v="0"/>
    <m/>
    <x v="0"/>
    <m/>
    <x v="0"/>
    <x v="0"/>
    <x v="0"/>
    <x v="0"/>
    <m/>
    <n v="79"/>
    <n v="0"/>
    <n v="79"/>
    <x v="1"/>
    <m/>
  </r>
  <r>
    <x v="2"/>
    <x v="0"/>
    <x v="0"/>
    <x v="1"/>
    <n v="6182"/>
    <x v="479"/>
    <x v="10"/>
    <n v="1.09999999403954E-2"/>
    <n v="525093"/>
    <n v="174604"/>
    <m/>
    <x v="543"/>
    <s v="PF"/>
    <d v="2016-02-10T00:00:00"/>
    <x v="382"/>
    <m/>
    <m/>
    <s v="Nil"/>
    <m/>
    <m/>
    <s v="Alterations including change of use of ground floor from retail (Use Class A1) to 1x1-bedroom residential unit (Use Class C3); and associated external alterations to front elevation (including removal of shopfront)."/>
    <x v="529"/>
    <s v="MIX"/>
    <x v="0"/>
    <s v="NSO"/>
    <m/>
    <m/>
    <m/>
    <m/>
    <s v="C"/>
    <s v="BF"/>
    <x v="0"/>
    <m/>
    <m/>
    <m/>
    <m/>
    <m/>
    <m/>
    <m/>
    <m/>
    <m/>
    <m/>
    <m/>
    <m/>
    <m/>
    <m/>
    <m/>
    <m/>
    <m/>
    <m/>
    <m/>
    <n v="62"/>
    <m/>
    <m/>
    <m/>
    <m/>
    <n v="62"/>
    <m/>
    <m/>
    <m/>
    <m/>
    <m/>
    <m/>
    <m/>
    <m/>
    <m/>
    <x v="1"/>
    <x v="0"/>
    <x v="1"/>
    <n v="-62"/>
    <m/>
    <m/>
    <m/>
    <m/>
    <n v="-62"/>
    <m/>
    <x v="0"/>
    <m/>
    <m/>
    <m/>
    <m/>
    <m/>
    <x v="0"/>
    <m/>
    <m/>
    <m/>
    <m/>
    <s v="-"/>
    <s v="-"/>
    <s v="-"/>
    <s v="-"/>
    <s v="-"/>
    <s v="-"/>
    <s v="-"/>
    <s v="-"/>
    <s v="-"/>
    <s v="-"/>
    <s v="-"/>
    <x v="1"/>
    <x v="0"/>
    <s v="Not Known"/>
    <s v="-"/>
    <s v="-"/>
    <s v="-"/>
    <s v="-"/>
    <s v="-"/>
    <s v="-"/>
    <s v="-"/>
    <s v="-"/>
    <s v="-"/>
    <s v="-"/>
    <x v="0"/>
    <x v="0"/>
    <n v="6.9999997504055899E-3"/>
    <n v="0"/>
    <n v="62"/>
    <n v="-62"/>
    <x v="0"/>
    <x v="0"/>
    <m/>
    <x v="0"/>
    <m/>
    <x v="0"/>
    <m/>
    <x v="0"/>
    <x v="0"/>
    <x v="0"/>
    <x v="0"/>
    <m/>
    <n v="62"/>
    <n v="0"/>
    <n v="62"/>
    <x v="1"/>
    <m/>
  </r>
  <r>
    <x v="2"/>
    <x v="0"/>
    <x v="0"/>
    <x v="1"/>
    <n v="6183"/>
    <x v="480"/>
    <x v="10"/>
    <n v="1.30000002682209E-2"/>
    <n v="525104"/>
    <n v="174606"/>
    <m/>
    <x v="544"/>
    <s v="PF"/>
    <d v="2016-02-01T00:00:00"/>
    <x v="29"/>
    <m/>
    <m/>
    <s v="Nil"/>
    <m/>
    <m/>
    <s v="Alterations including change of use of ground floor from retail (Use Class A1) to 1x1 bedroom residential unit (Use Class C3); and associated external alterations to front elevation (including removal of shopfront)."/>
    <x v="530"/>
    <s v="MIX"/>
    <x v="0"/>
    <s v="NSO"/>
    <m/>
    <m/>
    <m/>
    <m/>
    <s v="C"/>
    <s v="BF"/>
    <x v="0"/>
    <m/>
    <m/>
    <m/>
    <m/>
    <m/>
    <m/>
    <m/>
    <m/>
    <m/>
    <m/>
    <m/>
    <m/>
    <m/>
    <m/>
    <m/>
    <m/>
    <m/>
    <m/>
    <m/>
    <n v="67"/>
    <m/>
    <m/>
    <m/>
    <m/>
    <n v="67"/>
    <m/>
    <m/>
    <m/>
    <m/>
    <m/>
    <m/>
    <m/>
    <m/>
    <m/>
    <x v="1"/>
    <x v="0"/>
    <x v="1"/>
    <n v="-67"/>
    <m/>
    <m/>
    <m/>
    <m/>
    <n v="-67"/>
    <m/>
    <x v="0"/>
    <m/>
    <m/>
    <m/>
    <m/>
    <m/>
    <x v="0"/>
    <m/>
    <m/>
    <m/>
    <m/>
    <s v="-"/>
    <s v="-"/>
    <s v="-"/>
    <s v="-"/>
    <s v="-"/>
    <s v="-"/>
    <s v="-"/>
    <s v="-"/>
    <s v="-"/>
    <s v="-"/>
    <s v="-"/>
    <x v="1"/>
    <x v="0"/>
    <s v="Not Known"/>
    <s v="-"/>
    <s v="-"/>
    <s v="-"/>
    <s v="-"/>
    <s v="-"/>
    <s v="-"/>
    <s v="-"/>
    <s v="-"/>
    <s v="-"/>
    <s v="-"/>
    <x v="0"/>
    <x v="0"/>
    <n v="9.0000000782310893E-3"/>
    <n v="0"/>
    <n v="67"/>
    <n v="-67"/>
    <x v="0"/>
    <x v="0"/>
    <m/>
    <x v="0"/>
    <m/>
    <x v="0"/>
    <m/>
    <x v="0"/>
    <x v="0"/>
    <x v="0"/>
    <x v="0"/>
    <m/>
    <n v="70"/>
    <n v="0"/>
    <n v="70"/>
    <x v="1"/>
    <m/>
  </r>
  <r>
    <x v="2"/>
    <x v="0"/>
    <x v="0"/>
    <x v="1"/>
    <n v="6184"/>
    <x v="481"/>
    <x v="10"/>
    <n v="9.9999997764825804E-3"/>
    <n v="524026"/>
    <n v="174714"/>
    <m/>
    <x v="545"/>
    <s v="PF"/>
    <d v="2016-02-18T00:00:00"/>
    <x v="383"/>
    <m/>
    <m/>
    <s v="Nil"/>
    <m/>
    <m/>
    <s v="Alterations in connection with the conversion of tenants stores into 1 x two-bedroom flat (Class C3). Installation of five windows and re-landscaping to provide additional four car parking space."/>
    <x v="531"/>
    <s v="COU"/>
    <x v="2"/>
    <s v="NSO"/>
    <m/>
    <m/>
    <m/>
    <m/>
    <s v="C"/>
    <s v="BF"/>
    <x v="0"/>
    <m/>
    <m/>
    <m/>
    <m/>
    <m/>
    <m/>
    <m/>
    <m/>
    <m/>
    <m/>
    <m/>
    <m/>
    <m/>
    <m/>
    <m/>
    <m/>
    <m/>
    <m/>
    <m/>
    <m/>
    <m/>
    <m/>
    <m/>
    <m/>
    <m/>
    <m/>
    <m/>
    <m/>
    <m/>
    <n v="83"/>
    <n v="83"/>
    <m/>
    <m/>
    <m/>
    <x v="0"/>
    <x v="1"/>
    <x v="1"/>
    <m/>
    <m/>
    <m/>
    <m/>
    <m/>
    <m/>
    <m/>
    <x v="0"/>
    <m/>
    <m/>
    <m/>
    <n v="-83"/>
    <n v="-83"/>
    <x v="1"/>
    <m/>
    <m/>
    <m/>
    <m/>
    <s v="-"/>
    <s v="-"/>
    <s v="-"/>
    <s v="-"/>
    <s v="-"/>
    <s v="-"/>
    <s v="-"/>
    <s v="-"/>
    <s v="-"/>
    <s v="-"/>
    <s v="-"/>
    <x v="1"/>
    <x v="0"/>
    <s v="-"/>
    <s v="-"/>
    <s v="-"/>
    <s v="-"/>
    <s v="-"/>
    <s v="-"/>
    <s v="-"/>
    <s v="-"/>
    <s v="-"/>
    <s v="Other"/>
    <s v="-"/>
    <x v="0"/>
    <x v="0"/>
    <n v="6.99999975040555E-3"/>
    <n v="0"/>
    <n v="83"/>
    <n v="-83"/>
    <x v="0"/>
    <x v="0"/>
    <m/>
    <x v="0"/>
    <m/>
    <x v="0"/>
    <m/>
    <x v="0"/>
    <x v="0"/>
    <x v="0"/>
    <x v="0"/>
    <m/>
    <n v="66"/>
    <n v="0"/>
    <n v="66"/>
    <x v="1"/>
    <m/>
  </r>
  <r>
    <x v="0"/>
    <x v="0"/>
    <x v="0"/>
    <x v="2"/>
    <n v="6187"/>
    <x v="482"/>
    <x v="11"/>
    <n v="2.9999999329447701E-2"/>
    <n v="528827"/>
    <n v="173841"/>
    <m/>
    <x v="546"/>
    <s v="PF"/>
    <d v="2017-03-01T00:00:00"/>
    <x v="384"/>
    <s v="Y"/>
    <m/>
    <s v="Nil"/>
    <m/>
    <m/>
    <s v="Alterations and the change of use from office (Class B1a) to residential (Class C3) including erection of a single storey rear extension, erection of mansard roof extension (with balconies to the rear), formation of roof terraces to rear; excavation to create basement; infill of existing archway, formation of refuse and cycle storage in connection with conversion to 2 x 3-bedroom, 2 x 2-bedroom and 4 x studio flats."/>
    <x v="532"/>
    <s v="MIX"/>
    <x v="0"/>
    <s v="CO"/>
    <m/>
    <d v="2017-07-20T00:00:00"/>
    <d v="2018-03-31T00:00:00"/>
    <m/>
    <s v="C"/>
    <s v="BF"/>
    <x v="0"/>
    <m/>
    <d v="2017-07-20T00:00:00"/>
    <d v="2018-03-31T00:00:00"/>
    <m/>
    <m/>
    <m/>
    <m/>
    <m/>
    <m/>
    <m/>
    <m/>
    <m/>
    <m/>
    <m/>
    <m/>
    <m/>
    <m/>
    <m/>
    <m/>
    <m/>
    <m/>
    <m/>
    <m/>
    <m/>
    <m/>
    <n v="440"/>
    <m/>
    <m/>
    <m/>
    <m/>
    <n v="440"/>
    <m/>
    <m/>
    <m/>
    <x v="0"/>
    <x v="1"/>
    <x v="1"/>
    <m/>
    <m/>
    <m/>
    <m/>
    <m/>
    <m/>
    <n v="-440"/>
    <x v="1"/>
    <m/>
    <m/>
    <m/>
    <m/>
    <n v="-440"/>
    <x v="1"/>
    <m/>
    <m/>
    <m/>
    <m/>
    <s v="-"/>
    <s v="-"/>
    <s v="-"/>
    <s v="-"/>
    <s v="-"/>
    <s v="-"/>
    <s v="-"/>
    <s v="-"/>
    <s v="-"/>
    <s v="-"/>
    <s v="-"/>
    <x v="1"/>
    <x v="0"/>
    <s v="-"/>
    <s v="-"/>
    <s v="-"/>
    <s v="-"/>
    <s v="-"/>
    <s v="Vacant"/>
    <s v="-"/>
    <s v="-"/>
    <s v="-"/>
    <s v="-"/>
    <s v="-"/>
    <x v="0"/>
    <x v="0"/>
    <n v="0"/>
    <n v="0"/>
    <n v="440"/>
    <n v="-440"/>
    <x v="0"/>
    <x v="0"/>
    <m/>
    <x v="0"/>
    <m/>
    <x v="0"/>
    <m/>
    <x v="0"/>
    <x v="0"/>
    <x v="0"/>
    <x v="0"/>
    <m/>
    <n v="621"/>
    <n v="0"/>
    <n v="621"/>
    <x v="1"/>
    <m/>
  </r>
  <r>
    <x v="2"/>
    <x v="0"/>
    <x v="0"/>
    <x v="1"/>
    <n v="6188"/>
    <x v="483"/>
    <x v="13"/>
    <n v="0.13400000333786"/>
    <n v="525924"/>
    <n v="173800"/>
    <m/>
    <x v="547"/>
    <s v="PF"/>
    <d v="2017-08-14T00:00:00"/>
    <x v="385"/>
    <s v="Y"/>
    <m/>
    <s v="Nil"/>
    <m/>
    <m/>
    <s v="Erection of a three-storey side extension to provide a 3-bedroom town house with alterations as part of change of use of Earlsfield House to provide 4 x 2-bedroom residential units."/>
    <x v="533"/>
    <s v="MIX"/>
    <x v="0"/>
    <s v="NSO"/>
    <m/>
    <m/>
    <m/>
    <m/>
    <s v="C"/>
    <s v="BF"/>
    <x v="0"/>
    <m/>
    <m/>
    <m/>
    <m/>
    <m/>
    <m/>
    <m/>
    <m/>
    <m/>
    <m/>
    <m/>
    <m/>
    <m/>
    <m/>
    <m/>
    <m/>
    <m/>
    <m/>
    <m/>
    <m/>
    <m/>
    <m/>
    <m/>
    <m/>
    <m/>
    <n v="233"/>
    <m/>
    <m/>
    <m/>
    <m/>
    <n v="233"/>
    <m/>
    <m/>
    <m/>
    <x v="0"/>
    <x v="1"/>
    <x v="1"/>
    <m/>
    <m/>
    <m/>
    <m/>
    <m/>
    <m/>
    <n v="-233"/>
    <x v="1"/>
    <m/>
    <m/>
    <m/>
    <m/>
    <n v="-233"/>
    <x v="1"/>
    <m/>
    <m/>
    <m/>
    <m/>
    <s v="-"/>
    <s v="-"/>
    <s v="-"/>
    <s v="-"/>
    <s v="-"/>
    <s v="-"/>
    <s v="-"/>
    <s v="-"/>
    <s v="-"/>
    <s v="-"/>
    <s v="-"/>
    <x v="1"/>
    <x v="0"/>
    <s v="-"/>
    <s v="-"/>
    <s v="-"/>
    <s v="-"/>
    <s v="-"/>
    <s v="Vacant"/>
    <s v="-"/>
    <s v="-"/>
    <s v="-"/>
    <s v="-"/>
    <s v="-"/>
    <x v="0"/>
    <x v="0"/>
    <n v="9.6000002697110093E-2"/>
    <n v="0"/>
    <n v="275"/>
    <n v="-275"/>
    <x v="0"/>
    <x v="0"/>
    <m/>
    <x v="0"/>
    <m/>
    <x v="0"/>
    <m/>
    <x v="0"/>
    <x v="0"/>
    <x v="0"/>
    <x v="0"/>
    <m/>
    <n v="388"/>
    <n v="0"/>
    <n v="388"/>
    <x v="1"/>
    <m/>
  </r>
  <r>
    <x v="2"/>
    <x v="0"/>
    <x v="0"/>
    <x v="1"/>
    <n v="6191"/>
    <x v="484"/>
    <x v="3"/>
    <n v="4.0000001899898104E-3"/>
    <n v="527606"/>
    <n v="174610"/>
    <m/>
    <x v="548"/>
    <s v="PF"/>
    <d v="2016-02-15T00:00:00"/>
    <x v="386"/>
    <m/>
    <m/>
    <s v="Nil"/>
    <m/>
    <m/>
    <s v="Alterations in connection with the change of use from office (Class B1) to 1 x 1-bedroom house (Class C3) including erection of front and rear roof extension and ground floor side extension. (Amendments to design of roof extension)"/>
    <x v="534"/>
    <s v="MIX"/>
    <x v="0"/>
    <s v="NSO"/>
    <m/>
    <m/>
    <m/>
    <m/>
    <s v="C"/>
    <s v="BF"/>
    <x v="0"/>
    <m/>
    <m/>
    <m/>
    <m/>
    <m/>
    <m/>
    <m/>
    <m/>
    <m/>
    <m/>
    <m/>
    <m/>
    <m/>
    <m/>
    <m/>
    <m/>
    <m/>
    <m/>
    <m/>
    <m/>
    <m/>
    <m/>
    <m/>
    <m/>
    <m/>
    <n v="43"/>
    <m/>
    <m/>
    <m/>
    <m/>
    <n v="43"/>
    <m/>
    <m/>
    <m/>
    <x v="0"/>
    <x v="1"/>
    <x v="1"/>
    <m/>
    <m/>
    <m/>
    <m/>
    <m/>
    <m/>
    <n v="-43"/>
    <x v="1"/>
    <m/>
    <m/>
    <m/>
    <m/>
    <n v="-43"/>
    <x v="1"/>
    <m/>
    <m/>
    <m/>
    <m/>
    <s v="-"/>
    <s v="-"/>
    <s v="-"/>
    <s v="-"/>
    <s v="-"/>
    <s v="-"/>
    <s v="-"/>
    <s v="-"/>
    <s v="-"/>
    <s v="-"/>
    <s v="-"/>
    <x v="1"/>
    <x v="0"/>
    <s v="-"/>
    <s v="-"/>
    <s v="-"/>
    <s v="-"/>
    <s v="-"/>
    <s v="Not Known"/>
    <s v="-"/>
    <s v="-"/>
    <s v="-"/>
    <s v="-"/>
    <s v="-"/>
    <x v="0"/>
    <x v="0"/>
    <n v="0"/>
    <n v="0"/>
    <n v="43"/>
    <n v="-43"/>
    <x v="0"/>
    <x v="0"/>
    <m/>
    <x v="0"/>
    <m/>
    <x v="0"/>
    <m/>
    <x v="0"/>
    <x v="0"/>
    <x v="0"/>
    <x v="0"/>
    <m/>
    <n v="65"/>
    <n v="0"/>
    <n v="65"/>
    <x v="1"/>
    <m/>
  </r>
  <r>
    <x v="0"/>
    <x v="0"/>
    <x v="0"/>
    <x v="0"/>
    <n v="6194"/>
    <x v="485"/>
    <x v="7"/>
    <n v="6.0000000521540598E-3"/>
    <n v="523639"/>
    <n v="175824"/>
    <m/>
    <x v="549"/>
    <s v="PF"/>
    <d v="2017-02-09T00:00:00"/>
    <x v="89"/>
    <s v="Y"/>
    <m/>
    <s v="Nil"/>
    <m/>
    <m/>
    <s v="Retrospective Change of Use from (Class A1) to (Class A3) with opening hours of Monday to Friday 07.00 to 18.00, Saturday Sunday and Bank holidays 08.00 to 18.00; intallation of flue pipe on rear elevation."/>
    <x v="535"/>
    <s v="COU"/>
    <x v="2"/>
    <s v="OC"/>
    <m/>
    <d v="2015-05-01T00:00:00"/>
    <d v="2017-05-01T00:00:00"/>
    <d v="2017-05-01T00:00:00"/>
    <s v="C"/>
    <s v="BF"/>
    <x v="0"/>
    <m/>
    <d v="2015-05-01T00:00:00"/>
    <d v="2017-05-01T00:00:00"/>
    <m/>
    <m/>
    <n v="35"/>
    <m/>
    <m/>
    <n v="35"/>
    <m/>
    <m/>
    <m/>
    <m/>
    <m/>
    <m/>
    <m/>
    <m/>
    <m/>
    <m/>
    <n v="35"/>
    <m/>
    <m/>
    <m/>
    <m/>
    <n v="35"/>
    <m/>
    <m/>
    <m/>
    <m/>
    <m/>
    <m/>
    <m/>
    <m/>
    <m/>
    <x v="1"/>
    <x v="0"/>
    <x v="1"/>
    <n v="-35"/>
    <m/>
    <n v="35"/>
    <m/>
    <m/>
    <m/>
    <m/>
    <x v="0"/>
    <m/>
    <m/>
    <m/>
    <m/>
    <m/>
    <x v="0"/>
    <m/>
    <m/>
    <m/>
    <m/>
    <s v="-"/>
    <s v="-"/>
    <s v="Café"/>
    <s v="-"/>
    <s v="-"/>
    <s v="-"/>
    <s v="-"/>
    <s v="-"/>
    <s v="-"/>
    <s v="-"/>
    <s v="-"/>
    <x v="1"/>
    <x v="0"/>
    <s v="Not Known"/>
    <s v="-"/>
    <s v="-"/>
    <s v="-"/>
    <s v="-"/>
    <s v="-"/>
    <s v="-"/>
    <s v="-"/>
    <s v="-"/>
    <s v="-"/>
    <s v="-"/>
    <x v="0"/>
    <x v="0"/>
    <n v="6.0000000521540598E-3"/>
    <n v="35"/>
    <n v="35"/>
    <n v="0"/>
    <x v="0"/>
    <x v="0"/>
    <m/>
    <x v="0"/>
    <m/>
    <x v="0"/>
    <m/>
    <x v="0"/>
    <x v="0"/>
    <x v="0"/>
    <x v="0"/>
    <m/>
    <n v="0"/>
    <n v="0"/>
    <n v="0"/>
    <x v="0"/>
    <m/>
  </r>
  <r>
    <x v="2"/>
    <x v="0"/>
    <x v="0"/>
    <x v="1"/>
    <n v="6196"/>
    <x v="486"/>
    <x v="17"/>
    <n v="8.9999996125698107E-3"/>
    <n v="528701"/>
    <n v="172342"/>
    <m/>
    <x v="550"/>
    <s v="PF"/>
    <d v="2016-09-12T00:00:00"/>
    <x v="167"/>
    <m/>
    <m/>
    <s v="Nil"/>
    <m/>
    <m/>
    <s v="Demolition of existing garage and erection of a two-storey 1-bedroom detached house with associated landscaping, boundary treatment, cycle and refuse storage."/>
    <x v="536"/>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30"/>
    <n v="-30"/>
    <x v="0"/>
    <x v="0"/>
    <m/>
    <x v="0"/>
    <m/>
    <x v="0"/>
    <m/>
    <x v="0"/>
    <x v="0"/>
    <x v="0"/>
    <x v="0"/>
    <m/>
    <n v="76"/>
    <n v="0"/>
    <n v="76"/>
    <x v="1"/>
    <m/>
  </r>
  <r>
    <x v="1"/>
    <x v="3"/>
    <x v="3"/>
    <x v="1"/>
    <n v="6204"/>
    <x v="487"/>
    <x v="16"/>
    <n v="1.4999999664723899E-2"/>
    <n v="527745"/>
    <n v="171310"/>
    <m/>
    <x v="551"/>
    <s v="LDC"/>
    <d v="2017-08-23T00:00:00"/>
    <x v="1"/>
    <m/>
    <m/>
    <s v="Nil"/>
    <m/>
    <m/>
    <s v="Continued use as a Guesthouse (C1) for more than 10 years"/>
    <x v="537"/>
    <s v="COU"/>
    <x v="2"/>
    <s v="NSO"/>
    <m/>
    <m/>
    <m/>
    <m/>
    <s v="P"/>
    <s v="BF"/>
    <x v="0"/>
    <m/>
    <m/>
    <m/>
    <m/>
    <m/>
    <m/>
    <m/>
    <m/>
    <m/>
    <m/>
    <m/>
    <m/>
    <m/>
    <m/>
    <m/>
    <m/>
    <m/>
    <m/>
    <m/>
    <m/>
    <m/>
    <m/>
    <m/>
    <m/>
    <m/>
    <m/>
    <m/>
    <m/>
    <m/>
    <m/>
    <m/>
    <m/>
    <m/>
    <m/>
    <x v="0"/>
    <x v="0"/>
    <x v="1"/>
    <m/>
    <m/>
    <m/>
    <m/>
    <m/>
    <m/>
    <m/>
    <x v="0"/>
    <m/>
    <m/>
    <m/>
    <m/>
    <m/>
    <x v="0"/>
    <n v="113"/>
    <m/>
    <m/>
    <m/>
    <s v="-"/>
    <s v="-"/>
    <s v="-"/>
    <s v="-"/>
    <s v="-"/>
    <s v="-"/>
    <s v="-"/>
    <s v="-"/>
    <s v="-"/>
    <s v="-"/>
    <s v="Other"/>
    <x v="1"/>
    <x v="0"/>
    <s v="-"/>
    <s v="-"/>
    <s v="-"/>
    <s v="-"/>
    <s v="-"/>
    <s v="-"/>
    <s v="-"/>
    <s v="-"/>
    <s v="-"/>
    <s v="-"/>
    <s v="-"/>
    <x v="0"/>
    <x v="0"/>
    <n v="0"/>
    <n v="113"/>
    <n v="0"/>
    <n v="113"/>
    <x v="0"/>
    <x v="0"/>
    <m/>
    <x v="0"/>
    <m/>
    <x v="0"/>
    <m/>
    <x v="0"/>
    <x v="0"/>
    <x v="0"/>
    <x v="0"/>
    <m/>
    <n v="0"/>
    <n v="113"/>
    <n v="-113"/>
    <x v="0"/>
    <m/>
  </r>
  <r>
    <x v="2"/>
    <x v="0"/>
    <x v="0"/>
    <x v="1"/>
    <n v="6207"/>
    <x v="488"/>
    <x v="0"/>
    <n v="9.7999997437000302E-2"/>
    <n v="524680"/>
    <n v="173245"/>
    <m/>
    <x v="552"/>
    <s v="PF"/>
    <d v="2015-12-03T00:00:00"/>
    <x v="387"/>
    <m/>
    <m/>
    <s v="Nil"/>
    <m/>
    <m/>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x v="538"/>
    <s v="NB"/>
    <x v="0"/>
    <s v="NSO"/>
    <m/>
    <m/>
    <m/>
    <m/>
    <s v="C"/>
    <s v="BF"/>
    <x v="0"/>
    <m/>
    <m/>
    <m/>
    <n v="774"/>
    <m/>
    <m/>
    <m/>
    <m/>
    <n v="774"/>
    <m/>
    <m/>
    <m/>
    <m/>
    <m/>
    <m/>
    <m/>
    <m/>
    <m/>
    <m/>
    <n v="1230"/>
    <m/>
    <m/>
    <m/>
    <m/>
    <n v="1230"/>
    <m/>
    <m/>
    <m/>
    <m/>
    <m/>
    <m/>
    <m/>
    <m/>
    <m/>
    <x v="1"/>
    <x v="0"/>
    <x v="1"/>
    <n v="-456"/>
    <m/>
    <m/>
    <m/>
    <m/>
    <n v="-456"/>
    <m/>
    <x v="0"/>
    <m/>
    <m/>
    <m/>
    <m/>
    <m/>
    <x v="0"/>
    <m/>
    <m/>
    <m/>
    <m/>
    <s v="Services"/>
    <s v="-"/>
    <s v="-"/>
    <s v="-"/>
    <s v="-"/>
    <s v="-"/>
    <s v="-"/>
    <s v="-"/>
    <s v="-"/>
    <s v="-"/>
    <s v="-"/>
    <x v="1"/>
    <x v="0"/>
    <s v="Vacant"/>
    <s v="-"/>
    <s v="-"/>
    <s v="-"/>
    <s v="-"/>
    <s v="-"/>
    <s v="-"/>
    <s v="-"/>
    <s v="-"/>
    <s v="-"/>
    <s v="-"/>
    <x v="0"/>
    <x v="0"/>
    <n v="0"/>
    <n v="774"/>
    <n v="1230"/>
    <n v="-456"/>
    <x v="0"/>
    <x v="0"/>
    <m/>
    <x v="0"/>
    <m/>
    <x v="0"/>
    <m/>
    <x v="0"/>
    <x v="0"/>
    <x v="0"/>
    <x v="1"/>
    <s v="Southfields"/>
    <n v="453"/>
    <n v="0"/>
    <n v="453"/>
    <x v="1"/>
    <m/>
  </r>
  <r>
    <x v="2"/>
    <x v="0"/>
    <x v="0"/>
    <x v="1"/>
    <n v="6208"/>
    <x v="489"/>
    <x v="4"/>
    <n v="0.144999995827675"/>
    <n v="526352"/>
    <n v="175489"/>
    <m/>
    <x v="553"/>
    <s v="PFLA"/>
    <d v="2016-09-14T00:00:00"/>
    <x v="388"/>
    <s v="Y"/>
    <d v="2017-03-23T00:00:00"/>
    <s v="Nil"/>
    <m/>
    <m/>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x v="539"/>
    <s v="NB"/>
    <x v="0"/>
    <s v="NSO"/>
    <m/>
    <m/>
    <m/>
    <m/>
    <s v="C"/>
    <s v="BF"/>
    <x v="0"/>
    <m/>
    <m/>
    <m/>
    <n v="62"/>
    <n v="62"/>
    <m/>
    <m/>
    <m/>
    <n v="124"/>
    <n v="61"/>
    <m/>
    <m/>
    <n v="61"/>
    <m/>
    <m/>
    <n v="61"/>
    <m/>
    <m/>
    <m/>
    <n v="1532"/>
    <m/>
    <m/>
    <m/>
    <m/>
    <n v="1532"/>
    <m/>
    <m/>
    <m/>
    <m/>
    <m/>
    <m/>
    <m/>
    <m/>
    <m/>
    <x v="1"/>
    <x v="1"/>
    <x v="1"/>
    <n v="-1470"/>
    <n v="62"/>
    <m/>
    <m/>
    <m/>
    <n v="-1408"/>
    <n v="61"/>
    <x v="0"/>
    <m/>
    <m/>
    <m/>
    <m/>
    <n v="61"/>
    <x v="0"/>
    <m/>
    <m/>
    <m/>
    <m/>
    <s v="Not Known"/>
    <s v="Not Known"/>
    <s v="-"/>
    <s v="-"/>
    <s v="-"/>
    <s v="Not Known"/>
    <s v="-"/>
    <s v="-"/>
    <s v="-"/>
    <s v="-"/>
    <s v="-"/>
    <x v="1"/>
    <x v="0"/>
    <s v="Services"/>
    <s v="-"/>
    <s v="-"/>
    <s v="-"/>
    <s v="-"/>
    <s v="-"/>
    <s v="-"/>
    <s v="-"/>
    <s v="-"/>
    <s v="-"/>
    <s v="-"/>
    <x v="0"/>
    <x v="0"/>
    <n v="1.7999999225140006E-2"/>
    <n v="973"/>
    <n v="1532"/>
    <n v="-559"/>
    <x v="1"/>
    <x v="0"/>
    <m/>
    <x v="0"/>
    <m/>
    <x v="0"/>
    <m/>
    <x v="0"/>
    <x v="0"/>
    <x v="0"/>
    <x v="0"/>
    <m/>
    <n v="10243"/>
    <n v="0"/>
    <n v="10243"/>
    <x v="1"/>
    <m/>
  </r>
  <r>
    <x v="1"/>
    <x v="0"/>
    <x v="0"/>
    <x v="1"/>
    <n v="6212"/>
    <x v="490"/>
    <x v="11"/>
    <n v="2.5000000372528999E-2"/>
    <n v="529084"/>
    <n v="173102"/>
    <m/>
    <x v="554"/>
    <s v="AF"/>
    <d v="2018-03-01T00:00:00"/>
    <x v="1"/>
    <m/>
    <m/>
    <s v="Nil"/>
    <m/>
    <m/>
    <s v="Demolition of existing garage fronting Cavendish Road and erection of a single storey (plus basement and roof) 3-bedroom detached house, formation of lightwells and refuse storage."/>
    <x v="540"/>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
    <n v="0"/>
    <n v="42"/>
    <n v="-42"/>
    <x v="0"/>
    <x v="0"/>
    <m/>
    <x v="0"/>
    <m/>
    <x v="0"/>
    <m/>
    <x v="0"/>
    <x v="0"/>
    <x v="0"/>
    <x v="0"/>
    <m/>
    <n v="101"/>
    <n v="0"/>
    <n v="101"/>
    <x v="1"/>
    <m/>
  </r>
  <r>
    <x v="0"/>
    <x v="0"/>
    <x v="0"/>
    <x v="0"/>
    <n v="6217"/>
    <x v="491"/>
    <x v="9"/>
    <n v="1.4000000432133701E-2"/>
    <n v="527469"/>
    <n v="176355"/>
    <m/>
    <x v="555"/>
    <s v="PF"/>
    <d v="2016-08-04T00:00:00"/>
    <x v="155"/>
    <m/>
    <m/>
    <s v="Nil"/>
    <m/>
    <m/>
    <s v="Alterations in connection with change of use of ground floor commercial space from shop (Class A1) to financial and professional services (Class A2) and rear store area to residential use (Class C3). Erection of roof extension to create additional storey of accommodation and extensions at first, second floor and third floor, and creation of roof terraces in connection with creation of 2 x 1-bedroom and 2 x 2-bedroom residential units."/>
    <x v="541"/>
    <s v="MIX"/>
    <x v="0"/>
    <s v="OC"/>
    <m/>
    <d v="2016-10-05T00:00:00"/>
    <d v="2017-07-12T00:00:00"/>
    <d v="2017-07-12T00:00:00"/>
    <s v="C"/>
    <s v="BF"/>
    <x v="0"/>
    <m/>
    <d v="2016-10-05T00:00:00"/>
    <d v="2017-07-12T00:00:00"/>
    <m/>
    <n v="43"/>
    <m/>
    <m/>
    <m/>
    <n v="43"/>
    <m/>
    <m/>
    <m/>
    <m/>
    <m/>
    <m/>
    <m/>
    <m/>
    <m/>
    <m/>
    <n v="107"/>
    <m/>
    <m/>
    <m/>
    <m/>
    <n v="107"/>
    <m/>
    <m/>
    <m/>
    <m/>
    <m/>
    <m/>
    <m/>
    <m/>
    <m/>
    <x v="1"/>
    <x v="0"/>
    <x v="1"/>
    <n v="-107"/>
    <n v="43"/>
    <m/>
    <m/>
    <m/>
    <n v="-64"/>
    <m/>
    <x v="0"/>
    <m/>
    <m/>
    <m/>
    <m/>
    <m/>
    <x v="0"/>
    <m/>
    <m/>
    <m/>
    <m/>
    <s v="-"/>
    <s v="Not Known"/>
    <s v="-"/>
    <s v="-"/>
    <s v="-"/>
    <s v="-"/>
    <s v="-"/>
    <s v="-"/>
    <s v="-"/>
    <s v="-"/>
    <s v="-"/>
    <x v="1"/>
    <x v="0"/>
    <s v="Not Known"/>
    <s v="-"/>
    <s v="-"/>
    <s v="-"/>
    <s v="-"/>
    <s v="-"/>
    <s v="-"/>
    <s v="-"/>
    <s v="-"/>
    <s v="-"/>
    <s v="-"/>
    <x v="0"/>
    <x v="0"/>
    <n v="5.0000008195638899E-3"/>
    <n v="43"/>
    <n v="107"/>
    <n v="-64"/>
    <x v="0"/>
    <x v="0"/>
    <m/>
    <x v="0"/>
    <m/>
    <x v="0"/>
    <m/>
    <x v="0"/>
    <x v="0"/>
    <x v="0"/>
    <x v="1"/>
    <s v="Battersea Park Road"/>
    <n v="319"/>
    <n v="85"/>
    <n v="234"/>
    <x v="1"/>
    <m/>
  </r>
  <r>
    <x v="3"/>
    <x v="0"/>
    <x v="0"/>
    <x v="1"/>
    <n v="6218"/>
    <x v="492"/>
    <x v="6"/>
    <n v="5.2999999374151202E-2"/>
    <n v="528378"/>
    <n v="175632"/>
    <m/>
    <x v="556"/>
    <s v="PF"/>
    <d v="2016-06-09T00:00:00"/>
    <x v="119"/>
    <m/>
    <m/>
    <s v="Nil"/>
    <m/>
    <m/>
    <s v="Erection of 1 x 5-bedroom single storey house (plus basement level and lightwells), with vehicle access and front boundary treatment, garden room/cycle store."/>
    <x v="542"/>
    <s v="NB"/>
    <x v="0"/>
    <s v="UC"/>
    <m/>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45"/>
    <n v="-45"/>
    <x v="0"/>
    <x v="0"/>
    <m/>
    <x v="0"/>
    <m/>
    <x v="0"/>
    <m/>
    <x v="0"/>
    <x v="0"/>
    <x v="0"/>
    <x v="0"/>
    <m/>
    <n v="323"/>
    <n v="0"/>
    <n v="323"/>
    <x v="1"/>
    <m/>
  </r>
  <r>
    <x v="3"/>
    <x v="0"/>
    <x v="0"/>
    <x v="1"/>
    <n v="6219"/>
    <x v="493"/>
    <x v="12"/>
    <n v="1.60000007599592E-2"/>
    <n v="525163"/>
    <n v="173918"/>
    <m/>
    <x v="557"/>
    <s v="PF"/>
    <d v="2016-09-02T00:00:00"/>
    <x v="82"/>
    <m/>
    <m/>
    <s v="Nil"/>
    <m/>
    <m/>
    <s v="Erection of part single, part two-storey 2-bedroom detached house, including new boundary treatment, vegetation removal, landscaping and bike and bin stores, with access from Morris Gardens."/>
    <x v="543"/>
    <s v="NB"/>
    <x v="0"/>
    <s v="UC"/>
    <m/>
    <d v="2018-03-31T00:00:00"/>
    <m/>
    <m/>
    <s v="C"/>
    <s v="BF"/>
    <x v="0"/>
    <m/>
    <d v="2018-03-31T00:00:00"/>
    <m/>
    <m/>
    <m/>
    <m/>
    <m/>
    <m/>
    <m/>
    <m/>
    <m/>
    <m/>
    <m/>
    <m/>
    <m/>
    <m/>
    <m/>
    <m/>
    <m/>
    <m/>
    <m/>
    <m/>
    <m/>
    <m/>
    <m/>
    <m/>
    <m/>
    <m/>
    <m/>
    <n v="128"/>
    <n v="128"/>
    <m/>
    <m/>
    <m/>
    <x v="0"/>
    <x v="1"/>
    <x v="1"/>
    <m/>
    <m/>
    <m/>
    <m/>
    <m/>
    <m/>
    <m/>
    <x v="0"/>
    <m/>
    <m/>
    <m/>
    <n v="-128"/>
    <n v="-128"/>
    <x v="1"/>
    <m/>
    <m/>
    <m/>
    <m/>
    <s v="-"/>
    <s v="-"/>
    <s v="-"/>
    <s v="-"/>
    <s v="-"/>
    <s v="-"/>
    <s v="-"/>
    <s v="-"/>
    <s v="-"/>
    <s v="-"/>
    <s v="-"/>
    <x v="1"/>
    <x v="0"/>
    <s v="-"/>
    <s v="-"/>
    <s v="-"/>
    <s v="-"/>
    <s v="-"/>
    <s v="-"/>
    <s v="-"/>
    <s v="-"/>
    <s v="-"/>
    <s v="Storage"/>
    <s v="-"/>
    <x v="0"/>
    <x v="0"/>
    <n v="0"/>
    <n v="0"/>
    <n v="128"/>
    <n v="-128"/>
    <x v="0"/>
    <x v="0"/>
    <m/>
    <x v="0"/>
    <m/>
    <x v="0"/>
    <m/>
    <x v="0"/>
    <x v="0"/>
    <x v="0"/>
    <x v="0"/>
    <m/>
    <n v="128"/>
    <n v="0"/>
    <n v="128"/>
    <x v="1"/>
    <m/>
  </r>
  <r>
    <x v="2"/>
    <x v="2"/>
    <x v="2"/>
    <x v="1"/>
    <n v="6223"/>
    <x v="494"/>
    <x v="4"/>
    <n v="3.29999998211861E-2"/>
    <n v="527302"/>
    <n v="177164"/>
    <m/>
    <x v="558"/>
    <s v="PANR"/>
    <d v="2016-08-18T00:00:00"/>
    <x v="389"/>
    <m/>
    <m/>
    <s v="Nil"/>
    <m/>
    <m/>
    <s v="Determination as to whether prior approval is required for change of use of office  from (Class B1a) to 2 x 2-bedroom and 2 x 1-bedroom residential units (Class C3)."/>
    <x v="544"/>
    <s v="COU"/>
    <x v="2"/>
    <s v="NSO"/>
    <m/>
    <m/>
    <m/>
    <m/>
    <s v="C"/>
    <s v="BF"/>
    <x v="0"/>
    <m/>
    <m/>
    <m/>
    <m/>
    <m/>
    <m/>
    <m/>
    <m/>
    <m/>
    <m/>
    <m/>
    <m/>
    <m/>
    <m/>
    <m/>
    <m/>
    <m/>
    <m/>
    <m/>
    <m/>
    <m/>
    <m/>
    <m/>
    <m/>
    <m/>
    <n v="283"/>
    <m/>
    <m/>
    <m/>
    <m/>
    <n v="283"/>
    <m/>
    <m/>
    <m/>
    <x v="0"/>
    <x v="1"/>
    <x v="1"/>
    <m/>
    <m/>
    <m/>
    <m/>
    <m/>
    <m/>
    <n v="-283"/>
    <x v="1"/>
    <m/>
    <m/>
    <m/>
    <m/>
    <n v="-283"/>
    <x v="1"/>
    <m/>
    <m/>
    <m/>
    <m/>
    <s v="-"/>
    <s v="-"/>
    <s v="-"/>
    <s v="-"/>
    <s v="-"/>
    <s v="-"/>
    <s v="-"/>
    <s v="-"/>
    <s v="-"/>
    <s v="-"/>
    <s v="-"/>
    <x v="1"/>
    <x v="0"/>
    <s v="-"/>
    <s v="-"/>
    <s v="-"/>
    <s v="-"/>
    <s v="-"/>
    <s v="Vacant"/>
    <s v="-"/>
    <s v="-"/>
    <s v="-"/>
    <s v="-"/>
    <s v="-"/>
    <x v="0"/>
    <x v="0"/>
    <n v="1.09999999403954E-2"/>
    <n v="0"/>
    <n v="283"/>
    <n v="-283"/>
    <x v="1"/>
    <x v="0"/>
    <m/>
    <x v="0"/>
    <m/>
    <x v="0"/>
    <m/>
    <x v="0"/>
    <x v="0"/>
    <x v="0"/>
    <x v="0"/>
    <m/>
    <n v="283"/>
    <n v="0"/>
    <n v="283"/>
    <x v="1"/>
    <m/>
  </r>
  <r>
    <x v="2"/>
    <x v="0"/>
    <x v="0"/>
    <x v="1"/>
    <n v="6225"/>
    <x v="495"/>
    <x v="10"/>
    <n v="9.9999997764825804E-3"/>
    <n v="525212"/>
    <n v="174623"/>
    <m/>
    <x v="559"/>
    <s v="PF"/>
    <d v="2016-05-05T00:00:00"/>
    <x v="79"/>
    <m/>
    <m/>
    <s v="Nil"/>
    <m/>
    <m/>
    <s v="Alterations including erection of part single, part two-storey rear/side extension; erection of roof extension (including balcony with safety railings) above two-storey back addition in connection with use of property as 1 x 3 bedroom, 2 x 1 bedroom flats."/>
    <x v="545"/>
    <s v="MIX"/>
    <x v="0"/>
    <s v="NSO"/>
    <m/>
    <m/>
    <m/>
    <m/>
    <s v="C"/>
    <s v="BF"/>
    <x v="0"/>
    <m/>
    <m/>
    <m/>
    <m/>
    <m/>
    <m/>
    <m/>
    <m/>
    <m/>
    <m/>
    <m/>
    <m/>
    <m/>
    <m/>
    <m/>
    <m/>
    <m/>
    <m/>
    <m/>
    <m/>
    <n v="120"/>
    <m/>
    <m/>
    <m/>
    <n v="120"/>
    <m/>
    <m/>
    <m/>
    <m/>
    <m/>
    <m/>
    <m/>
    <m/>
    <m/>
    <x v="1"/>
    <x v="0"/>
    <x v="1"/>
    <m/>
    <n v="-120"/>
    <m/>
    <m/>
    <m/>
    <n v="-120"/>
    <m/>
    <x v="0"/>
    <m/>
    <m/>
    <m/>
    <m/>
    <m/>
    <x v="0"/>
    <m/>
    <m/>
    <m/>
    <m/>
    <s v="-"/>
    <s v="-"/>
    <s v="-"/>
    <s v="-"/>
    <s v="-"/>
    <s v="-"/>
    <s v="-"/>
    <s v="-"/>
    <s v="-"/>
    <s v="-"/>
    <s v="-"/>
    <x v="1"/>
    <x v="0"/>
    <s v="-"/>
    <s v="Vacant"/>
    <s v="-"/>
    <s v="-"/>
    <s v="-"/>
    <s v="-"/>
    <s v="-"/>
    <s v="-"/>
    <s v="-"/>
    <s v="-"/>
    <s v="-"/>
    <x v="0"/>
    <x v="0"/>
    <n v="0"/>
    <n v="0"/>
    <n v="120"/>
    <n v="-120"/>
    <x v="0"/>
    <x v="0"/>
    <m/>
    <x v="0"/>
    <m/>
    <x v="0"/>
    <m/>
    <x v="0"/>
    <x v="0"/>
    <x v="0"/>
    <x v="0"/>
    <m/>
    <n v="172"/>
    <n v="0"/>
    <n v="172"/>
    <x v="1"/>
    <m/>
  </r>
  <r>
    <x v="0"/>
    <x v="0"/>
    <x v="0"/>
    <x v="0"/>
    <n v="6230"/>
    <x v="496"/>
    <x v="7"/>
    <n v="4.80000004172325E-2"/>
    <n v="524142"/>
    <n v="175460"/>
    <s v="6.1.3"/>
    <x v="560"/>
    <s v="PF"/>
    <d v="2016-04-29T00:00:00"/>
    <x v="158"/>
    <m/>
    <m/>
    <s v="Nil"/>
    <m/>
    <m/>
    <s v="Change of use to a mini cab office (Sui Generis)"/>
    <x v="546"/>
    <s v="COU"/>
    <x v="2"/>
    <s v="OC"/>
    <m/>
    <d v="2017-04-01T00:00:00"/>
    <d v="2018-03-31T00:00:00"/>
    <d v="2018-03-31T00:00:00"/>
    <s v="C"/>
    <s v="BF"/>
    <x v="0"/>
    <m/>
    <d v="2017-04-01T00:00:00"/>
    <d v="2018-03-31T00:00:00"/>
    <m/>
    <m/>
    <m/>
    <m/>
    <m/>
    <m/>
    <m/>
    <m/>
    <m/>
    <m/>
    <m/>
    <m/>
    <m/>
    <m/>
    <m/>
    <m/>
    <m/>
    <m/>
    <m/>
    <m/>
    <m/>
    <m/>
    <n v="12"/>
    <m/>
    <m/>
    <m/>
    <m/>
    <n v="12"/>
    <m/>
    <m/>
    <m/>
    <x v="0"/>
    <x v="1"/>
    <x v="1"/>
    <m/>
    <m/>
    <m/>
    <m/>
    <m/>
    <m/>
    <n v="-12"/>
    <x v="1"/>
    <m/>
    <m/>
    <m/>
    <m/>
    <n v="-12"/>
    <x v="1"/>
    <m/>
    <m/>
    <m/>
    <m/>
    <s v="-"/>
    <s v="-"/>
    <s v="-"/>
    <s v="-"/>
    <s v="-"/>
    <s v="-"/>
    <s v="-"/>
    <s v="-"/>
    <s v="-"/>
    <s v="-"/>
    <s v="-"/>
    <x v="1"/>
    <x v="0"/>
    <s v="-"/>
    <s v="-"/>
    <s v="-"/>
    <s v="-"/>
    <s v="-"/>
    <s v="Not Known"/>
    <s v="-"/>
    <s v="-"/>
    <s v="-"/>
    <s v="-"/>
    <s v="-"/>
    <x v="0"/>
    <x v="0"/>
    <n v="4.80000004172325E-2"/>
    <n v="12"/>
    <n v="12"/>
    <n v="0"/>
    <x v="0"/>
    <x v="0"/>
    <m/>
    <x v="0"/>
    <m/>
    <x v="0"/>
    <m/>
    <x v="0"/>
    <x v="1"/>
    <x v="2"/>
    <x v="0"/>
    <m/>
    <n v="0"/>
    <n v="0"/>
    <n v="0"/>
    <x v="0"/>
    <m/>
  </r>
  <r>
    <x v="0"/>
    <x v="0"/>
    <x v="0"/>
    <x v="0"/>
    <n v="6235"/>
    <x v="497"/>
    <x v="13"/>
    <n v="3.29999998211861E-2"/>
    <n v="526082"/>
    <n v="172867"/>
    <m/>
    <x v="561"/>
    <s v="PF"/>
    <d v="2016-05-09T00:00:00"/>
    <x v="390"/>
    <m/>
    <m/>
    <s v="Nil"/>
    <m/>
    <m/>
    <s v="Alterations including change of use from restaurant (Class A3) at ground floor and ancillary accommodation at first and second floors above to part retail unit/office unit (Class A1 / A2) and part residential unit (Class C3) to the rear at ground floor level and seperate residential units above (forming 2 x 1 bedroom flats and 1 x 2 bedroom flat). Associated extensions including erection of rear roof extension to main rear roof (with French doors and safety railings); erection of single-storey rear/side extension and formation of roof terrace at rear first floor level. Installation of new shopfront."/>
    <x v="547"/>
    <s v="MIX"/>
    <x v="0"/>
    <s v="OC"/>
    <m/>
    <d v="2017-01-23T00:00:00"/>
    <d v="2017-06-12T00:00:00"/>
    <d v="2018-03-31T00:00:00"/>
    <s v="C"/>
    <s v="BF"/>
    <x v="0"/>
    <m/>
    <d v="2017-01-23T00:00:00"/>
    <d v="2017-06-12T00:00:00"/>
    <n v="40"/>
    <m/>
    <m/>
    <m/>
    <m/>
    <n v="40"/>
    <m/>
    <m/>
    <m/>
    <m/>
    <m/>
    <m/>
    <m/>
    <m/>
    <m/>
    <m/>
    <m/>
    <m/>
    <n v="108"/>
    <m/>
    <m/>
    <n v="108"/>
    <m/>
    <m/>
    <m/>
    <m/>
    <m/>
    <m/>
    <m/>
    <m/>
    <m/>
    <x v="1"/>
    <x v="0"/>
    <x v="1"/>
    <n v="40"/>
    <m/>
    <n v="-108"/>
    <m/>
    <m/>
    <n v="-68"/>
    <m/>
    <x v="0"/>
    <m/>
    <m/>
    <m/>
    <m/>
    <m/>
    <x v="0"/>
    <m/>
    <m/>
    <m/>
    <m/>
    <s v="Not Known"/>
    <s v="-"/>
    <s v="-"/>
    <s v="-"/>
    <s v="-"/>
    <s v="-"/>
    <s v="-"/>
    <s v="-"/>
    <s v="-"/>
    <s v="-"/>
    <s v="-"/>
    <x v="1"/>
    <x v="0"/>
    <s v="-"/>
    <s v="-"/>
    <s v="Restaurant"/>
    <s v="-"/>
    <s v="-"/>
    <s v="-"/>
    <s v="-"/>
    <s v="-"/>
    <s v="-"/>
    <s v="-"/>
    <s v="-"/>
    <x v="0"/>
    <x v="0"/>
    <n v="4.0000006556510995E-3"/>
    <n v="40"/>
    <n v="108"/>
    <n v="-68"/>
    <x v="0"/>
    <x v="0"/>
    <m/>
    <x v="0"/>
    <m/>
    <x v="0"/>
    <m/>
    <x v="0"/>
    <x v="0"/>
    <x v="0"/>
    <x v="1"/>
    <s v="Earlsfield"/>
    <n v="211"/>
    <n v="88"/>
    <n v="123"/>
    <x v="1"/>
    <m/>
  </r>
  <r>
    <x v="2"/>
    <x v="2"/>
    <x v="2"/>
    <x v="1"/>
    <n v="6237"/>
    <x v="498"/>
    <x v="3"/>
    <n v="9.9999997764825804E-3"/>
    <n v="527817"/>
    <n v="174580"/>
    <m/>
    <x v="562"/>
    <s v="PANR"/>
    <d v="2016-05-16T00:00:00"/>
    <x v="391"/>
    <m/>
    <m/>
    <s v="Nil"/>
    <m/>
    <m/>
    <s v="Determination as to whether prior approval is required for change of use from office (Class B1a) to one residential unit (Class C3)."/>
    <x v="169"/>
    <s v="COU"/>
    <x v="2"/>
    <s v="NSO"/>
    <m/>
    <m/>
    <m/>
    <m/>
    <s v="C"/>
    <s v="BF"/>
    <x v="0"/>
    <m/>
    <m/>
    <m/>
    <m/>
    <m/>
    <m/>
    <m/>
    <m/>
    <m/>
    <m/>
    <m/>
    <m/>
    <m/>
    <m/>
    <m/>
    <m/>
    <m/>
    <m/>
    <m/>
    <m/>
    <m/>
    <m/>
    <m/>
    <m/>
    <m/>
    <n v="37"/>
    <m/>
    <m/>
    <m/>
    <m/>
    <n v="37"/>
    <m/>
    <m/>
    <m/>
    <x v="0"/>
    <x v="1"/>
    <x v="1"/>
    <m/>
    <m/>
    <m/>
    <m/>
    <m/>
    <m/>
    <n v="-37"/>
    <x v="1"/>
    <m/>
    <m/>
    <m/>
    <m/>
    <n v="-37"/>
    <x v="1"/>
    <m/>
    <m/>
    <m/>
    <m/>
    <s v="-"/>
    <s v="-"/>
    <s v="-"/>
    <s v="-"/>
    <s v="-"/>
    <s v="-"/>
    <s v="-"/>
    <s v="-"/>
    <s v="-"/>
    <s v="-"/>
    <s v="-"/>
    <x v="1"/>
    <x v="0"/>
    <s v="-"/>
    <s v="-"/>
    <s v="-"/>
    <s v="-"/>
    <s v="-"/>
    <s v="Not Known"/>
    <s v="-"/>
    <s v="-"/>
    <s v="-"/>
    <s v="-"/>
    <s v="-"/>
    <x v="0"/>
    <x v="0"/>
    <n v="0"/>
    <n v="0"/>
    <n v="37"/>
    <n v="-37"/>
    <x v="0"/>
    <x v="0"/>
    <m/>
    <x v="0"/>
    <m/>
    <x v="0"/>
    <m/>
    <x v="0"/>
    <x v="0"/>
    <x v="0"/>
    <x v="0"/>
    <m/>
    <n v="37"/>
    <n v="0"/>
    <n v="37"/>
    <x v="1"/>
    <m/>
  </r>
  <r>
    <x v="2"/>
    <x v="3"/>
    <x v="3"/>
    <x v="1"/>
    <n v="6238"/>
    <x v="499"/>
    <x v="12"/>
    <n v="1.4000000432133701E-2"/>
    <n v="524777"/>
    <n v="173324"/>
    <m/>
    <x v="563"/>
    <s v="LDC Prop"/>
    <d v="2016-09-19T00:00:00"/>
    <x v="377"/>
    <m/>
    <m/>
    <s v="Nil"/>
    <m/>
    <m/>
    <s v="Change of use from betting office (Sui Generis) to a retail shop (Class A1)."/>
    <x v="548"/>
    <s v="COU"/>
    <x v="2"/>
    <s v="NSO"/>
    <m/>
    <m/>
    <m/>
    <m/>
    <s v="C"/>
    <s v="BF"/>
    <x v="0"/>
    <m/>
    <m/>
    <m/>
    <n v="95"/>
    <m/>
    <m/>
    <m/>
    <m/>
    <n v="95"/>
    <m/>
    <m/>
    <m/>
    <m/>
    <m/>
    <m/>
    <m/>
    <m/>
    <m/>
    <m/>
    <m/>
    <m/>
    <m/>
    <m/>
    <m/>
    <m/>
    <m/>
    <m/>
    <m/>
    <m/>
    <m/>
    <m/>
    <m/>
    <m/>
    <m/>
    <x v="1"/>
    <x v="0"/>
    <x v="1"/>
    <n v="95"/>
    <m/>
    <m/>
    <m/>
    <m/>
    <n v="95"/>
    <m/>
    <x v="0"/>
    <m/>
    <m/>
    <m/>
    <m/>
    <m/>
    <x v="0"/>
    <m/>
    <m/>
    <m/>
    <m/>
    <s v="Not Known"/>
    <s v="-"/>
    <s v="-"/>
    <s v="-"/>
    <s v="-"/>
    <s v="-"/>
    <s v="-"/>
    <s v="-"/>
    <s v="-"/>
    <s v="-"/>
    <s v="-"/>
    <x v="1"/>
    <x v="0"/>
    <s v="-"/>
    <s v="-"/>
    <s v="-"/>
    <s v="-"/>
    <s v="-"/>
    <s v="-"/>
    <s v="-"/>
    <s v="-"/>
    <s v="-"/>
    <s v="-"/>
    <s v="-"/>
    <x v="0"/>
    <x v="0"/>
    <n v="1.4000000432133701E-2"/>
    <n v="95"/>
    <n v="95"/>
    <n v="0"/>
    <x v="0"/>
    <x v="0"/>
    <m/>
    <x v="0"/>
    <m/>
    <x v="0"/>
    <m/>
    <x v="0"/>
    <x v="0"/>
    <x v="0"/>
    <x v="1"/>
    <s v="Southfields"/>
    <n v="0"/>
    <n v="0"/>
    <n v="0"/>
    <x v="0"/>
    <m/>
  </r>
  <r>
    <x v="0"/>
    <x v="0"/>
    <x v="0"/>
    <x v="0"/>
    <n v="6244"/>
    <x v="500"/>
    <x v="8"/>
    <n v="1.2000000104308101E-2"/>
    <n v="528679"/>
    <n v="176906"/>
    <m/>
    <x v="564"/>
    <s v="PF"/>
    <d v="2017-11-29T00:00:00"/>
    <x v="392"/>
    <s v="Y"/>
    <m/>
    <s v="Nil"/>
    <m/>
    <m/>
    <s v="Change of use from former bank premises (Class A2) including ancillary accommodation at first and second floor levels to religious building (Class D1) and alterations including new entrance doors and formation of mansard roof extension over existing flat roof section."/>
    <x v="549"/>
    <s v="MIX"/>
    <x v="0"/>
    <s v="OC"/>
    <m/>
    <d v="2018-02-05T00:00:00"/>
    <d v="2018-03-31T00:00:00"/>
    <d v="2018-03-31T00:00:00"/>
    <s v="C"/>
    <s v="BF"/>
    <x v="0"/>
    <m/>
    <d v="2018-02-05T00:00:00"/>
    <d v="2018-03-31T00:00:00"/>
    <m/>
    <m/>
    <m/>
    <m/>
    <m/>
    <m/>
    <m/>
    <m/>
    <m/>
    <m/>
    <m/>
    <m/>
    <m/>
    <n v="357"/>
    <m/>
    <n v="357"/>
    <m/>
    <n v="299"/>
    <m/>
    <m/>
    <m/>
    <n v="299"/>
    <m/>
    <m/>
    <m/>
    <m/>
    <m/>
    <m/>
    <m/>
    <m/>
    <m/>
    <x v="1"/>
    <x v="0"/>
    <x v="0"/>
    <m/>
    <n v="-299"/>
    <m/>
    <m/>
    <m/>
    <n v="-299"/>
    <m/>
    <x v="0"/>
    <m/>
    <m/>
    <m/>
    <m/>
    <m/>
    <x v="0"/>
    <m/>
    <n v="357"/>
    <m/>
    <n v="357"/>
    <s v="-"/>
    <s v="-"/>
    <s v="-"/>
    <s v="-"/>
    <s v="-"/>
    <s v="-"/>
    <s v="-"/>
    <s v="-"/>
    <s v="-"/>
    <s v="-"/>
    <s v="-"/>
    <x v="7"/>
    <x v="0"/>
    <s v="-"/>
    <s v="Vacant"/>
    <s v="-"/>
    <s v="-"/>
    <s v="-"/>
    <s v="-"/>
    <s v="-"/>
    <s v="-"/>
    <s v="-"/>
    <s v="-"/>
    <s v="-"/>
    <x v="0"/>
    <x v="0"/>
    <n v="1.2000000104308101E-2"/>
    <n v="357"/>
    <n v="299"/>
    <n v="58"/>
    <x v="0"/>
    <x v="0"/>
    <m/>
    <x v="0"/>
    <m/>
    <x v="0"/>
    <m/>
    <x v="0"/>
    <x v="0"/>
    <x v="0"/>
    <x v="0"/>
    <m/>
    <n v="0"/>
    <n v="0"/>
    <n v="0"/>
    <x v="0"/>
    <m/>
  </r>
  <r>
    <x v="0"/>
    <x v="0"/>
    <x v="0"/>
    <x v="0"/>
    <n v="6245"/>
    <x v="501"/>
    <x v="13"/>
    <n v="3.20000015199184E-2"/>
    <n v="526018"/>
    <n v="173059"/>
    <m/>
    <x v="565"/>
    <s v="PF"/>
    <d v="2016-04-20T00:00:00"/>
    <x v="393"/>
    <m/>
    <m/>
    <s v="Nil"/>
    <m/>
    <m/>
    <s v="Alterations including the excavation to enlarge existing basement, removal of existing roof of no.505 and replacement with new roof at an increased height of 1m at its ridge and 0.3m at its eaves; raising the ridge of no.507 by 1m; erection of rear mansard roof extensions to main roofs, with three dormers; demolition of existing rear additions and erection of part single/ part 2/ part 3-storey rear extensions with first second and third floor roof terrace  and second floor balcony, (including associated safety balustrade/screening); alterations to the existing window openings, together with replacement windows to front elevation of no. 505;  installation of replacement shop frontages, with other alterations to the buildings; in connection with the conversion of the buildings to create 8 flats and the conversion/amalgamation of the existing ground floor commercial units to create one A1, A2 or A3 use class unit (net loss of 1 commercial unit)."/>
    <x v="550"/>
    <s v="MIX"/>
    <x v="0"/>
    <s v="OC"/>
    <m/>
    <d v="2016-08-03T00:00:00"/>
    <d v="2018-03-31T00:00:00"/>
    <d v="2018-03-31T00:00:00"/>
    <s v="C"/>
    <s v="BF"/>
    <x v="0"/>
    <m/>
    <d v="2016-08-03T00:00:00"/>
    <d v="2018-03-31T00:00:00"/>
    <n v="404"/>
    <m/>
    <m/>
    <m/>
    <m/>
    <n v="404"/>
    <m/>
    <m/>
    <m/>
    <m/>
    <m/>
    <m/>
    <m/>
    <m/>
    <m/>
    <m/>
    <n v="160"/>
    <m/>
    <n v="156"/>
    <m/>
    <m/>
    <n v="316"/>
    <m/>
    <m/>
    <m/>
    <m/>
    <m/>
    <m/>
    <m/>
    <m/>
    <m/>
    <x v="1"/>
    <x v="0"/>
    <x v="1"/>
    <n v="244"/>
    <m/>
    <n v="-156"/>
    <m/>
    <m/>
    <n v="88"/>
    <m/>
    <x v="0"/>
    <m/>
    <m/>
    <m/>
    <m/>
    <m/>
    <x v="0"/>
    <m/>
    <m/>
    <m/>
    <m/>
    <s v="Not Known"/>
    <s v="-"/>
    <s v="-"/>
    <s v="-"/>
    <s v="-"/>
    <s v="-"/>
    <s v="-"/>
    <s v="-"/>
    <s v="-"/>
    <s v="-"/>
    <s v="-"/>
    <x v="1"/>
    <x v="0"/>
    <s v="Vacant"/>
    <s v="-"/>
    <s v="Vacant"/>
    <s v="-"/>
    <s v="-"/>
    <s v="-"/>
    <s v="-"/>
    <s v="-"/>
    <s v="-"/>
    <s v="-"/>
    <s v="-"/>
    <x v="0"/>
    <x v="0"/>
    <n v="1.1000001803040501E-2"/>
    <n v="404"/>
    <n v="316"/>
    <n v="88"/>
    <x v="0"/>
    <x v="0"/>
    <m/>
    <x v="0"/>
    <m/>
    <x v="0"/>
    <m/>
    <x v="0"/>
    <x v="0"/>
    <x v="0"/>
    <x v="1"/>
    <s v="Earlsfield"/>
    <n v="578"/>
    <n v="352"/>
    <n v="226"/>
    <x v="1"/>
    <m/>
  </r>
  <r>
    <x v="0"/>
    <x v="0"/>
    <x v="0"/>
    <x v="0"/>
    <n v="6245"/>
    <x v="501"/>
    <x v="13"/>
    <n v="3.20000015199184E-2"/>
    <n v="526018"/>
    <n v="173059"/>
    <m/>
    <x v="566"/>
    <s v="PF"/>
    <d v="2017-03-03T00:00:00"/>
    <x v="219"/>
    <s v="Y"/>
    <m/>
    <s v="Nil"/>
    <m/>
    <m/>
    <s v="Alterations including changes to the ground floor front elevation and internal subdivision of ground and basement floors to provide 2 x duplex commercial units and refuse and cycle storage area for upper floors."/>
    <x v="551"/>
    <s v="COU"/>
    <x v="2"/>
    <s v="OC"/>
    <m/>
    <d v="2017-04-27T00:00:00"/>
    <d v="2018-03-12T00:00:00"/>
    <d v="2018-03-31T00:00:00"/>
    <s v="C"/>
    <s v="BF"/>
    <x v="0"/>
    <m/>
    <d v="2017-04-27T00:00:00"/>
    <d v="2018-03-12T00:00:00"/>
    <n v="167"/>
    <m/>
    <n v="275"/>
    <m/>
    <m/>
    <n v="442"/>
    <m/>
    <m/>
    <m/>
    <m/>
    <m/>
    <m/>
    <m/>
    <m/>
    <m/>
    <m/>
    <n v="442"/>
    <m/>
    <m/>
    <m/>
    <m/>
    <n v="442"/>
    <m/>
    <m/>
    <m/>
    <m/>
    <m/>
    <m/>
    <m/>
    <m/>
    <m/>
    <x v="1"/>
    <x v="0"/>
    <x v="1"/>
    <n v="-275"/>
    <m/>
    <n v="275"/>
    <m/>
    <m/>
    <m/>
    <m/>
    <x v="0"/>
    <m/>
    <m/>
    <m/>
    <m/>
    <m/>
    <x v="0"/>
    <m/>
    <m/>
    <m/>
    <m/>
    <s v="Not Known"/>
    <s v="-"/>
    <s v="Not Known"/>
    <s v="-"/>
    <s v="-"/>
    <s v="-"/>
    <s v="-"/>
    <s v="-"/>
    <s v="-"/>
    <s v="-"/>
    <s v="-"/>
    <x v="1"/>
    <x v="0"/>
    <s v="Not Known"/>
    <s v="-"/>
    <s v="-"/>
    <s v="-"/>
    <s v="-"/>
    <s v="-"/>
    <s v="-"/>
    <s v="-"/>
    <s v="-"/>
    <s v="-"/>
    <s v="-"/>
    <x v="0"/>
    <x v="0"/>
    <n v="3.20000015199184E-2"/>
    <n v="442"/>
    <n v="442"/>
    <n v="0"/>
    <x v="0"/>
    <x v="0"/>
    <m/>
    <x v="0"/>
    <m/>
    <x v="0"/>
    <m/>
    <x v="0"/>
    <x v="0"/>
    <x v="0"/>
    <x v="1"/>
    <s v="Earlsfield"/>
    <n v="0"/>
    <n v="0"/>
    <n v="0"/>
    <x v="0"/>
    <m/>
  </r>
  <r>
    <x v="0"/>
    <x v="0"/>
    <x v="0"/>
    <x v="0"/>
    <n v="6246"/>
    <x v="502"/>
    <x v="12"/>
    <n v="8.0000003799796104E-3"/>
    <n v="525229"/>
    <n v="173893"/>
    <m/>
    <x v="567"/>
    <s v="PF"/>
    <d v="2016-03-30T00:00:00"/>
    <x v="158"/>
    <m/>
    <m/>
    <s v="Nil"/>
    <m/>
    <m/>
    <s v="Alterations including erection of roof extension to main rear roof and above two-storey back addition; erection of first floor rear extension to main building; erection of part single, part two-storey rear/side extension to rear garage building connecting it to the main building; creation of first floor roof terrace enclosed by railings. Works in connection with proposed use of upper floors of main building as 2 flats ( 1x2 and 1x1 bedroom) accessed from Merton Road, and use of rear part as 1x1 bedroom maisonette accessed from Coliston Passage. Provision of associated cycle and refuse storage at front and rear."/>
    <x v="552"/>
    <s v="MIX"/>
    <x v="0"/>
    <s v="OC"/>
    <m/>
    <d v="2016-11-01T00:00:00"/>
    <d v="2017-04-26T00:00:00"/>
    <d v="2017-04-26T00:00:00"/>
    <s v="C"/>
    <s v="BF"/>
    <x v="0"/>
    <m/>
    <d v="2016-11-01T00:00:00"/>
    <d v="2017-04-26T00:00:00"/>
    <m/>
    <m/>
    <m/>
    <m/>
    <m/>
    <m/>
    <m/>
    <m/>
    <m/>
    <m/>
    <m/>
    <m/>
    <m/>
    <m/>
    <m/>
    <m/>
    <m/>
    <m/>
    <m/>
    <m/>
    <m/>
    <m/>
    <m/>
    <m/>
    <m/>
    <m/>
    <m/>
    <m/>
    <m/>
    <m/>
    <m/>
    <x v="0"/>
    <x v="0"/>
    <x v="1"/>
    <m/>
    <m/>
    <m/>
    <m/>
    <m/>
    <m/>
    <m/>
    <x v="0"/>
    <m/>
    <m/>
    <m/>
    <m/>
    <m/>
    <x v="0"/>
    <m/>
    <m/>
    <m/>
    <m/>
    <s v="-"/>
    <s v="-"/>
    <s v="-"/>
    <s v="-"/>
    <s v="-"/>
    <s v="-"/>
    <s v="-"/>
    <s v="-"/>
    <s v="-"/>
    <s v="-"/>
    <s v="-"/>
    <x v="1"/>
    <x v="0"/>
    <s v="-"/>
    <s v="-"/>
    <s v="-"/>
    <s v="-"/>
    <s v="-"/>
    <s v="-"/>
    <s v="-"/>
    <s v="-"/>
    <s v="-"/>
    <s v="-"/>
    <s v="-"/>
    <x v="0"/>
    <x v="0"/>
    <n v="2.0000000949949009E-3"/>
    <n v="0"/>
    <n v="20"/>
    <n v="-20"/>
    <x v="0"/>
    <x v="0"/>
    <m/>
    <x v="0"/>
    <m/>
    <x v="0"/>
    <m/>
    <x v="0"/>
    <x v="0"/>
    <x v="0"/>
    <x v="0"/>
    <m/>
    <n v="180"/>
    <n v="94"/>
    <n v="86"/>
    <x v="1"/>
    <m/>
  </r>
  <r>
    <x v="0"/>
    <x v="0"/>
    <x v="0"/>
    <x v="0"/>
    <n v="6254"/>
    <x v="503"/>
    <x v="5"/>
    <n v="6.1999998986720997E-2"/>
    <n v="525880"/>
    <n v="175296"/>
    <m/>
    <x v="568"/>
    <s v="PF"/>
    <d v="2016-08-09T00:00:00"/>
    <x v="179"/>
    <m/>
    <m/>
    <s v="Nil"/>
    <m/>
    <m/>
    <s v="Change of use from office (Class B1) to financial and professional services (Class A2)."/>
    <x v="553"/>
    <s v="COU"/>
    <x v="2"/>
    <s v="OC"/>
    <m/>
    <d v="2016-09-14T00:00:00"/>
    <d v="2018-03-31T00:00:00"/>
    <d v="2018-03-31T00:00:00"/>
    <s v="C"/>
    <s v="BF"/>
    <x v="0"/>
    <m/>
    <d v="2016-09-14T00:00:00"/>
    <d v="2018-03-31T00:00:00"/>
    <m/>
    <n v="51"/>
    <m/>
    <m/>
    <m/>
    <n v="51"/>
    <m/>
    <m/>
    <m/>
    <m/>
    <m/>
    <m/>
    <m/>
    <m/>
    <m/>
    <m/>
    <m/>
    <m/>
    <m/>
    <m/>
    <m/>
    <m/>
    <n v="51"/>
    <m/>
    <m/>
    <m/>
    <m/>
    <n v="51"/>
    <m/>
    <m/>
    <m/>
    <x v="1"/>
    <x v="1"/>
    <x v="1"/>
    <m/>
    <n v="51"/>
    <m/>
    <m/>
    <m/>
    <n v="51"/>
    <n v="-51"/>
    <x v="1"/>
    <m/>
    <m/>
    <m/>
    <m/>
    <n v="-51"/>
    <x v="1"/>
    <m/>
    <m/>
    <m/>
    <m/>
    <s v="-"/>
    <s v="Estate Agent"/>
    <s v="-"/>
    <s v="-"/>
    <s v="-"/>
    <s v="-"/>
    <s v="-"/>
    <s v="-"/>
    <s v="-"/>
    <s v="-"/>
    <s v="-"/>
    <x v="1"/>
    <x v="0"/>
    <s v="-"/>
    <s v="-"/>
    <s v="-"/>
    <s v="-"/>
    <s v="-"/>
    <s v="Vacant"/>
    <s v="-"/>
    <s v="-"/>
    <s v="-"/>
    <s v="-"/>
    <s v="-"/>
    <x v="0"/>
    <x v="0"/>
    <n v="6.1999998986720997E-2"/>
    <n v="51"/>
    <n v="51"/>
    <n v="0"/>
    <x v="1"/>
    <x v="0"/>
    <m/>
    <x v="0"/>
    <m/>
    <x v="0"/>
    <m/>
    <x v="0"/>
    <x v="0"/>
    <x v="0"/>
    <x v="0"/>
    <m/>
    <n v="0"/>
    <n v="0"/>
    <n v="0"/>
    <x v="0"/>
    <m/>
  </r>
  <r>
    <x v="2"/>
    <x v="0"/>
    <x v="0"/>
    <x v="1"/>
    <n v="6255"/>
    <x v="504"/>
    <x v="9"/>
    <n v="2.6919999122619598"/>
    <n v="527569"/>
    <n v="176046"/>
    <m/>
    <x v="569"/>
    <s v="PF"/>
    <d v="2016-06-09T00:00:00"/>
    <x v="394"/>
    <m/>
    <m/>
    <s v="Nil"/>
    <m/>
    <m/>
    <s v="Provision of enclosed floodlit football pitches and a single storey building for changing rooms and cycle parking to the southern part of Falcon Park.  Associated landscaping improvements include the provision pedestrian open space and playground to the former car park to the northern end of the site."/>
    <x v="554"/>
    <s v="MIX"/>
    <x v="0"/>
    <s v="NSV"/>
    <m/>
    <m/>
    <m/>
    <m/>
    <s v="C"/>
    <s v="BF"/>
    <x v="0"/>
    <m/>
    <m/>
    <m/>
    <m/>
    <m/>
    <m/>
    <m/>
    <m/>
    <m/>
    <m/>
    <m/>
    <m/>
    <m/>
    <m/>
    <m/>
    <m/>
    <m/>
    <m/>
    <m/>
    <m/>
    <m/>
    <m/>
    <m/>
    <m/>
    <m/>
    <m/>
    <m/>
    <m/>
    <m/>
    <m/>
    <m/>
    <m/>
    <m/>
    <m/>
    <x v="0"/>
    <x v="0"/>
    <x v="1"/>
    <m/>
    <m/>
    <m/>
    <m/>
    <m/>
    <m/>
    <m/>
    <x v="0"/>
    <m/>
    <m/>
    <m/>
    <m/>
    <m/>
    <x v="0"/>
    <m/>
    <m/>
    <m/>
    <m/>
    <s v="-"/>
    <s v="-"/>
    <s v="-"/>
    <s v="-"/>
    <s v="-"/>
    <s v="-"/>
    <s v="-"/>
    <s v="-"/>
    <s v="-"/>
    <s v="-"/>
    <s v="-"/>
    <x v="1"/>
    <x v="0"/>
    <s v="-"/>
    <s v="-"/>
    <s v="-"/>
    <s v="-"/>
    <s v="-"/>
    <s v="-"/>
    <s v="-"/>
    <s v="-"/>
    <s v="-"/>
    <s v="-"/>
    <s v="-"/>
    <x v="0"/>
    <x v="0"/>
    <n v="2.6919999122619598"/>
    <n v="5172"/>
    <n v="5172"/>
    <n v="0"/>
    <x v="0"/>
    <x v="0"/>
    <m/>
    <x v="0"/>
    <m/>
    <x v="0"/>
    <m/>
    <x v="0"/>
    <x v="0"/>
    <x v="0"/>
    <x v="0"/>
    <m/>
    <n v="0"/>
    <n v="0"/>
    <n v="0"/>
    <x v="0"/>
    <m/>
  </r>
  <r>
    <x v="2"/>
    <x v="0"/>
    <x v="0"/>
    <x v="1"/>
    <n v="6256"/>
    <x v="505"/>
    <x v="9"/>
    <n v="3.5000000149011598E-2"/>
    <n v="528092"/>
    <n v="176612"/>
    <m/>
    <x v="570"/>
    <s v="PF"/>
    <d v="2016-05-25T00:00:00"/>
    <x v="395"/>
    <m/>
    <m/>
    <s v="Nil"/>
    <m/>
    <m/>
    <s v="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
    <x v="555"/>
    <s v="MIX"/>
    <x v="0"/>
    <s v="NSO"/>
    <m/>
    <m/>
    <m/>
    <m/>
    <s v="C"/>
    <s v="BF"/>
    <x v="0"/>
    <m/>
    <m/>
    <m/>
    <m/>
    <m/>
    <m/>
    <n v="351"/>
    <m/>
    <n v="351"/>
    <m/>
    <m/>
    <m/>
    <m/>
    <m/>
    <m/>
    <m/>
    <m/>
    <m/>
    <m/>
    <m/>
    <m/>
    <m/>
    <n v="488"/>
    <m/>
    <n v="488"/>
    <m/>
    <m/>
    <m/>
    <m/>
    <m/>
    <m/>
    <m/>
    <m/>
    <m/>
    <x v="1"/>
    <x v="0"/>
    <x v="1"/>
    <m/>
    <m/>
    <m/>
    <n v="-137"/>
    <m/>
    <n v="-137"/>
    <m/>
    <x v="0"/>
    <m/>
    <m/>
    <m/>
    <m/>
    <m/>
    <x v="0"/>
    <m/>
    <m/>
    <m/>
    <m/>
    <s v="-"/>
    <s v="-"/>
    <s v="-"/>
    <s v="Public House"/>
    <s v="-"/>
    <s v="-"/>
    <s v="-"/>
    <s v="-"/>
    <s v="-"/>
    <s v="-"/>
    <s v="-"/>
    <x v="1"/>
    <x v="0"/>
    <s v="-"/>
    <s v="-"/>
    <s v="-"/>
    <s v="Public House"/>
    <s v="-"/>
    <s v="-"/>
    <s v="-"/>
    <s v="-"/>
    <s v="-"/>
    <s v="-"/>
    <s v="-"/>
    <x v="0"/>
    <x v="0"/>
    <n v="1.2000000104308097E-2"/>
    <n v="351"/>
    <n v="488"/>
    <n v="-137"/>
    <x v="0"/>
    <x v="0"/>
    <m/>
    <x v="0"/>
    <m/>
    <x v="0"/>
    <m/>
    <x v="0"/>
    <x v="0"/>
    <x v="0"/>
    <x v="0"/>
    <m/>
    <n v="432"/>
    <n v="0"/>
    <n v="432"/>
    <x v="1"/>
    <m/>
  </r>
  <r>
    <x v="2"/>
    <x v="0"/>
    <x v="0"/>
    <x v="1"/>
    <n v="6256"/>
    <x v="505"/>
    <x v="9"/>
    <n v="3.5000000149011598E-2"/>
    <n v="528092"/>
    <n v="176612"/>
    <m/>
    <x v="571"/>
    <s v="PF"/>
    <d v="2017-01-17T00:00:00"/>
    <x v="334"/>
    <m/>
    <m/>
    <s v="Nil"/>
    <m/>
    <m/>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x v="556"/>
    <s v="NB"/>
    <x v="0"/>
    <s v="NSO"/>
    <m/>
    <m/>
    <m/>
    <m/>
    <s v="C"/>
    <s v="BF"/>
    <x v="0"/>
    <m/>
    <m/>
    <m/>
    <m/>
    <m/>
    <m/>
    <n v="345"/>
    <m/>
    <n v="345"/>
    <m/>
    <m/>
    <m/>
    <m/>
    <m/>
    <m/>
    <m/>
    <m/>
    <m/>
    <m/>
    <m/>
    <m/>
    <m/>
    <n v="477"/>
    <m/>
    <n v="477"/>
    <m/>
    <m/>
    <m/>
    <m/>
    <m/>
    <m/>
    <m/>
    <m/>
    <m/>
    <x v="1"/>
    <x v="0"/>
    <x v="1"/>
    <m/>
    <m/>
    <m/>
    <n v="-132"/>
    <m/>
    <n v="-132"/>
    <m/>
    <x v="0"/>
    <m/>
    <m/>
    <m/>
    <m/>
    <m/>
    <x v="0"/>
    <m/>
    <m/>
    <m/>
    <m/>
    <s v="-"/>
    <s v="-"/>
    <s v="-"/>
    <s v="Public House"/>
    <s v="-"/>
    <s v="-"/>
    <s v="-"/>
    <s v="-"/>
    <s v="-"/>
    <s v="-"/>
    <s v="-"/>
    <x v="1"/>
    <x v="0"/>
    <s v="-"/>
    <s v="-"/>
    <s v="-"/>
    <s v="Public House"/>
    <s v="-"/>
    <s v="-"/>
    <s v="-"/>
    <s v="-"/>
    <s v="-"/>
    <s v="-"/>
    <s v="-"/>
    <x v="0"/>
    <x v="0"/>
    <n v="2.0999999716877896E-2"/>
    <n v="345"/>
    <n v="477"/>
    <n v="-132"/>
    <x v="0"/>
    <x v="0"/>
    <m/>
    <x v="0"/>
    <m/>
    <x v="0"/>
    <m/>
    <x v="0"/>
    <x v="0"/>
    <x v="0"/>
    <x v="0"/>
    <m/>
    <n v="335"/>
    <n v="0"/>
    <n v="335"/>
    <x v="1"/>
    <m/>
  </r>
  <r>
    <x v="2"/>
    <x v="2"/>
    <x v="2"/>
    <x v="1"/>
    <n v="6258"/>
    <x v="506"/>
    <x v="4"/>
    <n v="1.7000000923872001E-2"/>
    <n v="526425"/>
    <n v="175766"/>
    <s v="10.15"/>
    <x v="572"/>
    <s v="PAG"/>
    <d v="2016-06-01T00:00:00"/>
    <x v="396"/>
    <m/>
    <m/>
    <s v="Nil"/>
    <m/>
    <m/>
    <s v="Determination as to whether prior approval is required for change of use from office (Class B1a) to one residential unit (Class C3) at ground, first and second floor levels."/>
    <x v="557"/>
    <s v="COU"/>
    <x v="2"/>
    <s v="NSO"/>
    <m/>
    <m/>
    <m/>
    <m/>
    <s v="C"/>
    <s v="BF"/>
    <x v="0"/>
    <m/>
    <m/>
    <m/>
    <m/>
    <m/>
    <m/>
    <m/>
    <m/>
    <m/>
    <m/>
    <m/>
    <m/>
    <m/>
    <m/>
    <m/>
    <m/>
    <m/>
    <m/>
    <m/>
    <m/>
    <m/>
    <m/>
    <m/>
    <m/>
    <m/>
    <n v="79"/>
    <m/>
    <m/>
    <m/>
    <m/>
    <n v="79"/>
    <m/>
    <m/>
    <m/>
    <x v="0"/>
    <x v="1"/>
    <x v="1"/>
    <m/>
    <m/>
    <m/>
    <m/>
    <m/>
    <m/>
    <n v="-79"/>
    <x v="1"/>
    <m/>
    <m/>
    <m/>
    <m/>
    <n v="-79"/>
    <x v="1"/>
    <m/>
    <m/>
    <m/>
    <m/>
    <s v="-"/>
    <s v="-"/>
    <s v="-"/>
    <s v="-"/>
    <s v="-"/>
    <s v="-"/>
    <s v="-"/>
    <s v="-"/>
    <s v="-"/>
    <s v="-"/>
    <s v="-"/>
    <x v="1"/>
    <x v="0"/>
    <s v="-"/>
    <s v="-"/>
    <s v="-"/>
    <s v="-"/>
    <s v="-"/>
    <s v="Financial or Professional Services"/>
    <s v="-"/>
    <s v="-"/>
    <s v="-"/>
    <s v="-"/>
    <s v="-"/>
    <x v="0"/>
    <x v="0"/>
    <n v="1.7000000923872001E-2"/>
    <n v="0"/>
    <n v="79"/>
    <n v="-79"/>
    <x v="1"/>
    <x v="0"/>
    <m/>
    <x v="0"/>
    <m/>
    <x v="0"/>
    <m/>
    <x v="0"/>
    <x v="0"/>
    <x v="0"/>
    <x v="0"/>
    <m/>
    <n v="79"/>
    <n v="0"/>
    <n v="79"/>
    <x v="1"/>
    <m/>
  </r>
  <r>
    <x v="2"/>
    <x v="2"/>
    <x v="2"/>
    <x v="1"/>
    <n v="6259"/>
    <x v="507"/>
    <x v="4"/>
    <n v="1.60000007599592E-2"/>
    <n v="526526"/>
    <n v="175804"/>
    <s v="10.15"/>
    <x v="573"/>
    <s v="PAG"/>
    <d v="2016-06-06T00:00:00"/>
    <x v="362"/>
    <m/>
    <m/>
    <s v="Nil"/>
    <m/>
    <m/>
    <s v="Determination as to whether prior approval is required for change of use from office (Class B1a) to 3 x 1-bedroom flats and 3 studio flats (Class C3) at ground, first and roof levels."/>
    <x v="558"/>
    <s v="COU"/>
    <x v="2"/>
    <s v="NSV"/>
    <m/>
    <m/>
    <m/>
    <m/>
    <s v="C"/>
    <s v="BF"/>
    <x v="0"/>
    <m/>
    <m/>
    <m/>
    <m/>
    <m/>
    <m/>
    <m/>
    <m/>
    <m/>
    <m/>
    <m/>
    <m/>
    <m/>
    <m/>
    <m/>
    <m/>
    <m/>
    <m/>
    <m/>
    <m/>
    <m/>
    <m/>
    <m/>
    <m/>
    <m/>
    <n v="271"/>
    <m/>
    <m/>
    <m/>
    <m/>
    <n v="271"/>
    <m/>
    <m/>
    <m/>
    <x v="0"/>
    <x v="1"/>
    <x v="1"/>
    <m/>
    <m/>
    <m/>
    <m/>
    <m/>
    <m/>
    <n v="-271"/>
    <x v="1"/>
    <m/>
    <m/>
    <m/>
    <m/>
    <n v="-271"/>
    <x v="1"/>
    <m/>
    <m/>
    <m/>
    <m/>
    <s v="-"/>
    <s v="-"/>
    <s v="-"/>
    <s v="-"/>
    <s v="-"/>
    <s v="-"/>
    <s v="-"/>
    <s v="-"/>
    <s v="-"/>
    <s v="-"/>
    <s v="-"/>
    <x v="1"/>
    <x v="0"/>
    <s v="-"/>
    <s v="-"/>
    <s v="-"/>
    <s v="-"/>
    <s v="-"/>
    <s v="Financial or Professional Services"/>
    <s v="-"/>
    <s v="-"/>
    <s v="-"/>
    <s v="-"/>
    <s v="-"/>
    <x v="0"/>
    <x v="0"/>
    <n v="0"/>
    <n v="0"/>
    <n v="271"/>
    <n v="-271"/>
    <x v="1"/>
    <x v="0"/>
    <m/>
    <x v="0"/>
    <m/>
    <x v="0"/>
    <m/>
    <x v="0"/>
    <x v="0"/>
    <x v="0"/>
    <x v="0"/>
    <m/>
    <n v="271"/>
    <n v="0"/>
    <n v="271"/>
    <x v="1"/>
    <m/>
  </r>
  <r>
    <x v="2"/>
    <x v="0"/>
    <x v="0"/>
    <x v="1"/>
    <n v="6261"/>
    <x v="508"/>
    <x v="7"/>
    <n v="6.0000000521540598E-3"/>
    <n v="525280"/>
    <n v="175154"/>
    <s v="3.3.2"/>
    <x v="574"/>
    <s v="PF"/>
    <d v="2016-05-23T00:00:00"/>
    <x v="397"/>
    <m/>
    <m/>
    <s v="Nil"/>
    <m/>
    <m/>
    <s v="Change of use from office (Class B1) to dental surgery (Class D1)."/>
    <x v="559"/>
    <s v="COU"/>
    <x v="2"/>
    <s v="NSO"/>
    <m/>
    <m/>
    <m/>
    <m/>
    <s v="C"/>
    <s v="BF"/>
    <x v="0"/>
    <m/>
    <m/>
    <m/>
    <m/>
    <m/>
    <m/>
    <m/>
    <m/>
    <m/>
    <m/>
    <m/>
    <m/>
    <m/>
    <m/>
    <m/>
    <m/>
    <n v="92"/>
    <m/>
    <n v="92"/>
    <m/>
    <m/>
    <m/>
    <m/>
    <m/>
    <m/>
    <n v="92"/>
    <m/>
    <m/>
    <m/>
    <m/>
    <n v="92"/>
    <m/>
    <m/>
    <m/>
    <x v="0"/>
    <x v="1"/>
    <x v="0"/>
    <m/>
    <m/>
    <m/>
    <m/>
    <m/>
    <m/>
    <n v="-92"/>
    <x v="1"/>
    <m/>
    <m/>
    <m/>
    <m/>
    <n v="-92"/>
    <x v="1"/>
    <m/>
    <n v="92"/>
    <m/>
    <n v="92"/>
    <s v="-"/>
    <s v="-"/>
    <s v="-"/>
    <s v="-"/>
    <s v="-"/>
    <s v="-"/>
    <s v="-"/>
    <s v="-"/>
    <s v="-"/>
    <s v="-"/>
    <s v="-"/>
    <x v="2"/>
    <x v="0"/>
    <s v="-"/>
    <s v="-"/>
    <s v="-"/>
    <s v="-"/>
    <s v="-"/>
    <s v="Vacant"/>
    <s v="-"/>
    <s v="-"/>
    <s v="-"/>
    <s v="-"/>
    <s v="-"/>
    <x v="0"/>
    <x v="0"/>
    <n v="6.0000000521540598E-3"/>
    <n v="92"/>
    <n v="92"/>
    <n v="0"/>
    <x v="1"/>
    <x v="0"/>
    <m/>
    <x v="0"/>
    <m/>
    <x v="1"/>
    <s v="Osiers Road"/>
    <x v="0"/>
    <x v="0"/>
    <x v="0"/>
    <x v="0"/>
    <m/>
    <n v="0"/>
    <n v="0"/>
    <n v="0"/>
    <x v="0"/>
    <m/>
  </r>
  <r>
    <x v="2"/>
    <x v="0"/>
    <x v="0"/>
    <x v="1"/>
    <n v="6262"/>
    <x v="509"/>
    <x v="11"/>
    <n v="7.5000002980232197E-2"/>
    <n v="528646"/>
    <n v="173547"/>
    <m/>
    <x v="575"/>
    <s v="PF"/>
    <d v="2016-06-08T00:00:00"/>
    <x v="398"/>
    <m/>
    <m/>
    <s v="Nil"/>
    <m/>
    <m/>
    <s v="Erection of four-storey building to align with Nos. 94-100 Balham High Road and erection of a two storey extension to existing building to create a 24 room hotel (Class C1) with a mixed café use (Class A3) at ground floor level, and associated cycle and refuse storage. The existing ground floor post office to be retained."/>
    <x v="560"/>
    <s v="MIX"/>
    <x v="0"/>
    <s v="NSO"/>
    <m/>
    <m/>
    <m/>
    <m/>
    <s v="C"/>
    <s v="BF"/>
    <x v="0"/>
    <m/>
    <m/>
    <m/>
    <n v="383"/>
    <m/>
    <m/>
    <m/>
    <m/>
    <n v="383"/>
    <m/>
    <m/>
    <m/>
    <m/>
    <m/>
    <m/>
    <m/>
    <m/>
    <m/>
    <m/>
    <n v="403"/>
    <m/>
    <m/>
    <m/>
    <m/>
    <n v="403"/>
    <m/>
    <m/>
    <m/>
    <m/>
    <m/>
    <m/>
    <m/>
    <m/>
    <m/>
    <x v="1"/>
    <x v="0"/>
    <x v="1"/>
    <n v="-20"/>
    <m/>
    <m/>
    <m/>
    <m/>
    <n v="-20"/>
    <m/>
    <x v="0"/>
    <m/>
    <m/>
    <m/>
    <m/>
    <m/>
    <x v="0"/>
    <n v="834"/>
    <m/>
    <m/>
    <m/>
    <s v="Services"/>
    <s v="-"/>
    <s v="-"/>
    <s v="-"/>
    <s v="-"/>
    <s v="-"/>
    <s v="-"/>
    <s v="-"/>
    <s v="-"/>
    <s v="-"/>
    <s v="Hotel"/>
    <x v="1"/>
    <x v="0"/>
    <s v="Services"/>
    <s v="-"/>
    <s v="-"/>
    <s v="-"/>
    <s v="-"/>
    <s v="-"/>
    <s v="-"/>
    <s v="-"/>
    <s v="-"/>
    <s v="-"/>
    <s v="-"/>
    <x v="0"/>
    <x v="0"/>
    <n v="7.5000002980232197E-2"/>
    <n v="1217"/>
    <n v="403"/>
    <n v="814"/>
    <x v="0"/>
    <x v="0"/>
    <m/>
    <x v="0"/>
    <m/>
    <x v="0"/>
    <m/>
    <x v="0"/>
    <x v="1"/>
    <x v="5"/>
    <x v="0"/>
    <m/>
    <n v="0"/>
    <n v="0"/>
    <n v="0"/>
    <x v="0"/>
    <m/>
  </r>
  <r>
    <x v="0"/>
    <x v="2"/>
    <x v="2"/>
    <x v="0"/>
    <n v="6271"/>
    <x v="510"/>
    <x v="8"/>
    <n v="8.2000002264976501E-2"/>
    <n v="528068"/>
    <n v="176644"/>
    <m/>
    <x v="576"/>
    <s v="PAG"/>
    <d v="2016-06-07T00:00:00"/>
    <x v="399"/>
    <m/>
    <m/>
    <s v="Nil"/>
    <m/>
    <m/>
    <s v="Determination as to whether prior approval is required for change of use of office from (Class B1a) to residential (Class C3) to provide 1 x 2-bedroom flats."/>
    <x v="234"/>
    <s v="COU"/>
    <x v="2"/>
    <s v="OC"/>
    <m/>
    <d v="2016-09-22T00:00:00"/>
    <d v="2017-09-15T00:00:00"/>
    <d v="2017-09-15T00:00:00"/>
    <s v="C"/>
    <s v="BF"/>
    <x v="0"/>
    <m/>
    <d v="2016-09-22T00:00:00"/>
    <d v="2017-09-15T00:00:00"/>
    <m/>
    <m/>
    <m/>
    <m/>
    <m/>
    <m/>
    <m/>
    <m/>
    <m/>
    <m/>
    <m/>
    <m/>
    <m/>
    <m/>
    <m/>
    <m/>
    <m/>
    <m/>
    <m/>
    <m/>
    <m/>
    <m/>
    <n v="103"/>
    <m/>
    <m/>
    <m/>
    <m/>
    <n v="103"/>
    <m/>
    <m/>
    <m/>
    <x v="0"/>
    <x v="1"/>
    <x v="1"/>
    <m/>
    <m/>
    <m/>
    <m/>
    <m/>
    <m/>
    <n v="-103"/>
    <x v="1"/>
    <m/>
    <m/>
    <m/>
    <m/>
    <n v="-103"/>
    <x v="1"/>
    <m/>
    <m/>
    <m/>
    <m/>
    <s v="-"/>
    <s v="-"/>
    <s v="-"/>
    <s v="-"/>
    <s v="-"/>
    <s v="-"/>
    <s v="-"/>
    <s v="-"/>
    <s v="-"/>
    <s v="-"/>
    <s v="-"/>
    <x v="1"/>
    <x v="0"/>
    <s v="-"/>
    <s v="-"/>
    <s v="-"/>
    <s v="-"/>
    <s v="-"/>
    <s v="Not Known"/>
    <s v="-"/>
    <s v="-"/>
    <s v="-"/>
    <s v="-"/>
    <s v="-"/>
    <x v="0"/>
    <x v="0"/>
    <n v="5.5000001564621898E-2"/>
    <n v="0"/>
    <n v="103"/>
    <n v="-103"/>
    <x v="0"/>
    <x v="0"/>
    <m/>
    <x v="0"/>
    <m/>
    <x v="0"/>
    <m/>
    <x v="0"/>
    <x v="0"/>
    <x v="0"/>
    <x v="0"/>
    <m/>
    <n v="103"/>
    <n v="0"/>
    <n v="103"/>
    <x v="1"/>
    <m/>
  </r>
  <r>
    <x v="2"/>
    <x v="0"/>
    <x v="0"/>
    <x v="1"/>
    <n v="6272"/>
    <x v="511"/>
    <x v="1"/>
    <n v="4.6000000089407002E-2"/>
    <n v="522345"/>
    <n v="174051"/>
    <m/>
    <x v="577"/>
    <s v="PF"/>
    <d v="2017-10-05T00:00:00"/>
    <x v="400"/>
    <s v="Y"/>
    <m/>
    <s v="Nil"/>
    <m/>
    <m/>
    <s v="Alterations including partial demolition of outbuilding and erection of a single-storey extension plus basement in connection with use as a three bedroom house; associated landscaping, pedestrian gate to Nepean Street and cycle and refuse storage."/>
    <x v="561"/>
    <s v="MIX"/>
    <x v="0"/>
    <s v="NSO"/>
    <m/>
    <m/>
    <m/>
    <m/>
    <s v="C"/>
    <s v="BF"/>
    <x v="0"/>
    <m/>
    <m/>
    <m/>
    <m/>
    <m/>
    <m/>
    <m/>
    <m/>
    <m/>
    <m/>
    <m/>
    <m/>
    <m/>
    <m/>
    <m/>
    <m/>
    <m/>
    <m/>
    <m/>
    <m/>
    <m/>
    <m/>
    <m/>
    <m/>
    <m/>
    <m/>
    <m/>
    <m/>
    <m/>
    <n v="73"/>
    <n v="73"/>
    <m/>
    <m/>
    <m/>
    <x v="0"/>
    <x v="1"/>
    <x v="1"/>
    <m/>
    <m/>
    <m/>
    <m/>
    <m/>
    <m/>
    <m/>
    <x v="0"/>
    <m/>
    <m/>
    <m/>
    <n v="-73"/>
    <n v="-73"/>
    <x v="1"/>
    <m/>
    <m/>
    <m/>
    <m/>
    <s v="-"/>
    <s v="-"/>
    <s v="-"/>
    <s v="-"/>
    <s v="-"/>
    <s v="-"/>
    <s v="-"/>
    <s v="-"/>
    <s v="-"/>
    <s v="-"/>
    <s v="-"/>
    <x v="1"/>
    <x v="0"/>
    <s v="-"/>
    <s v="-"/>
    <s v="-"/>
    <s v="-"/>
    <s v="-"/>
    <s v="-"/>
    <s v="-"/>
    <s v="-"/>
    <s v="-"/>
    <s v="Ancillary to C3"/>
    <s v="-"/>
    <x v="0"/>
    <x v="0"/>
    <n v="0"/>
    <n v="0"/>
    <n v="73"/>
    <n v="-73"/>
    <x v="0"/>
    <x v="0"/>
    <m/>
    <x v="0"/>
    <m/>
    <x v="0"/>
    <m/>
    <x v="0"/>
    <x v="0"/>
    <x v="0"/>
    <x v="0"/>
    <m/>
    <n v="147"/>
    <n v="0"/>
    <n v="147"/>
    <x v="1"/>
    <m/>
  </r>
  <r>
    <x v="0"/>
    <x v="0"/>
    <x v="0"/>
    <x v="0"/>
    <n v="6274"/>
    <x v="512"/>
    <x v="17"/>
    <n v="3.5000000149011598E-2"/>
    <n v="528002"/>
    <n v="172307"/>
    <m/>
    <x v="578"/>
    <s v="PF"/>
    <d v="2016-04-19T00:00:00"/>
    <x v="66"/>
    <m/>
    <m/>
    <s v="Nil"/>
    <m/>
    <m/>
    <s v="Change of use from shops (Class A1) to restaurant (Class A3) and installation of extract flue to rear."/>
    <x v="415"/>
    <s v="COU"/>
    <x v="2"/>
    <s v="OC"/>
    <m/>
    <d v="2017-04-01T00:00:00"/>
    <d v="2018-03-31T00:00:00"/>
    <d v="2018-03-31T00:00:00"/>
    <s v="C"/>
    <s v="BF"/>
    <x v="0"/>
    <m/>
    <d v="2017-04-01T00:00:00"/>
    <d v="2018-03-31T00:00:00"/>
    <m/>
    <m/>
    <n v="98"/>
    <m/>
    <m/>
    <n v="98"/>
    <m/>
    <m/>
    <m/>
    <m/>
    <m/>
    <m/>
    <m/>
    <m/>
    <m/>
    <m/>
    <n v="98"/>
    <m/>
    <m/>
    <m/>
    <m/>
    <n v="98"/>
    <m/>
    <m/>
    <m/>
    <m/>
    <m/>
    <m/>
    <m/>
    <m/>
    <m/>
    <x v="1"/>
    <x v="0"/>
    <x v="1"/>
    <n v="-98"/>
    <m/>
    <n v="98"/>
    <m/>
    <m/>
    <m/>
    <m/>
    <x v="0"/>
    <m/>
    <m/>
    <m/>
    <m/>
    <m/>
    <x v="0"/>
    <m/>
    <m/>
    <m/>
    <m/>
    <s v="-"/>
    <s v="-"/>
    <s v="Restaurant"/>
    <s v="-"/>
    <s v="-"/>
    <s v="-"/>
    <s v="-"/>
    <s v="-"/>
    <s v="-"/>
    <s v="-"/>
    <s v="-"/>
    <x v="1"/>
    <x v="0"/>
    <s v="Not Known"/>
    <s v="-"/>
    <s v="-"/>
    <s v="-"/>
    <s v="-"/>
    <s v="-"/>
    <s v="-"/>
    <s v="-"/>
    <s v="-"/>
    <s v="-"/>
    <s v="-"/>
    <x v="0"/>
    <x v="0"/>
    <n v="3.5000000149011598E-2"/>
    <n v="98"/>
    <n v="98"/>
    <n v="0"/>
    <x v="0"/>
    <x v="0"/>
    <m/>
    <x v="0"/>
    <m/>
    <x v="0"/>
    <m/>
    <x v="0"/>
    <x v="0"/>
    <x v="0"/>
    <x v="0"/>
    <m/>
    <n v="0"/>
    <n v="0"/>
    <n v="0"/>
    <x v="0"/>
    <m/>
  </r>
  <r>
    <x v="2"/>
    <x v="0"/>
    <x v="0"/>
    <x v="1"/>
    <n v="6276"/>
    <x v="513"/>
    <x v="16"/>
    <n v="4.8999998718500103E-2"/>
    <n v="527521"/>
    <n v="171508"/>
    <s v="5.2"/>
    <x v="579"/>
    <s v="PF"/>
    <d v="2016-06-21T00:00:00"/>
    <x v="184"/>
    <m/>
    <m/>
    <s v="Nil"/>
    <m/>
    <m/>
    <s v="Conversion of ground floor from the approved Class B1 use (artists studios) to 2 x 1-bedroom flats."/>
    <x v="562"/>
    <s v="COU"/>
    <x v="2"/>
    <s v="NSO"/>
    <m/>
    <m/>
    <m/>
    <m/>
    <s v="C"/>
    <s v="BF"/>
    <x v="0"/>
    <m/>
    <m/>
    <m/>
    <m/>
    <m/>
    <m/>
    <m/>
    <m/>
    <m/>
    <m/>
    <m/>
    <m/>
    <m/>
    <m/>
    <m/>
    <m/>
    <m/>
    <m/>
    <m/>
    <m/>
    <m/>
    <m/>
    <m/>
    <m/>
    <m/>
    <n v="155"/>
    <m/>
    <m/>
    <m/>
    <m/>
    <n v="155"/>
    <m/>
    <m/>
    <m/>
    <x v="0"/>
    <x v="1"/>
    <x v="1"/>
    <m/>
    <m/>
    <m/>
    <m/>
    <m/>
    <m/>
    <n v="-155"/>
    <x v="1"/>
    <m/>
    <m/>
    <m/>
    <m/>
    <n v="-155"/>
    <x v="1"/>
    <m/>
    <m/>
    <m/>
    <m/>
    <s v="-"/>
    <s v="-"/>
    <s v="-"/>
    <s v="-"/>
    <s v="-"/>
    <s v="-"/>
    <s v="-"/>
    <s v="-"/>
    <s v="-"/>
    <s v="-"/>
    <s v="-"/>
    <x v="1"/>
    <x v="0"/>
    <s v="-"/>
    <s v="-"/>
    <s v="-"/>
    <s v="-"/>
    <s v="-"/>
    <s v="Other"/>
    <s v="-"/>
    <s v="-"/>
    <s v="-"/>
    <s v="-"/>
    <s v="-"/>
    <x v="0"/>
    <x v="0"/>
    <n v="3.2999997958540903E-2"/>
    <n v="0"/>
    <n v="155"/>
    <n v="-155"/>
    <x v="0"/>
    <x v="0"/>
    <m/>
    <x v="0"/>
    <m/>
    <x v="0"/>
    <m/>
    <x v="0"/>
    <x v="1"/>
    <x v="3"/>
    <x v="0"/>
    <m/>
    <n v="155"/>
    <n v="0"/>
    <n v="155"/>
    <x v="1"/>
    <m/>
  </r>
  <r>
    <x v="2"/>
    <x v="0"/>
    <x v="0"/>
    <x v="1"/>
    <n v="6283"/>
    <x v="514"/>
    <x v="10"/>
    <n v="2.0000000949949E-3"/>
    <n v="523727"/>
    <n v="175114"/>
    <m/>
    <x v="580"/>
    <s v="PF"/>
    <d v="2016-06-22T00:00:00"/>
    <x v="80"/>
    <m/>
    <m/>
    <s v="Nil"/>
    <m/>
    <m/>
    <s v="Change of use from cafe (Class A3)  to Tattoo Parlour (Sui-Generis)."/>
    <x v="563"/>
    <s v="COU"/>
    <x v="2"/>
    <s v="NSO"/>
    <m/>
    <m/>
    <m/>
    <m/>
    <s v="C"/>
    <s v="BF"/>
    <x v="0"/>
    <m/>
    <m/>
    <m/>
    <m/>
    <m/>
    <m/>
    <m/>
    <m/>
    <m/>
    <m/>
    <m/>
    <m/>
    <m/>
    <m/>
    <m/>
    <m/>
    <m/>
    <m/>
    <m/>
    <m/>
    <m/>
    <n v="56"/>
    <m/>
    <m/>
    <n v="56"/>
    <m/>
    <m/>
    <m/>
    <m/>
    <m/>
    <m/>
    <m/>
    <m/>
    <m/>
    <x v="1"/>
    <x v="0"/>
    <x v="1"/>
    <m/>
    <m/>
    <n v="-56"/>
    <m/>
    <m/>
    <n v="-56"/>
    <m/>
    <x v="0"/>
    <m/>
    <m/>
    <m/>
    <m/>
    <m/>
    <x v="0"/>
    <m/>
    <m/>
    <m/>
    <m/>
    <s v="-"/>
    <s v="-"/>
    <s v="-"/>
    <s v="-"/>
    <s v="-"/>
    <s v="-"/>
    <s v="-"/>
    <s v="-"/>
    <s v="-"/>
    <s v="-"/>
    <s v="-"/>
    <x v="1"/>
    <x v="0"/>
    <s v="-"/>
    <s v="-"/>
    <s v="Vacant"/>
    <s v="-"/>
    <s v="-"/>
    <s v="-"/>
    <s v="-"/>
    <s v="-"/>
    <s v="-"/>
    <s v="-"/>
    <s v="-"/>
    <x v="0"/>
    <x v="0"/>
    <n v="2.0000000949949E-3"/>
    <n v="56"/>
    <n v="56"/>
    <n v="0"/>
    <x v="0"/>
    <x v="0"/>
    <m/>
    <x v="0"/>
    <m/>
    <x v="0"/>
    <m/>
    <x v="0"/>
    <x v="1"/>
    <x v="2"/>
    <x v="0"/>
    <m/>
    <n v="0"/>
    <n v="0"/>
    <n v="0"/>
    <x v="0"/>
    <m/>
  </r>
  <r>
    <x v="2"/>
    <x v="0"/>
    <x v="0"/>
    <x v="1"/>
    <n v="6284"/>
    <x v="515"/>
    <x v="5"/>
    <n v="0.29199999570846602"/>
    <n v="525537"/>
    <n v="174739"/>
    <s v="3.1.2"/>
    <x v="581"/>
    <s v="PFLA"/>
    <d v="2017-03-10T00:00:00"/>
    <x v="198"/>
    <s v="Y"/>
    <d v="2017-07-20T00:00:00"/>
    <s v="Nil"/>
    <m/>
    <m/>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_x000a__x000d__x000a_For Listed Building Consent refer to planning application reference number: 2017/1847."/>
    <x v="564"/>
    <s v="NB"/>
    <x v="0"/>
    <s v="NSO"/>
    <m/>
    <m/>
    <m/>
    <m/>
    <s v="C"/>
    <s v="BF"/>
    <x v="0"/>
    <m/>
    <m/>
    <m/>
    <n v="72"/>
    <n v="72"/>
    <n v="72"/>
    <n v="72"/>
    <m/>
    <n v="288"/>
    <n v="288"/>
    <m/>
    <m/>
    <n v="288"/>
    <m/>
    <m/>
    <n v="288"/>
    <m/>
    <m/>
    <m/>
    <m/>
    <m/>
    <m/>
    <m/>
    <m/>
    <m/>
    <n v="2866"/>
    <m/>
    <m/>
    <m/>
    <m/>
    <n v="2866"/>
    <m/>
    <m/>
    <m/>
    <x v="1"/>
    <x v="1"/>
    <x v="1"/>
    <n v="72"/>
    <n v="72"/>
    <n v="72"/>
    <n v="72"/>
    <m/>
    <n v="288"/>
    <n v="-2578"/>
    <x v="1"/>
    <m/>
    <m/>
    <m/>
    <m/>
    <n v="-2578"/>
    <x v="1"/>
    <m/>
    <m/>
    <m/>
    <m/>
    <s v="Not Known"/>
    <s v="Not Known"/>
    <s v="Not Known"/>
    <s v="Not Known"/>
    <s v="-"/>
    <s v="Not Known"/>
    <s v="-"/>
    <s v="-"/>
    <s v="-"/>
    <s v="-"/>
    <s v="-"/>
    <x v="1"/>
    <x v="0"/>
    <s v="-"/>
    <s v="-"/>
    <s v="-"/>
    <s v="-"/>
    <s v="-"/>
    <s v="Other"/>
    <s v="-"/>
    <s v="-"/>
    <s v="-"/>
    <s v="-"/>
    <s v="-"/>
    <x v="0"/>
    <x v="0"/>
    <n v="3.4000001847744044E-2"/>
    <n v="611"/>
    <n v="2866"/>
    <n v="-2255"/>
    <x v="0"/>
    <x v="0"/>
    <m/>
    <x v="0"/>
    <m/>
    <x v="0"/>
    <m/>
    <x v="0"/>
    <x v="1"/>
    <x v="4"/>
    <x v="0"/>
    <m/>
    <n v="4685"/>
    <n v="0"/>
    <n v="4685"/>
    <x v="1"/>
    <m/>
  </r>
  <r>
    <x v="0"/>
    <x v="0"/>
    <x v="0"/>
    <x v="0"/>
    <n v="6288"/>
    <x v="516"/>
    <x v="8"/>
    <n v="8.0000003799796104E-3"/>
    <n v="528742"/>
    <n v="176723"/>
    <m/>
    <x v="582"/>
    <s v="PF"/>
    <d v="2016-08-09T00:00:00"/>
    <x v="327"/>
    <m/>
    <m/>
    <s v="Nil"/>
    <m/>
    <m/>
    <s v="Erection of three-storey rear extension and replacement sash windows in UPVC in connection with use of property as a House of Multiple Occupation - 7 rooms (Class Sui Generis)."/>
    <x v="565"/>
    <s v="MIX"/>
    <x v="0"/>
    <s v="OC"/>
    <m/>
    <d v="2017-01-06T00:00:00"/>
    <d v="2017-07-28T00:00:00"/>
    <d v="2017-07-28T00:00:00"/>
    <s v="C"/>
    <s v="BF"/>
    <x v="0"/>
    <m/>
    <d v="2017-01-06T00:00:00"/>
    <d v="2017-07-28T00:00:00"/>
    <m/>
    <m/>
    <m/>
    <m/>
    <m/>
    <m/>
    <m/>
    <m/>
    <m/>
    <m/>
    <m/>
    <m/>
    <m/>
    <m/>
    <m/>
    <m/>
    <m/>
    <m/>
    <m/>
    <m/>
    <m/>
    <m/>
    <m/>
    <m/>
    <m/>
    <m/>
    <m/>
    <m/>
    <m/>
    <m/>
    <m/>
    <x v="0"/>
    <x v="0"/>
    <x v="1"/>
    <m/>
    <m/>
    <m/>
    <m/>
    <m/>
    <m/>
    <m/>
    <x v="0"/>
    <m/>
    <m/>
    <m/>
    <m/>
    <m/>
    <x v="0"/>
    <m/>
    <m/>
    <m/>
    <m/>
    <s v="-"/>
    <s v="-"/>
    <s v="-"/>
    <s v="-"/>
    <s v="-"/>
    <s v="-"/>
    <s v="-"/>
    <s v="-"/>
    <s v="-"/>
    <s v="-"/>
    <s v="-"/>
    <x v="1"/>
    <x v="0"/>
    <s v="-"/>
    <s v="-"/>
    <s v="-"/>
    <s v="-"/>
    <s v="-"/>
    <s v="-"/>
    <s v="-"/>
    <s v="-"/>
    <s v="-"/>
    <s v="-"/>
    <s v="-"/>
    <x v="0"/>
    <x v="0"/>
    <n v="0"/>
    <n v="160"/>
    <n v="0"/>
    <n v="160"/>
    <x v="0"/>
    <x v="0"/>
    <m/>
    <x v="0"/>
    <m/>
    <x v="0"/>
    <m/>
    <x v="0"/>
    <x v="0"/>
    <x v="0"/>
    <x v="0"/>
    <m/>
    <n v="0"/>
    <n v="147"/>
    <n v="-147"/>
    <x v="0"/>
    <m/>
  </r>
  <r>
    <x v="3"/>
    <x v="0"/>
    <x v="0"/>
    <x v="1"/>
    <n v="6290"/>
    <x v="517"/>
    <x v="1"/>
    <n v="0.15700000524520899"/>
    <n v="521162"/>
    <n v="174661"/>
    <m/>
    <x v="583"/>
    <s v="PF"/>
    <d v="2017-04-18T00:00:00"/>
    <x v="401"/>
    <s v="Y"/>
    <m/>
    <s v="Nil"/>
    <m/>
    <m/>
    <s v="Erection of a three-storey (plus basement) 6-bedroom dwelling with additional living accommodation at lower ground floor level and lightwells to the front and rear; roof terrace on rear first floor level."/>
    <x v="566"/>
    <s v="NB"/>
    <x v="0"/>
    <s v="UC"/>
    <d v="2017-07-24T00:00:00"/>
    <d v="2017-07-24T00:00:00"/>
    <m/>
    <m/>
    <s v="C"/>
    <s v="BF"/>
    <x v="0"/>
    <m/>
    <d v="2017-07-24T00:00:00"/>
    <m/>
    <m/>
    <m/>
    <m/>
    <m/>
    <m/>
    <m/>
    <m/>
    <m/>
    <m/>
    <m/>
    <m/>
    <m/>
    <m/>
    <m/>
    <m/>
    <m/>
    <m/>
    <m/>
    <m/>
    <m/>
    <m/>
    <m/>
    <m/>
    <m/>
    <m/>
    <m/>
    <m/>
    <m/>
    <m/>
    <m/>
    <m/>
    <x v="0"/>
    <x v="0"/>
    <x v="1"/>
    <m/>
    <m/>
    <m/>
    <m/>
    <m/>
    <m/>
    <m/>
    <x v="0"/>
    <m/>
    <m/>
    <m/>
    <m/>
    <m/>
    <x v="0"/>
    <m/>
    <m/>
    <m/>
    <m/>
    <s v="-"/>
    <s v="-"/>
    <s v="-"/>
    <s v="-"/>
    <s v="-"/>
    <s v="-"/>
    <s v="-"/>
    <s v="-"/>
    <s v="-"/>
    <s v="-"/>
    <s v="-"/>
    <x v="1"/>
    <x v="0"/>
    <s v="-"/>
    <s v="-"/>
    <s v="-"/>
    <s v="-"/>
    <s v="-"/>
    <s v="-"/>
    <s v="-"/>
    <s v="-"/>
    <s v="-"/>
    <s v="-"/>
    <s v="-"/>
    <x v="0"/>
    <x v="0"/>
    <n v="0"/>
    <n v="0"/>
    <n v="494"/>
    <n v="-494"/>
    <x v="0"/>
    <x v="0"/>
    <m/>
    <x v="0"/>
    <m/>
    <x v="0"/>
    <m/>
    <x v="0"/>
    <x v="0"/>
    <x v="0"/>
    <x v="0"/>
    <m/>
    <n v="994"/>
    <n v="0"/>
    <n v="994"/>
    <x v="1"/>
    <m/>
  </r>
  <r>
    <x v="2"/>
    <x v="0"/>
    <x v="0"/>
    <x v="1"/>
    <n v="6291"/>
    <x v="518"/>
    <x v="12"/>
    <n v="2.0999999716877899E-2"/>
    <n v="525235"/>
    <n v="173834"/>
    <m/>
    <x v="584"/>
    <s v="PF"/>
    <d v="2016-06-27T00:00:00"/>
    <x v="18"/>
    <m/>
    <m/>
    <s v="Nil"/>
    <m/>
    <m/>
    <s v="Demolition of existing building and erection of a three-storey building to provide church hall (Class D1) on the ground floor and 2 x 2-bedroom ancillary residential flats above including projecting balconies at rear of first and second floors."/>
    <x v="567"/>
    <s v="NB"/>
    <x v="0"/>
    <s v="NSO"/>
    <m/>
    <m/>
    <m/>
    <m/>
    <s v="C"/>
    <s v="BF"/>
    <x v="0"/>
    <m/>
    <m/>
    <m/>
    <m/>
    <m/>
    <m/>
    <m/>
    <m/>
    <m/>
    <m/>
    <m/>
    <m/>
    <m/>
    <m/>
    <m/>
    <m/>
    <n v="133"/>
    <m/>
    <n v="133"/>
    <m/>
    <m/>
    <m/>
    <m/>
    <m/>
    <m/>
    <m/>
    <m/>
    <m/>
    <m/>
    <m/>
    <m/>
    <n v="126"/>
    <m/>
    <n v="126"/>
    <x v="0"/>
    <x v="0"/>
    <x v="0"/>
    <m/>
    <m/>
    <m/>
    <m/>
    <m/>
    <m/>
    <m/>
    <x v="0"/>
    <m/>
    <m/>
    <m/>
    <m/>
    <m/>
    <x v="0"/>
    <m/>
    <n v="7"/>
    <m/>
    <n v="7"/>
    <s v="-"/>
    <s v="-"/>
    <s v="-"/>
    <s v="-"/>
    <s v="-"/>
    <s v="-"/>
    <s v="-"/>
    <s v="-"/>
    <s v="-"/>
    <s v="-"/>
    <s v="-"/>
    <x v="7"/>
    <x v="0"/>
    <s v="-"/>
    <s v="-"/>
    <s v="-"/>
    <s v="-"/>
    <s v="-"/>
    <s v="-"/>
    <s v="-"/>
    <s v="-"/>
    <s v="-"/>
    <s v="-"/>
    <s v="-"/>
    <x v="4"/>
    <x v="0"/>
    <n v="6.9999992847441985E-3"/>
    <n v="133"/>
    <n v="126"/>
    <n v="7"/>
    <x v="0"/>
    <x v="0"/>
    <m/>
    <x v="0"/>
    <m/>
    <x v="0"/>
    <m/>
    <x v="0"/>
    <x v="0"/>
    <x v="0"/>
    <x v="0"/>
    <m/>
    <n v="197"/>
    <n v="0"/>
    <n v="197"/>
    <x v="1"/>
    <m/>
  </r>
  <r>
    <x v="2"/>
    <x v="0"/>
    <x v="0"/>
    <x v="1"/>
    <n v="6293"/>
    <x v="519"/>
    <x v="15"/>
    <n v="2.70000007003546E-2"/>
    <n v="529372"/>
    <n v="171169"/>
    <m/>
    <x v="585"/>
    <s v="PF"/>
    <d v="2016-06-29T00:00:00"/>
    <x v="44"/>
    <m/>
    <m/>
    <s v="Nil"/>
    <m/>
    <m/>
    <s v="Change of use of the front part of the ground floor from retail (Class A1) to financial and professional services (Class A2) and change of use of the rear part to residential (Class C3) to provide 1 x 1-bedroom flat."/>
    <x v="568"/>
    <s v="COU"/>
    <x v="2"/>
    <s v="NSO"/>
    <m/>
    <m/>
    <m/>
    <m/>
    <s v="C"/>
    <s v="BF"/>
    <x v="0"/>
    <m/>
    <m/>
    <m/>
    <m/>
    <n v="40"/>
    <m/>
    <m/>
    <m/>
    <n v="40"/>
    <m/>
    <m/>
    <m/>
    <m/>
    <m/>
    <m/>
    <m/>
    <m/>
    <m/>
    <m/>
    <n v="96"/>
    <m/>
    <m/>
    <m/>
    <m/>
    <n v="96"/>
    <m/>
    <m/>
    <m/>
    <m/>
    <m/>
    <m/>
    <m/>
    <m/>
    <m/>
    <x v="1"/>
    <x v="0"/>
    <x v="1"/>
    <n v="-96"/>
    <n v="40"/>
    <m/>
    <m/>
    <m/>
    <n v="-56"/>
    <m/>
    <x v="0"/>
    <m/>
    <m/>
    <m/>
    <m/>
    <m/>
    <x v="0"/>
    <m/>
    <m/>
    <m/>
    <m/>
    <s v="-"/>
    <s v="Not Known"/>
    <s v="-"/>
    <s v="-"/>
    <s v="-"/>
    <s v="-"/>
    <s v="-"/>
    <s v="-"/>
    <s v="-"/>
    <s v="-"/>
    <s v="-"/>
    <x v="1"/>
    <x v="0"/>
    <s v="Vacant"/>
    <s v="-"/>
    <s v="-"/>
    <s v="-"/>
    <s v="-"/>
    <s v="-"/>
    <s v="-"/>
    <s v="-"/>
    <s v="-"/>
    <s v="-"/>
    <s v="-"/>
    <x v="0"/>
    <x v="0"/>
    <n v="1.8000001087784788E-2"/>
    <n v="40"/>
    <n v="96"/>
    <n v="-56"/>
    <x v="0"/>
    <x v="0"/>
    <m/>
    <x v="0"/>
    <m/>
    <x v="0"/>
    <m/>
    <x v="0"/>
    <x v="0"/>
    <x v="0"/>
    <x v="1"/>
    <s v="Mitcham Lane"/>
    <n v="56"/>
    <n v="0"/>
    <n v="56"/>
    <x v="1"/>
    <m/>
  </r>
  <r>
    <x v="0"/>
    <x v="0"/>
    <x v="0"/>
    <x v="0"/>
    <n v="6296"/>
    <x v="520"/>
    <x v="4"/>
    <n v="8.79999995231628E-2"/>
    <n v="527359"/>
    <n v="177169"/>
    <m/>
    <x v="586"/>
    <s v="RP"/>
    <d v="2016-09-21T00:00:00"/>
    <x v="155"/>
    <m/>
    <m/>
    <s v="APG"/>
    <d v="2017-05-11T00:00:00"/>
    <d v="2017-08-17T00:00:00"/>
    <s v="Change of Use from Use Class A1 (retail) to Use Class B1(a) (office)"/>
    <x v="569"/>
    <s v="COU"/>
    <x v="2"/>
    <s v="OC"/>
    <m/>
    <d v="2017-05-31T00:00:00"/>
    <d v="2017-12-06T00:00:00"/>
    <d v="2017-12-06T00:00:00"/>
    <s v="C"/>
    <s v="BF"/>
    <x v="0"/>
    <m/>
    <d v="2017-05-31T00:00:00"/>
    <d v="2017-12-06T00:00:00"/>
    <m/>
    <m/>
    <m/>
    <m/>
    <m/>
    <m/>
    <n v="236"/>
    <m/>
    <m/>
    <n v="236"/>
    <m/>
    <m/>
    <n v="236"/>
    <m/>
    <m/>
    <m/>
    <n v="236"/>
    <m/>
    <m/>
    <m/>
    <m/>
    <n v="236"/>
    <m/>
    <m/>
    <m/>
    <m/>
    <m/>
    <m/>
    <m/>
    <m/>
    <m/>
    <x v="1"/>
    <x v="1"/>
    <x v="1"/>
    <n v="-236"/>
    <m/>
    <m/>
    <m/>
    <m/>
    <n v="-236"/>
    <n v="236"/>
    <x v="0"/>
    <m/>
    <m/>
    <m/>
    <m/>
    <n v="236"/>
    <x v="0"/>
    <m/>
    <m/>
    <m/>
    <m/>
    <s v="-"/>
    <s v="-"/>
    <s v="-"/>
    <s v="-"/>
    <s v="-"/>
    <s v="Not Known"/>
    <s v="-"/>
    <s v="-"/>
    <s v="-"/>
    <s v="-"/>
    <s v="-"/>
    <x v="1"/>
    <x v="0"/>
    <s v="Vacant"/>
    <s v="-"/>
    <s v="-"/>
    <s v="-"/>
    <s v="-"/>
    <s v="-"/>
    <s v="-"/>
    <s v="-"/>
    <s v="-"/>
    <s v="-"/>
    <s v="-"/>
    <x v="0"/>
    <x v="0"/>
    <n v="8.79999995231628E-2"/>
    <n v="236"/>
    <n v="236"/>
    <n v="0"/>
    <x v="1"/>
    <x v="0"/>
    <m/>
    <x v="0"/>
    <m/>
    <x v="0"/>
    <m/>
    <x v="0"/>
    <x v="0"/>
    <x v="0"/>
    <x v="0"/>
    <m/>
    <n v="0"/>
    <n v="0"/>
    <n v="0"/>
    <x v="0"/>
    <m/>
  </r>
  <r>
    <x v="3"/>
    <x v="0"/>
    <x v="0"/>
    <x v="1"/>
    <n v="6300"/>
    <x v="521"/>
    <x v="8"/>
    <n v="3.9999999105930301E-2"/>
    <n v="528379"/>
    <n v="176658"/>
    <m/>
    <x v="587"/>
    <s v="PF"/>
    <d v="2016-06-28T00:00:00"/>
    <x v="261"/>
    <m/>
    <m/>
    <s v="Nil"/>
    <m/>
    <m/>
    <s v="Change of use of retail units (Class Use A1) to drug and alcohol rehabilitation unit (Class Use D1); Alterations including replacement of shopfronts, external lighting and air conditioning units."/>
    <x v="570"/>
    <s v="COU"/>
    <x v="2"/>
    <s v="UC"/>
    <m/>
    <d v="2018-03-20T00:00:00"/>
    <m/>
    <m/>
    <s v="C"/>
    <s v="BF"/>
    <x v="0"/>
    <m/>
    <d v="2018-03-20T00:00:00"/>
    <m/>
    <m/>
    <m/>
    <m/>
    <m/>
    <m/>
    <m/>
    <m/>
    <m/>
    <m/>
    <m/>
    <m/>
    <m/>
    <m/>
    <n v="303"/>
    <m/>
    <n v="303"/>
    <n v="303"/>
    <m/>
    <m/>
    <m/>
    <m/>
    <n v="303"/>
    <m/>
    <m/>
    <m/>
    <m/>
    <m/>
    <m/>
    <m/>
    <m/>
    <m/>
    <x v="1"/>
    <x v="0"/>
    <x v="0"/>
    <n v="-303"/>
    <m/>
    <m/>
    <m/>
    <m/>
    <n v="-303"/>
    <m/>
    <x v="0"/>
    <m/>
    <m/>
    <m/>
    <m/>
    <m/>
    <x v="0"/>
    <m/>
    <n v="303"/>
    <m/>
    <n v="303"/>
    <s v="-"/>
    <s v="-"/>
    <s v="-"/>
    <s v="-"/>
    <s v="-"/>
    <s v="-"/>
    <s v="-"/>
    <s v="-"/>
    <s v="-"/>
    <s v="-"/>
    <s v="-"/>
    <x v="2"/>
    <x v="0"/>
    <s v="Vacant"/>
    <s v="-"/>
    <s v="-"/>
    <s v="-"/>
    <s v="-"/>
    <s v="-"/>
    <s v="-"/>
    <s v="-"/>
    <s v="-"/>
    <s v="-"/>
    <s v="-"/>
    <x v="0"/>
    <x v="0"/>
    <n v="3.9999999105930301E-2"/>
    <n v="303"/>
    <n v="303"/>
    <n v="0"/>
    <x v="0"/>
    <x v="0"/>
    <m/>
    <x v="0"/>
    <m/>
    <x v="0"/>
    <m/>
    <x v="0"/>
    <x v="0"/>
    <x v="0"/>
    <x v="0"/>
    <m/>
    <n v="0"/>
    <n v="0"/>
    <n v="0"/>
    <x v="0"/>
    <m/>
  </r>
  <r>
    <x v="2"/>
    <x v="2"/>
    <x v="2"/>
    <x v="1"/>
    <n v="6303"/>
    <x v="522"/>
    <x v="4"/>
    <n v="3.4000001847744002E-2"/>
    <n v="527362"/>
    <n v="176577"/>
    <m/>
    <x v="588"/>
    <s v="PAG"/>
    <d v="2016-07-11T00:00:00"/>
    <x v="190"/>
    <m/>
    <m/>
    <s v="Nil"/>
    <m/>
    <m/>
    <s v="Determination as to whether prior approval is required for change of use of office   from (Class B1a) to residential (Class C3)"/>
    <x v="571"/>
    <s v="COU"/>
    <x v="2"/>
    <s v="NSO"/>
    <m/>
    <m/>
    <m/>
    <m/>
    <s v="C"/>
    <s v="BF"/>
    <x v="0"/>
    <m/>
    <m/>
    <m/>
    <m/>
    <m/>
    <m/>
    <m/>
    <m/>
    <m/>
    <m/>
    <m/>
    <m/>
    <m/>
    <m/>
    <m/>
    <m/>
    <m/>
    <m/>
    <m/>
    <m/>
    <m/>
    <m/>
    <m/>
    <m/>
    <m/>
    <n v="54"/>
    <m/>
    <m/>
    <m/>
    <m/>
    <n v="54"/>
    <m/>
    <m/>
    <m/>
    <x v="0"/>
    <x v="1"/>
    <x v="1"/>
    <m/>
    <m/>
    <m/>
    <m/>
    <m/>
    <m/>
    <n v="-54"/>
    <x v="1"/>
    <m/>
    <m/>
    <m/>
    <m/>
    <n v="-54"/>
    <x v="1"/>
    <m/>
    <m/>
    <m/>
    <m/>
    <s v="-"/>
    <s v="-"/>
    <s v="-"/>
    <s v="-"/>
    <s v="-"/>
    <s v="-"/>
    <s v="-"/>
    <s v="-"/>
    <s v="-"/>
    <s v="-"/>
    <s v="-"/>
    <x v="1"/>
    <x v="0"/>
    <s v="-"/>
    <s v="-"/>
    <s v="-"/>
    <s v="-"/>
    <s v="-"/>
    <s v="Not Known"/>
    <s v="-"/>
    <s v="-"/>
    <s v="-"/>
    <s v="-"/>
    <s v="-"/>
    <x v="0"/>
    <x v="0"/>
    <n v="2.8000001795589941E-2"/>
    <n v="0"/>
    <n v="54"/>
    <n v="-54"/>
    <x v="0"/>
    <x v="0"/>
    <m/>
    <x v="0"/>
    <m/>
    <x v="0"/>
    <m/>
    <x v="0"/>
    <x v="0"/>
    <x v="0"/>
    <x v="0"/>
    <m/>
    <n v="54"/>
    <n v="0"/>
    <n v="54"/>
    <x v="1"/>
    <m/>
  </r>
  <r>
    <x v="0"/>
    <x v="0"/>
    <x v="0"/>
    <x v="0"/>
    <n v="6309"/>
    <x v="523"/>
    <x v="5"/>
    <n v="1.7999999225139601E-2"/>
    <n v="526019"/>
    <n v="174719"/>
    <m/>
    <x v="589"/>
    <s v="PF"/>
    <d v="2017-02-15T00:00:00"/>
    <x v="402"/>
    <s v="Y"/>
    <m/>
    <s v="Nil"/>
    <m/>
    <m/>
    <s v="Alterations including the erection of two dormer roof extensions to main rear roof; part three, part four storey (including basement) rear/side extension including formation of rear roof terrace with 1.5m high surround at second floor level; provision of cycle and refuse storage in rear garden in connection with use as 3 x 2 and 1 x 3 bedroom flats."/>
    <x v="572"/>
    <s v="MIX"/>
    <x v="0"/>
    <s v="OC"/>
    <m/>
    <d v="2017-03-31T00:00:00"/>
    <d v="2017-11-14T00:00:00"/>
    <d v="2017-11-14T00:00:00"/>
    <s v="C"/>
    <s v="BF"/>
    <x v="0"/>
    <m/>
    <d v="2017-03-31T00:00:00"/>
    <d v="2017-11-14T00:00:00"/>
    <m/>
    <m/>
    <m/>
    <m/>
    <m/>
    <m/>
    <m/>
    <m/>
    <m/>
    <m/>
    <m/>
    <m/>
    <m/>
    <m/>
    <m/>
    <m/>
    <m/>
    <m/>
    <m/>
    <m/>
    <m/>
    <m/>
    <m/>
    <m/>
    <m/>
    <m/>
    <m/>
    <m/>
    <m/>
    <m/>
    <m/>
    <x v="0"/>
    <x v="0"/>
    <x v="1"/>
    <m/>
    <m/>
    <m/>
    <m/>
    <m/>
    <m/>
    <m/>
    <x v="0"/>
    <m/>
    <m/>
    <m/>
    <m/>
    <m/>
    <x v="0"/>
    <m/>
    <m/>
    <m/>
    <m/>
    <s v="-"/>
    <s v="-"/>
    <s v="-"/>
    <s v="-"/>
    <s v="-"/>
    <s v="-"/>
    <s v="-"/>
    <s v="-"/>
    <s v="-"/>
    <s v="-"/>
    <s v="-"/>
    <x v="1"/>
    <x v="0"/>
    <s v="-"/>
    <s v="-"/>
    <s v="-"/>
    <s v="-"/>
    <s v="-"/>
    <s v="-"/>
    <s v="-"/>
    <s v="-"/>
    <s v="-"/>
    <s v="-"/>
    <s v="-"/>
    <x v="0"/>
    <x v="0"/>
    <n v="0"/>
    <n v="0"/>
    <n v="259"/>
    <n v="-259"/>
    <x v="0"/>
    <x v="0"/>
    <m/>
    <x v="0"/>
    <m/>
    <x v="0"/>
    <m/>
    <x v="0"/>
    <x v="0"/>
    <x v="0"/>
    <x v="0"/>
    <m/>
    <n v="300"/>
    <n v="0"/>
    <n v="300"/>
    <x v="1"/>
    <m/>
  </r>
  <r>
    <x v="0"/>
    <x v="2"/>
    <x v="2"/>
    <x v="0"/>
    <n v="6313"/>
    <x v="524"/>
    <x v="8"/>
    <n v="8.1000000238418607E-2"/>
    <n v="528068"/>
    <n v="176657"/>
    <m/>
    <x v="590"/>
    <s v="PAG"/>
    <d v="2016-07-26T00:00:00"/>
    <x v="403"/>
    <m/>
    <m/>
    <s v="Nil"/>
    <m/>
    <m/>
    <s v="Determination as to whether prior approval is required for change of use of office  from (Class B1a) to 2 x 1-bedroom residential units(Class C3)."/>
    <x v="573"/>
    <s v="COU"/>
    <x v="2"/>
    <s v="OC"/>
    <m/>
    <d v="2017-01-20T00:00:00"/>
    <d v="2017-10-09T00:00:00"/>
    <d v="2017-10-09T00:00:00"/>
    <s v="C"/>
    <s v="BF"/>
    <x v="0"/>
    <m/>
    <d v="2017-01-20T00:00:00"/>
    <d v="2017-10-09T00:00:00"/>
    <m/>
    <m/>
    <m/>
    <m/>
    <m/>
    <m/>
    <m/>
    <m/>
    <m/>
    <m/>
    <m/>
    <m/>
    <m/>
    <m/>
    <m/>
    <m/>
    <m/>
    <m/>
    <m/>
    <m/>
    <m/>
    <m/>
    <n v="112"/>
    <m/>
    <m/>
    <m/>
    <m/>
    <n v="112"/>
    <m/>
    <m/>
    <m/>
    <x v="0"/>
    <x v="1"/>
    <x v="1"/>
    <m/>
    <m/>
    <m/>
    <m/>
    <m/>
    <m/>
    <n v="-112"/>
    <x v="1"/>
    <m/>
    <m/>
    <m/>
    <m/>
    <n v="-112"/>
    <x v="1"/>
    <m/>
    <m/>
    <m/>
    <m/>
    <s v="-"/>
    <s v="-"/>
    <s v="-"/>
    <s v="-"/>
    <s v="-"/>
    <s v="-"/>
    <s v="-"/>
    <s v="-"/>
    <s v="-"/>
    <s v="-"/>
    <s v="-"/>
    <x v="1"/>
    <x v="0"/>
    <s v="-"/>
    <s v="-"/>
    <s v="-"/>
    <s v="-"/>
    <s v="-"/>
    <s v="Not Known"/>
    <s v="-"/>
    <s v="-"/>
    <s v="-"/>
    <s v="-"/>
    <s v="-"/>
    <x v="0"/>
    <x v="0"/>
    <n v="2.6999998837709406E-2"/>
    <n v="0"/>
    <n v="112"/>
    <n v="-112"/>
    <x v="0"/>
    <x v="0"/>
    <m/>
    <x v="0"/>
    <m/>
    <x v="0"/>
    <m/>
    <x v="0"/>
    <x v="0"/>
    <x v="0"/>
    <x v="0"/>
    <m/>
    <n v="112"/>
    <n v="0"/>
    <n v="112"/>
    <x v="1"/>
    <m/>
  </r>
  <r>
    <x v="2"/>
    <x v="0"/>
    <x v="0"/>
    <x v="1"/>
    <n v="6315"/>
    <x v="525"/>
    <x v="14"/>
    <n v="8.0000003799796104E-3"/>
    <n v="527754"/>
    <n v="172112"/>
    <m/>
    <x v="591"/>
    <s v="PF"/>
    <d v="2016-07-15T00:00:00"/>
    <x v="254"/>
    <m/>
    <m/>
    <s v="Nil"/>
    <m/>
    <m/>
    <s v="Demolition of existing garage and erection of a two-storey building to provide 1 x 2-bedroom flat and bin store."/>
    <x v="574"/>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25"/>
    <n v="-25"/>
    <x v="0"/>
    <x v="0"/>
    <m/>
    <x v="0"/>
    <m/>
    <x v="0"/>
    <m/>
    <x v="0"/>
    <x v="0"/>
    <x v="0"/>
    <x v="0"/>
    <m/>
    <n v="82"/>
    <n v="0"/>
    <n v="82"/>
    <x v="1"/>
    <m/>
  </r>
  <r>
    <x v="2"/>
    <x v="0"/>
    <x v="0"/>
    <x v="1"/>
    <n v="6317"/>
    <x v="526"/>
    <x v="19"/>
    <n v="5.7000000029802302E-2"/>
    <n v="522879"/>
    <n v="174549"/>
    <m/>
    <x v="592"/>
    <s v="PF"/>
    <d v="2016-11-07T00:00:00"/>
    <x v="152"/>
    <m/>
    <m/>
    <s v="Nil"/>
    <m/>
    <m/>
    <s v="Demolition of existing garages and erection of a six bedroom, part single, part two-storey dwelling with basement, on-site parking and associated landscaping."/>
    <x v="575"/>
    <s v="NB"/>
    <x v="0"/>
    <s v="NSO"/>
    <m/>
    <m/>
    <m/>
    <m/>
    <s v="C"/>
    <s v="BF"/>
    <x v="0"/>
    <m/>
    <m/>
    <m/>
    <m/>
    <m/>
    <m/>
    <m/>
    <m/>
    <m/>
    <m/>
    <m/>
    <m/>
    <m/>
    <m/>
    <m/>
    <m/>
    <m/>
    <m/>
    <m/>
    <m/>
    <m/>
    <m/>
    <m/>
    <m/>
    <m/>
    <m/>
    <m/>
    <m/>
    <m/>
    <m/>
    <m/>
    <m/>
    <m/>
    <m/>
    <x v="0"/>
    <x v="0"/>
    <x v="1"/>
    <m/>
    <m/>
    <m/>
    <m/>
    <m/>
    <m/>
    <m/>
    <x v="0"/>
    <m/>
    <m/>
    <m/>
    <m/>
    <m/>
    <x v="0"/>
    <m/>
    <m/>
    <m/>
    <m/>
    <s v="-"/>
    <s v="-"/>
    <s v="-"/>
    <s v="-"/>
    <s v="-"/>
    <s v="-"/>
    <s v="-"/>
    <s v="-"/>
    <s v="-"/>
    <s v="-"/>
    <s v="-"/>
    <x v="1"/>
    <x v="0"/>
    <s v="-"/>
    <s v="-"/>
    <s v="-"/>
    <s v="-"/>
    <s v="-"/>
    <s v="-"/>
    <s v="-"/>
    <s v="-"/>
    <s v="-"/>
    <s v="-"/>
    <s v="-"/>
    <x v="0"/>
    <x v="0"/>
    <n v="9.9999830126760308E-4"/>
    <n v="108"/>
    <n v="0"/>
    <n v="108"/>
    <x v="0"/>
    <x v="0"/>
    <m/>
    <x v="0"/>
    <m/>
    <x v="0"/>
    <m/>
    <x v="0"/>
    <x v="0"/>
    <x v="0"/>
    <x v="0"/>
    <m/>
    <n v="365"/>
    <n v="165"/>
    <n v="200"/>
    <x v="1"/>
    <m/>
  </r>
  <r>
    <x v="2"/>
    <x v="0"/>
    <x v="0"/>
    <x v="1"/>
    <n v="6318"/>
    <x v="527"/>
    <x v="11"/>
    <n v="9.9999997764825804E-3"/>
    <n v="528567"/>
    <n v="173770"/>
    <m/>
    <x v="593"/>
    <s v="PF"/>
    <d v="2017-06-05T00:00:00"/>
    <x v="35"/>
    <s v="Y"/>
    <m/>
    <s v="Nil"/>
    <m/>
    <m/>
    <s v="Demolition of existing building and erection of a four-storey building to provide 1 x studio, 1 x 1-bedroom and 2 x 2 bedroom flats, the erection of  a single-storey (plus basement) 1-bedroom house; associated cycle and refuse storage."/>
    <x v="576"/>
    <s v="NB"/>
    <x v="0"/>
    <s v="NSO"/>
    <m/>
    <m/>
    <m/>
    <m/>
    <s v="C"/>
    <s v="BF"/>
    <x v="0"/>
    <m/>
    <m/>
    <m/>
    <m/>
    <m/>
    <m/>
    <m/>
    <m/>
    <m/>
    <m/>
    <m/>
    <m/>
    <m/>
    <m/>
    <m/>
    <m/>
    <m/>
    <m/>
    <m/>
    <m/>
    <m/>
    <m/>
    <m/>
    <m/>
    <m/>
    <m/>
    <m/>
    <n v="196"/>
    <m/>
    <m/>
    <n v="196"/>
    <m/>
    <m/>
    <m/>
    <x v="0"/>
    <x v="1"/>
    <x v="1"/>
    <m/>
    <m/>
    <m/>
    <m/>
    <m/>
    <m/>
    <m/>
    <x v="0"/>
    <m/>
    <n v="-196"/>
    <m/>
    <m/>
    <n v="-196"/>
    <x v="1"/>
    <m/>
    <m/>
    <m/>
    <m/>
    <s v="-"/>
    <s v="-"/>
    <s v="-"/>
    <s v="-"/>
    <s v="-"/>
    <s v="-"/>
    <s v="-"/>
    <s v="-"/>
    <s v="-"/>
    <s v="-"/>
    <s v="-"/>
    <x v="1"/>
    <x v="0"/>
    <s v="-"/>
    <s v="-"/>
    <s v="-"/>
    <s v="-"/>
    <s v="-"/>
    <s v="-"/>
    <s v="-"/>
    <s v="Light Industrial"/>
    <s v="-"/>
    <s v="-"/>
    <s v="-"/>
    <x v="0"/>
    <x v="0"/>
    <n v="0"/>
    <n v="0"/>
    <n v="196"/>
    <n v="-196"/>
    <x v="0"/>
    <x v="0"/>
    <m/>
    <x v="0"/>
    <m/>
    <x v="0"/>
    <m/>
    <x v="0"/>
    <x v="0"/>
    <x v="0"/>
    <x v="0"/>
    <m/>
    <n v="299"/>
    <n v="65"/>
    <n v="234"/>
    <x v="1"/>
    <m/>
  </r>
  <r>
    <x v="2"/>
    <x v="0"/>
    <x v="0"/>
    <x v="1"/>
    <n v="6319"/>
    <x v="528"/>
    <x v="13"/>
    <n v="4.39999997615814E-2"/>
    <n v="526016"/>
    <n v="172137"/>
    <m/>
    <x v="594"/>
    <s v="PF"/>
    <d v="2017-04-04T00:00:00"/>
    <x v="404"/>
    <s v="Y"/>
    <m/>
    <s v="Nil"/>
    <m/>
    <m/>
    <s v="Erection of 2 x  two-storey industrial units providing flexible workspace suitable for B1c/B2/B8 Use."/>
    <x v="577"/>
    <s v="NB"/>
    <x v="0"/>
    <s v="NSO"/>
    <m/>
    <m/>
    <m/>
    <m/>
    <s v="C"/>
    <s v="BF"/>
    <x v="0"/>
    <m/>
    <m/>
    <m/>
    <m/>
    <m/>
    <m/>
    <m/>
    <m/>
    <m/>
    <m/>
    <m/>
    <n v="107"/>
    <n v="107"/>
    <n v="107"/>
    <n v="108"/>
    <n v="322"/>
    <m/>
    <m/>
    <m/>
    <m/>
    <m/>
    <m/>
    <m/>
    <m/>
    <m/>
    <m/>
    <m/>
    <m/>
    <m/>
    <m/>
    <m/>
    <m/>
    <m/>
    <m/>
    <x v="0"/>
    <x v="1"/>
    <x v="1"/>
    <m/>
    <m/>
    <m/>
    <m/>
    <m/>
    <m/>
    <m/>
    <x v="0"/>
    <m/>
    <n v="107"/>
    <n v="107"/>
    <n v="108"/>
    <n v="322"/>
    <x v="0"/>
    <m/>
    <m/>
    <m/>
    <m/>
    <s v="-"/>
    <s v="-"/>
    <s v="-"/>
    <s v="-"/>
    <s v="-"/>
    <s v="-"/>
    <s v="-"/>
    <s v="Light Industrial"/>
    <s v="General Industry"/>
    <s v="Storage"/>
    <s v="-"/>
    <x v="1"/>
    <x v="0"/>
    <s v="-"/>
    <s v="-"/>
    <s v="-"/>
    <s v="-"/>
    <s v="-"/>
    <s v="-"/>
    <s v="-"/>
    <s v="-"/>
    <s v="-"/>
    <s v="-"/>
    <s v="-"/>
    <x v="0"/>
    <x v="0"/>
    <n v="4.39999997615814E-2"/>
    <n v="322"/>
    <n v="0"/>
    <n v="322"/>
    <x v="0"/>
    <x v="0"/>
    <m/>
    <x v="1"/>
    <s v="Summerstown"/>
    <x v="0"/>
    <m/>
    <x v="0"/>
    <x v="0"/>
    <x v="0"/>
    <x v="0"/>
    <m/>
    <n v="0"/>
    <n v="0"/>
    <n v="0"/>
    <x v="0"/>
    <m/>
  </r>
  <r>
    <x v="0"/>
    <x v="2"/>
    <x v="2"/>
    <x v="2"/>
    <n v="6327"/>
    <x v="529"/>
    <x v="11"/>
    <n v="1.30000002682209E-2"/>
    <n v="528751"/>
    <n v="173670"/>
    <m/>
    <x v="595"/>
    <s v="PAG"/>
    <d v="2016-08-11T00:00:00"/>
    <x v="405"/>
    <m/>
    <m/>
    <s v="Nil"/>
    <m/>
    <m/>
    <s v="Determination as to whether prior approval is required for change of use of rear of unit from financial and professional services (Class A2) to 1 x 1-bedroom flat (Class C3) and external alterations."/>
    <x v="578"/>
    <s v="COU"/>
    <x v="2"/>
    <s v="CO"/>
    <m/>
    <d v="2016-12-22T00:00:00"/>
    <d v="2017-11-13T00:00:00"/>
    <m/>
    <s v="C"/>
    <s v="BF"/>
    <x v="0"/>
    <m/>
    <d v="2016-12-22T00:00:00"/>
    <d v="2017-11-13T00:00:00"/>
    <m/>
    <n v="72"/>
    <m/>
    <m/>
    <m/>
    <n v="72"/>
    <m/>
    <m/>
    <m/>
    <m/>
    <m/>
    <m/>
    <m/>
    <m/>
    <m/>
    <m/>
    <m/>
    <n v="127"/>
    <m/>
    <m/>
    <m/>
    <n v="127"/>
    <m/>
    <m/>
    <m/>
    <m/>
    <m/>
    <m/>
    <m/>
    <m/>
    <m/>
    <x v="1"/>
    <x v="0"/>
    <x v="1"/>
    <m/>
    <n v="-55"/>
    <m/>
    <m/>
    <m/>
    <n v="-55"/>
    <m/>
    <x v="0"/>
    <m/>
    <m/>
    <m/>
    <m/>
    <m/>
    <x v="0"/>
    <m/>
    <m/>
    <m/>
    <m/>
    <s v="-"/>
    <s v="Other"/>
    <s v="-"/>
    <s v="-"/>
    <s v="-"/>
    <s v="-"/>
    <s v="-"/>
    <s v="-"/>
    <s v="-"/>
    <s v="-"/>
    <s v="-"/>
    <x v="1"/>
    <x v="0"/>
    <s v="-"/>
    <s v="Other"/>
    <s v="-"/>
    <s v="-"/>
    <s v="-"/>
    <s v="-"/>
    <s v="-"/>
    <s v="-"/>
    <s v="-"/>
    <s v="-"/>
    <s v="-"/>
    <x v="0"/>
    <x v="0"/>
    <n v="7.0000002160668399E-3"/>
    <n v="72"/>
    <n v="127"/>
    <n v="-55"/>
    <x v="0"/>
    <x v="0"/>
    <m/>
    <x v="0"/>
    <m/>
    <x v="0"/>
    <m/>
    <x v="0"/>
    <x v="1"/>
    <x v="5"/>
    <x v="0"/>
    <m/>
    <n v="55"/>
    <n v="0"/>
    <n v="55"/>
    <x v="1"/>
    <m/>
  </r>
  <r>
    <x v="2"/>
    <x v="2"/>
    <x v="2"/>
    <x v="1"/>
    <n v="6332"/>
    <x v="530"/>
    <x v="7"/>
    <n v="2.0999999716877899E-2"/>
    <n v="524599"/>
    <n v="175302"/>
    <m/>
    <x v="596"/>
    <s v="PAG"/>
    <d v="2016-07-22T00:00:00"/>
    <x v="406"/>
    <m/>
    <m/>
    <s v="Nil"/>
    <m/>
    <m/>
    <s v="Determination as to whether prior approval is required for change of use of office at first floor level from (Class B1a) to 6 x 2-bedroom residential units (Class C3)."/>
    <x v="579"/>
    <s v="COU"/>
    <x v="2"/>
    <s v="NSO"/>
    <m/>
    <m/>
    <m/>
    <m/>
    <s v="C"/>
    <s v="BF"/>
    <x v="0"/>
    <m/>
    <m/>
    <m/>
    <m/>
    <m/>
    <m/>
    <m/>
    <m/>
    <m/>
    <m/>
    <m/>
    <m/>
    <m/>
    <m/>
    <m/>
    <m/>
    <m/>
    <m/>
    <m/>
    <m/>
    <m/>
    <m/>
    <m/>
    <m/>
    <m/>
    <n v="534"/>
    <m/>
    <m/>
    <m/>
    <m/>
    <n v="534"/>
    <m/>
    <m/>
    <m/>
    <x v="0"/>
    <x v="1"/>
    <x v="1"/>
    <m/>
    <m/>
    <m/>
    <m/>
    <m/>
    <m/>
    <n v="-534"/>
    <x v="1"/>
    <m/>
    <m/>
    <m/>
    <m/>
    <n v="-534"/>
    <x v="1"/>
    <m/>
    <m/>
    <m/>
    <m/>
    <s v="-"/>
    <s v="-"/>
    <s v="-"/>
    <s v="-"/>
    <s v="-"/>
    <s v="-"/>
    <s v="-"/>
    <s v="-"/>
    <s v="-"/>
    <s v="-"/>
    <s v="-"/>
    <x v="1"/>
    <x v="0"/>
    <s v="-"/>
    <s v="-"/>
    <s v="-"/>
    <s v="-"/>
    <s v="-"/>
    <s v="Other"/>
    <s v="-"/>
    <s v="-"/>
    <s v="-"/>
    <s v="-"/>
    <s v="-"/>
    <x v="0"/>
    <x v="0"/>
    <n v="0"/>
    <n v="0"/>
    <n v="534"/>
    <n v="-534"/>
    <x v="1"/>
    <x v="0"/>
    <m/>
    <x v="0"/>
    <m/>
    <x v="0"/>
    <m/>
    <x v="0"/>
    <x v="0"/>
    <x v="0"/>
    <x v="0"/>
    <m/>
    <n v="534"/>
    <n v="0"/>
    <n v="534"/>
    <x v="1"/>
    <m/>
  </r>
  <r>
    <x v="1"/>
    <x v="2"/>
    <x v="2"/>
    <x v="1"/>
    <n v="6335"/>
    <x v="531"/>
    <x v="4"/>
    <n v="4.6999998390674598E-2"/>
    <n v="527310"/>
    <n v="177196"/>
    <s v="10.1.1"/>
    <x v="597"/>
    <s v="NPA"/>
    <d v="2018-02-20T00:00:00"/>
    <x v="1"/>
    <m/>
    <m/>
    <s v="Nil"/>
    <m/>
    <m/>
    <s v="Determination as to whether prior approval is required for change of use from office at second floor level (Use Class B1(a)) to residential (Use Class C3) to provide 2 x 3 bedroom flats."/>
    <x v="580"/>
    <s v="COU"/>
    <x v="2"/>
    <s v="NSO"/>
    <m/>
    <m/>
    <m/>
    <m/>
    <s v="P"/>
    <s v="BF"/>
    <x v="0"/>
    <m/>
    <m/>
    <m/>
    <m/>
    <m/>
    <m/>
    <m/>
    <m/>
    <m/>
    <m/>
    <m/>
    <m/>
    <m/>
    <m/>
    <m/>
    <m/>
    <m/>
    <m/>
    <m/>
    <m/>
    <m/>
    <m/>
    <m/>
    <m/>
    <m/>
    <n v="414"/>
    <m/>
    <m/>
    <m/>
    <m/>
    <n v="414"/>
    <m/>
    <m/>
    <m/>
    <x v="0"/>
    <x v="1"/>
    <x v="1"/>
    <m/>
    <m/>
    <m/>
    <m/>
    <m/>
    <m/>
    <n v="-414"/>
    <x v="1"/>
    <m/>
    <m/>
    <m/>
    <m/>
    <n v="-414"/>
    <x v="1"/>
    <m/>
    <m/>
    <m/>
    <m/>
    <s v="-"/>
    <s v="-"/>
    <s v="-"/>
    <s v="-"/>
    <s v="-"/>
    <s v="-"/>
    <s v="-"/>
    <s v="-"/>
    <s v="-"/>
    <s v="-"/>
    <s v="-"/>
    <x v="1"/>
    <x v="0"/>
    <s v="-"/>
    <s v="-"/>
    <s v="-"/>
    <s v="-"/>
    <s v="-"/>
    <s v="Not Known"/>
    <s v="-"/>
    <s v="-"/>
    <s v="-"/>
    <s v="-"/>
    <s v="-"/>
    <x v="0"/>
    <x v="0"/>
    <n v="4.0999998338520541E-2"/>
    <n v="0"/>
    <n v="414"/>
    <n v="-414"/>
    <x v="1"/>
    <x v="0"/>
    <m/>
    <x v="0"/>
    <m/>
    <x v="0"/>
    <m/>
    <x v="0"/>
    <x v="0"/>
    <x v="0"/>
    <x v="0"/>
    <m/>
    <n v="414"/>
    <n v="0"/>
    <n v="414"/>
    <x v="1"/>
    <m/>
  </r>
  <r>
    <x v="2"/>
    <x v="2"/>
    <x v="2"/>
    <x v="1"/>
    <n v="6336"/>
    <x v="532"/>
    <x v="9"/>
    <n v="4.1999999433755902E-2"/>
    <n v="527649"/>
    <n v="176406"/>
    <m/>
    <x v="598"/>
    <s v="PAG"/>
    <d v="2016-09-14T00:00:00"/>
    <x v="100"/>
    <m/>
    <m/>
    <s v="Nil"/>
    <m/>
    <m/>
    <s v="Determination as to whether prior approval is required for change of use from office (Class B1a) to 1 x 2-bedroom residential unit (Class C3)."/>
    <x v="234"/>
    <s v="COU"/>
    <x v="2"/>
    <s v="NSO"/>
    <m/>
    <m/>
    <m/>
    <m/>
    <s v="C"/>
    <s v="BF"/>
    <x v="0"/>
    <m/>
    <m/>
    <m/>
    <m/>
    <m/>
    <m/>
    <m/>
    <m/>
    <m/>
    <m/>
    <m/>
    <m/>
    <m/>
    <m/>
    <m/>
    <m/>
    <m/>
    <m/>
    <m/>
    <m/>
    <m/>
    <m/>
    <m/>
    <m/>
    <m/>
    <n v="83"/>
    <m/>
    <m/>
    <m/>
    <m/>
    <n v="83"/>
    <m/>
    <m/>
    <m/>
    <x v="0"/>
    <x v="1"/>
    <x v="1"/>
    <m/>
    <m/>
    <m/>
    <m/>
    <m/>
    <m/>
    <n v="-83"/>
    <x v="1"/>
    <m/>
    <m/>
    <m/>
    <m/>
    <n v="-83"/>
    <x v="1"/>
    <m/>
    <m/>
    <m/>
    <m/>
    <s v="-"/>
    <s v="-"/>
    <s v="-"/>
    <s v="-"/>
    <s v="-"/>
    <s v="-"/>
    <s v="-"/>
    <s v="-"/>
    <s v="-"/>
    <s v="-"/>
    <s v="-"/>
    <x v="1"/>
    <x v="0"/>
    <s v="-"/>
    <s v="-"/>
    <s v="-"/>
    <s v="-"/>
    <s v="-"/>
    <s v="Other"/>
    <s v="-"/>
    <s v="-"/>
    <s v="-"/>
    <s v="-"/>
    <s v="-"/>
    <x v="0"/>
    <x v="0"/>
    <n v="3.3999999053776292E-2"/>
    <n v="0"/>
    <n v="83"/>
    <n v="-83"/>
    <x v="0"/>
    <x v="0"/>
    <m/>
    <x v="0"/>
    <m/>
    <x v="0"/>
    <m/>
    <x v="0"/>
    <x v="0"/>
    <x v="0"/>
    <x v="0"/>
    <m/>
    <n v="83"/>
    <n v="0"/>
    <n v="83"/>
    <x v="1"/>
    <m/>
  </r>
  <r>
    <x v="2"/>
    <x v="2"/>
    <x v="2"/>
    <x v="1"/>
    <n v="6337"/>
    <x v="533"/>
    <x v="9"/>
    <n v="4.1999999433755902E-2"/>
    <n v="527649"/>
    <n v="176406"/>
    <m/>
    <x v="599"/>
    <s v="PAG"/>
    <d v="2016-09-14T00:00:00"/>
    <x v="407"/>
    <m/>
    <m/>
    <s v="Nil"/>
    <m/>
    <m/>
    <s v="Determination as to whether prior approval is required for change of use from office (Class B1a) to 1 x 3-bedroom residential unit (Class C3)."/>
    <x v="581"/>
    <s v="COU"/>
    <x v="2"/>
    <s v="NSO"/>
    <m/>
    <m/>
    <m/>
    <m/>
    <s v="C"/>
    <s v="BF"/>
    <x v="0"/>
    <m/>
    <m/>
    <m/>
    <m/>
    <m/>
    <m/>
    <m/>
    <m/>
    <m/>
    <m/>
    <m/>
    <m/>
    <m/>
    <m/>
    <m/>
    <m/>
    <m/>
    <m/>
    <m/>
    <m/>
    <m/>
    <m/>
    <m/>
    <m/>
    <m/>
    <n v="101"/>
    <m/>
    <m/>
    <m/>
    <m/>
    <n v="101"/>
    <m/>
    <m/>
    <m/>
    <x v="0"/>
    <x v="1"/>
    <x v="1"/>
    <m/>
    <m/>
    <m/>
    <m/>
    <m/>
    <m/>
    <n v="-101"/>
    <x v="1"/>
    <m/>
    <m/>
    <m/>
    <m/>
    <n v="-101"/>
    <x v="1"/>
    <m/>
    <m/>
    <m/>
    <m/>
    <s v="-"/>
    <s v="-"/>
    <s v="-"/>
    <s v="-"/>
    <s v="-"/>
    <s v="-"/>
    <s v="-"/>
    <s v="-"/>
    <s v="-"/>
    <s v="-"/>
    <s v="-"/>
    <x v="1"/>
    <x v="0"/>
    <s v="-"/>
    <s v="-"/>
    <s v="-"/>
    <s v="-"/>
    <s v="-"/>
    <s v="Other"/>
    <s v="-"/>
    <s v="-"/>
    <s v="-"/>
    <s v="-"/>
    <s v="-"/>
    <x v="0"/>
    <x v="0"/>
    <n v="3.199999965727332E-2"/>
    <n v="0"/>
    <n v="101"/>
    <n v="-101"/>
    <x v="0"/>
    <x v="0"/>
    <m/>
    <x v="0"/>
    <m/>
    <x v="0"/>
    <m/>
    <x v="0"/>
    <x v="0"/>
    <x v="0"/>
    <x v="0"/>
    <m/>
    <n v="101"/>
    <n v="0"/>
    <n v="101"/>
    <x v="1"/>
    <m/>
  </r>
  <r>
    <x v="2"/>
    <x v="2"/>
    <x v="2"/>
    <x v="1"/>
    <n v="6338"/>
    <x v="534"/>
    <x v="9"/>
    <n v="4.1999999433755902E-2"/>
    <n v="527649"/>
    <n v="176406"/>
    <m/>
    <x v="600"/>
    <s v="PAG"/>
    <d v="2016-09-14T00:00:00"/>
    <x v="407"/>
    <m/>
    <m/>
    <s v="Nil"/>
    <m/>
    <m/>
    <s v="Determination as to whether prior approval is required for change of use from office (Class B1a) to 1 x 2-bedroom residential unit (Class C3)."/>
    <x v="582"/>
    <s v="COU"/>
    <x v="2"/>
    <s v="NSO"/>
    <m/>
    <m/>
    <m/>
    <m/>
    <s v="C"/>
    <s v="BF"/>
    <x v="0"/>
    <m/>
    <m/>
    <m/>
    <m/>
    <m/>
    <m/>
    <m/>
    <m/>
    <m/>
    <m/>
    <m/>
    <m/>
    <m/>
    <m/>
    <m/>
    <m/>
    <m/>
    <m/>
    <m/>
    <m/>
    <m/>
    <m/>
    <m/>
    <m/>
    <m/>
    <n v="58"/>
    <m/>
    <m/>
    <m/>
    <m/>
    <n v="58"/>
    <m/>
    <m/>
    <m/>
    <x v="0"/>
    <x v="1"/>
    <x v="1"/>
    <m/>
    <m/>
    <m/>
    <m/>
    <m/>
    <m/>
    <n v="-58"/>
    <x v="1"/>
    <m/>
    <m/>
    <m/>
    <m/>
    <n v="-58"/>
    <x v="1"/>
    <m/>
    <m/>
    <m/>
    <m/>
    <s v="-"/>
    <s v="-"/>
    <s v="-"/>
    <s v="-"/>
    <s v="-"/>
    <s v="-"/>
    <s v="-"/>
    <s v="-"/>
    <s v="-"/>
    <s v="-"/>
    <s v="-"/>
    <x v="1"/>
    <x v="0"/>
    <s v="-"/>
    <s v="-"/>
    <s v="-"/>
    <s v="-"/>
    <s v="-"/>
    <s v="Other"/>
    <s v="-"/>
    <s v="-"/>
    <s v="-"/>
    <s v="-"/>
    <s v="-"/>
    <x v="0"/>
    <x v="0"/>
    <n v="3.5999999381601845E-2"/>
    <n v="0"/>
    <n v="58"/>
    <n v="-58"/>
    <x v="0"/>
    <x v="0"/>
    <m/>
    <x v="0"/>
    <m/>
    <x v="0"/>
    <m/>
    <x v="0"/>
    <x v="0"/>
    <x v="0"/>
    <x v="0"/>
    <m/>
    <n v="58"/>
    <n v="0"/>
    <n v="58"/>
    <x v="1"/>
    <m/>
  </r>
  <r>
    <x v="2"/>
    <x v="2"/>
    <x v="2"/>
    <x v="1"/>
    <n v="6339"/>
    <x v="535"/>
    <x v="9"/>
    <n v="4.1999999433755902E-2"/>
    <n v="527649"/>
    <n v="176406"/>
    <m/>
    <x v="601"/>
    <s v="PAG"/>
    <d v="2016-09-14T00:00:00"/>
    <x v="407"/>
    <m/>
    <m/>
    <s v="Nil"/>
    <m/>
    <m/>
    <s v="Determination as to whether prior approval is required for change of use from office (Class B1a) to 1 x 2-bedroom residential unit (Class C3)."/>
    <x v="234"/>
    <s v="COU"/>
    <x v="2"/>
    <s v="NSO"/>
    <m/>
    <m/>
    <m/>
    <m/>
    <s v="C"/>
    <s v="BF"/>
    <x v="0"/>
    <m/>
    <m/>
    <m/>
    <m/>
    <m/>
    <m/>
    <m/>
    <m/>
    <m/>
    <m/>
    <m/>
    <m/>
    <m/>
    <m/>
    <m/>
    <m/>
    <m/>
    <m/>
    <m/>
    <m/>
    <m/>
    <m/>
    <m/>
    <m/>
    <m/>
    <n v="59"/>
    <m/>
    <m/>
    <m/>
    <m/>
    <n v="59"/>
    <m/>
    <m/>
    <m/>
    <x v="0"/>
    <x v="1"/>
    <x v="1"/>
    <m/>
    <m/>
    <m/>
    <m/>
    <m/>
    <m/>
    <n v="-59"/>
    <x v="1"/>
    <m/>
    <m/>
    <m/>
    <m/>
    <n v="-59"/>
    <x v="1"/>
    <m/>
    <m/>
    <m/>
    <m/>
    <s v="-"/>
    <s v="-"/>
    <s v="-"/>
    <s v="-"/>
    <s v="-"/>
    <s v="-"/>
    <s v="-"/>
    <s v="-"/>
    <s v="-"/>
    <s v="-"/>
    <s v="-"/>
    <x v="1"/>
    <x v="0"/>
    <s v="-"/>
    <s v="-"/>
    <s v="-"/>
    <s v="-"/>
    <s v="-"/>
    <s v="Other"/>
    <s v="-"/>
    <s v="-"/>
    <s v="-"/>
    <s v="-"/>
    <s v="-"/>
    <x v="0"/>
    <x v="0"/>
    <n v="3.5999999381601845E-2"/>
    <n v="0"/>
    <n v="59"/>
    <n v="-59"/>
    <x v="0"/>
    <x v="0"/>
    <m/>
    <x v="0"/>
    <m/>
    <x v="0"/>
    <m/>
    <x v="0"/>
    <x v="0"/>
    <x v="0"/>
    <x v="0"/>
    <m/>
    <n v="59"/>
    <n v="0"/>
    <n v="59"/>
    <x v="1"/>
    <m/>
  </r>
  <r>
    <x v="2"/>
    <x v="2"/>
    <x v="2"/>
    <x v="1"/>
    <n v="6343"/>
    <x v="536"/>
    <x v="8"/>
    <n v="1.09999999403954E-2"/>
    <n v="528554"/>
    <n v="175987"/>
    <m/>
    <x v="602"/>
    <s v="PAG"/>
    <d v="2016-08-15T00:00:00"/>
    <x v="408"/>
    <m/>
    <m/>
    <s v="Nil"/>
    <m/>
    <m/>
    <s v="Determination as to whether prior notification is required for change of use of ground floor from retail (Class A1, ) to a restaurant (Class A3)."/>
    <x v="583"/>
    <s v="COU"/>
    <x v="2"/>
    <s v="NSV"/>
    <m/>
    <m/>
    <m/>
    <m/>
    <s v="C"/>
    <s v="BF"/>
    <x v="0"/>
    <m/>
    <m/>
    <m/>
    <m/>
    <m/>
    <n v="80"/>
    <m/>
    <m/>
    <n v="80"/>
    <m/>
    <m/>
    <m/>
    <m/>
    <m/>
    <m/>
    <m/>
    <m/>
    <m/>
    <m/>
    <n v="80"/>
    <m/>
    <m/>
    <m/>
    <m/>
    <n v="80"/>
    <m/>
    <m/>
    <m/>
    <m/>
    <m/>
    <m/>
    <m/>
    <m/>
    <m/>
    <x v="1"/>
    <x v="0"/>
    <x v="1"/>
    <n v="-80"/>
    <m/>
    <n v="80"/>
    <m/>
    <m/>
    <m/>
    <m/>
    <x v="0"/>
    <m/>
    <m/>
    <m/>
    <m/>
    <m/>
    <x v="0"/>
    <m/>
    <m/>
    <m/>
    <m/>
    <s v="-"/>
    <s v="-"/>
    <s v="Restaurant"/>
    <s v="-"/>
    <s v="-"/>
    <s v="-"/>
    <s v="-"/>
    <s v="-"/>
    <s v="-"/>
    <s v="-"/>
    <s v="-"/>
    <x v="1"/>
    <x v="0"/>
    <s v="Vacant"/>
    <s v="-"/>
    <s v="-"/>
    <s v="-"/>
    <s v="-"/>
    <s v="-"/>
    <s v="-"/>
    <s v="-"/>
    <s v="-"/>
    <s v="-"/>
    <s v="-"/>
    <x v="0"/>
    <x v="0"/>
    <n v="1.09999999403954E-2"/>
    <n v="80"/>
    <n v="80"/>
    <n v="0"/>
    <x v="0"/>
    <x v="0"/>
    <m/>
    <x v="0"/>
    <m/>
    <x v="0"/>
    <m/>
    <x v="0"/>
    <x v="0"/>
    <x v="0"/>
    <x v="0"/>
    <m/>
    <n v="0"/>
    <n v="0"/>
    <n v="0"/>
    <x v="0"/>
    <m/>
  </r>
  <r>
    <x v="3"/>
    <x v="0"/>
    <x v="0"/>
    <x v="1"/>
    <n v="6344"/>
    <x v="537"/>
    <x v="14"/>
    <n v="3.70000004768372E-2"/>
    <n v="527166"/>
    <n v="171035"/>
    <m/>
    <x v="603"/>
    <s v="PF"/>
    <d v="2016-08-17T00:00:00"/>
    <x v="334"/>
    <m/>
    <m/>
    <s v="Nil"/>
    <m/>
    <m/>
    <s v="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
    <x v="584"/>
    <s v="MIX"/>
    <x v="0"/>
    <s v="UC"/>
    <m/>
    <d v="2018-03-31T00:00:00"/>
    <m/>
    <m/>
    <s v="C"/>
    <s v="BF"/>
    <x v="0"/>
    <m/>
    <d v="2018-03-31T00:00:00"/>
    <m/>
    <m/>
    <m/>
    <n v="257"/>
    <m/>
    <m/>
    <n v="257"/>
    <m/>
    <m/>
    <m/>
    <m/>
    <m/>
    <m/>
    <m/>
    <m/>
    <m/>
    <m/>
    <m/>
    <m/>
    <n v="290"/>
    <m/>
    <m/>
    <n v="290"/>
    <m/>
    <m/>
    <m/>
    <m/>
    <m/>
    <m/>
    <m/>
    <m/>
    <m/>
    <x v="1"/>
    <x v="0"/>
    <x v="1"/>
    <m/>
    <m/>
    <n v="-33"/>
    <m/>
    <m/>
    <n v="-33"/>
    <m/>
    <x v="0"/>
    <m/>
    <m/>
    <m/>
    <m/>
    <m/>
    <x v="0"/>
    <m/>
    <m/>
    <m/>
    <m/>
    <s v="-"/>
    <s v="-"/>
    <s v="Restaurant"/>
    <s v="-"/>
    <s v="-"/>
    <s v="-"/>
    <s v="-"/>
    <s v="-"/>
    <s v="-"/>
    <s v="-"/>
    <s v="-"/>
    <x v="1"/>
    <x v="0"/>
    <s v="-"/>
    <s v="-"/>
    <s v="Vacant"/>
    <s v="-"/>
    <s v="-"/>
    <s v="-"/>
    <s v="-"/>
    <s v="-"/>
    <s v="-"/>
    <s v="-"/>
    <s v="-"/>
    <x v="0"/>
    <x v="0"/>
    <n v="1.6000000759959301E-2"/>
    <n v="257"/>
    <m/>
    <m/>
    <x v="0"/>
    <x v="0"/>
    <m/>
    <x v="0"/>
    <m/>
    <x v="0"/>
    <m/>
    <x v="0"/>
    <x v="0"/>
    <x v="0"/>
    <x v="0"/>
    <m/>
    <n v="424"/>
    <n v="214"/>
    <n v="210"/>
    <x v="1"/>
    <m/>
  </r>
  <r>
    <x v="2"/>
    <x v="0"/>
    <x v="0"/>
    <x v="1"/>
    <n v="6346"/>
    <x v="538"/>
    <x v="16"/>
    <n v="1.60000007599592E-2"/>
    <n v="527661"/>
    <n v="171202"/>
    <m/>
    <x v="604"/>
    <s v="PF"/>
    <d v="2016-06-09T00:00:00"/>
    <x v="119"/>
    <m/>
    <m/>
    <s v="Nil"/>
    <m/>
    <m/>
    <s v="Erection of a two-storey ground and first floor rear extension to extend the shop and flat above, and relocate the external stairs at the rear."/>
    <x v="585"/>
    <s v="NB"/>
    <x v="0"/>
    <s v="NSO"/>
    <m/>
    <m/>
    <m/>
    <m/>
    <s v="C"/>
    <s v="BF"/>
    <x v="0"/>
    <m/>
    <m/>
    <m/>
    <n v="82"/>
    <m/>
    <m/>
    <m/>
    <m/>
    <n v="82"/>
    <m/>
    <m/>
    <m/>
    <m/>
    <m/>
    <m/>
    <m/>
    <m/>
    <m/>
    <m/>
    <n v="72"/>
    <m/>
    <m/>
    <m/>
    <m/>
    <n v="72"/>
    <m/>
    <m/>
    <m/>
    <m/>
    <m/>
    <m/>
    <m/>
    <m/>
    <m/>
    <x v="1"/>
    <x v="0"/>
    <x v="1"/>
    <n v="10"/>
    <m/>
    <m/>
    <m/>
    <m/>
    <n v="10"/>
    <m/>
    <x v="0"/>
    <m/>
    <m/>
    <m/>
    <m/>
    <m/>
    <x v="0"/>
    <m/>
    <m/>
    <m/>
    <m/>
    <s v="Not Known"/>
    <s v="-"/>
    <s v="-"/>
    <s v="-"/>
    <s v="-"/>
    <s v="-"/>
    <s v="-"/>
    <s v="-"/>
    <s v="-"/>
    <s v="-"/>
    <s v="-"/>
    <x v="1"/>
    <x v="0"/>
    <s v="Not Known"/>
    <s v="-"/>
    <s v="-"/>
    <s v="-"/>
    <s v="-"/>
    <s v="-"/>
    <s v="-"/>
    <s v="-"/>
    <s v="-"/>
    <s v="-"/>
    <s v="-"/>
    <x v="0"/>
    <x v="0"/>
    <n v="1.60000007599592E-2"/>
    <n v="82"/>
    <n v="72"/>
    <n v="10"/>
    <x v="0"/>
    <x v="0"/>
    <m/>
    <x v="0"/>
    <m/>
    <x v="0"/>
    <m/>
    <x v="0"/>
    <x v="1"/>
    <x v="3"/>
    <x v="0"/>
    <m/>
    <n v="0"/>
    <n v="0"/>
    <n v="0"/>
    <x v="0"/>
    <m/>
  </r>
  <r>
    <x v="2"/>
    <x v="0"/>
    <x v="0"/>
    <x v="1"/>
    <n v="6348"/>
    <x v="539"/>
    <x v="10"/>
    <n v="3.5000000149011598E-2"/>
    <n v="525098"/>
    <n v="174608"/>
    <m/>
    <x v="605"/>
    <s v="PF"/>
    <d v="2016-12-06T00:00:00"/>
    <x v="409"/>
    <m/>
    <m/>
    <s v="Nil"/>
    <m/>
    <m/>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x v="586"/>
    <s v="MIX"/>
    <x v="0"/>
    <s v="NSO"/>
    <m/>
    <m/>
    <m/>
    <m/>
    <s v="C"/>
    <s v="BF"/>
    <x v="0"/>
    <m/>
    <m/>
    <m/>
    <m/>
    <m/>
    <m/>
    <m/>
    <m/>
    <m/>
    <m/>
    <m/>
    <m/>
    <m/>
    <m/>
    <m/>
    <m/>
    <m/>
    <m/>
    <m/>
    <n v="279"/>
    <m/>
    <m/>
    <m/>
    <m/>
    <n v="279"/>
    <m/>
    <m/>
    <m/>
    <m/>
    <m/>
    <m/>
    <m/>
    <m/>
    <m/>
    <x v="1"/>
    <x v="0"/>
    <x v="1"/>
    <n v="-279"/>
    <m/>
    <m/>
    <m/>
    <m/>
    <n v="-279"/>
    <m/>
    <x v="0"/>
    <m/>
    <m/>
    <m/>
    <m/>
    <m/>
    <x v="0"/>
    <m/>
    <m/>
    <m/>
    <m/>
    <s v="-"/>
    <s v="-"/>
    <s v="-"/>
    <s v="-"/>
    <s v="-"/>
    <s v="-"/>
    <s v="-"/>
    <s v="-"/>
    <s v="-"/>
    <s v="-"/>
    <s v="-"/>
    <x v="1"/>
    <x v="0"/>
    <s v="Services"/>
    <s v="-"/>
    <s v="-"/>
    <s v="-"/>
    <s v="-"/>
    <s v="-"/>
    <s v="-"/>
    <s v="-"/>
    <s v="-"/>
    <s v="-"/>
    <s v="-"/>
    <x v="0"/>
    <x v="0"/>
    <n v="0"/>
    <n v="0"/>
    <n v="279"/>
    <n v="-279"/>
    <x v="0"/>
    <x v="0"/>
    <m/>
    <x v="0"/>
    <m/>
    <x v="0"/>
    <m/>
    <x v="0"/>
    <x v="0"/>
    <x v="0"/>
    <x v="0"/>
    <m/>
    <n v="491"/>
    <n v="0"/>
    <n v="491"/>
    <x v="1"/>
    <m/>
  </r>
  <r>
    <x v="2"/>
    <x v="0"/>
    <x v="0"/>
    <x v="1"/>
    <n v="6350"/>
    <x v="540"/>
    <x v="6"/>
    <n v="0.164000004529953"/>
    <n v="527637"/>
    <n v="175472"/>
    <m/>
    <x v="606"/>
    <s v="PF"/>
    <d v="2016-08-24T00:00:00"/>
    <x v="410"/>
    <m/>
    <m/>
    <s v="Nil"/>
    <m/>
    <m/>
    <s v="Erection of single-storey wc building in courtyard (Concurrent listed building consent application ref 2016/4906)."/>
    <x v="587"/>
    <s v="NB"/>
    <x v="0"/>
    <s v="NSO"/>
    <m/>
    <m/>
    <m/>
    <m/>
    <s v="C"/>
    <s v="BF"/>
    <x v="0"/>
    <m/>
    <m/>
    <m/>
    <m/>
    <m/>
    <m/>
    <m/>
    <m/>
    <m/>
    <m/>
    <m/>
    <m/>
    <m/>
    <m/>
    <m/>
    <m/>
    <n v="20"/>
    <m/>
    <n v="20"/>
    <m/>
    <m/>
    <m/>
    <m/>
    <m/>
    <m/>
    <m/>
    <m/>
    <m/>
    <m/>
    <m/>
    <m/>
    <m/>
    <m/>
    <m/>
    <x v="0"/>
    <x v="0"/>
    <x v="0"/>
    <m/>
    <m/>
    <m/>
    <m/>
    <m/>
    <m/>
    <m/>
    <x v="0"/>
    <m/>
    <m/>
    <m/>
    <m/>
    <m/>
    <x v="0"/>
    <m/>
    <n v="20"/>
    <m/>
    <n v="20"/>
    <s v="-"/>
    <s v="-"/>
    <s v="-"/>
    <s v="-"/>
    <s v="-"/>
    <s v="-"/>
    <s v="-"/>
    <s v="-"/>
    <s v="-"/>
    <s v="-"/>
    <s v="-"/>
    <x v="8"/>
    <x v="0"/>
    <s v="-"/>
    <s v="-"/>
    <s v="-"/>
    <s v="-"/>
    <s v="-"/>
    <s v="-"/>
    <s v="-"/>
    <s v="-"/>
    <s v="-"/>
    <s v="-"/>
    <s v="-"/>
    <x v="0"/>
    <x v="0"/>
    <n v="0.164000004529953"/>
    <n v="20"/>
    <n v="0"/>
    <n v="20"/>
    <x v="0"/>
    <x v="0"/>
    <m/>
    <x v="0"/>
    <m/>
    <x v="0"/>
    <m/>
    <x v="0"/>
    <x v="1"/>
    <x v="1"/>
    <x v="0"/>
    <m/>
    <n v="0"/>
    <n v="0"/>
    <n v="0"/>
    <x v="0"/>
    <m/>
  </r>
  <r>
    <x v="2"/>
    <x v="0"/>
    <x v="0"/>
    <x v="1"/>
    <n v="6355"/>
    <x v="541"/>
    <x v="11"/>
    <n v="1.7000000923872001E-2"/>
    <n v="529010"/>
    <n v="173294"/>
    <m/>
    <x v="607"/>
    <s v="PF"/>
    <d v="2016-08-19T00:00:00"/>
    <x v="162"/>
    <m/>
    <m/>
    <s v="Nil"/>
    <m/>
    <m/>
    <s v="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
    <x v="588"/>
    <s v="MIX"/>
    <x v="0"/>
    <s v="NSO"/>
    <m/>
    <m/>
    <m/>
    <m/>
    <s v="C"/>
    <s v="BF"/>
    <x v="0"/>
    <m/>
    <m/>
    <m/>
    <m/>
    <m/>
    <m/>
    <m/>
    <m/>
    <m/>
    <m/>
    <m/>
    <m/>
    <m/>
    <m/>
    <m/>
    <m/>
    <m/>
    <m/>
    <m/>
    <n v="112"/>
    <m/>
    <m/>
    <m/>
    <m/>
    <n v="112"/>
    <m/>
    <m/>
    <m/>
    <m/>
    <m/>
    <m/>
    <m/>
    <m/>
    <m/>
    <x v="1"/>
    <x v="0"/>
    <x v="1"/>
    <n v="-112"/>
    <m/>
    <m/>
    <m/>
    <m/>
    <n v="-112"/>
    <m/>
    <x v="0"/>
    <m/>
    <m/>
    <m/>
    <m/>
    <m/>
    <x v="0"/>
    <m/>
    <m/>
    <m/>
    <m/>
    <s v="-"/>
    <s v="-"/>
    <s v="-"/>
    <s v="-"/>
    <s v="-"/>
    <s v="-"/>
    <s v="-"/>
    <s v="-"/>
    <s v="-"/>
    <s v="-"/>
    <s v="-"/>
    <x v="1"/>
    <x v="0"/>
    <s v="Other"/>
    <s v="-"/>
    <s v="-"/>
    <s v="-"/>
    <s v="-"/>
    <s v="-"/>
    <s v="-"/>
    <s v="-"/>
    <s v="-"/>
    <s v="-"/>
    <s v="-"/>
    <x v="0"/>
    <x v="0"/>
    <n v="6.0000009834766006E-3"/>
    <n v="0"/>
    <n v="112"/>
    <n v="-112"/>
    <x v="0"/>
    <x v="0"/>
    <m/>
    <x v="0"/>
    <m/>
    <x v="0"/>
    <m/>
    <x v="0"/>
    <x v="0"/>
    <x v="0"/>
    <x v="0"/>
    <m/>
    <n v="245"/>
    <n v="89"/>
    <n v="156"/>
    <x v="1"/>
    <m/>
  </r>
  <r>
    <x v="3"/>
    <x v="0"/>
    <x v="0"/>
    <x v="1"/>
    <n v="6356"/>
    <x v="542"/>
    <x v="13"/>
    <n v="2.4000000208616298E-2"/>
    <n v="525993"/>
    <n v="172744"/>
    <m/>
    <x v="608"/>
    <s v="PF"/>
    <d v="2016-09-06T00:00:00"/>
    <x v="411"/>
    <m/>
    <m/>
    <s v="Nil"/>
    <m/>
    <m/>
    <s v="Demolition of existing garages and erection of  2 x 2-storey, 3-bedroom houses with associated landscaping and 2 x off-street parking spaces with access from Summerley Street."/>
    <x v="589"/>
    <s v="NB"/>
    <x v="0"/>
    <s v="UC"/>
    <d v="2017-03-31T00:00:00"/>
    <d v="2017-03-31T00:00:00"/>
    <m/>
    <m/>
    <s v="C"/>
    <s v="BF"/>
    <x v="0"/>
    <m/>
    <d v="2017-03-31T00:00:00"/>
    <m/>
    <m/>
    <m/>
    <m/>
    <m/>
    <m/>
    <m/>
    <m/>
    <m/>
    <m/>
    <m/>
    <m/>
    <m/>
    <m/>
    <m/>
    <m/>
    <m/>
    <m/>
    <m/>
    <m/>
    <m/>
    <m/>
    <m/>
    <m/>
    <m/>
    <m/>
    <m/>
    <m/>
    <m/>
    <m/>
    <m/>
    <m/>
    <x v="0"/>
    <x v="0"/>
    <x v="1"/>
    <m/>
    <m/>
    <m/>
    <m/>
    <m/>
    <m/>
    <m/>
    <x v="0"/>
    <m/>
    <m/>
    <m/>
    <m/>
    <m/>
    <x v="0"/>
    <m/>
    <m/>
    <m/>
    <m/>
    <s v="-"/>
    <s v="-"/>
    <s v="-"/>
    <s v="-"/>
    <s v="-"/>
    <s v="-"/>
    <s v="-"/>
    <s v="-"/>
    <s v="-"/>
    <s v="-"/>
    <s v="-"/>
    <x v="1"/>
    <x v="0"/>
    <s v="-"/>
    <s v="-"/>
    <s v="-"/>
    <s v="-"/>
    <s v="-"/>
    <s v="-"/>
    <s v="-"/>
    <s v="-"/>
    <s v="-"/>
    <s v="-"/>
    <s v="-"/>
    <x v="0"/>
    <x v="0"/>
    <n v="0"/>
    <n v="0"/>
    <n v="71"/>
    <n v="-71"/>
    <x v="0"/>
    <x v="0"/>
    <m/>
    <x v="0"/>
    <m/>
    <x v="0"/>
    <m/>
    <x v="0"/>
    <x v="0"/>
    <x v="0"/>
    <x v="0"/>
    <m/>
    <n v="219"/>
    <n v="0"/>
    <n v="219"/>
    <x v="1"/>
    <m/>
  </r>
  <r>
    <x v="2"/>
    <x v="0"/>
    <x v="0"/>
    <x v="1"/>
    <n v="6359"/>
    <x v="543"/>
    <x v="8"/>
    <n v="5.0999999046325697E-2"/>
    <n v="528797"/>
    <n v="176694"/>
    <m/>
    <x v="609"/>
    <s v="PF"/>
    <d v="2016-09-05T00:00:00"/>
    <x v="411"/>
    <m/>
    <m/>
    <s v="Nil"/>
    <m/>
    <m/>
    <s v="Change of use and alterations in connection with conversion of railway arches (Sui Generis) to office (Class B1).  Installation of new shopfronts and alterations including parking  provisions."/>
    <x v="590"/>
    <s v="MIX"/>
    <x v="0"/>
    <s v="NSO"/>
    <m/>
    <m/>
    <m/>
    <m/>
    <s v="C"/>
    <s v="BF"/>
    <x v="0"/>
    <m/>
    <m/>
    <m/>
    <m/>
    <m/>
    <m/>
    <m/>
    <m/>
    <m/>
    <n v="61"/>
    <m/>
    <m/>
    <n v="61"/>
    <m/>
    <m/>
    <n v="61"/>
    <m/>
    <m/>
    <m/>
    <m/>
    <m/>
    <m/>
    <m/>
    <m/>
    <m/>
    <m/>
    <m/>
    <m/>
    <m/>
    <m/>
    <m/>
    <m/>
    <m/>
    <m/>
    <x v="0"/>
    <x v="1"/>
    <x v="1"/>
    <m/>
    <m/>
    <m/>
    <m/>
    <m/>
    <m/>
    <n v="61"/>
    <x v="0"/>
    <m/>
    <m/>
    <m/>
    <m/>
    <n v="61"/>
    <x v="0"/>
    <m/>
    <m/>
    <m/>
    <m/>
    <s v="-"/>
    <s v="-"/>
    <s v="-"/>
    <s v="-"/>
    <s v="-"/>
    <s v="Not Known"/>
    <s v="-"/>
    <s v="-"/>
    <s v="-"/>
    <s v="-"/>
    <s v="-"/>
    <x v="1"/>
    <x v="0"/>
    <s v="-"/>
    <s v="-"/>
    <s v="-"/>
    <s v="-"/>
    <s v="-"/>
    <s v="-"/>
    <s v="-"/>
    <s v="-"/>
    <s v="-"/>
    <s v="-"/>
    <s v="-"/>
    <x v="0"/>
    <x v="0"/>
    <n v="5.0999999046325697E-2"/>
    <n v="61"/>
    <n v="61"/>
    <n v="0"/>
    <x v="0"/>
    <x v="0"/>
    <m/>
    <x v="0"/>
    <m/>
    <x v="0"/>
    <m/>
    <x v="0"/>
    <x v="0"/>
    <x v="0"/>
    <x v="0"/>
    <m/>
    <n v="0"/>
    <n v="0"/>
    <n v="0"/>
    <x v="0"/>
    <m/>
  </r>
  <r>
    <x v="0"/>
    <x v="0"/>
    <x v="0"/>
    <x v="0"/>
    <n v="6360"/>
    <x v="544"/>
    <x v="8"/>
    <n v="0.172999992966652"/>
    <n v="528717"/>
    <n v="177449"/>
    <m/>
    <x v="610"/>
    <s v="PF"/>
    <d v="2016-12-14T00:00:00"/>
    <x v="412"/>
    <s v="Y"/>
    <m/>
    <s v="Nil"/>
    <m/>
    <m/>
    <s v="Use of two vacant railway arches (nos 98/99) for B1 office/welfare cabins (amended description)."/>
    <x v="591"/>
    <s v="COU"/>
    <x v="2"/>
    <s v="OC"/>
    <m/>
    <d v="2017-06-29T00:00:00"/>
    <d v="2018-03-31T00:00:00"/>
    <d v="2018-03-31T00:00:00"/>
    <s v="C"/>
    <s v="BF"/>
    <x v="0"/>
    <m/>
    <d v="2017-06-29T00:00:00"/>
    <d v="2018-03-31T00:00:00"/>
    <m/>
    <m/>
    <m/>
    <m/>
    <m/>
    <m/>
    <m/>
    <m/>
    <m/>
    <m/>
    <m/>
    <n v="1685"/>
    <n v="1685"/>
    <m/>
    <m/>
    <m/>
    <m/>
    <m/>
    <m/>
    <m/>
    <m/>
    <m/>
    <m/>
    <m/>
    <m/>
    <m/>
    <m/>
    <m/>
    <m/>
    <m/>
    <m/>
    <x v="0"/>
    <x v="1"/>
    <x v="1"/>
    <m/>
    <m/>
    <m/>
    <m/>
    <m/>
    <m/>
    <m/>
    <x v="0"/>
    <m/>
    <m/>
    <m/>
    <n v="1685"/>
    <n v="1685"/>
    <x v="0"/>
    <m/>
    <m/>
    <m/>
    <m/>
    <s v="-"/>
    <s v="-"/>
    <s v="-"/>
    <s v="-"/>
    <s v="-"/>
    <s v="-"/>
    <s v="-"/>
    <s v="-"/>
    <s v="-"/>
    <s v="Storage"/>
    <s v="-"/>
    <x v="1"/>
    <x v="0"/>
    <s v="-"/>
    <s v="-"/>
    <s v="-"/>
    <s v="-"/>
    <s v="-"/>
    <s v="-"/>
    <s v="-"/>
    <s v="-"/>
    <s v="-"/>
    <s v="-"/>
    <s v="-"/>
    <x v="0"/>
    <x v="0"/>
    <n v="0.172999992966652"/>
    <n v="1685"/>
    <n v="1685"/>
    <n v="0"/>
    <x v="1"/>
    <x v="0"/>
    <m/>
    <x v="0"/>
    <m/>
    <x v="0"/>
    <m/>
    <x v="1"/>
    <x v="0"/>
    <x v="0"/>
    <x v="0"/>
    <m/>
    <n v="0"/>
    <n v="0"/>
    <n v="0"/>
    <x v="0"/>
    <m/>
  </r>
  <r>
    <x v="2"/>
    <x v="0"/>
    <x v="0"/>
    <x v="1"/>
    <n v="6365"/>
    <x v="545"/>
    <x v="9"/>
    <n v="1.4000000432133701E-2"/>
    <n v="527536"/>
    <n v="176382"/>
    <m/>
    <x v="611"/>
    <s v="PF"/>
    <d v="2017-03-30T00:00:00"/>
    <x v="74"/>
    <s v="Y"/>
    <m/>
    <s v="Nil"/>
    <m/>
    <m/>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x v="592"/>
    <s v="MIX"/>
    <x v="0"/>
    <s v="NSO"/>
    <m/>
    <m/>
    <m/>
    <m/>
    <s v="C"/>
    <s v="BF"/>
    <x v="0"/>
    <m/>
    <m/>
    <m/>
    <m/>
    <n v="154"/>
    <m/>
    <m/>
    <m/>
    <n v="154"/>
    <m/>
    <m/>
    <m/>
    <m/>
    <m/>
    <m/>
    <m/>
    <m/>
    <m/>
    <m/>
    <m/>
    <n v="133"/>
    <m/>
    <m/>
    <m/>
    <n v="133"/>
    <m/>
    <m/>
    <m/>
    <m/>
    <m/>
    <m/>
    <m/>
    <m/>
    <m/>
    <x v="1"/>
    <x v="0"/>
    <x v="1"/>
    <m/>
    <n v="21"/>
    <m/>
    <m/>
    <m/>
    <n v="21"/>
    <m/>
    <x v="0"/>
    <m/>
    <m/>
    <m/>
    <m/>
    <m/>
    <x v="0"/>
    <m/>
    <m/>
    <m/>
    <m/>
    <s v="-"/>
    <s v="Estate Agent"/>
    <s v="-"/>
    <s v="-"/>
    <s v="-"/>
    <s v="-"/>
    <s v="-"/>
    <s v="-"/>
    <s v="-"/>
    <s v="-"/>
    <s v="-"/>
    <x v="1"/>
    <x v="0"/>
    <s v="-"/>
    <s v="Estate Agent"/>
    <s v="-"/>
    <s v="-"/>
    <s v="-"/>
    <s v="-"/>
    <s v="-"/>
    <s v="-"/>
    <s v="-"/>
    <s v="-"/>
    <s v="-"/>
    <x v="0"/>
    <x v="0"/>
    <n v="3.0000004917383003E-3"/>
    <n v="154"/>
    <n v="133"/>
    <n v="21"/>
    <x v="0"/>
    <x v="0"/>
    <m/>
    <x v="0"/>
    <m/>
    <x v="0"/>
    <m/>
    <x v="0"/>
    <x v="0"/>
    <x v="0"/>
    <x v="0"/>
    <m/>
    <n v="324"/>
    <n v="109"/>
    <n v="215"/>
    <x v="1"/>
    <m/>
  </r>
  <r>
    <x v="3"/>
    <x v="0"/>
    <x v="0"/>
    <x v="1"/>
    <n v="6371"/>
    <x v="546"/>
    <x v="5"/>
    <n v="1.30000002682209E-2"/>
    <n v="525949"/>
    <n v="174999"/>
    <m/>
    <x v="612"/>
    <s v="PF"/>
    <d v="2016-11-09T00:00:00"/>
    <x v="413"/>
    <m/>
    <m/>
    <s v="Nil"/>
    <m/>
    <m/>
    <s v="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
    <x v="593"/>
    <s v="MIX"/>
    <x v="0"/>
    <s v="UC"/>
    <m/>
    <d v="2018-03-31T00:00:00"/>
    <m/>
    <m/>
    <s v="C"/>
    <s v="BF"/>
    <x v="0"/>
    <m/>
    <d v="2018-03-31T00:00:00"/>
    <m/>
    <m/>
    <m/>
    <m/>
    <m/>
    <m/>
    <m/>
    <n v="56"/>
    <m/>
    <m/>
    <n v="56"/>
    <m/>
    <m/>
    <n v="56"/>
    <m/>
    <m/>
    <m/>
    <m/>
    <m/>
    <m/>
    <m/>
    <m/>
    <m/>
    <n v="228"/>
    <m/>
    <m/>
    <m/>
    <m/>
    <n v="228"/>
    <m/>
    <m/>
    <m/>
    <x v="0"/>
    <x v="1"/>
    <x v="1"/>
    <m/>
    <m/>
    <m/>
    <m/>
    <m/>
    <m/>
    <n v="-172"/>
    <x v="1"/>
    <m/>
    <m/>
    <m/>
    <m/>
    <n v="-172"/>
    <x v="1"/>
    <m/>
    <m/>
    <m/>
    <m/>
    <s v="-"/>
    <s v="-"/>
    <s v="-"/>
    <s v="-"/>
    <s v="-"/>
    <s v="Not Known"/>
    <s v="-"/>
    <s v="-"/>
    <s v="-"/>
    <s v="-"/>
    <s v="-"/>
    <x v="1"/>
    <x v="0"/>
    <s v="-"/>
    <s v="-"/>
    <s v="-"/>
    <s v="-"/>
    <s v="-"/>
    <s v="Other"/>
    <s v="-"/>
    <s v="-"/>
    <s v="-"/>
    <s v="-"/>
    <s v="-"/>
    <x v="0"/>
    <x v="0"/>
    <n v="6.0000000521540598E-3"/>
    <n v="56"/>
    <n v="228"/>
    <n v="-172"/>
    <x v="0"/>
    <x v="0"/>
    <m/>
    <x v="0"/>
    <m/>
    <x v="0"/>
    <m/>
    <x v="0"/>
    <x v="0"/>
    <x v="0"/>
    <x v="0"/>
    <m/>
    <n v="218"/>
    <n v="0"/>
    <n v="218"/>
    <x v="1"/>
    <m/>
  </r>
  <r>
    <x v="3"/>
    <x v="2"/>
    <x v="2"/>
    <x v="1"/>
    <n v="6371"/>
    <x v="546"/>
    <x v="5"/>
    <n v="1.30000002682209E-2"/>
    <n v="525949"/>
    <n v="174999"/>
    <m/>
    <x v="613"/>
    <s v="PANR"/>
    <d v="2016-11-09T00:00:00"/>
    <x v="21"/>
    <m/>
    <m/>
    <s v="Nil"/>
    <m/>
    <m/>
    <s v="Determination as to whether prior approval is required for change of use of office at first floor level from (Class B1a) to residential (Class C3) to provide 1 x 1-bedroom unit."/>
    <x v="594"/>
    <s v="COU"/>
    <x v="2"/>
    <s v="UC"/>
    <m/>
    <d v="2018-03-31T00:00:00"/>
    <m/>
    <m/>
    <s v="C"/>
    <s v="BF"/>
    <x v="0"/>
    <m/>
    <d v="2018-03-31T00:00:00"/>
    <m/>
    <m/>
    <m/>
    <m/>
    <m/>
    <m/>
    <m/>
    <m/>
    <m/>
    <m/>
    <m/>
    <m/>
    <m/>
    <m/>
    <m/>
    <m/>
    <m/>
    <m/>
    <m/>
    <m/>
    <m/>
    <m/>
    <m/>
    <n v="50"/>
    <m/>
    <m/>
    <m/>
    <m/>
    <n v="50"/>
    <m/>
    <m/>
    <m/>
    <x v="0"/>
    <x v="1"/>
    <x v="1"/>
    <m/>
    <m/>
    <m/>
    <m/>
    <m/>
    <m/>
    <n v="-50"/>
    <x v="1"/>
    <m/>
    <m/>
    <m/>
    <m/>
    <n v="-50"/>
    <x v="1"/>
    <m/>
    <m/>
    <m/>
    <m/>
    <s v="-"/>
    <s v="-"/>
    <s v="-"/>
    <s v="-"/>
    <s v="-"/>
    <s v="-"/>
    <s v="-"/>
    <s v="-"/>
    <s v="-"/>
    <s v="-"/>
    <s v="-"/>
    <x v="1"/>
    <x v="0"/>
    <s v="-"/>
    <s v="-"/>
    <s v="-"/>
    <s v="-"/>
    <s v="-"/>
    <s v="Other"/>
    <s v="-"/>
    <s v="-"/>
    <s v="-"/>
    <s v="-"/>
    <s v="-"/>
    <x v="0"/>
    <x v="0"/>
    <n v="6.0000000521540598E-3"/>
    <n v="0"/>
    <n v="50"/>
    <n v="-50"/>
    <x v="0"/>
    <x v="0"/>
    <m/>
    <x v="0"/>
    <m/>
    <x v="0"/>
    <m/>
    <x v="0"/>
    <x v="0"/>
    <x v="0"/>
    <x v="0"/>
    <m/>
    <n v="50"/>
    <n v="0"/>
    <n v="50"/>
    <x v="1"/>
    <m/>
  </r>
  <r>
    <x v="2"/>
    <x v="2"/>
    <x v="2"/>
    <x v="1"/>
    <n v="6372"/>
    <x v="547"/>
    <x v="11"/>
    <n v="2.60000005364418E-2"/>
    <n v="528591"/>
    <n v="173471"/>
    <m/>
    <x v="614"/>
    <s v="PANR"/>
    <d v="2017-01-27T00:00:00"/>
    <x v="414"/>
    <m/>
    <m/>
    <s v="Nil"/>
    <m/>
    <m/>
    <s v="Determination as to whether prior approval is required for change of use of first floor level from financial and professional services (Class A2) to residential (Class C3) to provide 2 x 1 bedroom flats."/>
    <x v="595"/>
    <s v="COU"/>
    <x v="2"/>
    <s v="NSO"/>
    <m/>
    <m/>
    <m/>
    <m/>
    <s v="C"/>
    <s v="BF"/>
    <x v="0"/>
    <m/>
    <m/>
    <m/>
    <m/>
    <m/>
    <m/>
    <m/>
    <m/>
    <m/>
    <m/>
    <m/>
    <m/>
    <m/>
    <m/>
    <m/>
    <m/>
    <m/>
    <m/>
    <m/>
    <m/>
    <n v="79"/>
    <m/>
    <m/>
    <m/>
    <n v="79"/>
    <m/>
    <m/>
    <m/>
    <m/>
    <m/>
    <m/>
    <m/>
    <m/>
    <m/>
    <x v="1"/>
    <x v="0"/>
    <x v="1"/>
    <m/>
    <n v="-79"/>
    <m/>
    <m/>
    <m/>
    <n v="-79"/>
    <m/>
    <x v="0"/>
    <m/>
    <m/>
    <m/>
    <m/>
    <m/>
    <x v="0"/>
    <m/>
    <m/>
    <m/>
    <m/>
    <s v="-"/>
    <s v="-"/>
    <s v="-"/>
    <s v="-"/>
    <s v="-"/>
    <s v="-"/>
    <s v="-"/>
    <s v="-"/>
    <s v="-"/>
    <s v="-"/>
    <s v="-"/>
    <x v="1"/>
    <x v="0"/>
    <s v="-"/>
    <s v="High Street Bank"/>
    <s v="-"/>
    <s v="-"/>
    <s v="-"/>
    <s v="-"/>
    <s v="-"/>
    <s v="-"/>
    <s v="-"/>
    <s v="-"/>
    <s v="-"/>
    <x v="0"/>
    <x v="0"/>
    <n v="1.8000000156462189E-2"/>
    <n v="0"/>
    <n v="79"/>
    <n v="-79"/>
    <x v="0"/>
    <x v="0"/>
    <m/>
    <x v="0"/>
    <m/>
    <x v="0"/>
    <m/>
    <x v="0"/>
    <x v="1"/>
    <x v="5"/>
    <x v="0"/>
    <m/>
    <n v="79"/>
    <n v="0"/>
    <n v="79"/>
    <x v="1"/>
    <m/>
  </r>
  <r>
    <x v="2"/>
    <x v="2"/>
    <x v="2"/>
    <x v="1"/>
    <n v="6373"/>
    <x v="548"/>
    <x v="3"/>
    <n v="0.15199999511241899"/>
    <n v="527327"/>
    <n v="175384"/>
    <m/>
    <x v="615"/>
    <s v="PAG"/>
    <d v="2016-12-12T00:00:00"/>
    <x v="415"/>
    <m/>
    <m/>
    <s v="Nil"/>
    <m/>
    <m/>
    <s v="Determination as to whether prior approval is required for change of use from office (Class B1a) to 35 x residential units (Class C3) at first to fourth floors."/>
    <x v="596"/>
    <s v="COU"/>
    <x v="2"/>
    <s v="NSV"/>
    <m/>
    <m/>
    <m/>
    <m/>
    <s v="C"/>
    <s v="BF"/>
    <x v="0"/>
    <m/>
    <m/>
    <m/>
    <m/>
    <m/>
    <m/>
    <m/>
    <m/>
    <m/>
    <m/>
    <m/>
    <m/>
    <m/>
    <m/>
    <m/>
    <m/>
    <m/>
    <m/>
    <m/>
    <m/>
    <m/>
    <m/>
    <m/>
    <m/>
    <m/>
    <n v="1446"/>
    <m/>
    <m/>
    <m/>
    <m/>
    <n v="1446"/>
    <m/>
    <m/>
    <m/>
    <x v="0"/>
    <x v="1"/>
    <x v="1"/>
    <m/>
    <m/>
    <m/>
    <m/>
    <m/>
    <m/>
    <n v="-1446"/>
    <x v="1"/>
    <m/>
    <m/>
    <m/>
    <m/>
    <n v="-1446"/>
    <x v="1"/>
    <m/>
    <m/>
    <m/>
    <m/>
    <s v="-"/>
    <s v="-"/>
    <s v="-"/>
    <s v="-"/>
    <s v="-"/>
    <s v="-"/>
    <s v="-"/>
    <s v="-"/>
    <s v="-"/>
    <s v="-"/>
    <s v="-"/>
    <x v="1"/>
    <x v="0"/>
    <s v="-"/>
    <s v="-"/>
    <s v="-"/>
    <s v="-"/>
    <s v="-"/>
    <s v="Other"/>
    <s v="-"/>
    <s v="-"/>
    <s v="-"/>
    <s v="-"/>
    <s v="-"/>
    <x v="0"/>
    <x v="0"/>
    <n v="6.9999918341639988E-3"/>
    <n v="0"/>
    <n v="1446"/>
    <n v="-1446"/>
    <x v="0"/>
    <x v="0"/>
    <m/>
    <x v="0"/>
    <m/>
    <x v="0"/>
    <m/>
    <x v="0"/>
    <x v="1"/>
    <x v="1"/>
    <x v="0"/>
    <m/>
    <n v="1446"/>
    <n v="0"/>
    <n v="1446"/>
    <x v="1"/>
    <m/>
  </r>
  <r>
    <x v="2"/>
    <x v="0"/>
    <x v="0"/>
    <x v="1"/>
    <n v="6374"/>
    <x v="549"/>
    <x v="4"/>
    <n v="2.8000000864267301E-2"/>
    <n v="526468"/>
    <n v="175853"/>
    <s v="10.15"/>
    <x v="616"/>
    <s v="PF"/>
    <d v="2016-04-04T00:00:00"/>
    <x v="390"/>
    <m/>
    <m/>
    <s v="Nil"/>
    <m/>
    <m/>
    <s v="Change of use of Unit C Molasses House from restaurant (Class Use A3) to business (Class Use B1)"/>
    <x v="597"/>
    <s v="COU"/>
    <x v="2"/>
    <s v="NSO"/>
    <m/>
    <m/>
    <m/>
    <m/>
    <s v="C"/>
    <s v="BF"/>
    <x v="0"/>
    <m/>
    <m/>
    <m/>
    <m/>
    <m/>
    <m/>
    <m/>
    <m/>
    <m/>
    <n v="310"/>
    <m/>
    <m/>
    <n v="310"/>
    <m/>
    <m/>
    <n v="310"/>
    <m/>
    <m/>
    <m/>
    <m/>
    <m/>
    <n v="310"/>
    <m/>
    <m/>
    <n v="310"/>
    <m/>
    <m/>
    <m/>
    <m/>
    <m/>
    <m/>
    <m/>
    <m/>
    <m/>
    <x v="1"/>
    <x v="1"/>
    <x v="1"/>
    <m/>
    <m/>
    <n v="-310"/>
    <m/>
    <m/>
    <n v="-310"/>
    <n v="310"/>
    <x v="0"/>
    <m/>
    <m/>
    <m/>
    <m/>
    <n v="310"/>
    <x v="0"/>
    <m/>
    <m/>
    <m/>
    <m/>
    <s v="-"/>
    <s v="-"/>
    <s v="-"/>
    <s v="-"/>
    <s v="-"/>
    <s v="Not Known"/>
    <s v="-"/>
    <s v="-"/>
    <s v="-"/>
    <s v="-"/>
    <s v="-"/>
    <x v="1"/>
    <x v="0"/>
    <s v="-"/>
    <s v="-"/>
    <s v="Restaurant"/>
    <s v="-"/>
    <s v="-"/>
    <s v="-"/>
    <s v="-"/>
    <s v="-"/>
    <s v="-"/>
    <s v="-"/>
    <s v="-"/>
    <x v="0"/>
    <x v="0"/>
    <n v="2.8000000864267301E-2"/>
    <n v="310"/>
    <n v="310"/>
    <n v="0"/>
    <x v="1"/>
    <x v="0"/>
    <m/>
    <x v="0"/>
    <m/>
    <x v="0"/>
    <m/>
    <x v="0"/>
    <x v="0"/>
    <x v="0"/>
    <x v="0"/>
    <m/>
    <n v="0"/>
    <n v="0"/>
    <n v="0"/>
    <x v="0"/>
    <m/>
  </r>
  <r>
    <x v="0"/>
    <x v="2"/>
    <x v="2"/>
    <x v="0"/>
    <n v="6375"/>
    <x v="550"/>
    <x v="7"/>
    <n v="9.9999997764825804E-3"/>
    <n v="523565"/>
    <n v="175816"/>
    <m/>
    <x v="617"/>
    <s v="PAG"/>
    <d v="2016-10-26T00:00:00"/>
    <x v="25"/>
    <m/>
    <m/>
    <s v="Nil"/>
    <m/>
    <m/>
    <s v="Determination as to whether prior approval is required for change of use of basement and part ground floor level from retail (Class A1) to 1 x 2-bedroom flat (Class C3)."/>
    <x v="598"/>
    <s v="COU"/>
    <x v="2"/>
    <s v="OC"/>
    <m/>
    <d v="2017-09-05T00:00:00"/>
    <d v="2018-03-31T00:00:00"/>
    <d v="2018-03-31T00:00:00"/>
    <s v="C"/>
    <s v="BF"/>
    <x v="0"/>
    <m/>
    <d v="2017-09-05T00:00:00"/>
    <d v="2018-03-31T00:00:00"/>
    <m/>
    <m/>
    <m/>
    <m/>
    <m/>
    <m/>
    <m/>
    <m/>
    <m/>
    <m/>
    <m/>
    <m/>
    <m/>
    <m/>
    <m/>
    <m/>
    <n v="85"/>
    <m/>
    <m/>
    <m/>
    <m/>
    <n v="85"/>
    <m/>
    <m/>
    <m/>
    <m/>
    <m/>
    <m/>
    <m/>
    <m/>
    <m/>
    <x v="1"/>
    <x v="0"/>
    <x v="1"/>
    <n v="-85"/>
    <m/>
    <m/>
    <m/>
    <m/>
    <n v="-85"/>
    <m/>
    <x v="0"/>
    <m/>
    <m/>
    <m/>
    <m/>
    <m/>
    <x v="0"/>
    <m/>
    <m/>
    <m/>
    <m/>
    <s v="-"/>
    <s v="-"/>
    <s v="-"/>
    <s v="-"/>
    <s v="-"/>
    <s v="-"/>
    <s v="-"/>
    <s v="-"/>
    <s v="-"/>
    <s v="-"/>
    <s v="-"/>
    <x v="1"/>
    <x v="0"/>
    <s v="Consumables"/>
    <s v="-"/>
    <s v="-"/>
    <s v="-"/>
    <s v="-"/>
    <s v="-"/>
    <s v="-"/>
    <s v="-"/>
    <s v="-"/>
    <s v="-"/>
    <s v="-"/>
    <x v="0"/>
    <x v="0"/>
    <n v="2.9999995604157404E-3"/>
    <n v="0"/>
    <n v="85"/>
    <n v="-85"/>
    <x v="0"/>
    <x v="0"/>
    <m/>
    <x v="0"/>
    <m/>
    <x v="0"/>
    <m/>
    <x v="0"/>
    <x v="0"/>
    <x v="0"/>
    <x v="0"/>
    <m/>
    <n v="85"/>
    <n v="0"/>
    <n v="85"/>
    <x v="1"/>
    <m/>
  </r>
  <r>
    <x v="2"/>
    <x v="0"/>
    <x v="0"/>
    <x v="1"/>
    <n v="6381"/>
    <x v="551"/>
    <x v="17"/>
    <n v="6.0000000521540598E-3"/>
    <n v="528420"/>
    <n v="173036"/>
    <m/>
    <x v="618"/>
    <s v="PF"/>
    <d v="2016-10-05T00:00:00"/>
    <x v="394"/>
    <m/>
    <m/>
    <s v="Nil"/>
    <m/>
    <m/>
    <s v="Change of use from storage facility (Class B8) to a single family dwelling house (Class C3) including external alterations."/>
    <x v="599"/>
    <s v="COU"/>
    <x v="2"/>
    <s v="NSO"/>
    <m/>
    <m/>
    <m/>
    <m/>
    <s v="C"/>
    <s v="BF"/>
    <x v="0"/>
    <m/>
    <m/>
    <m/>
    <m/>
    <m/>
    <m/>
    <m/>
    <m/>
    <m/>
    <m/>
    <m/>
    <m/>
    <m/>
    <m/>
    <m/>
    <m/>
    <m/>
    <m/>
    <m/>
    <m/>
    <m/>
    <m/>
    <m/>
    <m/>
    <m/>
    <m/>
    <m/>
    <m/>
    <m/>
    <n v="131"/>
    <n v="131"/>
    <m/>
    <m/>
    <m/>
    <x v="0"/>
    <x v="1"/>
    <x v="1"/>
    <m/>
    <m/>
    <m/>
    <m/>
    <m/>
    <m/>
    <m/>
    <x v="0"/>
    <m/>
    <m/>
    <m/>
    <n v="-131"/>
    <n v="-131"/>
    <x v="1"/>
    <m/>
    <m/>
    <m/>
    <m/>
    <s v="-"/>
    <s v="-"/>
    <s v="-"/>
    <s v="-"/>
    <s v="-"/>
    <s v="-"/>
    <s v="-"/>
    <s v="-"/>
    <s v="-"/>
    <s v="-"/>
    <s v="-"/>
    <x v="1"/>
    <x v="0"/>
    <s v="-"/>
    <s v="-"/>
    <s v="-"/>
    <s v="-"/>
    <s v="-"/>
    <s v="-"/>
    <s v="-"/>
    <s v="-"/>
    <s v="-"/>
    <s v="Vacant"/>
    <s v="-"/>
    <x v="0"/>
    <x v="0"/>
    <n v="0"/>
    <n v="0"/>
    <n v="131"/>
    <n v="-131"/>
    <x v="0"/>
    <x v="0"/>
    <m/>
    <x v="0"/>
    <m/>
    <x v="0"/>
    <m/>
    <x v="0"/>
    <x v="0"/>
    <x v="0"/>
    <x v="0"/>
    <m/>
    <n v="122"/>
    <n v="0"/>
    <n v="122"/>
    <x v="1"/>
    <m/>
  </r>
  <r>
    <x v="2"/>
    <x v="0"/>
    <x v="0"/>
    <x v="1"/>
    <n v="6396"/>
    <x v="552"/>
    <x v="12"/>
    <n v="1.2000000104308101E-2"/>
    <n v="524769"/>
    <n v="173310"/>
    <m/>
    <x v="619"/>
    <s v="PF"/>
    <d v="2016-10-11T00:00:00"/>
    <x v="416"/>
    <m/>
    <m/>
    <s v="Nil"/>
    <m/>
    <m/>
    <s v="Change of use of ground floor of no. 241 from Financial and Professional Services (Class  A2) to Retail (Class  A1) and to combine the ground floors of no's. 241 and 243 creating 1 x retail unit, by removing internal wall."/>
    <x v="600"/>
    <s v="MIX"/>
    <x v="0"/>
    <s v="NSO"/>
    <m/>
    <m/>
    <m/>
    <m/>
    <s v="C"/>
    <s v="BF"/>
    <x v="0"/>
    <m/>
    <m/>
    <m/>
    <n v="88"/>
    <m/>
    <m/>
    <m/>
    <m/>
    <n v="88"/>
    <m/>
    <m/>
    <m/>
    <m/>
    <m/>
    <m/>
    <m/>
    <m/>
    <m/>
    <m/>
    <m/>
    <n v="88"/>
    <m/>
    <m/>
    <m/>
    <n v="88"/>
    <m/>
    <m/>
    <m/>
    <m/>
    <m/>
    <m/>
    <m/>
    <m/>
    <m/>
    <x v="1"/>
    <x v="0"/>
    <x v="1"/>
    <n v="88"/>
    <n v="-88"/>
    <m/>
    <m/>
    <m/>
    <m/>
    <m/>
    <x v="0"/>
    <m/>
    <m/>
    <m/>
    <m/>
    <m/>
    <x v="0"/>
    <m/>
    <m/>
    <m/>
    <m/>
    <s v="Not Known"/>
    <s v="-"/>
    <s v="-"/>
    <s v="-"/>
    <s v="-"/>
    <s v="-"/>
    <s v="-"/>
    <s v="-"/>
    <s v="-"/>
    <s v="-"/>
    <s v="-"/>
    <x v="1"/>
    <x v="0"/>
    <s v="-"/>
    <s v="Estate Agent"/>
    <s v="-"/>
    <s v="-"/>
    <s v="-"/>
    <s v="-"/>
    <s v="-"/>
    <s v="-"/>
    <s v="-"/>
    <s v="-"/>
    <s v="-"/>
    <x v="0"/>
    <x v="0"/>
    <n v="1.2000000104308101E-2"/>
    <n v="88"/>
    <n v="88"/>
    <n v="0"/>
    <x v="0"/>
    <x v="0"/>
    <m/>
    <x v="0"/>
    <m/>
    <x v="0"/>
    <m/>
    <x v="0"/>
    <x v="0"/>
    <x v="0"/>
    <x v="1"/>
    <s v="Southfields"/>
    <n v="0"/>
    <n v="0"/>
    <n v="0"/>
    <x v="0"/>
    <m/>
  </r>
  <r>
    <x v="3"/>
    <x v="0"/>
    <x v="0"/>
    <x v="1"/>
    <n v="6400"/>
    <x v="553"/>
    <x v="15"/>
    <n v="2.52000000327826E-2"/>
    <n v="529268"/>
    <n v="171015"/>
    <m/>
    <x v="620"/>
    <s v="PF"/>
    <d v="2017-04-26T00:00:00"/>
    <x v="417"/>
    <s v="Y"/>
    <m/>
    <s v="Nil"/>
    <m/>
    <m/>
    <s v="Alterations including conversion of part of ground floor from Class A1 (retail) to Class C3 (residential) and erection of a two-storey extension on top the existing single storey rear addition to provide 1 x 2-bedroom and 4 x 1-bedroom units with access from Blegborough Road and associated cycle and refuse storage. Raising of roof to main building and rear dormer extensions to provide additional living space. Roof terraces and balconies at first, second and third floor level."/>
    <x v="601"/>
    <s v="MIX"/>
    <x v="0"/>
    <s v="UC"/>
    <m/>
    <d v="2018-03-31T00:00:00"/>
    <m/>
    <m/>
    <s v="C"/>
    <s v="BF"/>
    <x v="0"/>
    <m/>
    <d v="2018-03-31T00:00:00"/>
    <m/>
    <n v="121"/>
    <m/>
    <m/>
    <m/>
    <m/>
    <n v="121"/>
    <m/>
    <m/>
    <m/>
    <m/>
    <m/>
    <m/>
    <m/>
    <m/>
    <m/>
    <m/>
    <n v="217"/>
    <m/>
    <m/>
    <m/>
    <m/>
    <n v="217"/>
    <m/>
    <m/>
    <m/>
    <m/>
    <m/>
    <m/>
    <m/>
    <m/>
    <m/>
    <x v="1"/>
    <x v="0"/>
    <x v="1"/>
    <n v="-96"/>
    <m/>
    <m/>
    <m/>
    <m/>
    <n v="-96"/>
    <m/>
    <x v="0"/>
    <m/>
    <m/>
    <m/>
    <m/>
    <m/>
    <x v="0"/>
    <m/>
    <m/>
    <m/>
    <m/>
    <s v="Durables"/>
    <s v="-"/>
    <s v="-"/>
    <s v="-"/>
    <s v="-"/>
    <s v="-"/>
    <s v="-"/>
    <s v="-"/>
    <s v="-"/>
    <s v="-"/>
    <s v="-"/>
    <x v="1"/>
    <x v="0"/>
    <s v="Other"/>
    <s v="-"/>
    <s v="-"/>
    <s v="-"/>
    <s v="-"/>
    <s v="-"/>
    <s v="-"/>
    <s v="-"/>
    <s v="-"/>
    <s v="-"/>
    <s v="-"/>
    <x v="0"/>
    <x v="0"/>
    <n v="7.1999998763204003E-3"/>
    <n v="121"/>
    <n v="217"/>
    <n v="-96"/>
    <x v="0"/>
    <x v="0"/>
    <m/>
    <x v="0"/>
    <m/>
    <x v="0"/>
    <m/>
    <x v="0"/>
    <x v="0"/>
    <x v="0"/>
    <x v="1"/>
    <s v="Mitcham Lane"/>
    <n v="250"/>
    <n v="80"/>
    <n v="170"/>
    <x v="1"/>
    <m/>
  </r>
  <r>
    <x v="2"/>
    <x v="0"/>
    <x v="0"/>
    <x v="1"/>
    <n v="6405"/>
    <x v="554"/>
    <x v="11"/>
    <n v="0.129999995231628"/>
    <n v="528518"/>
    <n v="173236"/>
    <m/>
    <x v="621"/>
    <s v="PF"/>
    <d v="2016-11-17T00:00:00"/>
    <x v="20"/>
    <m/>
    <m/>
    <s v="Nil"/>
    <m/>
    <m/>
    <s v="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
    <x v="602"/>
    <s v="MIX"/>
    <x v="0"/>
    <s v="NSO"/>
    <m/>
    <m/>
    <m/>
    <m/>
    <s v="C"/>
    <s v="BF"/>
    <x v="0"/>
    <m/>
    <m/>
    <m/>
    <n v="830"/>
    <m/>
    <m/>
    <m/>
    <m/>
    <n v="830"/>
    <m/>
    <m/>
    <m/>
    <m/>
    <m/>
    <m/>
    <m/>
    <m/>
    <m/>
    <m/>
    <n v="1212"/>
    <m/>
    <m/>
    <m/>
    <m/>
    <n v="1212"/>
    <m/>
    <m/>
    <m/>
    <m/>
    <m/>
    <m/>
    <m/>
    <m/>
    <m/>
    <x v="1"/>
    <x v="0"/>
    <x v="1"/>
    <n v="-382"/>
    <m/>
    <m/>
    <m/>
    <m/>
    <n v="-382"/>
    <m/>
    <x v="0"/>
    <m/>
    <m/>
    <m/>
    <m/>
    <m/>
    <x v="0"/>
    <m/>
    <m/>
    <m/>
    <m/>
    <s v="Other"/>
    <s v="-"/>
    <s v="-"/>
    <s v="-"/>
    <s v="-"/>
    <s v="-"/>
    <s v="-"/>
    <s v="-"/>
    <s v="-"/>
    <s v="-"/>
    <s v="-"/>
    <x v="1"/>
    <x v="0"/>
    <s v="Other"/>
    <s v="-"/>
    <s v="-"/>
    <s v="-"/>
    <s v="-"/>
    <s v="-"/>
    <s v="-"/>
    <s v="-"/>
    <s v="-"/>
    <s v="-"/>
    <s v="-"/>
    <x v="0"/>
    <x v="0"/>
    <n v="8.2999996840953411E-2"/>
    <n v="830"/>
    <n v="1212"/>
    <n v="-382"/>
    <x v="0"/>
    <x v="0"/>
    <m/>
    <x v="0"/>
    <m/>
    <x v="0"/>
    <m/>
    <x v="0"/>
    <x v="1"/>
    <x v="5"/>
    <x v="0"/>
    <m/>
    <n v="254"/>
    <n v="0"/>
    <n v="254"/>
    <x v="1"/>
    <m/>
  </r>
  <r>
    <x v="2"/>
    <x v="2"/>
    <x v="2"/>
    <x v="1"/>
    <n v="6406"/>
    <x v="555"/>
    <x v="10"/>
    <n v="1.09999999403954E-2"/>
    <n v="524844"/>
    <n v="174634"/>
    <m/>
    <x v="622"/>
    <s v="PANR"/>
    <d v="2016-12-02T00:00:00"/>
    <x v="418"/>
    <m/>
    <m/>
    <s v="Nil"/>
    <m/>
    <m/>
    <s v="Determination as to whether prior approval is required for change of use from retail (Class A1) to 1 x 1-bedroom flat (Class C3)."/>
    <x v="437"/>
    <s v="COU"/>
    <x v="2"/>
    <s v="NSV"/>
    <m/>
    <m/>
    <m/>
    <m/>
    <s v="C"/>
    <s v="BF"/>
    <x v="0"/>
    <m/>
    <m/>
    <m/>
    <m/>
    <m/>
    <m/>
    <m/>
    <m/>
    <m/>
    <m/>
    <m/>
    <m/>
    <m/>
    <m/>
    <m/>
    <m/>
    <m/>
    <m/>
    <m/>
    <n v="40"/>
    <m/>
    <m/>
    <m/>
    <m/>
    <n v="40"/>
    <m/>
    <m/>
    <m/>
    <m/>
    <m/>
    <m/>
    <m/>
    <m/>
    <m/>
    <x v="1"/>
    <x v="0"/>
    <x v="1"/>
    <n v="-40"/>
    <m/>
    <m/>
    <m/>
    <m/>
    <n v="-40"/>
    <m/>
    <x v="0"/>
    <m/>
    <m/>
    <m/>
    <m/>
    <m/>
    <x v="0"/>
    <m/>
    <m/>
    <m/>
    <m/>
    <s v="-"/>
    <s v="-"/>
    <s v="-"/>
    <s v="-"/>
    <s v="-"/>
    <s v="-"/>
    <s v="-"/>
    <s v="-"/>
    <s v="-"/>
    <s v="-"/>
    <s v="-"/>
    <x v="1"/>
    <x v="0"/>
    <s v="Services"/>
    <s v="-"/>
    <s v="-"/>
    <s v="-"/>
    <s v="-"/>
    <s v="-"/>
    <s v="-"/>
    <s v="-"/>
    <s v="-"/>
    <s v="-"/>
    <s v="-"/>
    <x v="0"/>
    <x v="0"/>
    <n v="6.9999997504055899E-3"/>
    <n v="0"/>
    <n v="40"/>
    <n v="-40"/>
    <x v="0"/>
    <x v="0"/>
    <m/>
    <x v="0"/>
    <m/>
    <x v="0"/>
    <m/>
    <x v="0"/>
    <x v="0"/>
    <x v="0"/>
    <x v="0"/>
    <m/>
    <n v="40"/>
    <n v="0"/>
    <n v="40"/>
    <x v="1"/>
    <m/>
  </r>
  <r>
    <x v="3"/>
    <x v="0"/>
    <x v="0"/>
    <x v="1"/>
    <n v="6408"/>
    <x v="556"/>
    <x v="7"/>
    <n v="1.2000000104308101E-2"/>
    <n v="523763"/>
    <n v="175632"/>
    <m/>
    <x v="623"/>
    <s v="PF"/>
    <d v="2016-12-08T00:00:00"/>
    <x v="419"/>
    <m/>
    <m/>
    <s v="Nil"/>
    <m/>
    <m/>
    <s v="Change of use from restaurant (Class A3) to a self contained flat (Class C3); including formation of front lightwell, alterations to the front elevation and erection of a front boundary wall."/>
    <x v="603"/>
    <s v="MIX"/>
    <x v="0"/>
    <s v="UC"/>
    <m/>
    <d v="2018-03-31T00:00:00"/>
    <m/>
    <m/>
    <s v="C"/>
    <s v="BF"/>
    <x v="0"/>
    <m/>
    <d v="2018-03-31T00:00:00"/>
    <m/>
    <m/>
    <m/>
    <m/>
    <m/>
    <m/>
    <m/>
    <m/>
    <m/>
    <m/>
    <m/>
    <m/>
    <m/>
    <m/>
    <m/>
    <m/>
    <m/>
    <m/>
    <m/>
    <n v="121"/>
    <m/>
    <m/>
    <n v="121"/>
    <m/>
    <m/>
    <m/>
    <m/>
    <m/>
    <m/>
    <m/>
    <m/>
    <m/>
    <x v="1"/>
    <x v="0"/>
    <x v="1"/>
    <m/>
    <m/>
    <n v="-121"/>
    <m/>
    <m/>
    <n v="-121"/>
    <m/>
    <x v="0"/>
    <m/>
    <m/>
    <m/>
    <m/>
    <m/>
    <x v="0"/>
    <m/>
    <m/>
    <m/>
    <m/>
    <s v="-"/>
    <s v="-"/>
    <s v="-"/>
    <s v="-"/>
    <s v="-"/>
    <s v="-"/>
    <s v="-"/>
    <s v="-"/>
    <s v="-"/>
    <s v="-"/>
    <s v="-"/>
    <x v="1"/>
    <x v="0"/>
    <s v="-"/>
    <s v="-"/>
    <s v="Restaurant"/>
    <s v="-"/>
    <s v="-"/>
    <s v="-"/>
    <s v="-"/>
    <s v="-"/>
    <s v="-"/>
    <s v="-"/>
    <s v="-"/>
    <x v="0"/>
    <x v="0"/>
    <n v="3.9999997243284902E-3"/>
    <n v="0"/>
    <n v="121"/>
    <n v="-121"/>
    <x v="0"/>
    <x v="0"/>
    <m/>
    <x v="0"/>
    <m/>
    <x v="0"/>
    <m/>
    <x v="0"/>
    <x v="0"/>
    <x v="0"/>
    <x v="0"/>
    <m/>
    <n v="109"/>
    <n v="0"/>
    <n v="109"/>
    <x v="1"/>
    <m/>
  </r>
  <r>
    <x v="2"/>
    <x v="0"/>
    <x v="0"/>
    <x v="1"/>
    <n v="6411"/>
    <x v="557"/>
    <x v="16"/>
    <n v="7.9000003635883304E-2"/>
    <n v="527154"/>
    <n v="170946"/>
    <m/>
    <x v="624"/>
    <s v="PF"/>
    <d v="2016-12-14T00:00:00"/>
    <x v="420"/>
    <m/>
    <m/>
    <s v="Nil"/>
    <m/>
    <m/>
    <s v="Use of part of the property as a day nursery (Use Class D1 - a non-residential institution)."/>
    <x v="604"/>
    <s v="COU"/>
    <x v="2"/>
    <s v="NSO"/>
    <m/>
    <m/>
    <m/>
    <m/>
    <s v="C"/>
    <s v="BF"/>
    <x v="0"/>
    <m/>
    <m/>
    <m/>
    <m/>
    <m/>
    <m/>
    <m/>
    <m/>
    <m/>
    <m/>
    <m/>
    <m/>
    <m/>
    <m/>
    <m/>
    <m/>
    <n v="270"/>
    <m/>
    <n v="270"/>
    <m/>
    <m/>
    <m/>
    <m/>
    <m/>
    <m/>
    <m/>
    <m/>
    <m/>
    <m/>
    <m/>
    <m/>
    <n v="270"/>
    <m/>
    <n v="270"/>
    <x v="0"/>
    <x v="0"/>
    <x v="0"/>
    <m/>
    <m/>
    <m/>
    <m/>
    <m/>
    <m/>
    <m/>
    <x v="0"/>
    <m/>
    <m/>
    <m/>
    <m/>
    <m/>
    <x v="0"/>
    <m/>
    <m/>
    <m/>
    <m/>
    <s v="-"/>
    <s v="-"/>
    <s v="-"/>
    <s v="-"/>
    <s v="-"/>
    <s v="-"/>
    <s v="-"/>
    <s v="-"/>
    <s v="-"/>
    <s v="-"/>
    <s v="-"/>
    <x v="6"/>
    <x v="0"/>
    <s v="-"/>
    <s v="-"/>
    <s v="-"/>
    <s v="-"/>
    <s v="-"/>
    <s v="-"/>
    <s v="-"/>
    <s v="-"/>
    <s v="-"/>
    <s v="-"/>
    <s v="-"/>
    <x v="5"/>
    <x v="0"/>
    <n v="7.9000003635883304E-2"/>
    <n v="270"/>
    <n v="270"/>
    <n v="0"/>
    <x v="0"/>
    <x v="0"/>
    <m/>
    <x v="0"/>
    <m/>
    <x v="0"/>
    <m/>
    <x v="0"/>
    <x v="0"/>
    <x v="0"/>
    <x v="0"/>
    <m/>
    <n v="0"/>
    <n v="0"/>
    <n v="0"/>
    <x v="0"/>
    <m/>
  </r>
  <r>
    <x v="0"/>
    <x v="2"/>
    <x v="2"/>
    <x v="0"/>
    <n v="6413"/>
    <x v="558"/>
    <x v="7"/>
    <n v="1.30000002682209E-2"/>
    <n v="524050"/>
    <n v="175303"/>
    <m/>
    <x v="625"/>
    <s v="PAG"/>
    <d v="2016-12-12T00:00:00"/>
    <x v="415"/>
    <m/>
    <m/>
    <s v="Nil"/>
    <m/>
    <m/>
    <s v="Determination as to whether prior approval is required for change of use from retail (Class A1) to restaurant (Class A3)."/>
    <x v="73"/>
    <s v="COU"/>
    <x v="2"/>
    <s v="OC"/>
    <m/>
    <m/>
    <d v="2017-07-29T00:00:00"/>
    <d v="2017-07-29T00:00:00"/>
    <s v="C"/>
    <s v="BF"/>
    <x v="0"/>
    <m/>
    <m/>
    <d v="2017-07-29T00:00:00"/>
    <m/>
    <m/>
    <n v="78"/>
    <m/>
    <m/>
    <n v="78"/>
    <m/>
    <m/>
    <m/>
    <m/>
    <m/>
    <m/>
    <m/>
    <m/>
    <m/>
    <m/>
    <n v="78"/>
    <m/>
    <m/>
    <m/>
    <m/>
    <n v="78"/>
    <m/>
    <m/>
    <m/>
    <m/>
    <m/>
    <m/>
    <m/>
    <m/>
    <m/>
    <x v="1"/>
    <x v="0"/>
    <x v="1"/>
    <n v="-78"/>
    <m/>
    <n v="78"/>
    <m/>
    <m/>
    <m/>
    <m/>
    <x v="0"/>
    <m/>
    <m/>
    <m/>
    <m/>
    <m/>
    <x v="0"/>
    <m/>
    <m/>
    <m/>
    <m/>
    <s v="-"/>
    <s v="-"/>
    <s v="Restaurant"/>
    <s v="-"/>
    <s v="-"/>
    <s v="-"/>
    <s v="-"/>
    <s v="-"/>
    <s v="-"/>
    <s v="-"/>
    <s v="-"/>
    <x v="1"/>
    <x v="0"/>
    <s v="Consumables"/>
    <s v="-"/>
    <s v="-"/>
    <s v="-"/>
    <s v="-"/>
    <s v="-"/>
    <s v="-"/>
    <s v="-"/>
    <s v="-"/>
    <s v="-"/>
    <s v="-"/>
    <x v="0"/>
    <x v="0"/>
    <n v="1.30000002682209E-2"/>
    <n v="78"/>
    <n v="78"/>
    <n v="0"/>
    <x v="0"/>
    <x v="0"/>
    <m/>
    <x v="0"/>
    <m/>
    <x v="0"/>
    <m/>
    <x v="0"/>
    <x v="1"/>
    <x v="2"/>
    <x v="0"/>
    <m/>
    <n v="0"/>
    <n v="0"/>
    <n v="0"/>
    <x v="0"/>
    <m/>
  </r>
  <r>
    <x v="3"/>
    <x v="0"/>
    <x v="0"/>
    <x v="1"/>
    <n v="6415"/>
    <x v="559"/>
    <x v="11"/>
    <n v="0.221000000834465"/>
    <n v="528701"/>
    <n v="174257"/>
    <m/>
    <x v="626"/>
    <s v="PF"/>
    <d v="2017-04-04T00:00:00"/>
    <x v="421"/>
    <s v="Y"/>
    <m/>
    <s v="Nil"/>
    <m/>
    <m/>
    <s v="Demolition of garage and erection of single-storey classroom with a canopy link to main building. Erection of cycle and bin store to the rear and the construction of retaining wall."/>
    <x v="605"/>
    <s v="NB"/>
    <x v="0"/>
    <s v="UC"/>
    <m/>
    <d v="2018-03-31T00:00:00"/>
    <m/>
    <m/>
    <s v="C"/>
    <s v="BF"/>
    <x v="0"/>
    <m/>
    <d v="2018-03-31T00:00:00"/>
    <m/>
    <m/>
    <m/>
    <m/>
    <m/>
    <m/>
    <m/>
    <m/>
    <m/>
    <m/>
    <m/>
    <m/>
    <m/>
    <m/>
    <n v="40"/>
    <m/>
    <n v="40"/>
    <m/>
    <m/>
    <m/>
    <m/>
    <m/>
    <m/>
    <m/>
    <m/>
    <m/>
    <m/>
    <m/>
    <m/>
    <m/>
    <m/>
    <m/>
    <x v="0"/>
    <x v="0"/>
    <x v="0"/>
    <m/>
    <m/>
    <m/>
    <m/>
    <m/>
    <m/>
    <m/>
    <x v="0"/>
    <m/>
    <m/>
    <m/>
    <m/>
    <m/>
    <x v="0"/>
    <m/>
    <n v="40"/>
    <m/>
    <n v="40"/>
    <s v="-"/>
    <s v="-"/>
    <s v="-"/>
    <s v="-"/>
    <s v="-"/>
    <s v="-"/>
    <s v="-"/>
    <s v="-"/>
    <s v="-"/>
    <s v="-"/>
    <s v="-"/>
    <x v="0"/>
    <x v="0"/>
    <s v="-"/>
    <s v="-"/>
    <s v="-"/>
    <s v="-"/>
    <s v="-"/>
    <s v="-"/>
    <s v="-"/>
    <s v="-"/>
    <s v="-"/>
    <s v="-"/>
    <s v="-"/>
    <x v="0"/>
    <x v="0"/>
    <n v="0.221000000834465"/>
    <n v="40"/>
    <n v="40"/>
    <n v="0"/>
    <x v="0"/>
    <x v="0"/>
    <m/>
    <x v="0"/>
    <m/>
    <x v="0"/>
    <m/>
    <x v="0"/>
    <x v="0"/>
    <x v="0"/>
    <x v="0"/>
    <m/>
    <n v="0"/>
    <n v="0"/>
    <n v="0"/>
    <x v="0"/>
    <m/>
  </r>
  <r>
    <x v="2"/>
    <x v="0"/>
    <x v="0"/>
    <x v="1"/>
    <n v="6416"/>
    <x v="560"/>
    <x v="13"/>
    <n v="9.9999997764825804E-3"/>
    <n v="526095"/>
    <n v="172818"/>
    <m/>
    <x v="627"/>
    <s v="PF"/>
    <d v="2017-06-22T00:00:00"/>
    <x v="422"/>
    <s v="Y"/>
    <m/>
    <s v="Nil"/>
    <m/>
    <m/>
    <s v="Proposed change of use from an Estate Agents (Class A2) to a veterinary clinic (Class D1) on the ground floor and basement, with ancillary retail space (Class A1) on the ground floor."/>
    <x v="606"/>
    <s v="COU"/>
    <x v="2"/>
    <s v="NSV"/>
    <m/>
    <m/>
    <m/>
    <m/>
    <s v="C"/>
    <s v="BF"/>
    <x v="0"/>
    <m/>
    <m/>
    <m/>
    <n v="20"/>
    <m/>
    <m/>
    <m/>
    <m/>
    <n v="20"/>
    <m/>
    <m/>
    <m/>
    <m/>
    <m/>
    <m/>
    <m/>
    <n v="74"/>
    <m/>
    <n v="74"/>
    <m/>
    <n v="94"/>
    <m/>
    <m/>
    <m/>
    <n v="94"/>
    <m/>
    <m/>
    <m/>
    <m/>
    <m/>
    <m/>
    <m/>
    <m/>
    <m/>
    <x v="1"/>
    <x v="0"/>
    <x v="0"/>
    <n v="20"/>
    <n v="-94"/>
    <m/>
    <m/>
    <m/>
    <n v="-74"/>
    <m/>
    <x v="0"/>
    <m/>
    <m/>
    <m/>
    <m/>
    <m/>
    <x v="0"/>
    <m/>
    <n v="74"/>
    <m/>
    <n v="74"/>
    <s v="Other"/>
    <s v="-"/>
    <s v="-"/>
    <s v="-"/>
    <s v="-"/>
    <s v="-"/>
    <s v="-"/>
    <s v="-"/>
    <s v="-"/>
    <s v="-"/>
    <s v="-"/>
    <x v="2"/>
    <x v="0"/>
    <s v="-"/>
    <s v="Vacant"/>
    <s v="-"/>
    <s v="-"/>
    <s v="-"/>
    <s v="-"/>
    <s v="-"/>
    <s v="-"/>
    <s v="-"/>
    <s v="-"/>
    <s v="-"/>
    <x v="0"/>
    <x v="0"/>
    <n v="9.9999997764825804E-3"/>
    <n v="94"/>
    <n v="94"/>
    <n v="0"/>
    <x v="0"/>
    <x v="0"/>
    <m/>
    <x v="0"/>
    <m/>
    <x v="0"/>
    <m/>
    <x v="0"/>
    <x v="0"/>
    <x v="0"/>
    <x v="1"/>
    <s v="Earlsfield"/>
    <n v="0"/>
    <n v="0"/>
    <n v="0"/>
    <x v="0"/>
    <m/>
  </r>
  <r>
    <x v="2"/>
    <x v="0"/>
    <x v="0"/>
    <x v="1"/>
    <n v="6419"/>
    <x v="561"/>
    <x v="9"/>
    <n v="8.9000001549720806E-2"/>
    <n v="527130"/>
    <n v="176085"/>
    <m/>
    <x v="628"/>
    <s v="PFLA"/>
    <d v="2016-04-12T00:00:00"/>
    <x v="152"/>
    <m/>
    <d v="2016-09-14T00:00:00"/>
    <s v="Nil"/>
    <m/>
    <m/>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x v="607"/>
    <s v="NB"/>
    <x v="0"/>
    <s v="NSO"/>
    <m/>
    <m/>
    <m/>
    <m/>
    <s v="C"/>
    <s v="BF"/>
    <x v="0"/>
    <m/>
    <m/>
    <m/>
    <n v="669"/>
    <m/>
    <m/>
    <m/>
    <m/>
    <n v="669"/>
    <m/>
    <m/>
    <m/>
    <m/>
    <m/>
    <m/>
    <m/>
    <m/>
    <n v="434"/>
    <n v="434"/>
    <n v="331"/>
    <n v="64"/>
    <m/>
    <m/>
    <m/>
    <n v="395"/>
    <n v="690"/>
    <m/>
    <m/>
    <m/>
    <m/>
    <n v="690"/>
    <m/>
    <m/>
    <m/>
    <x v="1"/>
    <x v="1"/>
    <x v="0"/>
    <n v="338"/>
    <n v="-64"/>
    <m/>
    <m/>
    <m/>
    <n v="274"/>
    <n v="-690"/>
    <x v="1"/>
    <m/>
    <m/>
    <m/>
    <m/>
    <n v="-690"/>
    <x v="1"/>
    <m/>
    <m/>
    <n v="434"/>
    <n v="434"/>
    <s v="Not Known"/>
    <s v="-"/>
    <s v="-"/>
    <s v="-"/>
    <s v="-"/>
    <s v="-"/>
    <s v="-"/>
    <s v="-"/>
    <s v="-"/>
    <s v="-"/>
    <s v="-"/>
    <x v="1"/>
    <x v="2"/>
    <s v="Not Known"/>
    <s v="Not Known"/>
    <s v="-"/>
    <s v="-"/>
    <s v="-"/>
    <s v="Not Known"/>
    <s v="-"/>
    <s v="-"/>
    <s v="-"/>
    <s v="-"/>
    <s v="-"/>
    <x v="0"/>
    <x v="0"/>
    <n v="1.7999999225139701E-2"/>
    <n v="1103"/>
    <n v="1085"/>
    <n v="18"/>
    <x v="0"/>
    <x v="0"/>
    <m/>
    <x v="0"/>
    <m/>
    <x v="0"/>
    <m/>
    <x v="0"/>
    <x v="0"/>
    <x v="0"/>
    <x v="0"/>
    <m/>
    <n v="1700"/>
    <n v="0"/>
    <n v="1700"/>
    <x v="1"/>
    <m/>
  </r>
  <r>
    <x v="3"/>
    <x v="0"/>
    <x v="0"/>
    <x v="1"/>
    <n v="6422"/>
    <x v="562"/>
    <x v="13"/>
    <n v="5.4000001400709201E-2"/>
    <n v="526053"/>
    <n v="172911"/>
    <m/>
    <x v="629"/>
    <s v="PF"/>
    <d v="2017-06-15T00:00:00"/>
    <x v="423"/>
    <s v="Y"/>
    <m/>
    <s v="Nil"/>
    <m/>
    <m/>
    <s v="Erection of a single storey (plus basement) building for Class B1 office use in front courtyard."/>
    <x v="608"/>
    <s v="NB"/>
    <x v="0"/>
    <s v="UC"/>
    <m/>
    <d v="2018-03-31T00:00:00"/>
    <m/>
    <m/>
    <s v="C"/>
    <s v="BF"/>
    <x v="0"/>
    <m/>
    <d v="2018-03-31T00:00:00"/>
    <m/>
    <m/>
    <m/>
    <m/>
    <m/>
    <m/>
    <m/>
    <n v="60"/>
    <m/>
    <m/>
    <n v="60"/>
    <m/>
    <m/>
    <n v="60"/>
    <m/>
    <m/>
    <m/>
    <m/>
    <m/>
    <m/>
    <m/>
    <m/>
    <m/>
    <m/>
    <m/>
    <m/>
    <m/>
    <m/>
    <m/>
    <m/>
    <m/>
    <m/>
    <x v="0"/>
    <x v="1"/>
    <x v="1"/>
    <m/>
    <m/>
    <m/>
    <m/>
    <m/>
    <m/>
    <n v="60"/>
    <x v="0"/>
    <m/>
    <m/>
    <m/>
    <m/>
    <n v="60"/>
    <x v="0"/>
    <m/>
    <m/>
    <m/>
    <m/>
    <s v="-"/>
    <s v="-"/>
    <s v="-"/>
    <s v="-"/>
    <s v="-"/>
    <s v="Not Known"/>
    <s v="-"/>
    <s v="-"/>
    <s v="-"/>
    <s v="-"/>
    <s v="-"/>
    <x v="1"/>
    <x v="0"/>
    <s v="-"/>
    <s v="-"/>
    <s v="-"/>
    <s v="-"/>
    <s v="-"/>
    <s v="-"/>
    <s v="-"/>
    <s v="-"/>
    <s v="-"/>
    <s v="-"/>
    <s v="-"/>
    <x v="0"/>
    <x v="0"/>
    <n v="5.4000001400709201E-2"/>
    <n v="60"/>
    <n v="0"/>
    <n v="60"/>
    <x v="0"/>
    <x v="0"/>
    <m/>
    <x v="0"/>
    <m/>
    <x v="0"/>
    <m/>
    <x v="0"/>
    <x v="0"/>
    <x v="0"/>
    <x v="0"/>
    <m/>
    <n v="0"/>
    <n v="0"/>
    <n v="0"/>
    <x v="0"/>
    <m/>
  </r>
  <r>
    <x v="0"/>
    <x v="0"/>
    <x v="0"/>
    <x v="0"/>
    <n v="6424"/>
    <x v="563"/>
    <x v="5"/>
    <n v="5.2000001072883599E-2"/>
    <n v="525933"/>
    <n v="174643"/>
    <m/>
    <x v="630"/>
    <s v="PF"/>
    <d v="2017-01-10T00:00:00"/>
    <x v="424"/>
    <m/>
    <m/>
    <s v="Nil"/>
    <m/>
    <m/>
    <s v="Change of use from joinery workshop (Class B1c)  to gym/ fitness centre (Class D2)."/>
    <x v="609"/>
    <s v="COU"/>
    <x v="2"/>
    <s v="OC"/>
    <m/>
    <d v="2017-09-04T00:00:00"/>
    <d v="2017-09-21T00:00:00"/>
    <d v="2017-09-21T00:00:00"/>
    <s v="C"/>
    <s v="BF"/>
    <x v="0"/>
    <m/>
    <d v="2017-09-04T00:00:00"/>
    <d v="2017-09-21T00:00:00"/>
    <m/>
    <m/>
    <m/>
    <m/>
    <m/>
    <m/>
    <m/>
    <m/>
    <n v="192"/>
    <n v="192"/>
    <m/>
    <m/>
    <n v="192"/>
    <m/>
    <m/>
    <m/>
    <m/>
    <m/>
    <m/>
    <m/>
    <m/>
    <m/>
    <m/>
    <m/>
    <m/>
    <m/>
    <m/>
    <m/>
    <m/>
    <n v="192"/>
    <n v="192"/>
    <x v="0"/>
    <x v="1"/>
    <x v="0"/>
    <m/>
    <m/>
    <m/>
    <m/>
    <m/>
    <m/>
    <m/>
    <x v="0"/>
    <m/>
    <n v="192"/>
    <m/>
    <m/>
    <n v="192"/>
    <x v="0"/>
    <m/>
    <m/>
    <n v="-192"/>
    <n v="-192"/>
    <s v="-"/>
    <s v="-"/>
    <s v="-"/>
    <s v="-"/>
    <s v="-"/>
    <s v="-"/>
    <s v="-"/>
    <s v="Vacant"/>
    <s v="-"/>
    <s v="-"/>
    <s v="-"/>
    <x v="1"/>
    <x v="0"/>
    <s v="-"/>
    <s v="-"/>
    <s v="-"/>
    <s v="-"/>
    <s v="-"/>
    <s v="-"/>
    <s v="-"/>
    <s v="-"/>
    <s v="-"/>
    <s v="-"/>
    <s v="-"/>
    <x v="0"/>
    <x v="4"/>
    <n v="5.2000001072883599E-2"/>
    <n v="192"/>
    <n v="192"/>
    <n v="0"/>
    <x v="0"/>
    <x v="0"/>
    <m/>
    <x v="0"/>
    <m/>
    <x v="0"/>
    <m/>
    <x v="0"/>
    <x v="0"/>
    <x v="0"/>
    <x v="0"/>
    <m/>
    <n v="0"/>
    <n v="0"/>
    <n v="0"/>
    <x v="0"/>
    <m/>
  </r>
  <r>
    <x v="2"/>
    <x v="0"/>
    <x v="0"/>
    <x v="1"/>
    <n v="6426"/>
    <x v="564"/>
    <x v="14"/>
    <n v="4.9999998882412902E-3"/>
    <n v="527111"/>
    <n v="170959"/>
    <m/>
    <x v="631"/>
    <s v="PF"/>
    <d v="2017-05-04T00:00:00"/>
    <x v="291"/>
    <s v="Y"/>
    <m/>
    <s v="Nil"/>
    <m/>
    <m/>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x v="610"/>
    <s v="MIX"/>
    <x v="0"/>
    <s v="NSO"/>
    <m/>
    <m/>
    <m/>
    <m/>
    <s v="C"/>
    <s v="BF"/>
    <x v="0"/>
    <m/>
    <m/>
    <m/>
    <m/>
    <m/>
    <m/>
    <m/>
    <m/>
    <m/>
    <m/>
    <m/>
    <m/>
    <m/>
    <m/>
    <m/>
    <m/>
    <m/>
    <m/>
    <m/>
    <m/>
    <n v="91"/>
    <m/>
    <m/>
    <m/>
    <n v="91"/>
    <m/>
    <m/>
    <m/>
    <m/>
    <m/>
    <m/>
    <m/>
    <m/>
    <m/>
    <x v="1"/>
    <x v="0"/>
    <x v="1"/>
    <m/>
    <n v="-91"/>
    <m/>
    <m/>
    <m/>
    <n v="-91"/>
    <m/>
    <x v="0"/>
    <m/>
    <m/>
    <m/>
    <m/>
    <m/>
    <x v="0"/>
    <m/>
    <m/>
    <m/>
    <m/>
    <s v="-"/>
    <s v="-"/>
    <s v="-"/>
    <s v="-"/>
    <s v="-"/>
    <s v="-"/>
    <s v="-"/>
    <s v="-"/>
    <s v="-"/>
    <s v="-"/>
    <s v="-"/>
    <x v="1"/>
    <x v="0"/>
    <s v="-"/>
    <s v="Other"/>
    <s v="-"/>
    <s v="-"/>
    <s v="-"/>
    <s v="-"/>
    <s v="-"/>
    <s v="-"/>
    <s v="-"/>
    <s v="-"/>
    <s v="-"/>
    <x v="0"/>
    <x v="0"/>
    <n v="2.9999997932463902E-3"/>
    <n v="0"/>
    <n v="91"/>
    <n v="-91"/>
    <x v="0"/>
    <x v="0"/>
    <m/>
    <x v="0"/>
    <m/>
    <x v="0"/>
    <m/>
    <x v="0"/>
    <x v="0"/>
    <x v="0"/>
    <x v="0"/>
    <m/>
    <n v="111"/>
    <n v="0"/>
    <n v="111"/>
    <x v="1"/>
    <m/>
  </r>
  <r>
    <x v="3"/>
    <x v="0"/>
    <x v="0"/>
    <x v="1"/>
    <n v="6432"/>
    <x v="565"/>
    <x v="16"/>
    <n v="2.70000007003546E-2"/>
    <n v="527816"/>
    <n v="171144"/>
    <m/>
    <x v="632"/>
    <s v="PF"/>
    <d v="2016-11-25T00:00:00"/>
    <x v="425"/>
    <m/>
    <m/>
    <s v="Nil"/>
    <m/>
    <m/>
    <s v="Erection of a two-storey terrace comprising 5 x 1-bedroom houses."/>
    <x v="611"/>
    <s v="NB"/>
    <x v="0"/>
    <s v="UC"/>
    <d v="2017-03-31T00:00:00"/>
    <d v="2017-03-31T00:00:00"/>
    <m/>
    <m/>
    <s v="C"/>
    <s v="BF"/>
    <x v="0"/>
    <m/>
    <d v="2017-03-31T00:00:00"/>
    <m/>
    <m/>
    <m/>
    <m/>
    <m/>
    <m/>
    <m/>
    <m/>
    <m/>
    <m/>
    <m/>
    <m/>
    <m/>
    <m/>
    <m/>
    <m/>
    <m/>
    <m/>
    <m/>
    <m/>
    <m/>
    <m/>
    <m/>
    <m/>
    <m/>
    <n v="152"/>
    <m/>
    <n v="109"/>
    <n v="261"/>
    <m/>
    <m/>
    <m/>
    <x v="0"/>
    <x v="1"/>
    <x v="1"/>
    <m/>
    <m/>
    <m/>
    <m/>
    <m/>
    <m/>
    <m/>
    <x v="0"/>
    <m/>
    <n v="-152"/>
    <m/>
    <n v="-109"/>
    <n v="-261"/>
    <x v="1"/>
    <m/>
    <m/>
    <m/>
    <m/>
    <s v="-"/>
    <s v="-"/>
    <s v="-"/>
    <s v="-"/>
    <s v="-"/>
    <s v="-"/>
    <s v="-"/>
    <s v="-"/>
    <s v="-"/>
    <s v="-"/>
    <s v="-"/>
    <x v="1"/>
    <x v="0"/>
    <s v="-"/>
    <s v="-"/>
    <s v="-"/>
    <s v="-"/>
    <s v="-"/>
    <s v="-"/>
    <s v="-"/>
    <s v="Vacant"/>
    <s v="-"/>
    <s v="Storage"/>
    <s v="-"/>
    <x v="0"/>
    <x v="0"/>
    <n v="0"/>
    <n v="0"/>
    <n v="261"/>
    <n v="-261"/>
    <x v="0"/>
    <x v="0"/>
    <m/>
    <x v="0"/>
    <m/>
    <x v="0"/>
    <m/>
    <x v="0"/>
    <x v="0"/>
    <x v="0"/>
    <x v="0"/>
    <m/>
    <n v="307"/>
    <n v="0"/>
    <n v="307"/>
    <x v="1"/>
    <m/>
  </r>
  <r>
    <x v="3"/>
    <x v="0"/>
    <x v="0"/>
    <x v="1"/>
    <n v="6433"/>
    <x v="566"/>
    <x v="1"/>
    <n v="3.20000015199184E-2"/>
    <n v="522309"/>
    <n v="173207"/>
    <m/>
    <x v="633"/>
    <s v="PF"/>
    <d v="2017-01-06T00:00:00"/>
    <x v="426"/>
    <m/>
    <m/>
    <s v="Nil"/>
    <m/>
    <m/>
    <s v="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
    <x v="612"/>
    <s v="NB"/>
    <x v="0"/>
    <s v="UC"/>
    <d v="2017-01-06T00:00:00"/>
    <d v="2018-03-31T00:00:00"/>
    <m/>
    <m/>
    <s v="C"/>
    <s v="BF"/>
    <x v="0"/>
    <m/>
    <d v="2018-03-31T00:00:00"/>
    <m/>
    <m/>
    <m/>
    <m/>
    <m/>
    <m/>
    <m/>
    <m/>
    <m/>
    <m/>
    <m/>
    <m/>
    <m/>
    <m/>
    <m/>
    <m/>
    <m/>
    <m/>
    <m/>
    <m/>
    <m/>
    <m/>
    <m/>
    <m/>
    <m/>
    <m/>
    <m/>
    <m/>
    <m/>
    <n v="85"/>
    <m/>
    <n v="85"/>
    <x v="0"/>
    <x v="0"/>
    <x v="0"/>
    <m/>
    <m/>
    <m/>
    <m/>
    <m/>
    <m/>
    <m/>
    <x v="0"/>
    <m/>
    <m/>
    <m/>
    <m/>
    <m/>
    <x v="0"/>
    <m/>
    <n v="-85"/>
    <m/>
    <n v="-85"/>
    <s v="-"/>
    <s v="-"/>
    <s v="-"/>
    <s v="-"/>
    <s v="-"/>
    <s v="-"/>
    <s v="-"/>
    <s v="-"/>
    <s v="-"/>
    <s v="-"/>
    <s v="-"/>
    <x v="1"/>
    <x v="0"/>
    <s v="-"/>
    <s v="-"/>
    <s v="-"/>
    <s v="-"/>
    <s v="-"/>
    <s v="-"/>
    <s v="-"/>
    <s v="-"/>
    <s v="-"/>
    <s v="-"/>
    <s v="-"/>
    <x v="6"/>
    <x v="0"/>
    <n v="0"/>
    <n v="0"/>
    <n v="85"/>
    <n v="-85"/>
    <x v="0"/>
    <x v="0"/>
    <m/>
    <x v="0"/>
    <m/>
    <x v="0"/>
    <m/>
    <x v="0"/>
    <x v="0"/>
    <x v="0"/>
    <x v="0"/>
    <m/>
    <n v="407"/>
    <n v="0"/>
    <n v="407"/>
    <x v="1"/>
    <m/>
  </r>
  <r>
    <x v="0"/>
    <x v="0"/>
    <x v="0"/>
    <x v="0"/>
    <n v="6434"/>
    <x v="567"/>
    <x v="6"/>
    <n v="8.9999996125698107E-3"/>
    <n v="527712"/>
    <n v="175510"/>
    <m/>
    <x v="634"/>
    <s v="PF"/>
    <d v="2016-11-11T00:00:00"/>
    <x v="425"/>
    <m/>
    <m/>
    <s v="Nil"/>
    <m/>
    <m/>
    <s v="Alterations in connection with change of use from off license (Class Use A1) to restaurant/bar (Mixed use Classes A3 &amp; A4) including new shopfront, outdoor seating area to front with railings around and high level extractor duct to rear."/>
    <x v="613"/>
    <s v="COU"/>
    <x v="2"/>
    <s v="OC"/>
    <m/>
    <d v="2017-04-01T00:00:00"/>
    <d v="2017-08-01T00:00:00"/>
    <d v="2017-08-01T00:00:00"/>
    <s v="C"/>
    <s v="BF"/>
    <x v="0"/>
    <m/>
    <d v="2017-04-01T00:00:00"/>
    <d v="2017-08-01T00:00:00"/>
    <m/>
    <m/>
    <n v="74"/>
    <n v="74"/>
    <m/>
    <n v="148"/>
    <m/>
    <m/>
    <m/>
    <m/>
    <m/>
    <m/>
    <m/>
    <m/>
    <m/>
    <m/>
    <n v="74"/>
    <m/>
    <m/>
    <m/>
    <m/>
    <n v="74"/>
    <m/>
    <m/>
    <m/>
    <m/>
    <m/>
    <m/>
    <m/>
    <m/>
    <m/>
    <x v="1"/>
    <x v="0"/>
    <x v="1"/>
    <n v="-74"/>
    <m/>
    <n v="74"/>
    <n v="74"/>
    <m/>
    <n v="74"/>
    <m/>
    <x v="0"/>
    <m/>
    <m/>
    <m/>
    <m/>
    <m/>
    <x v="0"/>
    <m/>
    <m/>
    <m/>
    <m/>
    <s v="-"/>
    <s v="-"/>
    <s v="Restaurant"/>
    <s v="Bar"/>
    <s v="-"/>
    <s v="-"/>
    <s v="-"/>
    <s v="-"/>
    <s v="-"/>
    <s v="-"/>
    <s v="-"/>
    <x v="1"/>
    <x v="0"/>
    <s v="Consumables"/>
    <s v="-"/>
    <s v="-"/>
    <s v="-"/>
    <s v="-"/>
    <s v="-"/>
    <s v="-"/>
    <s v="-"/>
    <s v="-"/>
    <s v="-"/>
    <s v="-"/>
    <x v="0"/>
    <x v="0"/>
    <n v="8.9999996125698107E-3"/>
    <n v="148"/>
    <n v="74"/>
    <n v="74"/>
    <x v="0"/>
    <x v="0"/>
    <m/>
    <x v="0"/>
    <m/>
    <x v="0"/>
    <m/>
    <x v="0"/>
    <x v="1"/>
    <x v="1"/>
    <x v="0"/>
    <m/>
    <n v="0"/>
    <n v="0"/>
    <n v="0"/>
    <x v="0"/>
    <m/>
  </r>
  <r>
    <x v="0"/>
    <x v="0"/>
    <x v="0"/>
    <x v="0"/>
    <n v="6435"/>
    <x v="568"/>
    <x v="4"/>
    <n v="1.2000000104308101E-2"/>
    <n v="526440"/>
    <n v="175646"/>
    <s v="10.8"/>
    <x v="635"/>
    <s v="PF"/>
    <d v="2017-02-02T00:00:00"/>
    <x v="322"/>
    <m/>
    <m/>
    <s v="Nil"/>
    <m/>
    <m/>
    <s v="Change of use from Class B1 (light industrial/offices) to a motor cycle/van courier service and minicab operation (sui generis)."/>
    <x v="614"/>
    <s v="COU"/>
    <x v="2"/>
    <s v="OC"/>
    <m/>
    <d v="2017-03-30T00:00:00"/>
    <d v="2017-07-24T00:00:00"/>
    <d v="2017-07-24T00:00:00"/>
    <s v="C"/>
    <s v="BF"/>
    <x v="0"/>
    <m/>
    <d v="2017-03-30T00:00:00"/>
    <d v="2017-07-24T00:00:00"/>
    <m/>
    <m/>
    <m/>
    <m/>
    <m/>
    <m/>
    <m/>
    <m/>
    <m/>
    <m/>
    <m/>
    <m/>
    <m/>
    <m/>
    <m/>
    <m/>
    <m/>
    <m/>
    <m/>
    <m/>
    <m/>
    <m/>
    <m/>
    <m/>
    <n v="235"/>
    <m/>
    <m/>
    <n v="235"/>
    <m/>
    <m/>
    <m/>
    <x v="0"/>
    <x v="1"/>
    <x v="1"/>
    <m/>
    <m/>
    <m/>
    <m/>
    <m/>
    <m/>
    <m/>
    <x v="0"/>
    <m/>
    <n v="-235"/>
    <m/>
    <m/>
    <n v="-235"/>
    <x v="1"/>
    <m/>
    <m/>
    <m/>
    <m/>
    <s v="-"/>
    <s v="-"/>
    <s v="-"/>
    <s v="-"/>
    <s v="-"/>
    <s v="-"/>
    <s v="-"/>
    <s v="-"/>
    <s v="-"/>
    <s v="-"/>
    <s v="-"/>
    <x v="1"/>
    <x v="0"/>
    <s v="-"/>
    <s v="-"/>
    <s v="-"/>
    <s v="-"/>
    <s v="-"/>
    <s v="-"/>
    <s v="-"/>
    <s v="Vacant"/>
    <s v="-"/>
    <s v="-"/>
    <s v="-"/>
    <x v="0"/>
    <x v="0"/>
    <n v="1.2000000104308101E-2"/>
    <n v="235"/>
    <n v="235"/>
    <n v="0"/>
    <x v="1"/>
    <x v="0"/>
    <m/>
    <x v="0"/>
    <m/>
    <x v="1"/>
    <s v="Chatfield/Mendip Roads"/>
    <x v="0"/>
    <x v="0"/>
    <x v="0"/>
    <x v="0"/>
    <m/>
    <n v="0"/>
    <n v="0"/>
    <n v="0"/>
    <x v="0"/>
    <m/>
  </r>
  <r>
    <x v="0"/>
    <x v="0"/>
    <x v="0"/>
    <x v="0"/>
    <n v="6436"/>
    <x v="569"/>
    <x v="15"/>
    <n v="0.472000002861023"/>
    <n v="529163"/>
    <n v="171698"/>
    <m/>
    <x v="636"/>
    <s v="PF"/>
    <d v="2016-10-10T00:00:00"/>
    <x v="86"/>
    <m/>
    <m/>
    <s v="Nil"/>
    <m/>
    <m/>
    <s v="Erection of a marquee for use of indoor carpet bowls and other indoor sports and recreational activities."/>
    <x v="615"/>
    <s v="NB"/>
    <x v="0"/>
    <s v="OC"/>
    <m/>
    <m/>
    <d v="2017-07-17T00:00:00"/>
    <d v="2017-07-17T00:00:00"/>
    <s v="C"/>
    <s v="BF"/>
    <x v="0"/>
    <m/>
    <m/>
    <d v="2017-07-17T00:00:00"/>
    <m/>
    <m/>
    <m/>
    <m/>
    <m/>
    <m/>
    <m/>
    <m/>
    <m/>
    <m/>
    <m/>
    <m/>
    <m/>
    <m/>
    <m/>
    <m/>
    <m/>
    <m/>
    <m/>
    <m/>
    <m/>
    <m/>
    <m/>
    <m/>
    <m/>
    <m/>
    <m/>
    <m/>
    <m/>
    <m/>
    <m/>
    <x v="0"/>
    <x v="0"/>
    <x v="1"/>
    <m/>
    <m/>
    <m/>
    <m/>
    <m/>
    <m/>
    <m/>
    <x v="0"/>
    <m/>
    <m/>
    <m/>
    <m/>
    <m/>
    <x v="0"/>
    <m/>
    <m/>
    <m/>
    <m/>
    <s v="-"/>
    <s v="-"/>
    <s v="-"/>
    <s v="-"/>
    <s v="-"/>
    <s v="-"/>
    <s v="-"/>
    <s v="-"/>
    <s v="-"/>
    <s v="-"/>
    <s v="-"/>
    <x v="1"/>
    <x v="0"/>
    <s v="-"/>
    <s v="-"/>
    <s v="-"/>
    <s v="-"/>
    <s v="-"/>
    <s v="-"/>
    <s v="-"/>
    <s v="-"/>
    <s v="-"/>
    <s v="-"/>
    <s v="-"/>
    <x v="0"/>
    <x v="0"/>
    <n v="0.472000002861023"/>
    <n v="147"/>
    <n v="56"/>
    <n v="91"/>
    <x v="0"/>
    <x v="0"/>
    <m/>
    <x v="0"/>
    <m/>
    <x v="0"/>
    <m/>
    <x v="0"/>
    <x v="0"/>
    <x v="0"/>
    <x v="0"/>
    <m/>
    <n v="0"/>
    <n v="0"/>
    <n v="0"/>
    <x v="0"/>
    <m/>
  </r>
  <r>
    <x v="2"/>
    <x v="0"/>
    <x v="0"/>
    <x v="1"/>
    <n v="6440"/>
    <x v="570"/>
    <x v="5"/>
    <n v="1.4000000432133701E-2"/>
    <n v="525986"/>
    <n v="175047"/>
    <m/>
    <x v="637"/>
    <s v="PF"/>
    <d v="2016-10-26T00:00:00"/>
    <x v="25"/>
    <m/>
    <m/>
    <s v="Nil"/>
    <m/>
    <m/>
    <s v="Change of use from a Shop A1 use to D1 use for a Physiotherapy practice."/>
    <x v="616"/>
    <s v="COU"/>
    <x v="2"/>
    <s v="NSO"/>
    <m/>
    <m/>
    <m/>
    <m/>
    <s v="C"/>
    <s v="BF"/>
    <x v="0"/>
    <m/>
    <m/>
    <m/>
    <m/>
    <m/>
    <m/>
    <m/>
    <m/>
    <m/>
    <m/>
    <m/>
    <m/>
    <m/>
    <m/>
    <m/>
    <m/>
    <n v="68"/>
    <m/>
    <n v="68"/>
    <n v="68"/>
    <m/>
    <m/>
    <m/>
    <m/>
    <n v="68"/>
    <m/>
    <m/>
    <m/>
    <m/>
    <m/>
    <m/>
    <m/>
    <m/>
    <m/>
    <x v="1"/>
    <x v="0"/>
    <x v="0"/>
    <n v="-68"/>
    <m/>
    <m/>
    <m/>
    <m/>
    <n v="-68"/>
    <m/>
    <x v="0"/>
    <m/>
    <m/>
    <m/>
    <m/>
    <m/>
    <x v="0"/>
    <m/>
    <n v="68"/>
    <m/>
    <n v="68"/>
    <s v="-"/>
    <s v="-"/>
    <s v="-"/>
    <s v="-"/>
    <s v="-"/>
    <s v="-"/>
    <s v="-"/>
    <s v="-"/>
    <s v="-"/>
    <s v="-"/>
    <s v="-"/>
    <x v="2"/>
    <x v="0"/>
    <s v="Services"/>
    <s v="-"/>
    <s v="-"/>
    <s v="-"/>
    <s v="-"/>
    <s v="-"/>
    <s v="-"/>
    <s v="-"/>
    <s v="-"/>
    <s v="-"/>
    <s v="-"/>
    <x v="0"/>
    <x v="0"/>
    <n v="1.4000000432133701E-2"/>
    <n v="68"/>
    <n v="68"/>
    <n v="0"/>
    <x v="0"/>
    <x v="0"/>
    <m/>
    <x v="0"/>
    <m/>
    <x v="0"/>
    <m/>
    <x v="0"/>
    <x v="0"/>
    <x v="0"/>
    <x v="0"/>
    <m/>
    <n v="0"/>
    <n v="0"/>
    <n v="0"/>
    <x v="0"/>
    <m/>
  </r>
  <r>
    <x v="2"/>
    <x v="0"/>
    <x v="0"/>
    <x v="1"/>
    <n v="6443"/>
    <x v="571"/>
    <x v="1"/>
    <n v="0.35800001025199901"/>
    <n v="522012"/>
    <n v="172337"/>
    <m/>
    <x v="638"/>
    <s v="PF"/>
    <d v="2016-10-07T00:00:00"/>
    <x v="254"/>
    <m/>
    <m/>
    <s v="Nil"/>
    <m/>
    <m/>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x v="617"/>
    <s v="NB"/>
    <x v="0"/>
    <s v="NSV"/>
    <m/>
    <m/>
    <m/>
    <m/>
    <s v="C"/>
    <s v="BF"/>
    <x v="0"/>
    <m/>
    <m/>
    <m/>
    <m/>
    <m/>
    <m/>
    <m/>
    <m/>
    <m/>
    <m/>
    <m/>
    <m/>
    <m/>
    <m/>
    <m/>
    <m/>
    <m/>
    <m/>
    <m/>
    <m/>
    <m/>
    <m/>
    <m/>
    <m/>
    <m/>
    <m/>
    <m/>
    <m/>
    <m/>
    <m/>
    <m/>
    <n v="318"/>
    <m/>
    <n v="318"/>
    <x v="0"/>
    <x v="0"/>
    <x v="0"/>
    <m/>
    <m/>
    <m/>
    <m/>
    <m/>
    <m/>
    <m/>
    <x v="0"/>
    <m/>
    <m/>
    <m/>
    <m/>
    <m/>
    <x v="0"/>
    <m/>
    <n v="-318"/>
    <m/>
    <n v="-318"/>
    <s v="-"/>
    <s v="-"/>
    <s v="-"/>
    <s v="-"/>
    <s v="-"/>
    <s v="-"/>
    <s v="-"/>
    <s v="-"/>
    <s v="-"/>
    <s v="-"/>
    <s v="-"/>
    <x v="1"/>
    <x v="0"/>
    <s v="-"/>
    <s v="-"/>
    <s v="-"/>
    <s v="-"/>
    <s v="-"/>
    <s v="-"/>
    <s v="-"/>
    <s v="-"/>
    <s v="-"/>
    <s v="-"/>
    <s v="-"/>
    <x v="5"/>
    <x v="0"/>
    <n v="0.17400000989437081"/>
    <n v="0"/>
    <n v="318"/>
    <n v="-318"/>
    <x v="0"/>
    <x v="0"/>
    <m/>
    <x v="0"/>
    <m/>
    <x v="0"/>
    <m/>
    <x v="0"/>
    <x v="0"/>
    <x v="0"/>
    <x v="0"/>
    <m/>
    <n v="1302"/>
    <n v="0"/>
    <n v="1302"/>
    <x v="1"/>
    <m/>
  </r>
  <r>
    <x v="2"/>
    <x v="0"/>
    <x v="0"/>
    <x v="1"/>
    <n v="6447"/>
    <x v="572"/>
    <x v="8"/>
    <n v="1.00000004749745E-3"/>
    <n v="528351"/>
    <n v="176726"/>
    <m/>
    <x v="639"/>
    <s v="PF"/>
    <d v="2016-11-11T00:00:00"/>
    <x v="427"/>
    <m/>
    <m/>
    <s v="Nil"/>
    <m/>
    <m/>
    <s v="Change of use from BT telephone box (sui generis) to office &quot;pod&quot; (sui generis) providing printing, scanning, copying and wifi services."/>
    <x v="618"/>
    <s v="COU"/>
    <x v="2"/>
    <s v="NSV"/>
    <m/>
    <m/>
    <m/>
    <m/>
    <s v="C"/>
    <s v="BF"/>
    <x v="0"/>
    <m/>
    <m/>
    <m/>
    <m/>
    <m/>
    <m/>
    <m/>
    <m/>
    <m/>
    <n v="1"/>
    <m/>
    <m/>
    <n v="1"/>
    <m/>
    <m/>
    <n v="1"/>
    <m/>
    <m/>
    <m/>
    <m/>
    <m/>
    <m/>
    <m/>
    <m/>
    <m/>
    <m/>
    <m/>
    <m/>
    <m/>
    <m/>
    <m/>
    <m/>
    <m/>
    <m/>
    <x v="0"/>
    <x v="1"/>
    <x v="1"/>
    <m/>
    <m/>
    <m/>
    <m/>
    <m/>
    <m/>
    <n v="1"/>
    <x v="0"/>
    <m/>
    <m/>
    <m/>
    <m/>
    <n v="1"/>
    <x v="0"/>
    <m/>
    <m/>
    <m/>
    <m/>
    <s v="-"/>
    <s v="-"/>
    <s v="-"/>
    <s v="-"/>
    <s v="-"/>
    <s v="Other"/>
    <s v="-"/>
    <s v="-"/>
    <s v="-"/>
    <s v="-"/>
    <s v="-"/>
    <x v="1"/>
    <x v="0"/>
    <s v="-"/>
    <s v="-"/>
    <s v="-"/>
    <s v="-"/>
    <s v="-"/>
    <s v="-"/>
    <s v="-"/>
    <s v="-"/>
    <s v="-"/>
    <s v="-"/>
    <s v="-"/>
    <x v="0"/>
    <x v="0"/>
    <n v="1.00000004749745E-3"/>
    <n v="1"/>
    <n v="1"/>
    <n v="0"/>
    <x v="0"/>
    <x v="0"/>
    <m/>
    <x v="0"/>
    <m/>
    <x v="0"/>
    <m/>
    <x v="0"/>
    <x v="0"/>
    <x v="0"/>
    <x v="0"/>
    <m/>
    <n v="0"/>
    <n v="0"/>
    <n v="0"/>
    <x v="0"/>
    <m/>
  </r>
  <r>
    <x v="2"/>
    <x v="0"/>
    <x v="0"/>
    <x v="1"/>
    <n v="6452"/>
    <x v="573"/>
    <x v="13"/>
    <n v="3.4000001847744002E-2"/>
    <n v="526112"/>
    <n v="172454"/>
    <m/>
    <x v="640"/>
    <s v="PF"/>
    <d v="2017-05-22T00:00:00"/>
    <x v="69"/>
    <s v="Y"/>
    <m/>
    <s v="Nil"/>
    <m/>
    <m/>
    <s v="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
    <x v="619"/>
    <s v="NB"/>
    <x v="0"/>
    <s v="NSO"/>
    <m/>
    <m/>
    <m/>
    <m/>
    <s v="C"/>
    <s v="BF"/>
    <x v="0"/>
    <m/>
    <m/>
    <m/>
    <n v="204"/>
    <m/>
    <m/>
    <m/>
    <m/>
    <n v="204"/>
    <m/>
    <m/>
    <m/>
    <m/>
    <m/>
    <m/>
    <m/>
    <m/>
    <m/>
    <m/>
    <n v="214"/>
    <m/>
    <m/>
    <m/>
    <m/>
    <n v="214"/>
    <m/>
    <m/>
    <m/>
    <m/>
    <m/>
    <m/>
    <m/>
    <m/>
    <m/>
    <x v="1"/>
    <x v="0"/>
    <x v="1"/>
    <n v="-10"/>
    <m/>
    <m/>
    <m/>
    <m/>
    <n v="-10"/>
    <m/>
    <x v="0"/>
    <m/>
    <m/>
    <m/>
    <m/>
    <m/>
    <x v="0"/>
    <m/>
    <m/>
    <m/>
    <m/>
    <s v="Not Known"/>
    <s v="-"/>
    <s v="-"/>
    <s v="-"/>
    <s v="-"/>
    <s v="-"/>
    <s v="-"/>
    <s v="-"/>
    <s v="-"/>
    <s v="-"/>
    <s v="-"/>
    <x v="1"/>
    <x v="0"/>
    <s v="Not Known"/>
    <s v="-"/>
    <s v="-"/>
    <s v="-"/>
    <s v="-"/>
    <s v="-"/>
    <s v="-"/>
    <s v="-"/>
    <s v="-"/>
    <s v="-"/>
    <s v="-"/>
    <x v="0"/>
    <x v="0"/>
    <n v="9.0000014752150033E-3"/>
    <n v="204"/>
    <n v="214"/>
    <n v="-10"/>
    <x v="0"/>
    <x v="0"/>
    <m/>
    <x v="0"/>
    <m/>
    <x v="0"/>
    <m/>
    <x v="0"/>
    <x v="0"/>
    <x v="0"/>
    <x v="0"/>
    <m/>
    <n v="566"/>
    <n v="0"/>
    <n v="566"/>
    <x v="1"/>
    <m/>
  </r>
  <r>
    <x v="2"/>
    <x v="2"/>
    <x v="2"/>
    <x v="1"/>
    <n v="6453"/>
    <x v="574"/>
    <x v="16"/>
    <n v="1.09999999403954E-2"/>
    <n v="527506"/>
    <n v="171531"/>
    <s v="5.2"/>
    <x v="641"/>
    <s v="PAG"/>
    <d v="2016-12-30T00:00:00"/>
    <x v="320"/>
    <m/>
    <m/>
    <s v="Nil"/>
    <m/>
    <m/>
    <s v="Determination as to whether the prior approval is required for the change of use from retail unit (Use Class A1) to restaurant (Use Class A3) and installation of external extract flue."/>
    <x v="620"/>
    <s v="COU"/>
    <x v="2"/>
    <s v="NSO"/>
    <m/>
    <m/>
    <m/>
    <m/>
    <s v="C"/>
    <s v="BF"/>
    <x v="0"/>
    <m/>
    <m/>
    <m/>
    <m/>
    <m/>
    <n v="149"/>
    <m/>
    <m/>
    <n v="149"/>
    <m/>
    <m/>
    <m/>
    <m/>
    <m/>
    <m/>
    <m/>
    <m/>
    <m/>
    <m/>
    <n v="149"/>
    <m/>
    <m/>
    <m/>
    <m/>
    <n v="149"/>
    <m/>
    <m/>
    <m/>
    <m/>
    <m/>
    <m/>
    <m/>
    <m/>
    <m/>
    <x v="1"/>
    <x v="0"/>
    <x v="1"/>
    <n v="-149"/>
    <m/>
    <n v="149"/>
    <m/>
    <m/>
    <m/>
    <m/>
    <x v="0"/>
    <m/>
    <m/>
    <m/>
    <m/>
    <m/>
    <x v="0"/>
    <m/>
    <m/>
    <m/>
    <m/>
    <s v="-"/>
    <s v="-"/>
    <s v="Restaurant"/>
    <s v="-"/>
    <s v="-"/>
    <s v="-"/>
    <s v="-"/>
    <s v="-"/>
    <s v="-"/>
    <s v="-"/>
    <s v="-"/>
    <x v="1"/>
    <x v="0"/>
    <s v="Not Known"/>
    <s v="-"/>
    <s v="-"/>
    <s v="-"/>
    <s v="-"/>
    <s v="-"/>
    <s v="-"/>
    <s v="-"/>
    <s v="-"/>
    <s v="-"/>
    <s v="-"/>
    <x v="0"/>
    <x v="0"/>
    <n v="1.09999999403954E-2"/>
    <n v="149"/>
    <n v="149"/>
    <n v="0"/>
    <x v="0"/>
    <x v="0"/>
    <m/>
    <x v="0"/>
    <m/>
    <x v="0"/>
    <m/>
    <x v="0"/>
    <x v="1"/>
    <x v="3"/>
    <x v="0"/>
    <m/>
    <n v="0"/>
    <n v="0"/>
    <n v="0"/>
    <x v="0"/>
    <m/>
  </r>
  <r>
    <x v="0"/>
    <x v="0"/>
    <x v="0"/>
    <x v="0"/>
    <n v="6454"/>
    <x v="575"/>
    <x v="12"/>
    <n v="1.8999999389052401E-2"/>
    <n v="525376"/>
    <n v="174617"/>
    <m/>
    <x v="642"/>
    <s v="PF"/>
    <d v="2016-10-26T00:00:00"/>
    <x v="25"/>
    <m/>
    <m/>
    <s v="Nil"/>
    <m/>
    <m/>
    <s v="Change of use from restaurant (Class Use A3) to office space (Class Use B1)."/>
    <x v="621"/>
    <s v="COU"/>
    <x v="2"/>
    <s v="OC"/>
    <m/>
    <d v="2017-04-01T00:00:00"/>
    <d v="2018-03-31T00:00:00"/>
    <d v="2018-03-31T00:00:00"/>
    <s v="C"/>
    <s v="BF"/>
    <x v="0"/>
    <m/>
    <d v="2017-04-01T00:00:00"/>
    <d v="2018-03-31T00:00:00"/>
    <m/>
    <m/>
    <m/>
    <m/>
    <m/>
    <m/>
    <n v="270"/>
    <m/>
    <m/>
    <n v="270"/>
    <m/>
    <m/>
    <n v="270"/>
    <m/>
    <m/>
    <m/>
    <m/>
    <m/>
    <n v="270"/>
    <m/>
    <m/>
    <n v="270"/>
    <m/>
    <m/>
    <m/>
    <m/>
    <m/>
    <m/>
    <m/>
    <m/>
    <m/>
    <x v="1"/>
    <x v="1"/>
    <x v="1"/>
    <m/>
    <m/>
    <n v="-270"/>
    <m/>
    <m/>
    <n v="-270"/>
    <n v="270"/>
    <x v="0"/>
    <m/>
    <m/>
    <m/>
    <m/>
    <n v="270"/>
    <x v="0"/>
    <m/>
    <m/>
    <m/>
    <m/>
    <s v="-"/>
    <s v="-"/>
    <s v="-"/>
    <s v="-"/>
    <s v="-"/>
    <s v="Not Known"/>
    <s v="-"/>
    <s v="-"/>
    <s v="-"/>
    <s v="-"/>
    <s v="-"/>
    <x v="1"/>
    <x v="0"/>
    <s v="-"/>
    <s v="-"/>
    <s v="Vacant"/>
    <s v="-"/>
    <s v="-"/>
    <s v="-"/>
    <s v="-"/>
    <s v="-"/>
    <s v="-"/>
    <s v="-"/>
    <s v="-"/>
    <x v="0"/>
    <x v="0"/>
    <n v="1.8999999389052401E-2"/>
    <n v="270"/>
    <n v="270"/>
    <n v="0"/>
    <x v="0"/>
    <x v="0"/>
    <m/>
    <x v="0"/>
    <m/>
    <x v="0"/>
    <m/>
    <x v="0"/>
    <x v="1"/>
    <x v="4"/>
    <x v="0"/>
    <m/>
    <n v="0"/>
    <n v="0"/>
    <n v="0"/>
    <x v="0"/>
    <m/>
  </r>
  <r>
    <x v="2"/>
    <x v="0"/>
    <x v="0"/>
    <x v="1"/>
    <n v="6458"/>
    <x v="576"/>
    <x v="4"/>
    <n v="1.09999999403954E-2"/>
    <n v="527397"/>
    <n v="176362"/>
    <m/>
    <x v="643"/>
    <s v="PF"/>
    <d v="2016-05-18T00:00:00"/>
    <x v="428"/>
    <m/>
    <m/>
    <s v="Nil"/>
    <m/>
    <m/>
    <s v="Erection of single-storey side/rear extension."/>
    <x v="264"/>
    <s v="EXT"/>
    <x v="1"/>
    <s v="NSO"/>
    <m/>
    <m/>
    <m/>
    <m/>
    <s v="C"/>
    <s v="BF"/>
    <x v="0"/>
    <m/>
    <m/>
    <m/>
    <n v="6"/>
    <m/>
    <m/>
    <m/>
    <m/>
    <n v="6"/>
    <m/>
    <m/>
    <m/>
    <m/>
    <m/>
    <m/>
    <m/>
    <m/>
    <m/>
    <m/>
    <m/>
    <m/>
    <m/>
    <m/>
    <m/>
    <m/>
    <m/>
    <m/>
    <m/>
    <m/>
    <m/>
    <m/>
    <m/>
    <m/>
    <m/>
    <x v="1"/>
    <x v="0"/>
    <x v="1"/>
    <n v="6"/>
    <m/>
    <m/>
    <m/>
    <m/>
    <n v="6"/>
    <m/>
    <x v="0"/>
    <m/>
    <m/>
    <m/>
    <m/>
    <m/>
    <x v="0"/>
    <m/>
    <m/>
    <m/>
    <m/>
    <s v="Consumables"/>
    <s v="-"/>
    <s v="-"/>
    <s v="-"/>
    <s v="-"/>
    <s v="-"/>
    <s v="-"/>
    <s v="-"/>
    <s v="-"/>
    <s v="-"/>
    <s v="-"/>
    <x v="1"/>
    <x v="0"/>
    <s v="-"/>
    <s v="-"/>
    <s v="-"/>
    <s v="-"/>
    <s v="-"/>
    <s v="-"/>
    <s v="-"/>
    <s v="-"/>
    <s v="-"/>
    <s v="-"/>
    <s v="-"/>
    <x v="0"/>
    <x v="0"/>
    <n v="1.09999999403954E-2"/>
    <n v="6"/>
    <n v="0"/>
    <n v="6"/>
    <x v="0"/>
    <x v="0"/>
    <m/>
    <x v="0"/>
    <m/>
    <x v="0"/>
    <m/>
    <x v="0"/>
    <x v="0"/>
    <x v="0"/>
    <x v="1"/>
    <s v="Battersea Park Road"/>
    <n v="0"/>
    <n v="0"/>
    <n v="0"/>
    <x v="0"/>
    <m/>
  </r>
  <r>
    <x v="3"/>
    <x v="0"/>
    <x v="0"/>
    <x v="1"/>
    <n v="6459"/>
    <x v="577"/>
    <x v="15"/>
    <n v="9.9999997764825804E-3"/>
    <n v="528880"/>
    <n v="171106"/>
    <m/>
    <x v="644"/>
    <s v="PF"/>
    <d v="2016-06-02T00:00:00"/>
    <x v="429"/>
    <m/>
    <m/>
    <s v="Nil"/>
    <m/>
    <m/>
    <s v="Erection of single-storey rear/side extension."/>
    <x v="264"/>
    <s v="EXT"/>
    <x v="1"/>
    <s v="UC"/>
    <m/>
    <d v="2018-03-31T00:00:00"/>
    <m/>
    <m/>
    <s v="C"/>
    <s v="BF"/>
    <x v="0"/>
    <m/>
    <d v="2018-03-31T00:00:00"/>
    <m/>
    <n v="9"/>
    <m/>
    <m/>
    <m/>
    <m/>
    <n v="9"/>
    <m/>
    <m/>
    <m/>
    <m/>
    <m/>
    <m/>
    <m/>
    <m/>
    <m/>
    <m/>
    <m/>
    <m/>
    <m/>
    <m/>
    <m/>
    <m/>
    <m/>
    <m/>
    <m/>
    <m/>
    <m/>
    <m/>
    <m/>
    <m/>
    <m/>
    <x v="1"/>
    <x v="0"/>
    <x v="1"/>
    <n v="9"/>
    <m/>
    <m/>
    <m/>
    <m/>
    <n v="9"/>
    <m/>
    <x v="0"/>
    <m/>
    <m/>
    <m/>
    <m/>
    <m/>
    <x v="0"/>
    <m/>
    <m/>
    <m/>
    <m/>
    <s v="Consumables"/>
    <s v="-"/>
    <s v="-"/>
    <s v="-"/>
    <s v="-"/>
    <s v="-"/>
    <s v="-"/>
    <s v="-"/>
    <s v="-"/>
    <s v="-"/>
    <s v="-"/>
    <x v="1"/>
    <x v="0"/>
    <s v="-"/>
    <s v="-"/>
    <s v="-"/>
    <s v="-"/>
    <s v="-"/>
    <s v="-"/>
    <s v="-"/>
    <s v="-"/>
    <s v="-"/>
    <s v="-"/>
    <s v="-"/>
    <x v="0"/>
    <x v="0"/>
    <n v="9.9999997764825804E-3"/>
    <n v="9"/>
    <n v="0"/>
    <n v="9"/>
    <x v="0"/>
    <x v="0"/>
    <m/>
    <x v="0"/>
    <m/>
    <x v="0"/>
    <m/>
    <x v="0"/>
    <x v="0"/>
    <x v="0"/>
    <x v="0"/>
    <m/>
    <n v="0"/>
    <n v="0"/>
    <n v="0"/>
    <x v="0"/>
    <m/>
  </r>
  <r>
    <x v="3"/>
    <x v="0"/>
    <x v="0"/>
    <x v="1"/>
    <n v="6460"/>
    <x v="578"/>
    <x v="12"/>
    <n v="8.0000003799796104E-3"/>
    <n v="524993"/>
    <n v="173124"/>
    <m/>
    <x v="645"/>
    <s v="PF"/>
    <d v="2016-06-02T00:00:00"/>
    <x v="42"/>
    <m/>
    <m/>
    <s v="Nil"/>
    <m/>
    <m/>
    <s v="Alterations including erection of single-storey side extension."/>
    <x v="622"/>
    <s v="EXT"/>
    <x v="1"/>
    <s v="UC"/>
    <m/>
    <d v="2017-02-17T00:00:00"/>
    <m/>
    <m/>
    <s v="C"/>
    <s v="BF"/>
    <x v="0"/>
    <m/>
    <d v="2017-02-17T00:00:00"/>
    <m/>
    <m/>
    <m/>
    <m/>
    <m/>
    <m/>
    <m/>
    <m/>
    <m/>
    <m/>
    <m/>
    <m/>
    <m/>
    <m/>
    <m/>
    <m/>
    <m/>
    <m/>
    <m/>
    <m/>
    <m/>
    <m/>
    <m/>
    <m/>
    <m/>
    <m/>
    <m/>
    <m/>
    <m/>
    <m/>
    <m/>
    <m/>
    <x v="0"/>
    <x v="0"/>
    <x v="1"/>
    <m/>
    <m/>
    <m/>
    <m/>
    <m/>
    <m/>
    <m/>
    <x v="0"/>
    <m/>
    <m/>
    <m/>
    <m/>
    <m/>
    <x v="0"/>
    <m/>
    <m/>
    <m/>
    <m/>
    <s v="-"/>
    <s v="-"/>
    <s v="-"/>
    <s v="-"/>
    <s v="-"/>
    <s v="-"/>
    <s v="-"/>
    <s v="-"/>
    <s v="-"/>
    <s v="-"/>
    <s v="-"/>
    <x v="1"/>
    <x v="0"/>
    <s v="-"/>
    <s v="-"/>
    <s v="-"/>
    <s v="-"/>
    <s v="-"/>
    <s v="-"/>
    <s v="-"/>
    <s v="-"/>
    <s v="-"/>
    <s v="-"/>
    <s v="-"/>
    <x v="0"/>
    <x v="0"/>
    <n v="8.0000003799796104E-3"/>
    <n v="50"/>
    <n v="0"/>
    <n v="50"/>
    <x v="0"/>
    <x v="0"/>
    <m/>
    <x v="0"/>
    <m/>
    <x v="0"/>
    <m/>
    <x v="0"/>
    <x v="0"/>
    <x v="0"/>
    <x v="0"/>
    <m/>
    <n v="0"/>
    <n v="0"/>
    <n v="0"/>
    <x v="0"/>
    <m/>
  </r>
  <r>
    <x v="2"/>
    <x v="0"/>
    <x v="0"/>
    <x v="1"/>
    <n v="6460"/>
    <x v="578"/>
    <x v="12"/>
    <n v="8.0000003799796104E-3"/>
    <n v="524993"/>
    <n v="173124"/>
    <m/>
    <x v="646"/>
    <s v="PF"/>
    <d v="2017-08-30T00:00:00"/>
    <x v="196"/>
    <s v="Y"/>
    <m/>
    <s v="Nil"/>
    <m/>
    <m/>
    <s v="Alterations to front elevation in connection with change of use from retail shop (Class A1) to residential (Class C3) to provide three-bedroom dwelling house."/>
    <x v="623"/>
    <s v="MIX"/>
    <x v="0"/>
    <s v="NSO"/>
    <m/>
    <m/>
    <m/>
    <m/>
    <s v="C"/>
    <s v="BF"/>
    <x v="0"/>
    <m/>
    <m/>
    <m/>
    <m/>
    <m/>
    <m/>
    <m/>
    <m/>
    <m/>
    <m/>
    <m/>
    <m/>
    <m/>
    <m/>
    <m/>
    <m/>
    <m/>
    <m/>
    <m/>
    <n v="93"/>
    <m/>
    <m/>
    <m/>
    <m/>
    <n v="93"/>
    <m/>
    <m/>
    <m/>
    <m/>
    <m/>
    <m/>
    <m/>
    <m/>
    <m/>
    <x v="1"/>
    <x v="0"/>
    <x v="1"/>
    <n v="-93"/>
    <m/>
    <m/>
    <m/>
    <m/>
    <n v="-93"/>
    <m/>
    <x v="0"/>
    <m/>
    <m/>
    <m/>
    <m/>
    <m/>
    <x v="0"/>
    <m/>
    <m/>
    <m/>
    <m/>
    <s v="-"/>
    <s v="-"/>
    <s v="-"/>
    <s v="-"/>
    <s v="-"/>
    <s v="-"/>
    <s v="-"/>
    <s v="-"/>
    <s v="-"/>
    <s v="-"/>
    <s v="-"/>
    <x v="1"/>
    <x v="0"/>
    <s v="Consumables"/>
    <s v="-"/>
    <s v="-"/>
    <s v="-"/>
    <s v="-"/>
    <s v="-"/>
    <s v="-"/>
    <s v="-"/>
    <s v="-"/>
    <s v="-"/>
    <s v="-"/>
    <x v="0"/>
    <x v="0"/>
    <n v="0"/>
    <n v="0"/>
    <n v="93"/>
    <n v="-93"/>
    <x v="0"/>
    <x v="0"/>
    <m/>
    <x v="0"/>
    <m/>
    <x v="0"/>
    <m/>
    <x v="0"/>
    <x v="0"/>
    <x v="0"/>
    <x v="0"/>
    <m/>
    <n v="93"/>
    <n v="0"/>
    <n v="93"/>
    <x v="1"/>
    <m/>
  </r>
  <r>
    <x v="0"/>
    <x v="0"/>
    <x v="0"/>
    <x v="2"/>
    <n v="6461"/>
    <x v="579"/>
    <x v="12"/>
    <n v="7.69999995827675E-2"/>
    <n v="525397"/>
    <n v="173615"/>
    <m/>
    <x v="647"/>
    <s v="PF"/>
    <d v="2016-02-16T00:00:00"/>
    <x v="430"/>
    <m/>
    <m/>
    <s v="Nil"/>
    <m/>
    <m/>
    <s v="Erection of single-storey rear extensions to units 5 and 6."/>
    <x v="624"/>
    <s v="EXT"/>
    <x v="1"/>
    <s v="CO"/>
    <m/>
    <d v="2017-04-01T00:00:00"/>
    <d v="2018-03-31T00:00:00"/>
    <m/>
    <s v="C"/>
    <s v="BF"/>
    <x v="0"/>
    <m/>
    <d v="2017-04-01T00:00:00"/>
    <d v="2018-03-31T00:00:00"/>
    <m/>
    <m/>
    <m/>
    <m/>
    <m/>
    <m/>
    <m/>
    <m/>
    <n v="80"/>
    <n v="80"/>
    <m/>
    <m/>
    <n v="80"/>
    <m/>
    <m/>
    <m/>
    <m/>
    <m/>
    <m/>
    <m/>
    <m/>
    <m/>
    <m/>
    <m/>
    <m/>
    <m/>
    <m/>
    <m/>
    <m/>
    <m/>
    <m/>
    <x v="0"/>
    <x v="1"/>
    <x v="1"/>
    <m/>
    <m/>
    <m/>
    <m/>
    <m/>
    <m/>
    <m/>
    <x v="0"/>
    <m/>
    <n v="80"/>
    <m/>
    <m/>
    <n v="80"/>
    <x v="0"/>
    <m/>
    <m/>
    <m/>
    <m/>
    <s v="-"/>
    <s v="-"/>
    <s v="-"/>
    <s v="-"/>
    <s v="-"/>
    <s v="-"/>
    <s v="-"/>
    <s v="Light Industrial"/>
    <s v="-"/>
    <s v="-"/>
    <s v="-"/>
    <x v="1"/>
    <x v="0"/>
    <s v="-"/>
    <s v="-"/>
    <s v="-"/>
    <s v="-"/>
    <s v="-"/>
    <s v="-"/>
    <s v="-"/>
    <s v="-"/>
    <s v="-"/>
    <s v="-"/>
    <s v="-"/>
    <x v="0"/>
    <x v="0"/>
    <n v="7.69999995827675E-2"/>
    <n v="80"/>
    <n v="0"/>
    <n v="80"/>
    <x v="0"/>
    <x v="0"/>
    <m/>
    <x v="1"/>
    <s v="Kimber Road"/>
    <x v="0"/>
    <m/>
    <x v="0"/>
    <x v="0"/>
    <x v="0"/>
    <x v="0"/>
    <m/>
    <n v="0"/>
    <n v="0"/>
    <n v="0"/>
    <x v="0"/>
    <m/>
  </r>
  <r>
    <x v="0"/>
    <x v="0"/>
    <x v="0"/>
    <x v="0"/>
    <n v="6462"/>
    <x v="580"/>
    <x v="13"/>
    <n v="1.2000000104308101E-2"/>
    <n v="526097"/>
    <n v="172943"/>
    <m/>
    <x v="648"/>
    <s v="PF"/>
    <d v="2016-04-27T00:00:00"/>
    <x v="383"/>
    <m/>
    <m/>
    <s v="Nil"/>
    <m/>
    <m/>
    <s v="Erection of single-storey rear/side extension."/>
    <x v="264"/>
    <s v="EXT"/>
    <x v="1"/>
    <s v="OC"/>
    <m/>
    <d v="2016-08-04T00:00:00"/>
    <d v="2017-08-10T00:00:00"/>
    <d v="2017-08-10T00:00:00"/>
    <s v="C"/>
    <s v="BF"/>
    <x v="0"/>
    <m/>
    <d v="2016-08-04T00:00:00"/>
    <d v="2017-08-10T00:00:00"/>
    <n v="37"/>
    <m/>
    <m/>
    <m/>
    <m/>
    <n v="37"/>
    <m/>
    <m/>
    <m/>
    <m/>
    <m/>
    <m/>
    <m/>
    <m/>
    <m/>
    <m/>
    <m/>
    <m/>
    <m/>
    <m/>
    <m/>
    <m/>
    <m/>
    <m/>
    <m/>
    <m/>
    <m/>
    <m/>
    <m/>
    <m/>
    <m/>
    <x v="1"/>
    <x v="0"/>
    <x v="1"/>
    <n v="37"/>
    <m/>
    <m/>
    <m/>
    <m/>
    <n v="37"/>
    <m/>
    <x v="0"/>
    <m/>
    <m/>
    <m/>
    <m/>
    <m/>
    <x v="0"/>
    <m/>
    <m/>
    <m/>
    <m/>
    <s v="Services"/>
    <s v="-"/>
    <s v="-"/>
    <s v="-"/>
    <s v="-"/>
    <s v="-"/>
    <s v="-"/>
    <s v="-"/>
    <s v="-"/>
    <s v="-"/>
    <s v="-"/>
    <x v="1"/>
    <x v="0"/>
    <s v="-"/>
    <s v="-"/>
    <s v="-"/>
    <s v="-"/>
    <s v="-"/>
    <s v="-"/>
    <s v="-"/>
    <s v="-"/>
    <s v="-"/>
    <s v="-"/>
    <s v="-"/>
    <x v="0"/>
    <x v="0"/>
    <n v="1.2000000104308101E-2"/>
    <n v="37"/>
    <n v="0"/>
    <n v="37"/>
    <x v="0"/>
    <x v="0"/>
    <m/>
    <x v="0"/>
    <m/>
    <x v="0"/>
    <m/>
    <x v="0"/>
    <x v="0"/>
    <x v="0"/>
    <x v="1"/>
    <s v="Earlsfield"/>
    <n v="0"/>
    <n v="0"/>
    <n v="0"/>
    <x v="0"/>
    <m/>
  </r>
  <r>
    <x v="2"/>
    <x v="0"/>
    <x v="0"/>
    <x v="1"/>
    <n v="6466"/>
    <x v="581"/>
    <x v="14"/>
    <n v="1.4000000432133701E-2"/>
    <n v="527402"/>
    <n v="171436"/>
    <m/>
    <x v="649"/>
    <s v="PF"/>
    <d v="2016-04-01T00:00:00"/>
    <x v="171"/>
    <m/>
    <m/>
    <s v="Nil"/>
    <m/>
    <m/>
    <s v="Erection of single-storey rear extension and rear external side staircase to provide access to a proposed first floor level self contained office and existing residential units."/>
    <x v="625"/>
    <s v="NB"/>
    <x v="0"/>
    <s v="NSO"/>
    <m/>
    <m/>
    <m/>
    <m/>
    <s v="C"/>
    <s v="BF"/>
    <x v="0"/>
    <m/>
    <m/>
    <m/>
    <m/>
    <n v="11"/>
    <m/>
    <m/>
    <m/>
    <n v="11"/>
    <m/>
    <m/>
    <m/>
    <m/>
    <m/>
    <m/>
    <m/>
    <m/>
    <m/>
    <m/>
    <m/>
    <m/>
    <m/>
    <m/>
    <m/>
    <m/>
    <m/>
    <m/>
    <m/>
    <m/>
    <m/>
    <m/>
    <m/>
    <m/>
    <m/>
    <x v="1"/>
    <x v="0"/>
    <x v="1"/>
    <m/>
    <n v="11"/>
    <m/>
    <m/>
    <m/>
    <n v="11"/>
    <m/>
    <x v="0"/>
    <m/>
    <m/>
    <m/>
    <m/>
    <m/>
    <x v="0"/>
    <m/>
    <m/>
    <m/>
    <m/>
    <s v="-"/>
    <s v="Not Known"/>
    <s v="-"/>
    <s v="-"/>
    <s v="-"/>
    <s v="-"/>
    <s v="-"/>
    <s v="-"/>
    <s v="-"/>
    <s v="-"/>
    <s v="-"/>
    <x v="1"/>
    <x v="0"/>
    <s v="-"/>
    <s v="-"/>
    <s v="-"/>
    <s v="-"/>
    <s v="-"/>
    <s v="-"/>
    <s v="-"/>
    <s v="-"/>
    <s v="-"/>
    <s v="-"/>
    <s v="-"/>
    <x v="0"/>
    <x v="0"/>
    <n v="1.4000000432133701E-2"/>
    <n v="11"/>
    <n v="0"/>
    <n v="11"/>
    <x v="0"/>
    <x v="0"/>
    <m/>
    <x v="0"/>
    <m/>
    <x v="0"/>
    <m/>
    <x v="0"/>
    <x v="1"/>
    <x v="3"/>
    <x v="0"/>
    <m/>
    <n v="0"/>
    <n v="0"/>
    <n v="0"/>
    <x v="0"/>
    <m/>
  </r>
  <r>
    <x v="2"/>
    <x v="0"/>
    <x v="0"/>
    <x v="1"/>
    <n v="6471"/>
    <x v="582"/>
    <x v="14"/>
    <n v="1.30000002682209E-2"/>
    <n v="527847"/>
    <n v="172224"/>
    <m/>
    <x v="650"/>
    <s v="PF"/>
    <d v="2015-01-08T00:00:00"/>
    <x v="431"/>
    <m/>
    <m/>
    <s v="Nil"/>
    <m/>
    <m/>
    <s v="Erection of single-storey side extension to restaurant."/>
    <x v="626"/>
    <s v="EXT"/>
    <x v="1"/>
    <s v="NSO"/>
    <m/>
    <m/>
    <m/>
    <m/>
    <s v="C"/>
    <s v="BF"/>
    <x v="0"/>
    <m/>
    <m/>
    <m/>
    <m/>
    <m/>
    <n v="9"/>
    <m/>
    <m/>
    <n v="9"/>
    <m/>
    <m/>
    <m/>
    <m/>
    <m/>
    <m/>
    <m/>
    <m/>
    <m/>
    <m/>
    <m/>
    <m/>
    <m/>
    <m/>
    <m/>
    <m/>
    <m/>
    <m/>
    <m/>
    <m/>
    <m/>
    <m/>
    <m/>
    <m/>
    <m/>
    <x v="1"/>
    <x v="0"/>
    <x v="1"/>
    <m/>
    <m/>
    <n v="9"/>
    <m/>
    <m/>
    <n v="9"/>
    <m/>
    <x v="0"/>
    <m/>
    <m/>
    <m/>
    <m/>
    <m/>
    <x v="0"/>
    <m/>
    <m/>
    <m/>
    <m/>
    <s v="-"/>
    <s v="-"/>
    <s v="Restaurant"/>
    <s v="-"/>
    <s v="-"/>
    <s v="-"/>
    <s v="-"/>
    <s v="-"/>
    <s v="-"/>
    <s v="-"/>
    <s v="-"/>
    <x v="1"/>
    <x v="0"/>
    <s v="-"/>
    <s v="-"/>
    <s v="-"/>
    <s v="-"/>
    <s v="-"/>
    <s v="-"/>
    <s v="-"/>
    <s v="-"/>
    <s v="-"/>
    <s v="-"/>
    <s v="-"/>
    <x v="0"/>
    <x v="0"/>
    <n v="1.30000002682209E-2"/>
    <n v="9"/>
    <n v="0"/>
    <n v="9"/>
    <x v="0"/>
    <x v="0"/>
    <m/>
    <x v="0"/>
    <m/>
    <x v="0"/>
    <m/>
    <x v="0"/>
    <x v="0"/>
    <x v="0"/>
    <x v="0"/>
    <m/>
    <n v="0"/>
    <n v="0"/>
    <n v="0"/>
    <x v="0"/>
    <m/>
  </r>
  <r>
    <x v="3"/>
    <x v="0"/>
    <x v="0"/>
    <x v="1"/>
    <n v="6472"/>
    <x v="583"/>
    <x v="16"/>
    <n v="8.6999997496604906E-2"/>
    <n v="527866"/>
    <n v="171090"/>
    <m/>
    <x v="651"/>
    <s v="PF"/>
    <d v="2015-02-02T00:00:00"/>
    <x v="432"/>
    <m/>
    <m/>
    <s v="Nil"/>
    <m/>
    <m/>
    <s v="Erection of roof extension to workshop to create first floor."/>
    <x v="627"/>
    <s v="EXT"/>
    <x v="1"/>
    <s v="UC"/>
    <m/>
    <d v="2018-03-31T00:00:00"/>
    <m/>
    <m/>
    <s v="C"/>
    <s v="BF"/>
    <x v="0"/>
    <m/>
    <d v="2018-03-31T00:00:00"/>
    <m/>
    <m/>
    <m/>
    <m/>
    <m/>
    <m/>
    <m/>
    <m/>
    <m/>
    <n v="97"/>
    <n v="97"/>
    <m/>
    <m/>
    <n v="97"/>
    <m/>
    <m/>
    <m/>
    <m/>
    <m/>
    <m/>
    <m/>
    <m/>
    <m/>
    <m/>
    <m/>
    <m/>
    <m/>
    <m/>
    <m/>
    <m/>
    <m/>
    <m/>
    <x v="0"/>
    <x v="1"/>
    <x v="1"/>
    <m/>
    <m/>
    <m/>
    <m/>
    <m/>
    <m/>
    <m/>
    <x v="0"/>
    <m/>
    <n v="97"/>
    <m/>
    <m/>
    <n v="97"/>
    <x v="0"/>
    <m/>
    <m/>
    <m/>
    <m/>
    <s v="-"/>
    <s v="-"/>
    <s v="-"/>
    <s v="-"/>
    <s v="-"/>
    <s v="-"/>
    <s v="-"/>
    <s v="Light Industrial"/>
    <s v="-"/>
    <s v="-"/>
    <s v="-"/>
    <x v="1"/>
    <x v="0"/>
    <s v="-"/>
    <s v="-"/>
    <s v="-"/>
    <s v="-"/>
    <s v="-"/>
    <s v="-"/>
    <s v="-"/>
    <s v="-"/>
    <s v="-"/>
    <s v="-"/>
    <s v="-"/>
    <x v="0"/>
    <x v="0"/>
    <n v="8.6999997496604906E-2"/>
    <n v="97"/>
    <n v="0"/>
    <n v="97"/>
    <x v="0"/>
    <x v="0"/>
    <m/>
    <x v="0"/>
    <m/>
    <x v="0"/>
    <m/>
    <x v="0"/>
    <x v="1"/>
    <x v="3"/>
    <x v="0"/>
    <m/>
    <n v="0"/>
    <n v="0"/>
    <n v="0"/>
    <x v="0"/>
    <m/>
  </r>
  <r>
    <x v="2"/>
    <x v="0"/>
    <x v="0"/>
    <x v="1"/>
    <n v="6475"/>
    <x v="584"/>
    <x v="8"/>
    <n v="0.12399999797344199"/>
    <n v="529973"/>
    <n v="177525"/>
    <m/>
    <x v="652"/>
    <s v="PF"/>
    <d v="2016-08-03T00:00:00"/>
    <x v="408"/>
    <m/>
    <m/>
    <s v="Nil"/>
    <m/>
    <m/>
    <s v="Construction of a primary substation to the south-west of the existing Flower Market building measuring circa 70m long, 15m wide and up to 5.4m high."/>
    <x v="628"/>
    <s v="NB"/>
    <x v="0"/>
    <s v="NSV"/>
    <m/>
    <m/>
    <m/>
    <m/>
    <s v="C"/>
    <s v="BF"/>
    <x v="0"/>
    <m/>
    <m/>
    <m/>
    <m/>
    <m/>
    <m/>
    <m/>
    <m/>
    <m/>
    <m/>
    <m/>
    <m/>
    <m/>
    <m/>
    <m/>
    <m/>
    <m/>
    <m/>
    <m/>
    <m/>
    <m/>
    <m/>
    <m/>
    <m/>
    <m/>
    <m/>
    <m/>
    <m/>
    <m/>
    <m/>
    <m/>
    <m/>
    <m/>
    <m/>
    <x v="0"/>
    <x v="0"/>
    <x v="1"/>
    <m/>
    <m/>
    <m/>
    <m/>
    <m/>
    <m/>
    <m/>
    <x v="0"/>
    <m/>
    <m/>
    <m/>
    <m/>
    <m/>
    <x v="0"/>
    <m/>
    <m/>
    <m/>
    <m/>
    <s v="-"/>
    <s v="-"/>
    <s v="-"/>
    <s v="-"/>
    <s v="-"/>
    <s v="-"/>
    <s v="-"/>
    <s v="-"/>
    <s v="-"/>
    <s v="-"/>
    <s v="-"/>
    <x v="1"/>
    <x v="0"/>
    <s v="-"/>
    <s v="-"/>
    <s v="-"/>
    <s v="-"/>
    <s v="-"/>
    <s v="-"/>
    <s v="-"/>
    <s v="-"/>
    <s v="-"/>
    <s v="-"/>
    <s v="-"/>
    <x v="0"/>
    <x v="0"/>
    <n v="0.12399999797344199"/>
    <n v="695"/>
    <n v="0"/>
    <n v="695"/>
    <x v="0"/>
    <x v="0"/>
    <m/>
    <x v="0"/>
    <m/>
    <x v="0"/>
    <m/>
    <x v="1"/>
    <x v="0"/>
    <x v="0"/>
    <x v="0"/>
    <m/>
    <n v="0"/>
    <n v="0"/>
    <n v="0"/>
    <x v="0"/>
    <m/>
  </r>
  <r>
    <x v="1"/>
    <x v="4"/>
    <x v="4"/>
    <x v="1"/>
    <n v="6478"/>
    <x v="585"/>
    <x v="8"/>
    <n v="0.38400000333786"/>
    <n v="528953"/>
    <n v="177092"/>
    <m/>
    <x v="653"/>
    <s v="SLA"/>
    <d v="2016-09-15T00:00:00"/>
    <x v="1"/>
    <m/>
    <d v="2017-07-20T00:00:00"/>
    <s v="Nil"/>
    <m/>
    <m/>
    <s v="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
    <x v="629"/>
    <s v="NB"/>
    <x v="0"/>
    <s v="NSO"/>
    <m/>
    <m/>
    <m/>
    <m/>
    <s v="P"/>
    <s v="BF"/>
    <x v="0"/>
    <m/>
    <m/>
    <m/>
    <n v="88"/>
    <n v="88"/>
    <n v="88"/>
    <n v="824"/>
    <m/>
    <n v="1088"/>
    <n v="5138"/>
    <m/>
    <m/>
    <n v="5138"/>
    <m/>
    <m/>
    <n v="5138"/>
    <m/>
    <m/>
    <m/>
    <m/>
    <m/>
    <m/>
    <n v="842"/>
    <m/>
    <n v="842"/>
    <n v="2880"/>
    <m/>
    <m/>
    <m/>
    <m/>
    <n v="2880"/>
    <m/>
    <m/>
    <m/>
    <x v="1"/>
    <x v="1"/>
    <x v="1"/>
    <n v="88"/>
    <n v="88"/>
    <n v="88"/>
    <n v="-18"/>
    <m/>
    <n v="246"/>
    <n v="2258"/>
    <x v="0"/>
    <m/>
    <m/>
    <m/>
    <m/>
    <n v="2258"/>
    <x v="0"/>
    <m/>
    <m/>
    <m/>
    <m/>
    <s v="Not Known"/>
    <s v="Not Known"/>
    <s v="Restaurant"/>
    <s v="Public House"/>
    <s v="-"/>
    <s v="Not Known"/>
    <s v="-"/>
    <s v="-"/>
    <s v="-"/>
    <s v="-"/>
    <s v="-"/>
    <x v="1"/>
    <x v="0"/>
    <s v="-"/>
    <s v="-"/>
    <s v="-"/>
    <s v="Public House"/>
    <s v="-"/>
    <s v="Other"/>
    <s v="-"/>
    <s v="-"/>
    <s v="-"/>
    <s v="-"/>
    <s v="-"/>
    <x v="0"/>
    <x v="0"/>
    <n v="5.600000917911499E-2"/>
    <n v="6616"/>
    <n v="3722"/>
    <n v="2894"/>
    <x v="0"/>
    <x v="0"/>
    <m/>
    <x v="0"/>
    <m/>
    <x v="0"/>
    <m/>
    <x v="1"/>
    <x v="0"/>
    <x v="0"/>
    <x v="0"/>
    <m/>
    <n v="17633"/>
    <n v="0"/>
    <n v="17633"/>
    <x v="1"/>
    <m/>
  </r>
  <r>
    <x v="2"/>
    <x v="0"/>
    <x v="0"/>
    <x v="1"/>
    <n v="6479"/>
    <x v="586"/>
    <x v="6"/>
    <n v="0.40000000596046398"/>
    <n v="528125"/>
    <n v="175809"/>
    <m/>
    <x v="654"/>
    <s v="PF"/>
    <d v="2016-09-30T00:00:00"/>
    <x v="418"/>
    <m/>
    <m/>
    <s v="Nil"/>
    <m/>
    <m/>
    <s v="Demolition of existing garages and redevelopment to provide  18 units (15 flats and 3 houses) within 3 and 4 storey blocks with associated vehicle and cycle parking, bin storage and landscaping."/>
    <x v="630"/>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420"/>
    <n v="-420"/>
    <x v="0"/>
    <x v="0"/>
    <m/>
    <x v="0"/>
    <m/>
    <x v="0"/>
    <m/>
    <x v="0"/>
    <x v="0"/>
    <x v="0"/>
    <x v="0"/>
    <m/>
    <n v="1661"/>
    <n v="0"/>
    <n v="1661"/>
    <x v="1"/>
    <m/>
  </r>
  <r>
    <x v="2"/>
    <x v="0"/>
    <x v="0"/>
    <x v="1"/>
    <n v="6480"/>
    <x v="587"/>
    <x v="6"/>
    <n v="6.1999998986720997E-2"/>
    <n v="528205"/>
    <n v="175735"/>
    <m/>
    <x v="655"/>
    <s v="PF"/>
    <d v="2016-09-30T00:00:00"/>
    <x v="418"/>
    <m/>
    <m/>
    <s v="Nil"/>
    <m/>
    <m/>
    <s v="Demolition of existing garages and redevelopment for a part one, two and three storey residential block to provide 4 units with associated vehicle and cycle parking, bin store, landscaping and reconfiguration of existing parking court (amended description)."/>
    <x v="631"/>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132"/>
    <n v="-132"/>
    <x v="0"/>
    <x v="0"/>
    <m/>
    <x v="0"/>
    <m/>
    <x v="0"/>
    <m/>
    <x v="0"/>
    <x v="0"/>
    <x v="0"/>
    <x v="0"/>
    <m/>
    <n v="309"/>
    <n v="0"/>
    <n v="309"/>
    <x v="1"/>
    <m/>
  </r>
  <r>
    <x v="2"/>
    <x v="0"/>
    <x v="0"/>
    <x v="1"/>
    <n v="6481"/>
    <x v="588"/>
    <x v="17"/>
    <n v="1.7000000923872001E-2"/>
    <n v="528408"/>
    <n v="173055"/>
    <m/>
    <x v="656"/>
    <s v="PF"/>
    <d v="2016-10-20T00:00:00"/>
    <x v="70"/>
    <s v="Y"/>
    <m/>
    <s v="Nil"/>
    <m/>
    <m/>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x v="632"/>
    <s v="MIX"/>
    <x v="0"/>
    <s v="NSO"/>
    <m/>
    <m/>
    <m/>
    <m/>
    <s v="C"/>
    <s v="BF"/>
    <x v="0"/>
    <m/>
    <m/>
    <m/>
    <m/>
    <m/>
    <m/>
    <m/>
    <m/>
    <m/>
    <n v="124"/>
    <m/>
    <m/>
    <n v="124"/>
    <m/>
    <m/>
    <n v="124"/>
    <m/>
    <m/>
    <m/>
    <m/>
    <m/>
    <m/>
    <m/>
    <m/>
    <m/>
    <n v="224"/>
    <m/>
    <m/>
    <m/>
    <m/>
    <n v="224"/>
    <m/>
    <m/>
    <m/>
    <x v="0"/>
    <x v="1"/>
    <x v="1"/>
    <m/>
    <m/>
    <m/>
    <m/>
    <m/>
    <m/>
    <n v="-100"/>
    <x v="1"/>
    <m/>
    <m/>
    <m/>
    <m/>
    <n v="-100"/>
    <x v="1"/>
    <m/>
    <m/>
    <m/>
    <m/>
    <s v="-"/>
    <s v="-"/>
    <s v="-"/>
    <s v="-"/>
    <s v="-"/>
    <s v="Other"/>
    <s v="-"/>
    <s v="-"/>
    <s v="-"/>
    <s v="-"/>
    <s v="-"/>
    <x v="1"/>
    <x v="0"/>
    <s v="-"/>
    <s v="-"/>
    <s v="-"/>
    <s v="-"/>
    <s v="-"/>
    <s v="Other"/>
    <s v="-"/>
    <s v="-"/>
    <s v="-"/>
    <s v="-"/>
    <s v="-"/>
    <x v="0"/>
    <x v="0"/>
    <n v="4.0000006556511012E-3"/>
    <n v="124"/>
    <n v="224"/>
    <n v="-100"/>
    <x v="0"/>
    <x v="0"/>
    <m/>
    <x v="0"/>
    <m/>
    <x v="0"/>
    <m/>
    <x v="0"/>
    <x v="0"/>
    <x v="0"/>
    <x v="0"/>
    <m/>
    <n v="174"/>
    <n v="0"/>
    <n v="174"/>
    <x v="1"/>
    <m/>
  </r>
  <r>
    <x v="3"/>
    <x v="2"/>
    <x v="2"/>
    <x v="1"/>
    <n v="6486"/>
    <x v="589"/>
    <x v="8"/>
    <n v="6.0000000521540598E-3"/>
    <n v="528829"/>
    <n v="176973"/>
    <m/>
    <x v="657"/>
    <s v="PANR"/>
    <d v="2017-03-03T00:00:00"/>
    <x v="433"/>
    <s v="Y"/>
    <m/>
    <s v="Nil"/>
    <m/>
    <m/>
    <s v="Determination as to whether prior approval is required for change of use from financial and professional services (Class A2) to three flats (Class C3) with associated external alterations to front elevation."/>
    <x v="633"/>
    <s v="COU"/>
    <x v="2"/>
    <s v="UC"/>
    <m/>
    <d v="2017-05-04T00:00:00"/>
    <m/>
    <m/>
    <s v="C"/>
    <s v="BF"/>
    <x v="0"/>
    <m/>
    <d v="2017-05-04T00:00:00"/>
    <m/>
    <m/>
    <n v="42"/>
    <m/>
    <m/>
    <m/>
    <n v="42"/>
    <m/>
    <m/>
    <m/>
    <m/>
    <m/>
    <m/>
    <m/>
    <m/>
    <m/>
    <m/>
    <m/>
    <n v="136"/>
    <m/>
    <m/>
    <m/>
    <n v="136"/>
    <m/>
    <m/>
    <m/>
    <m/>
    <m/>
    <m/>
    <m/>
    <m/>
    <m/>
    <x v="1"/>
    <x v="0"/>
    <x v="1"/>
    <m/>
    <n v="-94"/>
    <m/>
    <m/>
    <m/>
    <n v="-94"/>
    <m/>
    <x v="0"/>
    <m/>
    <m/>
    <m/>
    <m/>
    <m/>
    <x v="0"/>
    <m/>
    <m/>
    <m/>
    <m/>
    <s v="-"/>
    <s v="Not Known"/>
    <s v="-"/>
    <s v="-"/>
    <s v="-"/>
    <s v="-"/>
    <s v="-"/>
    <s v="-"/>
    <s v="-"/>
    <s v="-"/>
    <s v="-"/>
    <x v="1"/>
    <x v="0"/>
    <s v="-"/>
    <s v="Not Known"/>
    <s v="-"/>
    <s v="-"/>
    <s v="-"/>
    <s v="-"/>
    <s v="-"/>
    <s v="-"/>
    <s v="-"/>
    <s v="-"/>
    <s v="-"/>
    <x v="0"/>
    <x v="0"/>
    <n v="1.9999998621642494E-3"/>
    <n v="42"/>
    <n v="136"/>
    <n v="-94"/>
    <x v="0"/>
    <x v="0"/>
    <m/>
    <x v="0"/>
    <m/>
    <x v="0"/>
    <m/>
    <x v="1"/>
    <x v="0"/>
    <x v="0"/>
    <x v="0"/>
    <m/>
    <n v="94"/>
    <n v="0"/>
    <n v="94"/>
    <x v="1"/>
    <m/>
  </r>
  <r>
    <x v="0"/>
    <x v="0"/>
    <x v="0"/>
    <x v="0"/>
    <n v="6488"/>
    <x v="590"/>
    <x v="13"/>
    <n v="9.9999997764825804E-3"/>
    <n v="525892"/>
    <n v="173930"/>
    <m/>
    <x v="658"/>
    <s v="PF"/>
    <d v="2017-06-27T00:00:00"/>
    <x v="40"/>
    <s v="Y"/>
    <m/>
    <s v="Nil"/>
    <m/>
    <m/>
    <s v="Erection of rear roof extension to main roof and above two-storey back addition; erection of a single-storey rear extension in connection with conversion of property to 2 x 2-bedroom and 1 x 1-bedroom flats with associated cycle and refuse storage. Alterations to ground floor including change of use of rear from restaurant (Class A3) to residential (Class C3)."/>
    <x v="634"/>
    <s v="MIX"/>
    <x v="0"/>
    <s v="OC"/>
    <m/>
    <m/>
    <d v="2018-03-31T00:00:00"/>
    <d v="2018-03-31T00:00:00"/>
    <s v="C"/>
    <s v="BF"/>
    <x v="0"/>
    <m/>
    <m/>
    <d v="2018-03-31T00:00:00"/>
    <m/>
    <m/>
    <n v="41"/>
    <m/>
    <m/>
    <n v="41"/>
    <m/>
    <m/>
    <m/>
    <m/>
    <m/>
    <m/>
    <m/>
    <m/>
    <m/>
    <m/>
    <m/>
    <m/>
    <n v="66"/>
    <m/>
    <m/>
    <n v="66"/>
    <m/>
    <m/>
    <m/>
    <m/>
    <m/>
    <m/>
    <m/>
    <m/>
    <m/>
    <x v="1"/>
    <x v="0"/>
    <x v="1"/>
    <m/>
    <m/>
    <n v="-25"/>
    <m/>
    <m/>
    <n v="-25"/>
    <m/>
    <x v="0"/>
    <m/>
    <m/>
    <m/>
    <m/>
    <m/>
    <x v="0"/>
    <m/>
    <m/>
    <m/>
    <m/>
    <s v="-"/>
    <s v="-"/>
    <s v="Restaurant"/>
    <s v="-"/>
    <s v="-"/>
    <s v="-"/>
    <s v="-"/>
    <s v="-"/>
    <s v="-"/>
    <s v="-"/>
    <s v="-"/>
    <x v="1"/>
    <x v="0"/>
    <s v="-"/>
    <s v="-"/>
    <s v="Vacant"/>
    <s v="-"/>
    <s v="-"/>
    <s v="-"/>
    <s v="-"/>
    <s v="-"/>
    <s v="-"/>
    <s v="-"/>
    <s v="-"/>
    <x v="0"/>
    <x v="0"/>
    <n v="2.9999997932463902E-3"/>
    <n v="41"/>
    <n v="66"/>
    <n v="-25"/>
    <x v="0"/>
    <x v="0"/>
    <m/>
    <x v="0"/>
    <m/>
    <x v="0"/>
    <m/>
    <x v="0"/>
    <x v="0"/>
    <x v="0"/>
    <x v="0"/>
    <m/>
    <n v="213"/>
    <n v="150"/>
    <n v="63"/>
    <x v="1"/>
    <m/>
  </r>
  <r>
    <x v="2"/>
    <x v="0"/>
    <x v="0"/>
    <x v="1"/>
    <n v="6495"/>
    <x v="591"/>
    <x v="12"/>
    <n v="2.8999999165535001E-2"/>
    <n v="524891"/>
    <n v="173680"/>
    <m/>
    <x v="659"/>
    <s v="PF"/>
    <d v="2017-01-25T00:00:00"/>
    <x v="434"/>
    <s v="Y"/>
    <m/>
    <s v="Nil"/>
    <m/>
    <m/>
    <s v="Change of use from Professional and Financial Services ( Class  A2 ) to a Residential Dwelling ( Class C3 ), erection of single storey rear extension and erection of a front boundary wall."/>
    <x v="635"/>
    <s v="MIX"/>
    <x v="0"/>
    <s v="NSO"/>
    <m/>
    <m/>
    <m/>
    <m/>
    <s v="C"/>
    <s v="BF"/>
    <x v="0"/>
    <m/>
    <m/>
    <m/>
    <m/>
    <m/>
    <m/>
    <m/>
    <m/>
    <m/>
    <m/>
    <m/>
    <m/>
    <m/>
    <m/>
    <m/>
    <m/>
    <m/>
    <m/>
    <m/>
    <m/>
    <n v="59"/>
    <m/>
    <m/>
    <m/>
    <n v="59"/>
    <m/>
    <m/>
    <m/>
    <m/>
    <m/>
    <m/>
    <m/>
    <m/>
    <m/>
    <x v="1"/>
    <x v="0"/>
    <x v="1"/>
    <m/>
    <n v="-59"/>
    <m/>
    <m/>
    <m/>
    <n v="-59"/>
    <m/>
    <x v="0"/>
    <m/>
    <m/>
    <m/>
    <m/>
    <m/>
    <x v="0"/>
    <m/>
    <m/>
    <m/>
    <m/>
    <s v="-"/>
    <s v="-"/>
    <s v="-"/>
    <s v="-"/>
    <s v="-"/>
    <s v="-"/>
    <s v="-"/>
    <s v="-"/>
    <s v="-"/>
    <s v="-"/>
    <s v="-"/>
    <x v="1"/>
    <x v="0"/>
    <s v="-"/>
    <s v="Vacant"/>
    <s v="-"/>
    <s v="-"/>
    <s v="-"/>
    <s v="-"/>
    <s v="-"/>
    <s v="-"/>
    <s v="-"/>
    <s v="-"/>
    <s v="-"/>
    <x v="0"/>
    <x v="0"/>
    <n v="0"/>
    <n v="0"/>
    <n v="59"/>
    <n v="-59"/>
    <x v="0"/>
    <x v="0"/>
    <m/>
    <x v="0"/>
    <m/>
    <x v="0"/>
    <m/>
    <x v="0"/>
    <x v="0"/>
    <x v="0"/>
    <x v="0"/>
    <m/>
    <n v="71"/>
    <n v="0"/>
    <n v="71"/>
    <x v="1"/>
    <m/>
  </r>
  <r>
    <x v="1"/>
    <x v="0"/>
    <x v="0"/>
    <x v="1"/>
    <n v="6495"/>
    <x v="591"/>
    <x v="12"/>
    <n v="2.8999999165535001E-2"/>
    <n v="524891"/>
    <n v="173680"/>
    <m/>
    <x v="660"/>
    <s v="AF"/>
    <d v="2017-11-15T00:00:00"/>
    <x v="1"/>
    <m/>
    <m/>
    <s v="Nil"/>
    <m/>
    <m/>
    <s v="Demolition of existing garage and erection of a single-storey (plus basement and attic accommodation) 2-bedroom detached house with associated cycle and refuse storage."/>
    <x v="636"/>
    <s v="NB"/>
    <x v="0"/>
    <s v="NSO"/>
    <m/>
    <m/>
    <m/>
    <m/>
    <s v="P"/>
    <s v="BF"/>
    <x v="0"/>
    <m/>
    <m/>
    <m/>
    <m/>
    <m/>
    <m/>
    <m/>
    <m/>
    <m/>
    <m/>
    <m/>
    <m/>
    <m/>
    <m/>
    <m/>
    <m/>
    <m/>
    <m/>
    <m/>
    <m/>
    <m/>
    <m/>
    <m/>
    <m/>
    <m/>
    <m/>
    <m/>
    <m/>
    <m/>
    <n v="29"/>
    <n v="29"/>
    <m/>
    <m/>
    <m/>
    <x v="0"/>
    <x v="1"/>
    <x v="1"/>
    <m/>
    <m/>
    <m/>
    <m/>
    <m/>
    <m/>
    <m/>
    <x v="0"/>
    <m/>
    <m/>
    <m/>
    <n v="-29"/>
    <n v="-29"/>
    <x v="1"/>
    <m/>
    <m/>
    <m/>
    <m/>
    <s v="-"/>
    <s v="-"/>
    <s v="-"/>
    <s v="-"/>
    <s v="-"/>
    <s v="-"/>
    <s v="-"/>
    <s v="-"/>
    <s v="-"/>
    <s v="-"/>
    <s v="-"/>
    <x v="1"/>
    <x v="0"/>
    <s v="-"/>
    <s v="-"/>
    <s v="-"/>
    <s v="-"/>
    <s v="-"/>
    <s v="-"/>
    <s v="-"/>
    <s v="-"/>
    <s v="-"/>
    <s v="Storage"/>
    <s v="-"/>
    <x v="0"/>
    <x v="0"/>
    <n v="0"/>
    <n v="0"/>
    <n v="29"/>
    <n v="-29"/>
    <x v="0"/>
    <x v="0"/>
    <m/>
    <x v="0"/>
    <m/>
    <x v="0"/>
    <m/>
    <x v="0"/>
    <x v="0"/>
    <x v="0"/>
    <x v="0"/>
    <m/>
    <n v="91"/>
    <n v="0"/>
    <n v="91"/>
    <x v="1"/>
    <m/>
  </r>
  <r>
    <x v="3"/>
    <x v="0"/>
    <x v="0"/>
    <x v="1"/>
    <n v="6496"/>
    <x v="592"/>
    <x v="11"/>
    <n v="9.9999997764825804E-3"/>
    <n v="529005"/>
    <n v="173304"/>
    <m/>
    <x v="661"/>
    <s v="PF"/>
    <d v="2017-01-24T00:00:00"/>
    <x v="211"/>
    <s v="Y"/>
    <m/>
    <s v="Nil"/>
    <m/>
    <m/>
    <s v="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
    <x v="637"/>
    <s v="MIX"/>
    <x v="0"/>
    <s v="UC"/>
    <m/>
    <d v="2018-03-31T00:00:00"/>
    <m/>
    <m/>
    <s v="C"/>
    <s v="BF"/>
    <x v="0"/>
    <m/>
    <d v="2018-03-31T00:00:00"/>
    <m/>
    <m/>
    <m/>
    <m/>
    <m/>
    <m/>
    <m/>
    <m/>
    <m/>
    <m/>
    <m/>
    <m/>
    <m/>
    <m/>
    <m/>
    <m/>
    <m/>
    <m/>
    <m/>
    <m/>
    <m/>
    <m/>
    <m/>
    <m/>
    <m/>
    <m/>
    <m/>
    <m/>
    <m/>
    <n v="119"/>
    <m/>
    <n v="119"/>
    <x v="0"/>
    <x v="0"/>
    <x v="0"/>
    <m/>
    <m/>
    <m/>
    <m/>
    <m/>
    <m/>
    <m/>
    <x v="0"/>
    <m/>
    <m/>
    <m/>
    <m/>
    <m/>
    <x v="0"/>
    <m/>
    <n v="-119"/>
    <m/>
    <n v="-119"/>
    <s v="-"/>
    <s v="-"/>
    <s v="-"/>
    <s v="-"/>
    <s v="-"/>
    <s v="-"/>
    <s v="-"/>
    <s v="-"/>
    <s v="-"/>
    <s v="-"/>
    <s v="-"/>
    <x v="1"/>
    <x v="0"/>
    <s v="-"/>
    <s v="-"/>
    <s v="-"/>
    <s v="-"/>
    <s v="-"/>
    <s v="-"/>
    <s v="-"/>
    <s v="-"/>
    <s v="-"/>
    <s v="-"/>
    <s v="-"/>
    <x v="5"/>
    <x v="0"/>
    <n v="0"/>
    <n v="0"/>
    <n v="119"/>
    <n v="-119"/>
    <x v="0"/>
    <x v="0"/>
    <m/>
    <x v="0"/>
    <m/>
    <x v="0"/>
    <m/>
    <x v="0"/>
    <x v="0"/>
    <x v="0"/>
    <x v="0"/>
    <m/>
    <n v="146"/>
    <n v="0"/>
    <n v="146"/>
    <x v="1"/>
    <m/>
  </r>
  <r>
    <x v="2"/>
    <x v="0"/>
    <x v="0"/>
    <x v="1"/>
    <n v="6497"/>
    <x v="593"/>
    <x v="3"/>
    <n v="1.4999999664723899E-2"/>
    <n v="527487"/>
    <n v="175150"/>
    <m/>
    <x v="662"/>
    <s v="PF"/>
    <d v="2017-01-17T00:00:00"/>
    <x v="435"/>
    <s v="Y"/>
    <m/>
    <s v="Nil"/>
    <m/>
    <m/>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x v="638"/>
    <s v="MIX"/>
    <x v="0"/>
    <s v="NSO"/>
    <m/>
    <m/>
    <m/>
    <m/>
    <s v="C"/>
    <s v="BF"/>
    <x v="0"/>
    <m/>
    <m/>
    <m/>
    <m/>
    <m/>
    <n v="275"/>
    <m/>
    <m/>
    <n v="275"/>
    <m/>
    <m/>
    <m/>
    <m/>
    <m/>
    <m/>
    <m/>
    <m/>
    <m/>
    <m/>
    <m/>
    <m/>
    <n v="236"/>
    <m/>
    <m/>
    <n v="236"/>
    <m/>
    <m/>
    <m/>
    <m/>
    <m/>
    <m/>
    <m/>
    <m/>
    <m/>
    <x v="1"/>
    <x v="0"/>
    <x v="1"/>
    <m/>
    <m/>
    <n v="39"/>
    <m/>
    <m/>
    <n v="39"/>
    <m/>
    <x v="0"/>
    <m/>
    <m/>
    <m/>
    <m/>
    <m/>
    <x v="0"/>
    <m/>
    <m/>
    <m/>
    <m/>
    <s v="-"/>
    <s v="-"/>
    <s v="Restaurant"/>
    <s v="-"/>
    <s v="-"/>
    <s v="-"/>
    <s v="-"/>
    <s v="-"/>
    <s v="-"/>
    <s v="-"/>
    <s v="-"/>
    <x v="1"/>
    <x v="0"/>
    <s v="-"/>
    <s v="-"/>
    <s v="Restaurant"/>
    <s v="-"/>
    <s v="-"/>
    <s v="-"/>
    <s v="-"/>
    <s v="-"/>
    <s v="-"/>
    <s v="-"/>
    <s v="-"/>
    <x v="0"/>
    <x v="0"/>
    <n v="1.4999999664723899E-2"/>
    <n v="609"/>
    <n v="236"/>
    <n v="373"/>
    <x v="0"/>
    <x v="0"/>
    <m/>
    <x v="0"/>
    <m/>
    <x v="0"/>
    <m/>
    <x v="0"/>
    <x v="1"/>
    <x v="1"/>
    <x v="0"/>
    <m/>
    <n v="0"/>
    <n v="219"/>
    <n v="-219"/>
    <x v="0"/>
    <m/>
  </r>
  <r>
    <x v="1"/>
    <x v="4"/>
    <x v="4"/>
    <x v="1"/>
    <n v="6499"/>
    <x v="594"/>
    <x v="8"/>
    <n v="1.09999999403954E-2"/>
    <n v="529152"/>
    <n v="176426"/>
    <m/>
    <x v="663"/>
    <s v="SLA"/>
    <d v="2016-10-26T00:00:00"/>
    <x v="1"/>
    <m/>
    <d v="2017-12-14T00:00:00"/>
    <s v="Nil"/>
    <m/>
    <m/>
    <s v="Demolition of existing two-storey residential property and construction of a 10-storey building plus basement to provide a mixed use development comprising office (B1 use) floorspace at ground and first floor level and 9 x two and three bedroom self-contained flats (C3 use) above, with a residents gym and bike store at basement level and refuse store and one onsite disabled car parking space at ground level."/>
    <x v="639"/>
    <s v="NB"/>
    <x v="0"/>
    <s v="NSO"/>
    <m/>
    <m/>
    <m/>
    <m/>
    <s v="P"/>
    <s v="BF"/>
    <x v="0"/>
    <m/>
    <m/>
    <m/>
    <m/>
    <m/>
    <m/>
    <m/>
    <m/>
    <m/>
    <n v="114"/>
    <m/>
    <m/>
    <n v="114"/>
    <m/>
    <m/>
    <n v="114"/>
    <m/>
    <m/>
    <m/>
    <m/>
    <m/>
    <m/>
    <m/>
    <m/>
    <m/>
    <m/>
    <m/>
    <m/>
    <m/>
    <m/>
    <m/>
    <m/>
    <m/>
    <m/>
    <x v="0"/>
    <x v="1"/>
    <x v="1"/>
    <m/>
    <m/>
    <m/>
    <m/>
    <m/>
    <m/>
    <n v="114"/>
    <x v="0"/>
    <m/>
    <m/>
    <m/>
    <m/>
    <n v="114"/>
    <x v="0"/>
    <m/>
    <m/>
    <m/>
    <m/>
    <s v="-"/>
    <s v="-"/>
    <s v="-"/>
    <s v="-"/>
    <s v="-"/>
    <s v="Not Known"/>
    <s v="-"/>
    <s v="-"/>
    <s v="-"/>
    <s v="-"/>
    <s v="-"/>
    <x v="1"/>
    <x v="0"/>
    <s v="-"/>
    <s v="-"/>
    <s v="-"/>
    <s v="-"/>
    <s v="-"/>
    <s v="-"/>
    <s v="-"/>
    <s v="-"/>
    <s v="-"/>
    <s v="-"/>
    <s v="-"/>
    <x v="0"/>
    <x v="0"/>
    <n v="1.00000016391282E-3"/>
    <n v="114"/>
    <n v="0"/>
    <n v="114"/>
    <x v="0"/>
    <x v="0"/>
    <m/>
    <x v="0"/>
    <m/>
    <x v="0"/>
    <m/>
    <x v="1"/>
    <x v="0"/>
    <x v="0"/>
    <x v="0"/>
    <m/>
    <n v="1116"/>
    <n v="115"/>
    <n v="1001"/>
    <x v="1"/>
    <m/>
  </r>
  <r>
    <x v="2"/>
    <x v="0"/>
    <x v="0"/>
    <x v="1"/>
    <n v="6501"/>
    <x v="595"/>
    <x v="14"/>
    <n v="0.15600000321865101"/>
    <n v="527304"/>
    <n v="171639"/>
    <m/>
    <x v="664"/>
    <s v="PFLA"/>
    <d v="2016-10-17T00:00:00"/>
    <x v="436"/>
    <s v="Y"/>
    <d v="2017-02-23T00:00:00"/>
    <s v="Nil"/>
    <m/>
    <m/>
    <s v="Demolition of the existing builder and timber merchant building (Class B1) and redevelopment with a part 2, part 3 storey building plus basement level comprising 17 apartments (Class C3) (2 x 1 beds, 12 x 2 beds and 3 x 3 beds) and associated landscaping, car and cycle parking."/>
    <x v="640"/>
    <s v="NB"/>
    <x v="0"/>
    <s v="NSO"/>
    <m/>
    <m/>
    <m/>
    <m/>
    <s v="C"/>
    <s v="BF"/>
    <x v="0"/>
    <m/>
    <m/>
    <m/>
    <m/>
    <m/>
    <m/>
    <m/>
    <m/>
    <m/>
    <m/>
    <m/>
    <m/>
    <m/>
    <m/>
    <m/>
    <m/>
    <m/>
    <m/>
    <m/>
    <m/>
    <m/>
    <m/>
    <m/>
    <m/>
    <m/>
    <n v="635"/>
    <m/>
    <m/>
    <m/>
    <m/>
    <n v="635"/>
    <m/>
    <m/>
    <m/>
    <x v="0"/>
    <x v="1"/>
    <x v="1"/>
    <m/>
    <m/>
    <m/>
    <m/>
    <m/>
    <m/>
    <n v="-635"/>
    <x v="1"/>
    <m/>
    <m/>
    <m/>
    <m/>
    <n v="-635"/>
    <x v="1"/>
    <m/>
    <m/>
    <m/>
    <m/>
    <s v="-"/>
    <s v="-"/>
    <s v="-"/>
    <s v="-"/>
    <s v="-"/>
    <s v="-"/>
    <s v="-"/>
    <s v="-"/>
    <s v="-"/>
    <s v="-"/>
    <s v="-"/>
    <x v="1"/>
    <x v="0"/>
    <s v="-"/>
    <s v="-"/>
    <s v="-"/>
    <s v="-"/>
    <s v="-"/>
    <s v="Other"/>
    <s v="-"/>
    <s v="-"/>
    <s v="-"/>
    <s v="-"/>
    <s v="-"/>
    <x v="0"/>
    <x v="0"/>
    <n v="3.7252900209061579E-9"/>
    <n v="0"/>
    <n v="635"/>
    <n v="-635"/>
    <x v="0"/>
    <x v="0"/>
    <m/>
    <x v="0"/>
    <m/>
    <x v="0"/>
    <m/>
    <x v="0"/>
    <x v="0"/>
    <x v="0"/>
    <x v="0"/>
    <m/>
    <n v="1715"/>
    <n v="0"/>
    <n v="1715"/>
    <x v="1"/>
    <m/>
  </r>
  <r>
    <x v="0"/>
    <x v="0"/>
    <x v="0"/>
    <x v="0"/>
    <n v="6504"/>
    <x v="596"/>
    <x v="3"/>
    <n v="8.9999996125698107E-3"/>
    <n v="527579"/>
    <n v="175161"/>
    <m/>
    <x v="665"/>
    <s v="PF"/>
    <d v="2016-09-28T00:00:00"/>
    <x v="435"/>
    <s v="Y"/>
    <m/>
    <s v="Nil"/>
    <m/>
    <m/>
    <s v="Change of use of the ground floor from Class A1 (retail) to Class A 4 (drinking establishment).  Opening hours Monday - Saturday 10:00-00:30hrs, Sundays and bank holidays 12:00-00:00hrs. (Retrospective application)."/>
    <x v="641"/>
    <s v="COU"/>
    <x v="2"/>
    <s v="OC"/>
    <m/>
    <d v="2017-05-03T00:00:00"/>
    <d v="2017-11-01T00:00:00"/>
    <d v="2017-11-01T00:00:00"/>
    <s v="C"/>
    <s v="BF"/>
    <x v="0"/>
    <m/>
    <d v="2017-05-03T00:00:00"/>
    <d v="2017-11-01T00:00:00"/>
    <m/>
    <m/>
    <m/>
    <n v="88"/>
    <m/>
    <n v="88"/>
    <m/>
    <m/>
    <m/>
    <m/>
    <m/>
    <m/>
    <m/>
    <m/>
    <m/>
    <m/>
    <n v="88"/>
    <m/>
    <m/>
    <m/>
    <m/>
    <n v="88"/>
    <m/>
    <m/>
    <m/>
    <m/>
    <m/>
    <m/>
    <m/>
    <m/>
    <m/>
    <x v="1"/>
    <x v="0"/>
    <x v="1"/>
    <n v="-88"/>
    <m/>
    <m/>
    <n v="88"/>
    <m/>
    <m/>
    <m/>
    <x v="0"/>
    <m/>
    <m/>
    <m/>
    <m/>
    <m/>
    <x v="0"/>
    <m/>
    <m/>
    <m/>
    <m/>
    <s v="-"/>
    <s v="-"/>
    <s v="-"/>
    <s v="Bar"/>
    <s v="-"/>
    <s v="-"/>
    <s v="-"/>
    <s v="-"/>
    <s v="-"/>
    <s v="-"/>
    <s v="-"/>
    <x v="1"/>
    <x v="0"/>
    <s v="Vacant"/>
    <s v="-"/>
    <s v="-"/>
    <s v="-"/>
    <s v="-"/>
    <s v="-"/>
    <s v="-"/>
    <s v="-"/>
    <s v="-"/>
    <s v="-"/>
    <s v="-"/>
    <x v="0"/>
    <x v="0"/>
    <n v="8.9999996125698107E-3"/>
    <n v="88"/>
    <n v="88"/>
    <n v="0"/>
    <x v="0"/>
    <x v="0"/>
    <m/>
    <x v="0"/>
    <m/>
    <x v="0"/>
    <m/>
    <x v="0"/>
    <x v="1"/>
    <x v="1"/>
    <x v="0"/>
    <m/>
    <n v="0"/>
    <n v="0"/>
    <n v="0"/>
    <x v="0"/>
    <m/>
  </r>
  <r>
    <x v="1"/>
    <x v="4"/>
    <x v="4"/>
    <x v="1"/>
    <n v="6505"/>
    <x v="597"/>
    <x v="4"/>
    <n v="0.43700000643730202"/>
    <n v="526483"/>
    <n v="175747"/>
    <s v="10.15"/>
    <x v="666"/>
    <s v="SLA"/>
    <d v="2016-10-07T00:00:00"/>
    <x v="1"/>
    <m/>
    <d v="2017-03-23T00:00:00"/>
    <s v="Nil"/>
    <m/>
    <m/>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x v="642"/>
    <s v="NB"/>
    <x v="0"/>
    <s v="NSO"/>
    <m/>
    <m/>
    <m/>
    <m/>
    <s v="P"/>
    <s v="BF"/>
    <x v="0"/>
    <m/>
    <m/>
    <m/>
    <n v="54"/>
    <m/>
    <n v="304"/>
    <n v="305"/>
    <m/>
    <n v="663"/>
    <n v="3890"/>
    <m/>
    <m/>
    <n v="3890"/>
    <m/>
    <m/>
    <n v="3890"/>
    <n v="189"/>
    <n v="187"/>
    <n v="376"/>
    <m/>
    <m/>
    <m/>
    <m/>
    <m/>
    <m/>
    <n v="5025"/>
    <m/>
    <m/>
    <m/>
    <m/>
    <n v="5025"/>
    <m/>
    <m/>
    <m/>
    <x v="1"/>
    <x v="1"/>
    <x v="0"/>
    <n v="54"/>
    <m/>
    <n v="304"/>
    <n v="305"/>
    <m/>
    <n v="663"/>
    <n v="-1135"/>
    <x v="1"/>
    <m/>
    <m/>
    <m/>
    <m/>
    <n v="-1135"/>
    <x v="1"/>
    <m/>
    <n v="189"/>
    <n v="187"/>
    <n v="376"/>
    <s v="Not Known"/>
    <s v="-"/>
    <s v="Not Known"/>
    <s v="Not Known"/>
    <s v="-"/>
    <s v="Other"/>
    <s v="-"/>
    <s v="-"/>
    <s v="-"/>
    <s v="-"/>
    <s v="-"/>
    <x v="5"/>
    <x v="3"/>
    <s v="-"/>
    <s v="-"/>
    <s v="-"/>
    <s v="-"/>
    <s v="-"/>
    <s v="Other"/>
    <s v="-"/>
    <s v="-"/>
    <s v="-"/>
    <s v="-"/>
    <s v="-"/>
    <x v="0"/>
    <x v="0"/>
    <n v="0.13900000415742403"/>
    <n v="6044"/>
    <n v="5593"/>
    <n v="451"/>
    <x v="1"/>
    <x v="0"/>
    <m/>
    <x v="0"/>
    <m/>
    <x v="0"/>
    <m/>
    <x v="0"/>
    <x v="0"/>
    <x v="0"/>
    <x v="0"/>
    <m/>
    <n v="13016"/>
    <n v="37"/>
    <n v="12979"/>
    <x v="1"/>
    <m/>
  </r>
  <r>
    <x v="0"/>
    <x v="2"/>
    <x v="2"/>
    <x v="0"/>
    <n v="6506"/>
    <x v="598"/>
    <x v="4"/>
    <n v="0.108999997377396"/>
    <n v="526382"/>
    <n v="175731"/>
    <m/>
    <x v="667"/>
    <s v="PAG"/>
    <d v="2016-06-15T00:00:00"/>
    <x v="248"/>
    <m/>
    <m/>
    <s v="Nil"/>
    <m/>
    <m/>
    <s v="Determination as to whether prior approval is required for change of use from office (Class B1a) to 1 x 2-bedroom and 2 x 1-bedroom flats (Class C3) on ground floor level."/>
    <x v="643"/>
    <s v="COU"/>
    <x v="2"/>
    <s v="OC"/>
    <m/>
    <d v="2017-04-01T00:00:00"/>
    <d v="2018-03-31T00:00:00"/>
    <d v="2018-03-31T00:00:00"/>
    <s v="C"/>
    <s v="BF"/>
    <x v="0"/>
    <m/>
    <d v="2017-04-01T00:00:00"/>
    <d v="2018-03-31T00:00:00"/>
    <m/>
    <m/>
    <m/>
    <m/>
    <m/>
    <m/>
    <m/>
    <m/>
    <m/>
    <m/>
    <m/>
    <m/>
    <m/>
    <m/>
    <m/>
    <m/>
    <m/>
    <m/>
    <m/>
    <m/>
    <m/>
    <m/>
    <n v="170"/>
    <m/>
    <m/>
    <m/>
    <m/>
    <n v="170"/>
    <m/>
    <m/>
    <m/>
    <x v="0"/>
    <x v="1"/>
    <x v="1"/>
    <m/>
    <m/>
    <m/>
    <m/>
    <m/>
    <m/>
    <n v="-170"/>
    <x v="1"/>
    <m/>
    <m/>
    <m/>
    <m/>
    <n v="-170"/>
    <x v="1"/>
    <m/>
    <m/>
    <m/>
    <m/>
    <s v="-"/>
    <s v="-"/>
    <s v="-"/>
    <s v="-"/>
    <s v="-"/>
    <s v="-"/>
    <s v="-"/>
    <s v="-"/>
    <s v="-"/>
    <s v="-"/>
    <s v="-"/>
    <x v="1"/>
    <x v="0"/>
    <s v="-"/>
    <s v="-"/>
    <s v="-"/>
    <s v="-"/>
    <s v="-"/>
    <s v="Not Known"/>
    <s v="-"/>
    <s v="-"/>
    <s v="-"/>
    <s v="-"/>
    <s v="-"/>
    <x v="0"/>
    <x v="0"/>
    <n v="9.1999996453523997E-2"/>
    <n v="0"/>
    <n v="170"/>
    <n v="-170"/>
    <x v="1"/>
    <x v="0"/>
    <m/>
    <x v="0"/>
    <m/>
    <x v="0"/>
    <m/>
    <x v="0"/>
    <x v="0"/>
    <x v="0"/>
    <x v="0"/>
    <m/>
    <n v="170"/>
    <n v="0"/>
    <n v="170"/>
    <x v="1"/>
    <m/>
  </r>
  <r>
    <x v="2"/>
    <x v="2"/>
    <x v="2"/>
    <x v="1"/>
    <n v="6508"/>
    <x v="599"/>
    <x v="4"/>
    <n v="4.8999998718500103E-2"/>
    <n v="526400"/>
    <n v="175699"/>
    <m/>
    <x v="668"/>
    <s v="PAG"/>
    <d v="2016-04-27T00:00:00"/>
    <x v="223"/>
    <m/>
    <m/>
    <s v="Nil"/>
    <m/>
    <m/>
    <s v="Determination as to whether prior approval is required for change of use from office (Class B1a) to 2 x 1-bedroom and 1 x 2-bedroom residential units (Class C3) at second floor level."/>
    <x v="644"/>
    <s v="COU"/>
    <x v="2"/>
    <s v="NSO"/>
    <m/>
    <m/>
    <m/>
    <m/>
    <s v="C"/>
    <s v="BF"/>
    <x v="0"/>
    <m/>
    <m/>
    <m/>
    <m/>
    <m/>
    <m/>
    <m/>
    <m/>
    <m/>
    <m/>
    <m/>
    <m/>
    <m/>
    <m/>
    <m/>
    <m/>
    <m/>
    <m/>
    <m/>
    <m/>
    <m/>
    <m/>
    <m/>
    <m/>
    <m/>
    <n v="184"/>
    <m/>
    <m/>
    <m/>
    <m/>
    <n v="184"/>
    <m/>
    <m/>
    <m/>
    <x v="0"/>
    <x v="1"/>
    <x v="1"/>
    <m/>
    <m/>
    <m/>
    <m/>
    <m/>
    <m/>
    <n v="-184"/>
    <x v="1"/>
    <m/>
    <m/>
    <m/>
    <m/>
    <n v="-184"/>
    <x v="1"/>
    <m/>
    <m/>
    <m/>
    <m/>
    <s v="-"/>
    <s v="-"/>
    <s v="-"/>
    <s v="-"/>
    <s v="-"/>
    <s v="-"/>
    <s v="-"/>
    <s v="-"/>
    <s v="-"/>
    <s v="-"/>
    <s v="-"/>
    <x v="1"/>
    <x v="0"/>
    <s v="-"/>
    <s v="-"/>
    <s v="-"/>
    <s v="-"/>
    <s v="-"/>
    <s v="Not Known"/>
    <s v="-"/>
    <s v="-"/>
    <s v="-"/>
    <s v="-"/>
    <s v="-"/>
    <x v="0"/>
    <x v="0"/>
    <n v="4.0999998338520492E-2"/>
    <n v="0"/>
    <n v="184"/>
    <n v="-184"/>
    <x v="1"/>
    <x v="0"/>
    <m/>
    <x v="0"/>
    <m/>
    <x v="0"/>
    <m/>
    <x v="0"/>
    <x v="0"/>
    <x v="0"/>
    <x v="0"/>
    <m/>
    <n v="184"/>
    <n v="0"/>
    <n v="184"/>
    <x v="1"/>
    <m/>
  </r>
  <r>
    <x v="2"/>
    <x v="2"/>
    <x v="2"/>
    <x v="1"/>
    <n v="6508"/>
    <x v="599"/>
    <x v="4"/>
    <n v="4.8999998718500103E-2"/>
    <n v="526400"/>
    <n v="175699"/>
    <m/>
    <x v="669"/>
    <s v="PAG"/>
    <d v="2016-04-27T00:00:00"/>
    <x v="223"/>
    <m/>
    <m/>
    <s v="Nil"/>
    <m/>
    <m/>
    <s v="Determination as to whether prior approval is required for change of use from office (Class B1a) to 1 x 2-bedroom and 3 x 1-bedroom residential units (Class C3) at third floor level."/>
    <x v="645"/>
    <s v="COU"/>
    <x v="2"/>
    <s v="NSO"/>
    <m/>
    <m/>
    <m/>
    <m/>
    <s v="C"/>
    <s v="BF"/>
    <x v="0"/>
    <m/>
    <m/>
    <m/>
    <m/>
    <m/>
    <m/>
    <m/>
    <m/>
    <m/>
    <m/>
    <m/>
    <m/>
    <m/>
    <m/>
    <m/>
    <m/>
    <m/>
    <m/>
    <m/>
    <m/>
    <m/>
    <m/>
    <m/>
    <m/>
    <m/>
    <n v="245"/>
    <m/>
    <m/>
    <m/>
    <m/>
    <n v="245"/>
    <m/>
    <m/>
    <m/>
    <x v="0"/>
    <x v="1"/>
    <x v="1"/>
    <m/>
    <m/>
    <m/>
    <m/>
    <m/>
    <m/>
    <n v="-245"/>
    <x v="1"/>
    <m/>
    <m/>
    <m/>
    <m/>
    <n v="-245"/>
    <x v="1"/>
    <m/>
    <m/>
    <m/>
    <m/>
    <s v="-"/>
    <s v="-"/>
    <s v="-"/>
    <s v="-"/>
    <s v="-"/>
    <s v="-"/>
    <s v="-"/>
    <s v="-"/>
    <s v="-"/>
    <s v="-"/>
    <s v="-"/>
    <x v="1"/>
    <x v="0"/>
    <s v="-"/>
    <s v="-"/>
    <s v="-"/>
    <s v="-"/>
    <s v="-"/>
    <s v="Not Known"/>
    <s v="-"/>
    <s v="-"/>
    <s v="-"/>
    <s v="-"/>
    <s v="-"/>
    <x v="0"/>
    <x v="0"/>
    <n v="4.0999998338520492E-2"/>
    <n v="0"/>
    <n v="245"/>
    <n v="-245"/>
    <x v="1"/>
    <x v="0"/>
    <m/>
    <x v="0"/>
    <m/>
    <x v="0"/>
    <m/>
    <x v="0"/>
    <x v="0"/>
    <x v="0"/>
    <x v="0"/>
    <m/>
    <n v="245"/>
    <n v="0"/>
    <n v="245"/>
    <x v="1"/>
    <m/>
  </r>
  <r>
    <x v="2"/>
    <x v="2"/>
    <x v="2"/>
    <x v="1"/>
    <n v="6508"/>
    <x v="599"/>
    <x v="4"/>
    <n v="4.8999998718500103E-2"/>
    <n v="526400"/>
    <n v="175699"/>
    <m/>
    <x v="670"/>
    <s v="PAG"/>
    <d v="2016-06-27T00:00:00"/>
    <x v="18"/>
    <m/>
    <m/>
    <s v="Nil"/>
    <m/>
    <m/>
    <s v="Determination as to whether prior approval is required for change of use of office at ground floor level (Class B1a) to residential (Class C3)  to provide 2 x 2-bedroom and 1 x 1-bedroom residential flats."/>
    <x v="646"/>
    <s v="COU"/>
    <x v="2"/>
    <s v="NSO"/>
    <m/>
    <m/>
    <m/>
    <m/>
    <s v="C"/>
    <s v="BF"/>
    <x v="0"/>
    <m/>
    <m/>
    <m/>
    <m/>
    <m/>
    <m/>
    <m/>
    <m/>
    <m/>
    <m/>
    <m/>
    <m/>
    <m/>
    <m/>
    <m/>
    <m/>
    <m/>
    <m/>
    <m/>
    <m/>
    <m/>
    <m/>
    <m/>
    <m/>
    <m/>
    <n v="216"/>
    <m/>
    <m/>
    <m/>
    <m/>
    <n v="216"/>
    <m/>
    <m/>
    <m/>
    <x v="0"/>
    <x v="1"/>
    <x v="1"/>
    <m/>
    <m/>
    <m/>
    <m/>
    <m/>
    <m/>
    <n v="-216"/>
    <x v="1"/>
    <m/>
    <m/>
    <m/>
    <m/>
    <n v="-216"/>
    <x v="1"/>
    <m/>
    <m/>
    <m/>
    <m/>
    <s v="-"/>
    <s v="-"/>
    <s v="-"/>
    <s v="-"/>
    <s v="-"/>
    <s v="-"/>
    <s v="-"/>
    <s v="-"/>
    <s v="-"/>
    <s v="-"/>
    <s v="-"/>
    <x v="1"/>
    <x v="0"/>
    <s v="-"/>
    <s v="-"/>
    <s v="-"/>
    <s v="-"/>
    <s v="-"/>
    <s v="Not Known"/>
    <s v="-"/>
    <s v="-"/>
    <s v="-"/>
    <s v="-"/>
    <s v="-"/>
    <x v="0"/>
    <x v="0"/>
    <n v="3.5999998450279201E-2"/>
    <n v="0"/>
    <n v="216"/>
    <n v="-216"/>
    <x v="1"/>
    <x v="0"/>
    <m/>
    <x v="0"/>
    <m/>
    <x v="0"/>
    <m/>
    <x v="0"/>
    <x v="0"/>
    <x v="0"/>
    <x v="0"/>
    <m/>
    <n v="216"/>
    <n v="0"/>
    <n v="216"/>
    <x v="1"/>
    <m/>
  </r>
  <r>
    <x v="2"/>
    <x v="2"/>
    <x v="2"/>
    <x v="1"/>
    <n v="6508"/>
    <x v="599"/>
    <x v="4"/>
    <n v="4.8999998718500103E-2"/>
    <n v="526400"/>
    <n v="175699"/>
    <m/>
    <x v="671"/>
    <s v="PAG"/>
    <d v="2016-06-15T00:00:00"/>
    <x v="248"/>
    <m/>
    <m/>
    <s v="Nil"/>
    <m/>
    <m/>
    <s v="Determination as to whether prior approval is required for change of use of office at first floor level (Class B1a) to 3 x 2-bedroom residential and 1 x 1-bedroom residential  units (Class C3)."/>
    <x v="647"/>
    <s v="COU"/>
    <x v="2"/>
    <s v="NSO"/>
    <m/>
    <m/>
    <m/>
    <m/>
    <s v="C"/>
    <s v="BF"/>
    <x v="0"/>
    <m/>
    <m/>
    <m/>
    <m/>
    <m/>
    <m/>
    <m/>
    <m/>
    <m/>
    <m/>
    <m/>
    <m/>
    <m/>
    <m/>
    <m/>
    <m/>
    <m/>
    <m/>
    <m/>
    <m/>
    <m/>
    <m/>
    <m/>
    <m/>
    <m/>
    <n v="280"/>
    <m/>
    <m/>
    <m/>
    <m/>
    <n v="280"/>
    <m/>
    <m/>
    <m/>
    <x v="0"/>
    <x v="1"/>
    <x v="1"/>
    <m/>
    <m/>
    <m/>
    <m/>
    <m/>
    <m/>
    <n v="-280"/>
    <x v="1"/>
    <m/>
    <m/>
    <m/>
    <m/>
    <n v="-280"/>
    <x v="1"/>
    <m/>
    <m/>
    <m/>
    <m/>
    <s v="-"/>
    <s v="-"/>
    <s v="-"/>
    <s v="-"/>
    <s v="-"/>
    <s v="-"/>
    <s v="-"/>
    <s v="-"/>
    <s v="-"/>
    <s v="-"/>
    <s v="-"/>
    <x v="1"/>
    <x v="0"/>
    <s v="-"/>
    <s v="-"/>
    <s v="-"/>
    <s v="-"/>
    <s v="-"/>
    <s v="Not Known"/>
    <s v="-"/>
    <s v="-"/>
    <s v="-"/>
    <s v="-"/>
    <s v="-"/>
    <x v="0"/>
    <x v="0"/>
    <n v="3.5999998450279201E-2"/>
    <n v="0"/>
    <n v="280"/>
    <n v="-280"/>
    <x v="1"/>
    <x v="0"/>
    <m/>
    <x v="0"/>
    <m/>
    <x v="0"/>
    <m/>
    <x v="0"/>
    <x v="0"/>
    <x v="0"/>
    <x v="0"/>
    <m/>
    <n v="280"/>
    <n v="0"/>
    <n v="280"/>
    <x v="1"/>
    <m/>
  </r>
  <r>
    <x v="2"/>
    <x v="2"/>
    <x v="2"/>
    <x v="1"/>
    <n v="6508"/>
    <x v="599"/>
    <x v="4"/>
    <n v="4.8999998718500103E-2"/>
    <n v="526400"/>
    <n v="175699"/>
    <m/>
    <x v="672"/>
    <s v="PAG"/>
    <d v="2016-06-30T00:00:00"/>
    <x v="249"/>
    <m/>
    <m/>
    <s v="Nil"/>
    <m/>
    <m/>
    <s v="Determination as to whether prior approval is required for change of use of offices at ground and second floor levels from (Class B1a) to residential (Class C3) to provide 1 x studio, 1 x 1-bedroom flat and 1 x 3-bedroom flat at second floor, and 1 x 1-bedroom flat at ground floor."/>
    <x v="648"/>
    <s v="COU"/>
    <x v="2"/>
    <s v="NSO"/>
    <m/>
    <m/>
    <m/>
    <m/>
    <s v="C"/>
    <s v="BF"/>
    <x v="0"/>
    <m/>
    <m/>
    <m/>
    <m/>
    <m/>
    <m/>
    <m/>
    <m/>
    <m/>
    <m/>
    <m/>
    <m/>
    <m/>
    <m/>
    <m/>
    <m/>
    <m/>
    <m/>
    <m/>
    <m/>
    <m/>
    <m/>
    <m/>
    <m/>
    <m/>
    <n v="253"/>
    <m/>
    <m/>
    <m/>
    <m/>
    <n v="253"/>
    <m/>
    <m/>
    <m/>
    <x v="0"/>
    <x v="1"/>
    <x v="1"/>
    <m/>
    <m/>
    <m/>
    <m/>
    <m/>
    <m/>
    <n v="-253"/>
    <x v="1"/>
    <m/>
    <m/>
    <m/>
    <m/>
    <n v="-253"/>
    <x v="1"/>
    <m/>
    <m/>
    <m/>
    <m/>
    <s v="-"/>
    <s v="-"/>
    <s v="-"/>
    <s v="-"/>
    <s v="-"/>
    <s v="-"/>
    <s v="-"/>
    <s v="-"/>
    <s v="-"/>
    <s v="-"/>
    <s v="-"/>
    <x v="1"/>
    <x v="0"/>
    <s v="-"/>
    <s v="-"/>
    <s v="-"/>
    <s v="-"/>
    <s v="-"/>
    <s v="Financial or Professional Services"/>
    <s v="-"/>
    <s v="-"/>
    <s v="-"/>
    <s v="-"/>
    <s v="-"/>
    <x v="0"/>
    <x v="0"/>
    <n v="2.3999998345971104E-2"/>
    <n v="0"/>
    <n v="253"/>
    <n v="-253"/>
    <x v="1"/>
    <x v="0"/>
    <m/>
    <x v="0"/>
    <m/>
    <x v="0"/>
    <m/>
    <x v="0"/>
    <x v="0"/>
    <x v="0"/>
    <x v="0"/>
    <m/>
    <n v="253"/>
    <n v="0"/>
    <n v="253"/>
    <x v="1"/>
    <m/>
  </r>
  <r>
    <x v="2"/>
    <x v="2"/>
    <x v="2"/>
    <x v="1"/>
    <n v="6508"/>
    <x v="599"/>
    <x v="4"/>
    <n v="4.8999998718500103E-2"/>
    <n v="526400"/>
    <n v="175699"/>
    <m/>
    <x v="673"/>
    <s v="PAG"/>
    <d v="2016-09-30T00:00:00"/>
    <x v="192"/>
    <m/>
    <m/>
    <s v="Nil"/>
    <m/>
    <m/>
    <s v="Determination as to whether prior approval is required for change of use from offices at first floor level (Class B1a) to 1 x 2-bedroom and 2 x 1-bedroom residential units (Class C3)."/>
    <x v="649"/>
    <s v="COU"/>
    <x v="2"/>
    <s v="NSO"/>
    <m/>
    <m/>
    <m/>
    <m/>
    <s v="C"/>
    <s v="BF"/>
    <x v="0"/>
    <m/>
    <m/>
    <m/>
    <m/>
    <m/>
    <m/>
    <m/>
    <m/>
    <m/>
    <m/>
    <m/>
    <m/>
    <m/>
    <m/>
    <m/>
    <m/>
    <m/>
    <m/>
    <m/>
    <m/>
    <m/>
    <m/>
    <m/>
    <m/>
    <m/>
    <n v="219"/>
    <m/>
    <m/>
    <m/>
    <m/>
    <n v="219"/>
    <m/>
    <m/>
    <m/>
    <x v="0"/>
    <x v="1"/>
    <x v="1"/>
    <m/>
    <m/>
    <m/>
    <m/>
    <m/>
    <m/>
    <n v="-219"/>
    <x v="1"/>
    <m/>
    <m/>
    <m/>
    <m/>
    <n v="-219"/>
    <x v="1"/>
    <m/>
    <m/>
    <m/>
    <m/>
    <s v="-"/>
    <s v="-"/>
    <s v="-"/>
    <s v="-"/>
    <s v="-"/>
    <s v="-"/>
    <s v="-"/>
    <s v="-"/>
    <s v="-"/>
    <s v="-"/>
    <s v="-"/>
    <x v="1"/>
    <x v="0"/>
    <s v="-"/>
    <s v="-"/>
    <s v="-"/>
    <s v="-"/>
    <s v="-"/>
    <s v="Not Known"/>
    <s v="-"/>
    <s v="-"/>
    <s v="-"/>
    <s v="-"/>
    <s v="-"/>
    <x v="0"/>
    <x v="0"/>
    <n v="2.7999999001622203E-2"/>
    <n v="0"/>
    <n v="219"/>
    <n v="-219"/>
    <x v="1"/>
    <x v="0"/>
    <m/>
    <x v="0"/>
    <m/>
    <x v="0"/>
    <m/>
    <x v="0"/>
    <x v="0"/>
    <x v="0"/>
    <x v="0"/>
    <m/>
    <n v="217"/>
    <n v="0"/>
    <n v="217"/>
    <x v="1"/>
    <m/>
  </r>
  <r>
    <x v="2"/>
    <x v="2"/>
    <x v="2"/>
    <x v="1"/>
    <n v="6509"/>
    <x v="600"/>
    <x v="4"/>
    <n v="3.7999998778104803E-2"/>
    <n v="526505"/>
    <n v="175773"/>
    <m/>
    <x v="674"/>
    <s v="PAG"/>
    <d v="2016-06-15T00:00:00"/>
    <x v="248"/>
    <m/>
    <m/>
    <s v="Nil"/>
    <m/>
    <m/>
    <s v="Determination as to whether prior approval is required for change of use of office (Class B1a) to residential (Class C3) to provide 9 x 1 bedroom and 4 x 2-bedroom flats at ground, first, second and third floor levels."/>
    <x v="650"/>
    <s v="COU"/>
    <x v="2"/>
    <s v="NSO"/>
    <m/>
    <m/>
    <m/>
    <m/>
    <s v="C"/>
    <s v="BF"/>
    <x v="0"/>
    <m/>
    <m/>
    <m/>
    <m/>
    <m/>
    <m/>
    <m/>
    <m/>
    <m/>
    <m/>
    <m/>
    <m/>
    <m/>
    <m/>
    <m/>
    <m/>
    <m/>
    <m/>
    <m/>
    <m/>
    <m/>
    <m/>
    <m/>
    <m/>
    <m/>
    <n v="709"/>
    <m/>
    <m/>
    <m/>
    <m/>
    <n v="709"/>
    <m/>
    <m/>
    <m/>
    <x v="0"/>
    <x v="1"/>
    <x v="1"/>
    <m/>
    <m/>
    <m/>
    <m/>
    <m/>
    <m/>
    <n v="-709"/>
    <x v="1"/>
    <m/>
    <m/>
    <m/>
    <m/>
    <n v="-709"/>
    <x v="1"/>
    <m/>
    <m/>
    <m/>
    <m/>
    <s v="-"/>
    <s v="-"/>
    <s v="-"/>
    <s v="-"/>
    <s v="-"/>
    <s v="-"/>
    <s v="-"/>
    <s v="-"/>
    <s v="-"/>
    <s v="-"/>
    <s v="-"/>
    <x v="1"/>
    <x v="0"/>
    <s v="-"/>
    <s v="-"/>
    <s v="-"/>
    <s v="-"/>
    <s v="-"/>
    <s v="Not Known"/>
    <s v="-"/>
    <s v="-"/>
    <s v="-"/>
    <s v="-"/>
    <s v="-"/>
    <x v="0"/>
    <x v="0"/>
    <n v="1.0999998077750203E-2"/>
    <n v="0"/>
    <n v="709"/>
    <n v="-709"/>
    <x v="1"/>
    <x v="0"/>
    <m/>
    <x v="0"/>
    <m/>
    <x v="0"/>
    <m/>
    <x v="0"/>
    <x v="0"/>
    <x v="0"/>
    <x v="0"/>
    <m/>
    <n v="709"/>
    <n v="0"/>
    <n v="709"/>
    <x v="1"/>
    <m/>
  </r>
  <r>
    <x v="2"/>
    <x v="2"/>
    <x v="2"/>
    <x v="1"/>
    <n v="6509"/>
    <x v="600"/>
    <x v="4"/>
    <n v="3.7999998778104803E-2"/>
    <n v="526505"/>
    <n v="175773"/>
    <m/>
    <x v="675"/>
    <s v="PAG"/>
    <d v="2016-06-15T00:00:00"/>
    <x v="248"/>
    <m/>
    <m/>
    <s v="Nil"/>
    <m/>
    <m/>
    <s v="Determination as to whether prior approval is required for change of use from office (Class B1a) to 3 x 1-bedroom residential units (Class C3) at ground floor level."/>
    <x v="651"/>
    <s v="COU"/>
    <x v="2"/>
    <s v="NSO"/>
    <m/>
    <m/>
    <m/>
    <m/>
    <s v="C"/>
    <s v="BF"/>
    <x v="0"/>
    <m/>
    <m/>
    <m/>
    <m/>
    <m/>
    <m/>
    <m/>
    <m/>
    <m/>
    <m/>
    <m/>
    <m/>
    <m/>
    <m/>
    <m/>
    <m/>
    <m/>
    <m/>
    <m/>
    <m/>
    <m/>
    <m/>
    <m/>
    <m/>
    <m/>
    <n v="135"/>
    <m/>
    <m/>
    <m/>
    <m/>
    <n v="135"/>
    <m/>
    <m/>
    <m/>
    <x v="0"/>
    <x v="1"/>
    <x v="1"/>
    <m/>
    <m/>
    <m/>
    <m/>
    <m/>
    <m/>
    <n v="-135"/>
    <x v="1"/>
    <m/>
    <m/>
    <m/>
    <m/>
    <n v="-135"/>
    <x v="1"/>
    <m/>
    <m/>
    <m/>
    <m/>
    <s v="-"/>
    <s v="-"/>
    <s v="-"/>
    <s v="-"/>
    <s v="-"/>
    <s v="-"/>
    <s v="-"/>
    <s v="-"/>
    <s v="-"/>
    <s v="-"/>
    <s v="-"/>
    <x v="1"/>
    <x v="0"/>
    <s v="-"/>
    <s v="-"/>
    <s v="-"/>
    <s v="-"/>
    <s v="-"/>
    <s v="Not Known"/>
    <s v="-"/>
    <s v="-"/>
    <s v="-"/>
    <s v="-"/>
    <s v="-"/>
    <x v="0"/>
    <x v="0"/>
    <n v="2.4999998509883901E-2"/>
    <n v="0"/>
    <n v="135"/>
    <n v="-135"/>
    <x v="1"/>
    <x v="0"/>
    <m/>
    <x v="0"/>
    <m/>
    <x v="0"/>
    <m/>
    <x v="0"/>
    <x v="0"/>
    <x v="0"/>
    <x v="0"/>
    <m/>
    <n v="135"/>
    <n v="0"/>
    <n v="135"/>
    <x v="1"/>
    <m/>
  </r>
  <r>
    <x v="2"/>
    <x v="2"/>
    <x v="2"/>
    <x v="1"/>
    <n v="6509"/>
    <x v="600"/>
    <x v="4"/>
    <n v="3.7999998778104803E-2"/>
    <n v="526505"/>
    <n v="175773"/>
    <m/>
    <x v="676"/>
    <s v="PAG"/>
    <d v="2016-06-27T00:00:00"/>
    <x v="18"/>
    <m/>
    <m/>
    <s v="Nil"/>
    <m/>
    <m/>
    <s v="Determination as to whether prior approval is required for change of use of office at ground floor level  (Class B1a) to residential (Class C3) to provide 4 x 1-bedroom residential flats."/>
    <x v="652"/>
    <s v="COU"/>
    <x v="2"/>
    <s v="NSO"/>
    <m/>
    <m/>
    <m/>
    <m/>
    <s v="C"/>
    <s v="BF"/>
    <x v="0"/>
    <m/>
    <m/>
    <m/>
    <m/>
    <m/>
    <m/>
    <m/>
    <m/>
    <m/>
    <m/>
    <m/>
    <m/>
    <m/>
    <m/>
    <m/>
    <m/>
    <m/>
    <m/>
    <m/>
    <m/>
    <m/>
    <m/>
    <m/>
    <m/>
    <m/>
    <n v="173"/>
    <m/>
    <m/>
    <m/>
    <m/>
    <n v="173"/>
    <m/>
    <m/>
    <m/>
    <x v="0"/>
    <x v="1"/>
    <x v="1"/>
    <m/>
    <m/>
    <m/>
    <m/>
    <m/>
    <m/>
    <n v="-173"/>
    <x v="1"/>
    <m/>
    <m/>
    <m/>
    <m/>
    <n v="-173"/>
    <x v="1"/>
    <m/>
    <m/>
    <m/>
    <m/>
    <s v="-"/>
    <s v="-"/>
    <s v="-"/>
    <s v="-"/>
    <s v="-"/>
    <s v="-"/>
    <s v="-"/>
    <s v="-"/>
    <s v="-"/>
    <s v="-"/>
    <s v="-"/>
    <x v="1"/>
    <x v="0"/>
    <s v="-"/>
    <s v="-"/>
    <s v="-"/>
    <s v="-"/>
    <s v="-"/>
    <s v="Not Known"/>
    <s v="-"/>
    <s v="-"/>
    <s v="-"/>
    <s v="-"/>
    <s v="-"/>
    <x v="0"/>
    <x v="0"/>
    <n v="2.3999998345971101E-2"/>
    <n v="0"/>
    <n v="173"/>
    <n v="-173"/>
    <x v="1"/>
    <x v="0"/>
    <m/>
    <x v="0"/>
    <m/>
    <x v="0"/>
    <m/>
    <x v="0"/>
    <x v="0"/>
    <x v="0"/>
    <x v="0"/>
    <m/>
    <n v="173"/>
    <n v="0"/>
    <n v="173"/>
    <x v="1"/>
    <m/>
  </r>
  <r>
    <x v="2"/>
    <x v="0"/>
    <x v="0"/>
    <x v="1"/>
    <n v="6510"/>
    <x v="601"/>
    <x v="5"/>
    <n v="0.112999998033047"/>
    <n v="526401"/>
    <n v="174944"/>
    <m/>
    <x v="677"/>
    <s v="PF"/>
    <d v="2017-04-10T00:00:00"/>
    <x v="127"/>
    <s v="Y"/>
    <m/>
    <s v="Nil"/>
    <m/>
    <m/>
    <s v="Change of use of the existing retail unit (Class A1) and alterations including the erection of a first floor extension to provide additional accommodation for use of the entire building as a Day Care Centre (Class D1); with associated soft and hard landscaping, car parking, and cycle and refuse storage."/>
    <x v="653"/>
    <s v="MIX"/>
    <x v="0"/>
    <s v="NSO"/>
    <m/>
    <m/>
    <m/>
    <m/>
    <s v="C"/>
    <s v="BF"/>
    <x v="0"/>
    <m/>
    <m/>
    <m/>
    <m/>
    <m/>
    <m/>
    <m/>
    <m/>
    <m/>
    <m/>
    <m/>
    <m/>
    <m/>
    <m/>
    <m/>
    <m/>
    <n v="1266"/>
    <m/>
    <n v="1266"/>
    <n v="77"/>
    <m/>
    <m/>
    <m/>
    <m/>
    <n v="77"/>
    <m/>
    <m/>
    <m/>
    <m/>
    <m/>
    <m/>
    <n v="579"/>
    <m/>
    <n v="579"/>
    <x v="1"/>
    <x v="0"/>
    <x v="0"/>
    <n v="-77"/>
    <m/>
    <m/>
    <m/>
    <m/>
    <n v="-77"/>
    <m/>
    <x v="0"/>
    <m/>
    <m/>
    <m/>
    <m/>
    <m/>
    <x v="0"/>
    <m/>
    <n v="687"/>
    <m/>
    <n v="687"/>
    <s v="-"/>
    <s v="-"/>
    <s v="-"/>
    <s v="-"/>
    <s v="-"/>
    <s v="-"/>
    <s v="-"/>
    <s v="-"/>
    <s v="-"/>
    <s v="-"/>
    <s v="-"/>
    <x v="2"/>
    <x v="0"/>
    <s v="Vacant"/>
    <s v="-"/>
    <s v="-"/>
    <s v="-"/>
    <s v="-"/>
    <s v="-"/>
    <s v="-"/>
    <s v="-"/>
    <s v="-"/>
    <s v="-"/>
    <s v="-"/>
    <x v="5"/>
    <x v="0"/>
    <n v="0.112999998033047"/>
    <n v="1266"/>
    <n v="656"/>
    <n v="610"/>
    <x v="0"/>
    <x v="0"/>
    <m/>
    <x v="0"/>
    <m/>
    <x v="0"/>
    <m/>
    <x v="0"/>
    <x v="0"/>
    <x v="0"/>
    <x v="0"/>
    <m/>
    <n v="0"/>
    <n v="0"/>
    <n v="0"/>
    <x v="0"/>
    <m/>
  </r>
  <r>
    <x v="3"/>
    <x v="0"/>
    <x v="0"/>
    <x v="1"/>
    <n v="6511"/>
    <x v="602"/>
    <x v="5"/>
    <n v="1.2000000104308101E-2"/>
    <n v="525953"/>
    <n v="175002"/>
    <m/>
    <x v="678"/>
    <s v="PF"/>
    <d v="2016-11-09T00:00:00"/>
    <x v="437"/>
    <s v="Y"/>
    <m/>
    <s v="Nil"/>
    <m/>
    <m/>
    <s v="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
    <x v="654"/>
    <s v="MIX"/>
    <x v="0"/>
    <s v="UC"/>
    <m/>
    <d v="2018-03-31T00:00:00"/>
    <m/>
    <m/>
    <s v="C"/>
    <s v="BF"/>
    <x v="0"/>
    <m/>
    <d v="2018-03-31T00:00:00"/>
    <m/>
    <m/>
    <m/>
    <m/>
    <m/>
    <m/>
    <m/>
    <n v="53"/>
    <m/>
    <m/>
    <n v="53"/>
    <m/>
    <m/>
    <n v="53"/>
    <m/>
    <m/>
    <m/>
    <m/>
    <m/>
    <m/>
    <m/>
    <m/>
    <m/>
    <n v="95"/>
    <m/>
    <m/>
    <m/>
    <m/>
    <n v="95"/>
    <m/>
    <m/>
    <m/>
    <x v="0"/>
    <x v="1"/>
    <x v="1"/>
    <m/>
    <m/>
    <m/>
    <m/>
    <m/>
    <m/>
    <n v="-42"/>
    <x v="1"/>
    <m/>
    <m/>
    <m/>
    <m/>
    <n v="-42"/>
    <x v="1"/>
    <m/>
    <m/>
    <m/>
    <m/>
    <s v="-"/>
    <s v="-"/>
    <s v="-"/>
    <s v="-"/>
    <s v="-"/>
    <s v="Not Known"/>
    <s v="-"/>
    <s v="-"/>
    <s v="-"/>
    <s v="-"/>
    <s v="-"/>
    <x v="1"/>
    <x v="0"/>
    <s v="-"/>
    <s v="-"/>
    <s v="-"/>
    <s v="-"/>
    <s v="-"/>
    <s v="Not Known"/>
    <s v="-"/>
    <s v="-"/>
    <s v="-"/>
    <s v="-"/>
    <s v="-"/>
    <x v="0"/>
    <x v="0"/>
    <n v="2.0000003278255202E-3"/>
    <n v="53"/>
    <n v="95"/>
    <n v="-42"/>
    <x v="0"/>
    <x v="0"/>
    <m/>
    <x v="0"/>
    <m/>
    <x v="0"/>
    <m/>
    <x v="0"/>
    <x v="0"/>
    <x v="0"/>
    <x v="0"/>
    <m/>
    <n v="292"/>
    <n v="0"/>
    <n v="292"/>
    <x v="1"/>
    <m/>
  </r>
  <r>
    <x v="2"/>
    <x v="0"/>
    <x v="0"/>
    <x v="1"/>
    <n v="6516"/>
    <x v="603"/>
    <x v="15"/>
    <n v="3.20000015199184E-2"/>
    <n v="529436"/>
    <n v="171443"/>
    <m/>
    <x v="679"/>
    <s v="PF"/>
    <d v="2017-02-06T00:00:00"/>
    <x v="438"/>
    <s v="Y"/>
    <m/>
    <s v="Nil"/>
    <m/>
    <m/>
    <s v="Infill of undercroft space beneath the block to provide 3 self-contained flats (1 x 1-bedroom and 2 x 2-bedroom) with associated amenity space and the provision of three car parking spaces to the east of Shenstone House."/>
    <x v="655"/>
    <s v="NB"/>
    <x v="0"/>
    <s v="NSO"/>
    <m/>
    <m/>
    <m/>
    <m/>
    <s v="C"/>
    <s v="BF"/>
    <x v="0"/>
    <m/>
    <m/>
    <m/>
    <m/>
    <m/>
    <m/>
    <m/>
    <m/>
    <m/>
    <m/>
    <m/>
    <m/>
    <m/>
    <m/>
    <m/>
    <m/>
    <m/>
    <m/>
    <m/>
    <m/>
    <m/>
    <m/>
    <m/>
    <m/>
    <m/>
    <m/>
    <m/>
    <m/>
    <m/>
    <n v="124"/>
    <n v="124"/>
    <m/>
    <m/>
    <m/>
    <x v="0"/>
    <x v="1"/>
    <x v="1"/>
    <m/>
    <m/>
    <m/>
    <m/>
    <m/>
    <m/>
    <m/>
    <x v="0"/>
    <m/>
    <m/>
    <m/>
    <n v="-124"/>
    <n v="-124"/>
    <x v="1"/>
    <m/>
    <m/>
    <m/>
    <m/>
    <s v="-"/>
    <s v="-"/>
    <s v="-"/>
    <s v="-"/>
    <s v="-"/>
    <s v="-"/>
    <s v="-"/>
    <s v="-"/>
    <s v="-"/>
    <s v="-"/>
    <s v="-"/>
    <x v="1"/>
    <x v="0"/>
    <s v="-"/>
    <s v="-"/>
    <s v="-"/>
    <s v="-"/>
    <s v="-"/>
    <s v="-"/>
    <s v="-"/>
    <s v="-"/>
    <s v="-"/>
    <s v="Vacant"/>
    <s v="-"/>
    <x v="0"/>
    <x v="0"/>
    <n v="2.6000001467764339E-2"/>
    <n v="0"/>
    <n v="124"/>
    <n v="-124"/>
    <x v="0"/>
    <x v="0"/>
    <m/>
    <x v="0"/>
    <m/>
    <x v="0"/>
    <m/>
    <x v="0"/>
    <x v="0"/>
    <x v="0"/>
    <x v="0"/>
    <m/>
    <n v="174"/>
    <n v="0"/>
    <n v="174"/>
    <x v="1"/>
    <m/>
  </r>
  <r>
    <x v="3"/>
    <x v="0"/>
    <x v="0"/>
    <x v="1"/>
    <n v="6517"/>
    <x v="604"/>
    <x v="7"/>
    <n v="0.54000002145767201"/>
    <n v="525437"/>
    <n v="175256"/>
    <s v="3.3.1"/>
    <x v="680"/>
    <s v="PFLA"/>
    <d v="2017-01-09T00:00:00"/>
    <x v="26"/>
    <s v="Y"/>
    <d v="2017-06-22T00:00:00"/>
    <s v="Nil"/>
    <m/>
    <m/>
    <s v="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
    <x v="656"/>
    <s v="NB"/>
    <x v="0"/>
    <s v="UC"/>
    <m/>
    <d v="2018-01-10T00:00:00"/>
    <m/>
    <m/>
    <s v="C"/>
    <s v="BF"/>
    <x v="0"/>
    <m/>
    <d v="2018-01-10T00:00:00"/>
    <m/>
    <n v="107"/>
    <m/>
    <n v="194"/>
    <n v="87"/>
    <m/>
    <n v="388"/>
    <n v="108"/>
    <m/>
    <m/>
    <n v="108"/>
    <m/>
    <m/>
    <n v="108"/>
    <m/>
    <n v="422"/>
    <n v="422"/>
    <n v="23"/>
    <m/>
    <n v="23"/>
    <n v="21"/>
    <m/>
    <n v="67"/>
    <n v="1370"/>
    <m/>
    <m/>
    <m/>
    <m/>
    <n v="1370"/>
    <n v="104"/>
    <n v="275"/>
    <n v="379"/>
    <x v="1"/>
    <x v="1"/>
    <x v="0"/>
    <n v="84"/>
    <m/>
    <n v="171"/>
    <n v="66"/>
    <m/>
    <n v="321"/>
    <n v="-1262"/>
    <x v="1"/>
    <m/>
    <m/>
    <m/>
    <m/>
    <n v="-1262"/>
    <x v="1"/>
    <m/>
    <n v="-104"/>
    <n v="147"/>
    <n v="43"/>
    <s v="Not Known"/>
    <s v="-"/>
    <s v="Not Known"/>
    <s v="Not Known"/>
    <s v="-"/>
    <s v="Not Known"/>
    <s v="-"/>
    <s v="-"/>
    <s v="-"/>
    <s v="-"/>
    <s v="-"/>
    <x v="1"/>
    <x v="2"/>
    <s v="-"/>
    <s v="-"/>
    <s v="-"/>
    <s v="-"/>
    <s v="-"/>
    <s v="-"/>
    <s v="-"/>
    <s v="-"/>
    <s v="-"/>
    <s v="-"/>
    <s v="-"/>
    <x v="0"/>
    <x v="0"/>
    <n v="0.25640001893043468"/>
    <n v="918"/>
    <n v="1816"/>
    <n v="-898"/>
    <x v="1"/>
    <x v="0"/>
    <m/>
    <x v="0"/>
    <m/>
    <x v="0"/>
    <m/>
    <x v="0"/>
    <x v="0"/>
    <x v="0"/>
    <x v="0"/>
    <m/>
    <n v="13520"/>
    <n v="12748"/>
    <n v="772"/>
    <x v="1"/>
    <m/>
  </r>
  <r>
    <x v="2"/>
    <x v="0"/>
    <x v="0"/>
    <x v="1"/>
    <n v="6519"/>
    <x v="605"/>
    <x v="2"/>
    <n v="1.43999997526407E-2"/>
    <n v="528096"/>
    <n v="173420"/>
    <m/>
    <x v="681"/>
    <s v="PF"/>
    <d v="2017-03-09T00:00:00"/>
    <x v="439"/>
    <s v="Y"/>
    <m/>
    <s v="Nil"/>
    <m/>
    <m/>
    <s v="Alterations including enlargement of front lightwell, replace front door with a window and change of use from live / work unit (Sui Generis) to 1 x 3-bedroom flat (Class Use C3)."/>
    <x v="657"/>
    <s v="COU"/>
    <x v="2"/>
    <s v="NSO"/>
    <m/>
    <m/>
    <m/>
    <m/>
    <s v="C"/>
    <s v="BF"/>
    <x v="0"/>
    <m/>
    <m/>
    <m/>
    <m/>
    <m/>
    <m/>
    <m/>
    <m/>
    <m/>
    <m/>
    <m/>
    <m/>
    <m/>
    <m/>
    <m/>
    <m/>
    <m/>
    <m/>
    <m/>
    <m/>
    <m/>
    <m/>
    <m/>
    <m/>
    <m/>
    <m/>
    <m/>
    <m/>
    <m/>
    <m/>
    <m/>
    <m/>
    <m/>
    <m/>
    <x v="0"/>
    <x v="0"/>
    <x v="1"/>
    <m/>
    <m/>
    <m/>
    <m/>
    <m/>
    <m/>
    <m/>
    <x v="0"/>
    <m/>
    <m/>
    <m/>
    <m/>
    <m/>
    <x v="0"/>
    <m/>
    <m/>
    <m/>
    <m/>
    <s v="-"/>
    <s v="-"/>
    <s v="-"/>
    <s v="-"/>
    <s v="-"/>
    <s v="-"/>
    <s v="-"/>
    <s v="-"/>
    <s v="-"/>
    <s v="-"/>
    <s v="-"/>
    <x v="1"/>
    <x v="0"/>
    <s v="-"/>
    <s v="-"/>
    <s v="-"/>
    <s v="-"/>
    <s v="-"/>
    <s v="-"/>
    <s v="-"/>
    <s v="-"/>
    <s v="-"/>
    <s v="-"/>
    <s v="-"/>
    <x v="0"/>
    <x v="0"/>
    <n v="0"/>
    <n v="0"/>
    <n v="144"/>
    <n v="-144"/>
    <x v="0"/>
    <x v="0"/>
    <m/>
    <x v="0"/>
    <m/>
    <x v="0"/>
    <m/>
    <x v="0"/>
    <x v="0"/>
    <x v="0"/>
    <x v="0"/>
    <m/>
    <n v="144"/>
    <n v="0"/>
    <n v="144"/>
    <x v="1"/>
    <m/>
  </r>
  <r>
    <x v="2"/>
    <x v="0"/>
    <x v="0"/>
    <x v="1"/>
    <n v="6523"/>
    <x v="606"/>
    <x v="11"/>
    <n v="6.7400000989437103E-2"/>
    <n v="528682"/>
    <n v="173943"/>
    <m/>
    <x v="682"/>
    <s v="PF"/>
    <d v="2017-03-16T00:00:00"/>
    <x v="83"/>
    <s v="Y"/>
    <m/>
    <s v="Nil"/>
    <m/>
    <m/>
    <s v="Demolition of existing 2-storey building and erection of 2 x 2-bedroom three-storey houses."/>
    <x v="658"/>
    <s v="NB"/>
    <x v="0"/>
    <s v="NSO"/>
    <m/>
    <m/>
    <m/>
    <m/>
    <s v="C"/>
    <s v="BF"/>
    <x v="0"/>
    <m/>
    <m/>
    <m/>
    <m/>
    <m/>
    <m/>
    <m/>
    <m/>
    <m/>
    <m/>
    <m/>
    <m/>
    <m/>
    <m/>
    <m/>
    <m/>
    <m/>
    <m/>
    <m/>
    <m/>
    <m/>
    <m/>
    <m/>
    <m/>
    <m/>
    <n v="154"/>
    <m/>
    <m/>
    <m/>
    <m/>
    <n v="154"/>
    <m/>
    <m/>
    <m/>
    <x v="0"/>
    <x v="1"/>
    <x v="1"/>
    <m/>
    <m/>
    <m/>
    <m/>
    <m/>
    <m/>
    <n v="-154"/>
    <x v="1"/>
    <m/>
    <m/>
    <m/>
    <m/>
    <n v="-154"/>
    <x v="1"/>
    <m/>
    <m/>
    <m/>
    <m/>
    <s v="-"/>
    <s v="-"/>
    <s v="-"/>
    <s v="-"/>
    <s v="-"/>
    <s v="-"/>
    <s v="-"/>
    <s v="-"/>
    <s v="-"/>
    <s v="-"/>
    <s v="-"/>
    <x v="1"/>
    <x v="0"/>
    <s v="-"/>
    <s v="-"/>
    <s v="-"/>
    <s v="-"/>
    <s v="-"/>
    <s v="Other"/>
    <s v="-"/>
    <s v="-"/>
    <s v="-"/>
    <s v="-"/>
    <s v="-"/>
    <x v="0"/>
    <x v="0"/>
    <n v="0"/>
    <n v="0"/>
    <n v="154"/>
    <n v="-154"/>
    <x v="0"/>
    <x v="0"/>
    <m/>
    <x v="0"/>
    <m/>
    <x v="0"/>
    <m/>
    <x v="0"/>
    <x v="0"/>
    <x v="0"/>
    <x v="0"/>
    <m/>
    <n v="224"/>
    <n v="0"/>
    <n v="224"/>
    <x v="1"/>
    <m/>
  </r>
  <r>
    <x v="1"/>
    <x v="0"/>
    <x v="0"/>
    <x v="1"/>
    <n v="6526"/>
    <x v="607"/>
    <x v="12"/>
    <n v="7.9000003635883304E-2"/>
    <n v="525688"/>
    <n v="174300"/>
    <m/>
    <x v="683"/>
    <s v="AF"/>
    <d v="2017-03-15T00:00:00"/>
    <x v="1"/>
    <m/>
    <m/>
    <s v="Nil"/>
    <m/>
    <m/>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x v="659"/>
    <s v="NB"/>
    <x v="0"/>
    <s v="NSO"/>
    <m/>
    <m/>
    <m/>
    <m/>
    <s v="P"/>
    <s v="BF"/>
    <x v="0"/>
    <m/>
    <m/>
    <m/>
    <m/>
    <m/>
    <n v="31"/>
    <m/>
    <m/>
    <n v="31"/>
    <m/>
    <m/>
    <m/>
    <m/>
    <m/>
    <m/>
    <m/>
    <m/>
    <m/>
    <m/>
    <m/>
    <m/>
    <m/>
    <m/>
    <m/>
    <m/>
    <m/>
    <m/>
    <m/>
    <m/>
    <m/>
    <m/>
    <m/>
    <m/>
    <m/>
    <x v="1"/>
    <x v="0"/>
    <x v="1"/>
    <m/>
    <m/>
    <n v="31"/>
    <m/>
    <m/>
    <n v="31"/>
    <m/>
    <x v="0"/>
    <m/>
    <m/>
    <m/>
    <m/>
    <m/>
    <x v="0"/>
    <m/>
    <m/>
    <m/>
    <m/>
    <s v="-"/>
    <s v="-"/>
    <s v="Café"/>
    <s v="-"/>
    <s v="-"/>
    <s v="-"/>
    <s v="-"/>
    <s v="-"/>
    <s v="-"/>
    <s v="-"/>
    <s v="-"/>
    <x v="1"/>
    <x v="0"/>
    <s v="-"/>
    <s v="-"/>
    <s v="-"/>
    <s v="-"/>
    <s v="-"/>
    <s v="-"/>
    <s v="-"/>
    <s v="-"/>
    <s v="-"/>
    <s v="-"/>
    <s v="-"/>
    <x v="0"/>
    <x v="0"/>
    <n v="7.9000003635883304E-2"/>
    <n v="31"/>
    <n v="0"/>
    <n v="31"/>
    <x v="0"/>
    <x v="0"/>
    <m/>
    <x v="0"/>
    <m/>
    <x v="0"/>
    <m/>
    <x v="0"/>
    <x v="1"/>
    <x v="4"/>
    <x v="0"/>
    <m/>
    <n v="1809"/>
    <n v="0"/>
    <n v="1809"/>
    <x v="1"/>
    <m/>
  </r>
  <r>
    <x v="2"/>
    <x v="0"/>
    <x v="0"/>
    <x v="1"/>
    <n v="6531"/>
    <x v="608"/>
    <x v="11"/>
    <n v="1.60000007599592E-2"/>
    <n v="528465"/>
    <n v="174118"/>
    <m/>
    <x v="684"/>
    <s v="PF"/>
    <d v="2017-03-13T00:00:00"/>
    <x v="78"/>
    <s v="Y"/>
    <m/>
    <s v="Nil"/>
    <m/>
    <m/>
    <s v="Change of use from a House of Multiple Occupation (Class C4) to a larger House of Multiple Occupation (Sui Generis) by allowing an additional bedroom to be used."/>
    <x v="660"/>
    <s v="CON"/>
    <x v="2"/>
    <s v="NSO"/>
    <m/>
    <m/>
    <m/>
    <m/>
    <s v="C"/>
    <s v="BF"/>
    <x v="0"/>
    <m/>
    <m/>
    <m/>
    <m/>
    <m/>
    <m/>
    <m/>
    <m/>
    <m/>
    <m/>
    <m/>
    <m/>
    <m/>
    <m/>
    <m/>
    <m/>
    <m/>
    <m/>
    <m/>
    <m/>
    <m/>
    <m/>
    <m/>
    <m/>
    <m/>
    <m/>
    <m/>
    <m/>
    <m/>
    <m/>
    <m/>
    <m/>
    <m/>
    <m/>
    <x v="0"/>
    <x v="0"/>
    <x v="1"/>
    <m/>
    <m/>
    <m/>
    <m/>
    <m/>
    <m/>
    <m/>
    <x v="0"/>
    <m/>
    <m/>
    <m/>
    <m/>
    <m/>
    <x v="0"/>
    <m/>
    <m/>
    <m/>
    <m/>
    <s v="-"/>
    <s v="-"/>
    <s v="-"/>
    <s v="-"/>
    <s v="-"/>
    <s v="-"/>
    <s v="-"/>
    <s v="-"/>
    <s v="-"/>
    <s v="-"/>
    <s v="-"/>
    <x v="1"/>
    <x v="0"/>
    <s v="-"/>
    <s v="-"/>
    <s v="-"/>
    <s v="-"/>
    <s v="-"/>
    <s v="-"/>
    <s v="-"/>
    <s v="-"/>
    <s v="-"/>
    <s v="-"/>
    <s v="-"/>
    <x v="0"/>
    <x v="0"/>
    <n v="1.60000007599592E-2"/>
    <n v="294"/>
    <n v="0"/>
    <n v="294"/>
    <x v="0"/>
    <x v="0"/>
    <m/>
    <x v="0"/>
    <m/>
    <x v="0"/>
    <m/>
    <x v="0"/>
    <x v="0"/>
    <x v="0"/>
    <x v="0"/>
    <m/>
    <n v="0"/>
    <n v="0"/>
    <n v="0"/>
    <x v="0"/>
    <m/>
  </r>
  <r>
    <x v="0"/>
    <x v="0"/>
    <x v="0"/>
    <x v="0"/>
    <n v="6534"/>
    <x v="609"/>
    <x v="9"/>
    <n v="1.4000000432133701E-2"/>
    <n v="527504"/>
    <n v="176102"/>
    <m/>
    <x v="685"/>
    <s v="PF"/>
    <d v="2017-03-13T00:00:00"/>
    <x v="440"/>
    <s v="Y"/>
    <m/>
    <s v="Nil"/>
    <m/>
    <m/>
    <s v="Change of use from general industry/storage (Class B2/B8) to a gymnasium (Class D2)."/>
    <x v="661"/>
    <s v="COU"/>
    <x v="2"/>
    <s v="OC"/>
    <m/>
    <d v="2017-05-08T00:00:00"/>
    <d v="2018-03-31T00:00:00"/>
    <d v="2018-03-31T00:00:00"/>
    <s v="C"/>
    <s v="BF"/>
    <x v="0"/>
    <m/>
    <d v="2017-05-08T00:00:00"/>
    <d v="2018-03-31T00:00:00"/>
    <m/>
    <m/>
    <m/>
    <m/>
    <m/>
    <m/>
    <m/>
    <m/>
    <m/>
    <m/>
    <m/>
    <m/>
    <m/>
    <m/>
    <n v="93"/>
    <n v="93"/>
    <m/>
    <m/>
    <m/>
    <m/>
    <m/>
    <m/>
    <n v="93"/>
    <m/>
    <m/>
    <m/>
    <m/>
    <n v="93"/>
    <m/>
    <m/>
    <m/>
    <x v="0"/>
    <x v="1"/>
    <x v="0"/>
    <m/>
    <m/>
    <m/>
    <m/>
    <m/>
    <m/>
    <n v="-93"/>
    <x v="1"/>
    <m/>
    <m/>
    <m/>
    <m/>
    <n v="-93"/>
    <x v="1"/>
    <m/>
    <m/>
    <n v="93"/>
    <n v="93"/>
    <s v="-"/>
    <s v="-"/>
    <s v="-"/>
    <s v="-"/>
    <s v="-"/>
    <s v="-"/>
    <s v="-"/>
    <s v="-"/>
    <s v="-"/>
    <s v="-"/>
    <s v="-"/>
    <x v="1"/>
    <x v="1"/>
    <s v="-"/>
    <s v="-"/>
    <s v="-"/>
    <s v="-"/>
    <s v="-"/>
    <s v="Other"/>
    <s v="-"/>
    <s v="-"/>
    <s v="-"/>
    <s v="-"/>
    <s v="-"/>
    <x v="0"/>
    <x v="0"/>
    <n v="1.4000000432133701E-2"/>
    <n v="93"/>
    <n v="93"/>
    <n v="0"/>
    <x v="0"/>
    <x v="0"/>
    <m/>
    <x v="0"/>
    <m/>
    <x v="0"/>
    <m/>
    <x v="0"/>
    <x v="0"/>
    <x v="0"/>
    <x v="0"/>
    <m/>
    <n v="0"/>
    <n v="0"/>
    <n v="0"/>
    <x v="0"/>
    <m/>
  </r>
  <r>
    <x v="2"/>
    <x v="0"/>
    <x v="0"/>
    <x v="1"/>
    <n v="6535"/>
    <x v="610"/>
    <x v="7"/>
    <n v="2.4000000208616298E-2"/>
    <n v="523949"/>
    <n v="175565"/>
    <m/>
    <x v="686"/>
    <s v="PF"/>
    <d v="2016-12-16T00:00:00"/>
    <x v="401"/>
    <s v="Y"/>
    <m/>
    <s v="Nil"/>
    <m/>
    <m/>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x v="662"/>
    <s v="EXT"/>
    <x v="1"/>
    <s v="NSO"/>
    <m/>
    <m/>
    <m/>
    <m/>
    <s v="C"/>
    <s v="BF"/>
    <x v="0"/>
    <m/>
    <m/>
    <m/>
    <m/>
    <m/>
    <m/>
    <m/>
    <m/>
    <m/>
    <m/>
    <m/>
    <m/>
    <m/>
    <m/>
    <m/>
    <m/>
    <n v="738"/>
    <m/>
    <n v="738"/>
    <m/>
    <m/>
    <m/>
    <m/>
    <m/>
    <m/>
    <m/>
    <m/>
    <m/>
    <m/>
    <m/>
    <m/>
    <n v="231"/>
    <m/>
    <n v="231"/>
    <x v="0"/>
    <x v="0"/>
    <x v="0"/>
    <m/>
    <m/>
    <m/>
    <m/>
    <m/>
    <m/>
    <m/>
    <x v="0"/>
    <m/>
    <m/>
    <m/>
    <m/>
    <m/>
    <x v="0"/>
    <m/>
    <n v="507"/>
    <m/>
    <n v="507"/>
    <s v="-"/>
    <s v="-"/>
    <s v="-"/>
    <s v="-"/>
    <s v="-"/>
    <s v="-"/>
    <s v="-"/>
    <s v="-"/>
    <s v="-"/>
    <s v="-"/>
    <s v="-"/>
    <x v="2"/>
    <x v="0"/>
    <s v="-"/>
    <s v="-"/>
    <s v="-"/>
    <s v="-"/>
    <s v="-"/>
    <s v="-"/>
    <s v="-"/>
    <s v="-"/>
    <s v="-"/>
    <s v="-"/>
    <s v="-"/>
    <x v="2"/>
    <x v="0"/>
    <n v="1.5999999828636688E-2"/>
    <n v="738"/>
    <n v="231"/>
    <n v="507"/>
    <x v="0"/>
    <x v="0"/>
    <m/>
    <x v="0"/>
    <m/>
    <x v="0"/>
    <m/>
    <x v="0"/>
    <x v="0"/>
    <x v="0"/>
    <x v="0"/>
    <m/>
    <n v="0"/>
    <n v="86"/>
    <n v="-86"/>
    <x v="0"/>
    <m/>
  </r>
  <r>
    <x v="0"/>
    <x v="0"/>
    <x v="0"/>
    <x v="0"/>
    <n v="6541"/>
    <x v="611"/>
    <x v="11"/>
    <n v="2.0999999716877899E-2"/>
    <n v="528552"/>
    <n v="173321"/>
    <m/>
    <x v="687"/>
    <s v="PF"/>
    <d v="2017-03-07T00:00:00"/>
    <x v="147"/>
    <s v="Y"/>
    <m/>
    <s v="Nil"/>
    <m/>
    <m/>
    <s v="Change of use from office (Class B1) to non-residential institutions (Class D1) physiotherapists."/>
    <x v="663"/>
    <s v="COU"/>
    <x v="2"/>
    <s v="OC"/>
    <m/>
    <d v="2017-06-30T00:00:00"/>
    <d v="2018-03-31T00:00:00"/>
    <d v="2018-03-31T00:00:00"/>
    <s v="C"/>
    <s v="BF"/>
    <x v="0"/>
    <m/>
    <d v="2017-06-30T00:00:00"/>
    <d v="2018-03-31T00:00:00"/>
    <m/>
    <m/>
    <m/>
    <m/>
    <m/>
    <m/>
    <m/>
    <m/>
    <m/>
    <m/>
    <m/>
    <m/>
    <m/>
    <n v="78"/>
    <m/>
    <n v="78"/>
    <m/>
    <m/>
    <m/>
    <m/>
    <m/>
    <m/>
    <n v="78"/>
    <m/>
    <m/>
    <m/>
    <m/>
    <n v="78"/>
    <m/>
    <m/>
    <m/>
    <x v="0"/>
    <x v="1"/>
    <x v="0"/>
    <m/>
    <m/>
    <m/>
    <m/>
    <m/>
    <m/>
    <n v="-78"/>
    <x v="1"/>
    <m/>
    <m/>
    <m/>
    <m/>
    <n v="-78"/>
    <x v="1"/>
    <m/>
    <n v="78"/>
    <m/>
    <n v="78"/>
    <s v="-"/>
    <s v="-"/>
    <s v="-"/>
    <s v="-"/>
    <s v="-"/>
    <s v="-"/>
    <s v="-"/>
    <s v="-"/>
    <s v="-"/>
    <s v="-"/>
    <s v="-"/>
    <x v="2"/>
    <x v="0"/>
    <s v="-"/>
    <s v="-"/>
    <s v="-"/>
    <s v="-"/>
    <s v="-"/>
    <s v="Vacant"/>
    <s v="-"/>
    <s v="-"/>
    <s v="-"/>
    <s v="-"/>
    <s v="-"/>
    <x v="0"/>
    <x v="0"/>
    <n v="2.0999999716877899E-2"/>
    <n v="78"/>
    <n v="78"/>
    <n v="0"/>
    <x v="0"/>
    <x v="0"/>
    <m/>
    <x v="0"/>
    <m/>
    <x v="0"/>
    <m/>
    <x v="0"/>
    <x v="1"/>
    <x v="5"/>
    <x v="0"/>
    <m/>
    <n v="0"/>
    <n v="0"/>
    <n v="0"/>
    <x v="0"/>
    <m/>
  </r>
  <r>
    <x v="2"/>
    <x v="0"/>
    <x v="0"/>
    <x v="1"/>
    <n v="6545"/>
    <x v="612"/>
    <x v="14"/>
    <n v="9.9999997764825804E-3"/>
    <n v="527162"/>
    <n v="171611"/>
    <m/>
    <x v="688"/>
    <s v="PF"/>
    <d v="2017-02-14T00:00:00"/>
    <x v="137"/>
    <s v="Y"/>
    <m/>
    <s v="Nil"/>
    <m/>
    <m/>
    <s v="Installation of replacement shopfront (with bi-fold doors) and erection of 1.3m high boundary screening in connection with the use of the area to the front for outdoor seating (hours of use 8am to 6pm).  Alterations in connection with change of use from retail (Class A1) to cafe (Class A3)."/>
    <x v="664"/>
    <s v="COU"/>
    <x v="2"/>
    <s v="NSO"/>
    <m/>
    <m/>
    <m/>
    <m/>
    <s v="C"/>
    <s v="BF"/>
    <x v="0"/>
    <m/>
    <m/>
    <m/>
    <m/>
    <m/>
    <n v="92"/>
    <m/>
    <m/>
    <n v="92"/>
    <m/>
    <m/>
    <m/>
    <m/>
    <m/>
    <m/>
    <m/>
    <m/>
    <m/>
    <m/>
    <n v="92"/>
    <m/>
    <m/>
    <m/>
    <m/>
    <n v="92"/>
    <m/>
    <m/>
    <m/>
    <m/>
    <m/>
    <m/>
    <m/>
    <m/>
    <m/>
    <x v="1"/>
    <x v="0"/>
    <x v="1"/>
    <n v="-92"/>
    <m/>
    <n v="92"/>
    <m/>
    <m/>
    <m/>
    <m/>
    <x v="0"/>
    <m/>
    <m/>
    <m/>
    <m/>
    <m/>
    <x v="0"/>
    <m/>
    <m/>
    <m/>
    <m/>
    <s v="-"/>
    <s v="-"/>
    <s v="Café"/>
    <s v="-"/>
    <s v="-"/>
    <s v="-"/>
    <s v="-"/>
    <s v="-"/>
    <s v="-"/>
    <s v="-"/>
    <s v="-"/>
    <x v="1"/>
    <x v="0"/>
    <s v="Vacant"/>
    <s v="-"/>
    <s v="-"/>
    <s v="-"/>
    <s v="-"/>
    <s v="-"/>
    <s v="-"/>
    <s v="-"/>
    <s v="-"/>
    <s v="-"/>
    <s v="-"/>
    <x v="0"/>
    <x v="0"/>
    <n v="9.9999997764825804E-3"/>
    <n v="92"/>
    <n v="92"/>
    <n v="0"/>
    <x v="0"/>
    <x v="0"/>
    <m/>
    <x v="0"/>
    <m/>
    <x v="0"/>
    <m/>
    <x v="0"/>
    <x v="0"/>
    <x v="0"/>
    <x v="0"/>
    <m/>
    <n v="0"/>
    <n v="0"/>
    <n v="0"/>
    <x v="0"/>
    <m/>
  </r>
  <r>
    <x v="2"/>
    <x v="2"/>
    <x v="2"/>
    <x v="1"/>
    <n v="6545"/>
    <x v="612"/>
    <x v="14"/>
    <n v="9.9999997764825804E-3"/>
    <n v="527162"/>
    <n v="171611"/>
    <m/>
    <x v="689"/>
    <s v="PANR"/>
    <d v="2017-06-12T00:00:00"/>
    <x v="172"/>
    <s v="Y"/>
    <m/>
    <s v="Nil"/>
    <m/>
    <m/>
    <s v="Determination as to whether prior approval is required for change of use from retail (Class A1) to residential (Class C3)."/>
    <x v="665"/>
    <s v="COU"/>
    <x v="2"/>
    <s v="NSO"/>
    <m/>
    <m/>
    <m/>
    <m/>
    <s v="C"/>
    <s v="BF"/>
    <x v="0"/>
    <m/>
    <m/>
    <m/>
    <m/>
    <m/>
    <m/>
    <m/>
    <m/>
    <m/>
    <m/>
    <m/>
    <m/>
    <m/>
    <m/>
    <m/>
    <m/>
    <m/>
    <m/>
    <m/>
    <n v="55"/>
    <m/>
    <m/>
    <m/>
    <m/>
    <n v="55"/>
    <m/>
    <m/>
    <m/>
    <m/>
    <m/>
    <m/>
    <m/>
    <m/>
    <m/>
    <x v="1"/>
    <x v="0"/>
    <x v="1"/>
    <n v="-55"/>
    <m/>
    <m/>
    <m/>
    <m/>
    <n v="-55"/>
    <m/>
    <x v="0"/>
    <m/>
    <m/>
    <m/>
    <m/>
    <m/>
    <x v="0"/>
    <m/>
    <m/>
    <m/>
    <m/>
    <s v="-"/>
    <s v="-"/>
    <s v="-"/>
    <s v="-"/>
    <s v="-"/>
    <s v="-"/>
    <s v="-"/>
    <s v="-"/>
    <s v="-"/>
    <s v="-"/>
    <s v="-"/>
    <x v="1"/>
    <x v="0"/>
    <s v="Not Known"/>
    <s v="-"/>
    <s v="-"/>
    <s v="-"/>
    <s v="-"/>
    <s v="-"/>
    <s v="-"/>
    <s v="-"/>
    <s v="-"/>
    <s v="-"/>
    <s v="-"/>
    <x v="0"/>
    <x v="0"/>
    <n v="0"/>
    <n v="0"/>
    <n v="55"/>
    <n v="-55"/>
    <x v="0"/>
    <x v="0"/>
    <m/>
    <x v="0"/>
    <m/>
    <x v="0"/>
    <m/>
    <x v="0"/>
    <x v="0"/>
    <x v="0"/>
    <x v="0"/>
    <m/>
    <n v="55"/>
    <n v="0"/>
    <n v="55"/>
    <x v="1"/>
    <m/>
  </r>
  <r>
    <x v="2"/>
    <x v="0"/>
    <x v="0"/>
    <x v="1"/>
    <n v="6546"/>
    <x v="613"/>
    <x v="11"/>
    <n v="8.9999996125698107E-3"/>
    <n v="528616"/>
    <n v="173397"/>
    <m/>
    <x v="690"/>
    <s v="PF"/>
    <d v="2017-02-13T00:00:00"/>
    <x v="441"/>
    <s v="Y"/>
    <m/>
    <s v="Nil"/>
    <m/>
    <m/>
    <s v="Alterations in connection with change of use from storage and distribution (Class B8) to fitness studio (Class D2)."/>
    <x v="666"/>
    <s v="COU"/>
    <x v="2"/>
    <s v="NSV"/>
    <m/>
    <m/>
    <m/>
    <m/>
    <s v="C"/>
    <s v="BF"/>
    <x v="0"/>
    <m/>
    <m/>
    <m/>
    <m/>
    <m/>
    <m/>
    <m/>
    <m/>
    <m/>
    <m/>
    <m/>
    <m/>
    <m/>
    <m/>
    <m/>
    <m/>
    <m/>
    <n v="164"/>
    <n v="164"/>
    <m/>
    <m/>
    <m/>
    <m/>
    <m/>
    <m/>
    <m/>
    <m/>
    <m/>
    <m/>
    <n v="164"/>
    <n v="164"/>
    <m/>
    <m/>
    <m/>
    <x v="0"/>
    <x v="1"/>
    <x v="0"/>
    <m/>
    <m/>
    <m/>
    <m/>
    <m/>
    <m/>
    <m/>
    <x v="0"/>
    <m/>
    <m/>
    <m/>
    <n v="-164"/>
    <n v="-164"/>
    <x v="1"/>
    <m/>
    <m/>
    <n v="164"/>
    <n v="164"/>
    <s v="-"/>
    <s v="-"/>
    <s v="-"/>
    <s v="-"/>
    <s v="-"/>
    <s v="-"/>
    <s v="-"/>
    <s v="-"/>
    <s v="-"/>
    <s v="-"/>
    <s v="-"/>
    <x v="1"/>
    <x v="2"/>
    <s v="-"/>
    <s v="-"/>
    <s v="-"/>
    <s v="-"/>
    <s v="-"/>
    <s v="-"/>
    <s v="-"/>
    <s v="-"/>
    <s v="-"/>
    <s v="Storage"/>
    <s v="-"/>
    <x v="0"/>
    <x v="0"/>
    <n v="8.9999996125698107E-3"/>
    <n v="164"/>
    <n v="164"/>
    <n v="0"/>
    <x v="0"/>
    <x v="0"/>
    <m/>
    <x v="0"/>
    <m/>
    <x v="0"/>
    <m/>
    <x v="0"/>
    <x v="1"/>
    <x v="5"/>
    <x v="0"/>
    <m/>
    <n v="0"/>
    <n v="0"/>
    <n v="0"/>
    <x v="0"/>
    <m/>
  </r>
  <r>
    <x v="0"/>
    <x v="3"/>
    <x v="3"/>
    <x v="0"/>
    <n v="6547"/>
    <x v="614"/>
    <x v="12"/>
    <n v="1.09999999403954E-2"/>
    <n v="525331"/>
    <n v="172796"/>
    <m/>
    <x v="691"/>
    <s v="LDC Prop"/>
    <d v="2017-02-09T00:00:00"/>
    <x v="89"/>
    <s v="Y"/>
    <m/>
    <s v="Nil"/>
    <m/>
    <m/>
    <s v="Continue use as a 1 bedroom flat."/>
    <x v="667"/>
    <s v="COU"/>
    <x v="2"/>
    <s v="OC"/>
    <m/>
    <d v="2017-04-06T00:00:00"/>
    <d v="2017-04-06T00:00:00"/>
    <d v="2017-04-06T00:00:00"/>
    <s v="C"/>
    <s v="BF"/>
    <x v="0"/>
    <m/>
    <d v="2017-04-06T00:00:00"/>
    <d v="2017-04-06T00:00:00"/>
    <m/>
    <m/>
    <m/>
    <m/>
    <m/>
    <m/>
    <m/>
    <m/>
    <m/>
    <m/>
    <m/>
    <m/>
    <m/>
    <m/>
    <m/>
    <m/>
    <n v="44"/>
    <m/>
    <m/>
    <m/>
    <m/>
    <n v="44"/>
    <m/>
    <m/>
    <m/>
    <m/>
    <m/>
    <m/>
    <m/>
    <m/>
    <m/>
    <x v="1"/>
    <x v="0"/>
    <x v="1"/>
    <n v="-44"/>
    <m/>
    <m/>
    <m/>
    <m/>
    <n v="-44"/>
    <m/>
    <x v="0"/>
    <m/>
    <m/>
    <m/>
    <m/>
    <m/>
    <x v="0"/>
    <m/>
    <m/>
    <m/>
    <m/>
    <s v="-"/>
    <s v="-"/>
    <s v="-"/>
    <s v="-"/>
    <s v="-"/>
    <s v="-"/>
    <s v="-"/>
    <s v="-"/>
    <s v="-"/>
    <s v="-"/>
    <s v="-"/>
    <x v="1"/>
    <x v="0"/>
    <s v="Services"/>
    <s v="-"/>
    <s v="-"/>
    <s v="-"/>
    <s v="-"/>
    <s v="-"/>
    <s v="-"/>
    <s v="-"/>
    <s v="-"/>
    <s v="-"/>
    <s v="-"/>
    <x v="0"/>
    <x v="0"/>
    <n v="6.9999997504055899E-3"/>
    <n v="0"/>
    <n v="44"/>
    <n v="-44"/>
    <x v="0"/>
    <x v="0"/>
    <m/>
    <x v="0"/>
    <m/>
    <x v="0"/>
    <m/>
    <x v="0"/>
    <x v="0"/>
    <x v="0"/>
    <x v="0"/>
    <m/>
    <n v="44"/>
    <n v="0"/>
    <n v="44"/>
    <x v="1"/>
    <m/>
  </r>
  <r>
    <x v="1"/>
    <x v="0"/>
    <x v="0"/>
    <x v="1"/>
    <n v="6549"/>
    <x v="615"/>
    <x v="2"/>
    <n v="4.0000001899898104E-3"/>
    <n v="528038"/>
    <n v="172781"/>
    <m/>
    <x v="692"/>
    <s v="AF"/>
    <d v="2018-03-07T00:00:00"/>
    <x v="1"/>
    <m/>
    <m/>
    <s v="Nil"/>
    <m/>
    <m/>
    <s v="Demolition of existing vehicle garage and erection of a two-storey storage building (Class B8)."/>
    <x v="668"/>
    <s v="NB"/>
    <x v="0"/>
    <s v="NSO"/>
    <m/>
    <m/>
    <m/>
    <m/>
    <s v="P"/>
    <s v="BF"/>
    <x v="0"/>
    <m/>
    <m/>
    <m/>
    <m/>
    <m/>
    <m/>
    <m/>
    <m/>
    <m/>
    <m/>
    <m/>
    <m/>
    <m/>
    <m/>
    <n v="40"/>
    <n v="40"/>
    <m/>
    <m/>
    <m/>
    <m/>
    <m/>
    <m/>
    <m/>
    <m/>
    <m/>
    <m/>
    <m/>
    <m/>
    <m/>
    <n v="16"/>
    <n v="16"/>
    <m/>
    <m/>
    <m/>
    <x v="0"/>
    <x v="1"/>
    <x v="1"/>
    <m/>
    <m/>
    <m/>
    <m/>
    <m/>
    <m/>
    <m/>
    <x v="0"/>
    <m/>
    <m/>
    <m/>
    <n v="24"/>
    <n v="24"/>
    <x v="0"/>
    <m/>
    <m/>
    <m/>
    <m/>
    <s v="-"/>
    <s v="-"/>
    <s v="-"/>
    <s v="-"/>
    <s v="-"/>
    <s v="-"/>
    <s v="-"/>
    <s v="-"/>
    <s v="-"/>
    <s v="Storage"/>
    <s v="-"/>
    <x v="1"/>
    <x v="0"/>
    <s v="-"/>
    <s v="-"/>
    <s v="-"/>
    <s v="-"/>
    <s v="-"/>
    <s v="-"/>
    <s v="-"/>
    <s v="-"/>
    <s v="-"/>
    <s v="Vacant"/>
    <s v="-"/>
    <x v="0"/>
    <x v="0"/>
    <n v="4.0000001899898104E-3"/>
    <n v="40"/>
    <n v="16"/>
    <n v="24"/>
    <x v="0"/>
    <x v="0"/>
    <m/>
    <x v="0"/>
    <m/>
    <x v="0"/>
    <m/>
    <x v="0"/>
    <x v="0"/>
    <x v="0"/>
    <x v="0"/>
    <m/>
    <n v="0"/>
    <n v="0"/>
    <n v="0"/>
    <x v="0"/>
    <m/>
  </r>
  <r>
    <x v="2"/>
    <x v="0"/>
    <x v="0"/>
    <x v="1"/>
    <n v="6550"/>
    <x v="616"/>
    <x v="7"/>
    <n v="1.9999999552965199E-2"/>
    <n v="523831"/>
    <n v="175830"/>
    <m/>
    <x v="693"/>
    <s v="PF"/>
    <d v="2016-12-28T00:00:00"/>
    <x v="401"/>
    <s v="Y"/>
    <m/>
    <s v="Nil"/>
    <m/>
    <m/>
    <s v="Alterations including erection of roof extension to provide additional B1(a) office floorspace; alterations to front and side elevations; provision of a rear roof terrace; and alterations to the front boundary treatment, refuse arrangements and access."/>
    <x v="669"/>
    <s v="EXT"/>
    <x v="1"/>
    <s v="NSO"/>
    <m/>
    <m/>
    <m/>
    <m/>
    <s v="C"/>
    <s v="BF"/>
    <x v="0"/>
    <m/>
    <m/>
    <m/>
    <m/>
    <m/>
    <m/>
    <m/>
    <m/>
    <m/>
    <n v="91"/>
    <m/>
    <m/>
    <n v="91"/>
    <m/>
    <m/>
    <n v="91"/>
    <m/>
    <m/>
    <m/>
    <m/>
    <m/>
    <m/>
    <m/>
    <m/>
    <m/>
    <m/>
    <m/>
    <m/>
    <m/>
    <m/>
    <m/>
    <m/>
    <m/>
    <m/>
    <x v="0"/>
    <x v="1"/>
    <x v="1"/>
    <m/>
    <m/>
    <m/>
    <m/>
    <m/>
    <m/>
    <n v="91"/>
    <x v="0"/>
    <m/>
    <m/>
    <m/>
    <m/>
    <n v="91"/>
    <x v="0"/>
    <m/>
    <m/>
    <m/>
    <m/>
    <s v="-"/>
    <s v="-"/>
    <s v="-"/>
    <s v="-"/>
    <s v="-"/>
    <s v="Not Known"/>
    <s v="-"/>
    <s v="-"/>
    <s v="-"/>
    <s v="-"/>
    <s v="-"/>
    <x v="1"/>
    <x v="0"/>
    <s v="-"/>
    <s v="-"/>
    <s v="-"/>
    <s v="-"/>
    <s v="-"/>
    <s v="-"/>
    <s v="-"/>
    <s v="-"/>
    <s v="-"/>
    <s v="-"/>
    <s v="-"/>
    <x v="0"/>
    <x v="0"/>
    <n v="1.9999999552965199E-2"/>
    <n v="91"/>
    <n v="0"/>
    <n v="91"/>
    <x v="1"/>
    <x v="0"/>
    <m/>
    <x v="0"/>
    <m/>
    <x v="0"/>
    <m/>
    <x v="0"/>
    <x v="0"/>
    <x v="0"/>
    <x v="0"/>
    <m/>
    <n v="0"/>
    <n v="0"/>
    <n v="0"/>
    <x v="0"/>
    <m/>
  </r>
  <r>
    <x v="3"/>
    <x v="0"/>
    <x v="0"/>
    <x v="1"/>
    <n v="6551"/>
    <x v="617"/>
    <x v="2"/>
    <n v="8.9999996125698107E-3"/>
    <n v="527476"/>
    <n v="173316"/>
    <m/>
    <x v="694"/>
    <s v="PF"/>
    <d v="2017-01-11T00:00:00"/>
    <x v="22"/>
    <s v="Y"/>
    <m/>
    <s v="Nil"/>
    <m/>
    <m/>
    <s v="Change of use from Retail (Class A1) to Beauty Therapist (Sui Generis). Alterations including excavation to create basement with formation of rear lightwell with grille over and replacement shopfront."/>
    <x v="670"/>
    <s v="COU"/>
    <x v="2"/>
    <s v="UC"/>
    <m/>
    <d v="2018-03-31T00:00:00"/>
    <m/>
    <m/>
    <s v="C"/>
    <s v="BF"/>
    <x v="0"/>
    <m/>
    <d v="2018-03-31T00:00:00"/>
    <m/>
    <m/>
    <m/>
    <m/>
    <m/>
    <m/>
    <m/>
    <m/>
    <m/>
    <m/>
    <m/>
    <m/>
    <m/>
    <m/>
    <m/>
    <m/>
    <m/>
    <n v="86"/>
    <m/>
    <m/>
    <m/>
    <m/>
    <n v="86"/>
    <m/>
    <m/>
    <m/>
    <m/>
    <m/>
    <m/>
    <m/>
    <m/>
    <m/>
    <x v="1"/>
    <x v="0"/>
    <x v="1"/>
    <n v="-86"/>
    <m/>
    <m/>
    <m/>
    <m/>
    <n v="-86"/>
    <m/>
    <x v="0"/>
    <m/>
    <m/>
    <m/>
    <m/>
    <m/>
    <x v="0"/>
    <m/>
    <m/>
    <m/>
    <m/>
    <s v="-"/>
    <s v="-"/>
    <s v="-"/>
    <s v="-"/>
    <s v="-"/>
    <s v="-"/>
    <s v="-"/>
    <s v="-"/>
    <s v="-"/>
    <s v="-"/>
    <s v="-"/>
    <x v="1"/>
    <x v="0"/>
    <s v="Vacant"/>
    <s v="-"/>
    <s v="-"/>
    <s v="-"/>
    <s v="-"/>
    <s v="-"/>
    <s v="-"/>
    <s v="-"/>
    <s v="-"/>
    <s v="-"/>
    <s v="-"/>
    <x v="0"/>
    <x v="0"/>
    <n v="8.9999996125698107E-3"/>
    <n v="86"/>
    <n v="86"/>
    <n v="0"/>
    <x v="0"/>
    <x v="0"/>
    <m/>
    <x v="0"/>
    <m/>
    <x v="0"/>
    <m/>
    <x v="0"/>
    <x v="0"/>
    <x v="0"/>
    <x v="1"/>
    <s v="Bellevue Road"/>
    <n v="0"/>
    <n v="0"/>
    <n v="0"/>
    <x v="0"/>
    <m/>
  </r>
  <r>
    <x v="2"/>
    <x v="2"/>
    <x v="2"/>
    <x v="1"/>
    <n v="6553"/>
    <x v="618"/>
    <x v="12"/>
    <n v="1.4000000432133701E-2"/>
    <n v="525441"/>
    <n v="172855"/>
    <m/>
    <x v="695"/>
    <s v="PANR"/>
    <d v="2017-05-03T00:00:00"/>
    <x v="221"/>
    <s v="Y"/>
    <m/>
    <s v="Nil"/>
    <m/>
    <m/>
    <s v="Determination as to whether prior approval is required for change of use from retail (Class A1) to 1 x 2-bedroom flat (Class C3) with associated external alterations to front elevations."/>
    <x v="61"/>
    <s v="COU"/>
    <x v="2"/>
    <s v="NSO"/>
    <m/>
    <m/>
    <m/>
    <m/>
    <s v="C"/>
    <s v="BF"/>
    <x v="0"/>
    <m/>
    <m/>
    <m/>
    <m/>
    <m/>
    <m/>
    <m/>
    <m/>
    <m/>
    <m/>
    <m/>
    <m/>
    <m/>
    <m/>
    <m/>
    <m/>
    <m/>
    <m/>
    <m/>
    <n v="60"/>
    <m/>
    <m/>
    <m/>
    <m/>
    <n v="60"/>
    <m/>
    <m/>
    <m/>
    <m/>
    <m/>
    <m/>
    <m/>
    <m/>
    <m/>
    <x v="1"/>
    <x v="0"/>
    <x v="1"/>
    <n v="-60"/>
    <m/>
    <m/>
    <m/>
    <m/>
    <n v="-60"/>
    <m/>
    <x v="0"/>
    <m/>
    <m/>
    <m/>
    <m/>
    <m/>
    <x v="0"/>
    <m/>
    <m/>
    <m/>
    <m/>
    <s v="-"/>
    <s v="-"/>
    <s v="-"/>
    <s v="-"/>
    <s v="-"/>
    <s v="-"/>
    <s v="-"/>
    <s v="-"/>
    <s v="-"/>
    <s v="-"/>
    <s v="-"/>
    <x v="1"/>
    <x v="0"/>
    <s v="Vacant"/>
    <s v="-"/>
    <s v="-"/>
    <s v="-"/>
    <s v="-"/>
    <s v="-"/>
    <s v="-"/>
    <s v="-"/>
    <s v="-"/>
    <s v="-"/>
    <s v="-"/>
    <x v="0"/>
    <x v="0"/>
    <n v="0"/>
    <n v="0"/>
    <n v="60"/>
    <n v="-60"/>
    <x v="0"/>
    <x v="0"/>
    <m/>
    <x v="0"/>
    <m/>
    <x v="0"/>
    <m/>
    <x v="0"/>
    <x v="0"/>
    <x v="0"/>
    <x v="0"/>
    <m/>
    <n v="60"/>
    <n v="0"/>
    <n v="60"/>
    <x v="1"/>
    <m/>
  </r>
  <r>
    <x v="0"/>
    <x v="0"/>
    <x v="0"/>
    <x v="0"/>
    <n v="6554"/>
    <x v="619"/>
    <x v="16"/>
    <n v="1.2000000104308101E-2"/>
    <n v="527682"/>
    <n v="171195"/>
    <m/>
    <x v="696"/>
    <s v="PF"/>
    <d v="2017-02-20T00:00:00"/>
    <x v="442"/>
    <s v="Y"/>
    <m/>
    <s v="Nil"/>
    <m/>
    <m/>
    <s v="Change of use from a shop (Class Use A1) to a cafe/restaurant (Class Use A3) and installation of extractor flue to rear elevation with acoustic barrier surround on flat roof."/>
    <x v="671"/>
    <s v="COU"/>
    <x v="2"/>
    <s v="OC"/>
    <m/>
    <d v="2017-04-13T00:00:00"/>
    <d v="2018-03-31T00:00:00"/>
    <d v="2018-03-31T00:00:00"/>
    <s v="C"/>
    <s v="BF"/>
    <x v="0"/>
    <m/>
    <d v="2017-04-13T00:00:00"/>
    <d v="2018-03-31T00:00:00"/>
    <m/>
    <m/>
    <n v="120"/>
    <m/>
    <m/>
    <n v="120"/>
    <m/>
    <m/>
    <m/>
    <m/>
    <m/>
    <m/>
    <m/>
    <m/>
    <m/>
    <m/>
    <n v="120"/>
    <m/>
    <m/>
    <m/>
    <m/>
    <n v="120"/>
    <m/>
    <m/>
    <m/>
    <m/>
    <m/>
    <m/>
    <m/>
    <m/>
    <m/>
    <x v="1"/>
    <x v="0"/>
    <x v="1"/>
    <n v="-120"/>
    <m/>
    <n v="120"/>
    <m/>
    <m/>
    <m/>
    <m/>
    <x v="0"/>
    <m/>
    <m/>
    <m/>
    <m/>
    <m/>
    <x v="0"/>
    <m/>
    <m/>
    <m/>
    <m/>
    <s v="-"/>
    <s v="-"/>
    <s v="Café"/>
    <s v="-"/>
    <s v="-"/>
    <s v="-"/>
    <s v="-"/>
    <s v="-"/>
    <s v="-"/>
    <s v="-"/>
    <s v="-"/>
    <x v="1"/>
    <x v="0"/>
    <s v="Vacant"/>
    <s v="-"/>
    <s v="-"/>
    <s v="-"/>
    <s v="-"/>
    <s v="-"/>
    <s v="-"/>
    <s v="-"/>
    <s v="-"/>
    <s v="-"/>
    <s v="-"/>
    <x v="0"/>
    <x v="0"/>
    <n v="1.2000000104308101E-2"/>
    <n v="120"/>
    <n v="120"/>
    <n v="0"/>
    <x v="0"/>
    <x v="0"/>
    <m/>
    <x v="0"/>
    <m/>
    <x v="0"/>
    <m/>
    <x v="0"/>
    <x v="1"/>
    <x v="3"/>
    <x v="0"/>
    <m/>
    <n v="0"/>
    <n v="0"/>
    <n v="0"/>
    <x v="0"/>
    <m/>
  </r>
  <r>
    <x v="2"/>
    <x v="0"/>
    <x v="0"/>
    <x v="1"/>
    <n v="6555"/>
    <x v="620"/>
    <x v="7"/>
    <n v="6.0000000521540598E-3"/>
    <n v="523989"/>
    <n v="175101"/>
    <m/>
    <x v="697"/>
    <s v="PF"/>
    <d v="2017-02-17T00:00:00"/>
    <x v="443"/>
    <s v="Y"/>
    <m/>
    <s v="Nil"/>
    <m/>
    <m/>
    <s v="Alterations to front elevation, merging of two units and change of use from retail/restaurant (Class A1/A3) to retail (Class A1)."/>
    <x v="672"/>
    <s v="COU"/>
    <x v="2"/>
    <s v="NSO"/>
    <m/>
    <m/>
    <m/>
    <m/>
    <s v="C"/>
    <s v="BF"/>
    <x v="0"/>
    <m/>
    <m/>
    <m/>
    <n v="61"/>
    <m/>
    <m/>
    <m/>
    <m/>
    <n v="61"/>
    <m/>
    <m/>
    <m/>
    <m/>
    <m/>
    <m/>
    <m/>
    <m/>
    <m/>
    <m/>
    <n v="30"/>
    <m/>
    <n v="31"/>
    <m/>
    <m/>
    <n v="61"/>
    <m/>
    <m/>
    <m/>
    <m/>
    <m/>
    <m/>
    <m/>
    <m/>
    <m/>
    <x v="1"/>
    <x v="0"/>
    <x v="1"/>
    <n v="31"/>
    <m/>
    <n v="-31"/>
    <m/>
    <m/>
    <m/>
    <m/>
    <x v="0"/>
    <m/>
    <m/>
    <m/>
    <m/>
    <m/>
    <x v="0"/>
    <m/>
    <m/>
    <m/>
    <m/>
    <s v="Durables"/>
    <s v="-"/>
    <s v="-"/>
    <s v="-"/>
    <s v="-"/>
    <s v="-"/>
    <s v="-"/>
    <s v="-"/>
    <s v="-"/>
    <s v="-"/>
    <s v="-"/>
    <x v="1"/>
    <x v="0"/>
    <s v="Vacant"/>
    <s v="-"/>
    <s v="Vacant"/>
    <s v="-"/>
    <s v="-"/>
    <s v="-"/>
    <s v="-"/>
    <s v="-"/>
    <s v="-"/>
    <s v="-"/>
    <s v="-"/>
    <x v="0"/>
    <x v="0"/>
    <n v="6.0000000521540598E-3"/>
    <n v="61"/>
    <n v="61"/>
    <n v="0"/>
    <x v="0"/>
    <x v="0"/>
    <m/>
    <x v="0"/>
    <m/>
    <x v="0"/>
    <m/>
    <x v="0"/>
    <x v="1"/>
    <x v="2"/>
    <x v="0"/>
    <m/>
    <n v="0"/>
    <n v="0"/>
    <n v="0"/>
    <x v="0"/>
    <m/>
  </r>
  <r>
    <x v="0"/>
    <x v="0"/>
    <x v="0"/>
    <x v="0"/>
    <n v="6558"/>
    <x v="621"/>
    <x v="0"/>
    <n v="7.0000002160668399E-3"/>
    <n v="523937"/>
    <n v="173505"/>
    <m/>
    <x v="698"/>
    <s v="PF"/>
    <d v="2017-02-17T00:00:00"/>
    <x v="101"/>
    <s v="Y"/>
    <m/>
    <s v="Nil"/>
    <m/>
    <m/>
    <s v="Change of use from shop (Class A1) to hot food take away (Class A5). Installation of an intake grille and extraction duct/flume."/>
    <x v="673"/>
    <s v="COU"/>
    <x v="2"/>
    <s v="OC"/>
    <m/>
    <d v="2017-05-18T00:00:00"/>
    <d v="2018-03-31T00:00:00"/>
    <d v="2018-03-31T00:00:00"/>
    <s v="C"/>
    <s v="BF"/>
    <x v="0"/>
    <m/>
    <d v="2017-05-18T00:00:00"/>
    <d v="2018-03-31T00:00:00"/>
    <m/>
    <m/>
    <m/>
    <m/>
    <n v="75"/>
    <n v="75"/>
    <m/>
    <m/>
    <m/>
    <m/>
    <m/>
    <m/>
    <m/>
    <m/>
    <m/>
    <m/>
    <n v="75"/>
    <m/>
    <m/>
    <m/>
    <m/>
    <n v="75"/>
    <m/>
    <m/>
    <m/>
    <m/>
    <m/>
    <m/>
    <m/>
    <m/>
    <m/>
    <x v="1"/>
    <x v="0"/>
    <x v="1"/>
    <n v="-75"/>
    <m/>
    <m/>
    <m/>
    <n v="75"/>
    <m/>
    <m/>
    <x v="0"/>
    <m/>
    <m/>
    <m/>
    <m/>
    <m/>
    <x v="0"/>
    <m/>
    <m/>
    <m/>
    <m/>
    <s v="-"/>
    <s v="-"/>
    <s v="-"/>
    <s v="-"/>
    <s v="Take-Aways"/>
    <s v="-"/>
    <s v="-"/>
    <s v="-"/>
    <s v="-"/>
    <s v="-"/>
    <s v="-"/>
    <x v="1"/>
    <x v="0"/>
    <s v="Vacant"/>
    <s v="-"/>
    <s v="-"/>
    <s v="-"/>
    <s v="-"/>
    <s v="-"/>
    <s v="-"/>
    <s v="-"/>
    <s v="-"/>
    <s v="-"/>
    <s v="-"/>
    <x v="0"/>
    <x v="0"/>
    <n v="7.0000002160668399E-3"/>
    <n v="75"/>
    <n v="75"/>
    <n v="0"/>
    <x v="0"/>
    <x v="0"/>
    <m/>
    <x v="0"/>
    <m/>
    <x v="0"/>
    <m/>
    <x v="0"/>
    <x v="0"/>
    <x v="0"/>
    <x v="0"/>
    <m/>
    <n v="0"/>
    <n v="0"/>
    <n v="0"/>
    <x v="0"/>
    <m/>
  </r>
  <r>
    <x v="2"/>
    <x v="2"/>
    <x v="2"/>
    <x v="1"/>
    <n v="6563"/>
    <x v="622"/>
    <x v="4"/>
    <n v="0.122000001370907"/>
    <n v="526668"/>
    <n v="176335"/>
    <m/>
    <x v="699"/>
    <s v="PAG"/>
    <d v="2017-06-26T00:00:00"/>
    <x v="444"/>
    <s v="Y"/>
    <m/>
    <s v="Nil"/>
    <m/>
    <m/>
    <s v="Determination as to whether prior approval is required for change of use from office(Class B1a)  to 4 x 1-bedroom, 3 x 2-bedroom and 4 x 3bedroom flats (Class C3)."/>
    <x v="674"/>
    <s v="COU"/>
    <x v="2"/>
    <s v="NSV"/>
    <m/>
    <m/>
    <m/>
    <m/>
    <s v="C"/>
    <s v="BF"/>
    <x v="0"/>
    <m/>
    <m/>
    <m/>
    <m/>
    <m/>
    <m/>
    <m/>
    <m/>
    <m/>
    <m/>
    <m/>
    <m/>
    <m/>
    <m/>
    <m/>
    <m/>
    <m/>
    <m/>
    <m/>
    <m/>
    <m/>
    <m/>
    <m/>
    <m/>
    <m/>
    <n v="878"/>
    <m/>
    <m/>
    <m/>
    <m/>
    <n v="878"/>
    <m/>
    <m/>
    <m/>
    <x v="0"/>
    <x v="1"/>
    <x v="1"/>
    <m/>
    <m/>
    <m/>
    <m/>
    <m/>
    <m/>
    <n v="-878"/>
    <x v="1"/>
    <m/>
    <m/>
    <m/>
    <m/>
    <n v="-878"/>
    <x v="1"/>
    <m/>
    <m/>
    <m/>
    <m/>
    <s v="-"/>
    <s v="-"/>
    <s v="-"/>
    <s v="-"/>
    <s v="-"/>
    <s v="-"/>
    <s v="-"/>
    <s v="-"/>
    <s v="-"/>
    <s v="-"/>
    <s v="-"/>
    <x v="1"/>
    <x v="0"/>
    <s v="-"/>
    <s v="-"/>
    <s v="-"/>
    <s v="-"/>
    <s v="-"/>
    <s v="Other"/>
    <s v="-"/>
    <s v="-"/>
    <s v="-"/>
    <s v="-"/>
    <s v="-"/>
    <x v="0"/>
    <x v="0"/>
    <n v="0.105000000447035"/>
    <n v="0"/>
    <n v="878"/>
    <n v="-878"/>
    <x v="1"/>
    <x v="0"/>
    <m/>
    <x v="0"/>
    <m/>
    <x v="0"/>
    <m/>
    <x v="0"/>
    <x v="0"/>
    <x v="0"/>
    <x v="0"/>
    <m/>
    <n v="878"/>
    <n v="0"/>
    <n v="878"/>
    <x v="1"/>
    <m/>
  </r>
  <r>
    <x v="2"/>
    <x v="2"/>
    <x v="2"/>
    <x v="1"/>
    <n v="6564"/>
    <x v="623"/>
    <x v="7"/>
    <n v="3.0999999493360499E-2"/>
    <n v="524601"/>
    <n v="175314"/>
    <m/>
    <x v="700"/>
    <s v="PANR"/>
    <d v="2017-08-03T00:00:00"/>
    <x v="445"/>
    <s v="Y"/>
    <m/>
    <s v="Nil"/>
    <m/>
    <m/>
    <s v="Determination as to whether prior approval is required for change of use from offices (Class B1a) to residential (Class C3) to provide 12 x 1 bedroom  and 3 x 2-bedroom flats."/>
    <x v="675"/>
    <s v="COU"/>
    <x v="2"/>
    <s v="NSV"/>
    <m/>
    <m/>
    <m/>
    <m/>
    <s v="C"/>
    <s v="BF"/>
    <x v="0"/>
    <m/>
    <m/>
    <m/>
    <m/>
    <m/>
    <m/>
    <m/>
    <m/>
    <m/>
    <m/>
    <m/>
    <m/>
    <m/>
    <m/>
    <m/>
    <m/>
    <m/>
    <m/>
    <m/>
    <m/>
    <m/>
    <m/>
    <m/>
    <m/>
    <m/>
    <n v="833"/>
    <m/>
    <m/>
    <m/>
    <m/>
    <n v="833"/>
    <m/>
    <m/>
    <m/>
    <x v="0"/>
    <x v="1"/>
    <x v="1"/>
    <m/>
    <m/>
    <m/>
    <m/>
    <m/>
    <m/>
    <n v="-833"/>
    <x v="1"/>
    <m/>
    <m/>
    <m/>
    <m/>
    <n v="-833"/>
    <x v="1"/>
    <m/>
    <m/>
    <m/>
    <m/>
    <s v="-"/>
    <s v="-"/>
    <s v="-"/>
    <s v="-"/>
    <s v="-"/>
    <s v="-"/>
    <s v="-"/>
    <s v="-"/>
    <s v="-"/>
    <s v="-"/>
    <s v="-"/>
    <x v="1"/>
    <x v="0"/>
    <s v="-"/>
    <s v="-"/>
    <s v="-"/>
    <s v="-"/>
    <s v="-"/>
    <s v="Not Known"/>
    <s v="-"/>
    <s v="-"/>
    <s v="-"/>
    <s v="-"/>
    <s v="-"/>
    <x v="0"/>
    <x v="0"/>
    <n v="0"/>
    <n v="0"/>
    <n v="833"/>
    <n v="-833"/>
    <x v="1"/>
    <x v="0"/>
    <m/>
    <x v="0"/>
    <m/>
    <x v="0"/>
    <m/>
    <x v="0"/>
    <x v="0"/>
    <x v="0"/>
    <x v="0"/>
    <m/>
    <n v="833"/>
    <n v="0"/>
    <n v="833"/>
    <x v="1"/>
    <m/>
  </r>
  <r>
    <x v="2"/>
    <x v="0"/>
    <x v="0"/>
    <x v="1"/>
    <n v="6565"/>
    <x v="624"/>
    <x v="7"/>
    <n v="1.2000000104308101E-2"/>
    <n v="524133"/>
    <n v="175006"/>
    <m/>
    <x v="701"/>
    <s v="PF"/>
    <d v="2017-04-10T00:00:00"/>
    <x v="214"/>
    <s v="Y"/>
    <m/>
    <s v="Nil"/>
    <m/>
    <m/>
    <s v="Demolition of existing 5-storey office building and construction of a new 6-storey (plus lower-ground floor) mixed-use building with office space at lower-ground and ground floors and 5 x 2 bed residential flats above (1 x unit per floor level)"/>
    <x v="676"/>
    <s v="NB"/>
    <x v="0"/>
    <s v="NSO"/>
    <m/>
    <m/>
    <m/>
    <m/>
    <s v="C"/>
    <s v="BF"/>
    <x v="0"/>
    <m/>
    <m/>
    <m/>
    <m/>
    <m/>
    <m/>
    <m/>
    <m/>
    <m/>
    <n v="199"/>
    <m/>
    <m/>
    <n v="199"/>
    <m/>
    <m/>
    <n v="199"/>
    <m/>
    <m/>
    <m/>
    <m/>
    <m/>
    <m/>
    <m/>
    <m/>
    <m/>
    <n v="499"/>
    <m/>
    <m/>
    <m/>
    <m/>
    <n v="499"/>
    <m/>
    <m/>
    <m/>
    <x v="0"/>
    <x v="1"/>
    <x v="1"/>
    <m/>
    <m/>
    <m/>
    <m/>
    <m/>
    <m/>
    <n v="-300"/>
    <x v="1"/>
    <m/>
    <m/>
    <m/>
    <m/>
    <n v="-300"/>
    <x v="1"/>
    <m/>
    <m/>
    <m/>
    <m/>
    <s v="-"/>
    <s v="-"/>
    <s v="-"/>
    <s v="-"/>
    <s v="-"/>
    <s v="Not Known"/>
    <s v="-"/>
    <s v="-"/>
    <s v="-"/>
    <s v="-"/>
    <s v="-"/>
    <x v="1"/>
    <x v="0"/>
    <s v="-"/>
    <s v="-"/>
    <s v="-"/>
    <s v="-"/>
    <s v="-"/>
    <s v="Other"/>
    <s v="-"/>
    <s v="-"/>
    <s v="-"/>
    <s v="-"/>
    <s v="-"/>
    <x v="0"/>
    <x v="0"/>
    <n v="2.0000003278255202E-3"/>
    <n v="199"/>
    <n v="499"/>
    <n v="-300"/>
    <x v="0"/>
    <x v="0"/>
    <m/>
    <x v="0"/>
    <m/>
    <x v="0"/>
    <m/>
    <x v="0"/>
    <x v="1"/>
    <x v="2"/>
    <x v="0"/>
    <m/>
    <n v="513"/>
    <n v="0"/>
    <n v="513"/>
    <x v="1"/>
    <m/>
  </r>
  <r>
    <x v="0"/>
    <x v="0"/>
    <x v="0"/>
    <x v="2"/>
    <n v="6569"/>
    <x v="625"/>
    <x v="9"/>
    <n v="8.9999996125698107E-3"/>
    <n v="527371"/>
    <n v="176315"/>
    <m/>
    <x v="702"/>
    <s v="PF"/>
    <d v="2017-06-23T00:00:00"/>
    <x v="126"/>
    <s v="Y"/>
    <m/>
    <s v="Nil"/>
    <m/>
    <m/>
    <s v="Erection of a mansard extension to main roof to form an additional floor of accommodation in connection with the change of use of the upper floors to create 3 x 1-bedroom self contained flats. Alterations to ground floor shop including alterations to shopfront and creation of ancillary office and courtyard area to rear."/>
    <x v="677"/>
    <s v="MIX"/>
    <x v="0"/>
    <s v="CO"/>
    <m/>
    <d v="2017-10-31T00:00:00"/>
    <d v="2018-03-31T00:00:00"/>
    <m/>
    <s v="C"/>
    <s v="BF"/>
    <x v="0"/>
    <m/>
    <d v="2017-10-31T00:00:00"/>
    <d v="2018-03-31T00:00:00"/>
    <n v="52"/>
    <m/>
    <m/>
    <m/>
    <m/>
    <n v="52"/>
    <m/>
    <m/>
    <m/>
    <m/>
    <m/>
    <m/>
    <m/>
    <m/>
    <m/>
    <m/>
    <n v="85"/>
    <m/>
    <m/>
    <m/>
    <m/>
    <n v="85"/>
    <n v="120"/>
    <m/>
    <m/>
    <m/>
    <m/>
    <n v="120"/>
    <m/>
    <m/>
    <m/>
    <x v="1"/>
    <x v="1"/>
    <x v="1"/>
    <n v="-33"/>
    <m/>
    <m/>
    <m/>
    <m/>
    <n v="-33"/>
    <n v="-120"/>
    <x v="1"/>
    <m/>
    <m/>
    <m/>
    <m/>
    <n v="-120"/>
    <x v="1"/>
    <m/>
    <m/>
    <m/>
    <m/>
    <s v="Not Known"/>
    <s v="-"/>
    <s v="-"/>
    <s v="-"/>
    <s v="-"/>
    <s v="-"/>
    <s v="-"/>
    <s v="-"/>
    <s v="-"/>
    <s v="-"/>
    <s v="-"/>
    <x v="1"/>
    <x v="0"/>
    <s v="Not Known"/>
    <s v="-"/>
    <s v="-"/>
    <s v="-"/>
    <s v="-"/>
    <s v="Not Known"/>
    <s v="-"/>
    <s v="-"/>
    <s v="-"/>
    <s v="-"/>
    <s v="-"/>
    <x v="0"/>
    <x v="0"/>
    <n v="1.9999993965029708E-3"/>
    <n v="52"/>
    <n v="205"/>
    <n v="-153"/>
    <x v="0"/>
    <x v="0"/>
    <m/>
    <x v="0"/>
    <m/>
    <x v="0"/>
    <m/>
    <x v="0"/>
    <x v="0"/>
    <x v="0"/>
    <x v="1"/>
    <s v="Battersea Park Road"/>
    <n v="135"/>
    <n v="0"/>
    <n v="135"/>
    <x v="1"/>
    <m/>
  </r>
  <r>
    <x v="2"/>
    <x v="0"/>
    <x v="0"/>
    <x v="1"/>
    <n v="6571"/>
    <x v="626"/>
    <x v="2"/>
    <n v="1.2000000104308101E-2"/>
    <n v="528506"/>
    <n v="173348"/>
    <m/>
    <x v="703"/>
    <s v="PF"/>
    <d v="2017-03-13T00:00:00"/>
    <x v="440"/>
    <s v="Y"/>
    <m/>
    <s v="Nil"/>
    <m/>
    <m/>
    <s v="Erection of single-storey rear extension to ground floor shop and alterations to rear external metal staircase to ground floor."/>
    <x v="678"/>
    <s v="NB"/>
    <x v="0"/>
    <s v="NSO"/>
    <m/>
    <m/>
    <m/>
    <m/>
    <s v="C"/>
    <s v="BF"/>
    <x v="0"/>
    <m/>
    <m/>
    <m/>
    <n v="25"/>
    <m/>
    <m/>
    <m/>
    <m/>
    <n v="25"/>
    <m/>
    <m/>
    <m/>
    <m/>
    <m/>
    <m/>
    <m/>
    <m/>
    <m/>
    <m/>
    <m/>
    <m/>
    <m/>
    <m/>
    <m/>
    <m/>
    <m/>
    <m/>
    <m/>
    <m/>
    <m/>
    <m/>
    <m/>
    <m/>
    <m/>
    <x v="1"/>
    <x v="0"/>
    <x v="1"/>
    <n v="25"/>
    <m/>
    <m/>
    <m/>
    <m/>
    <n v="25"/>
    <m/>
    <x v="0"/>
    <m/>
    <m/>
    <m/>
    <m/>
    <m/>
    <x v="0"/>
    <m/>
    <m/>
    <m/>
    <m/>
    <s v="Consumables"/>
    <s v="-"/>
    <s v="-"/>
    <s v="-"/>
    <s v="-"/>
    <s v="-"/>
    <s v="-"/>
    <s v="-"/>
    <s v="-"/>
    <s v="-"/>
    <s v="-"/>
    <x v="1"/>
    <x v="0"/>
    <s v="-"/>
    <s v="-"/>
    <s v="-"/>
    <s v="-"/>
    <s v="-"/>
    <s v="-"/>
    <s v="-"/>
    <s v="-"/>
    <s v="-"/>
    <s v="-"/>
    <s v="-"/>
    <x v="0"/>
    <x v="0"/>
    <n v="1.2000000104308101E-2"/>
    <n v="25"/>
    <n v="0"/>
    <n v="25"/>
    <x v="0"/>
    <x v="0"/>
    <m/>
    <x v="0"/>
    <m/>
    <x v="0"/>
    <m/>
    <x v="0"/>
    <x v="1"/>
    <x v="5"/>
    <x v="0"/>
    <m/>
    <n v="0"/>
    <n v="0"/>
    <n v="0"/>
    <x v="0"/>
    <m/>
  </r>
  <r>
    <x v="0"/>
    <x v="0"/>
    <x v="0"/>
    <x v="0"/>
    <n v="6572"/>
    <x v="627"/>
    <x v="3"/>
    <n v="2.60000005364418E-2"/>
    <n v="527687"/>
    <n v="174364"/>
    <m/>
    <x v="704"/>
    <s v="PF"/>
    <d v="2017-03-20T00:00:00"/>
    <x v="230"/>
    <s v="Y"/>
    <m/>
    <s v="Nil"/>
    <m/>
    <m/>
    <s v="Change of use from retail (Class A1) to a mixed use as a Pilates studio and physiotherapy practice (Classes D1/D2)."/>
    <x v="679"/>
    <s v="COU"/>
    <x v="2"/>
    <s v="OC"/>
    <m/>
    <d v="2017-07-26T00:00:00"/>
    <d v="2017-09-28T00:00:00"/>
    <d v="2017-09-28T00:00:00"/>
    <s v="C"/>
    <s v="BF"/>
    <x v="0"/>
    <m/>
    <d v="2017-07-26T00:00:00"/>
    <d v="2017-09-28T00:00:00"/>
    <m/>
    <m/>
    <m/>
    <m/>
    <m/>
    <m/>
    <m/>
    <m/>
    <m/>
    <m/>
    <m/>
    <m/>
    <m/>
    <n v="44"/>
    <n v="44"/>
    <n v="88"/>
    <n v="88"/>
    <m/>
    <m/>
    <m/>
    <m/>
    <n v="88"/>
    <m/>
    <m/>
    <m/>
    <m/>
    <m/>
    <m/>
    <m/>
    <m/>
    <m/>
    <x v="1"/>
    <x v="0"/>
    <x v="0"/>
    <n v="-88"/>
    <m/>
    <m/>
    <m/>
    <m/>
    <n v="-88"/>
    <m/>
    <x v="0"/>
    <m/>
    <m/>
    <m/>
    <m/>
    <m/>
    <x v="0"/>
    <m/>
    <n v="44"/>
    <n v="44"/>
    <n v="88"/>
    <s v="-"/>
    <s v="-"/>
    <s v="-"/>
    <s v="-"/>
    <s v="-"/>
    <s v="-"/>
    <s v="-"/>
    <s v="-"/>
    <s v="-"/>
    <s v="-"/>
    <s v="-"/>
    <x v="2"/>
    <x v="2"/>
    <s v="Vacant"/>
    <s v="-"/>
    <s v="-"/>
    <s v="-"/>
    <s v="-"/>
    <s v="-"/>
    <s v="-"/>
    <s v="-"/>
    <s v="-"/>
    <s v="-"/>
    <s v="-"/>
    <x v="0"/>
    <x v="0"/>
    <n v="2.60000005364418E-2"/>
    <n v="88"/>
    <n v="88"/>
    <n v="0"/>
    <x v="0"/>
    <x v="0"/>
    <m/>
    <x v="0"/>
    <m/>
    <x v="0"/>
    <m/>
    <x v="0"/>
    <x v="0"/>
    <x v="0"/>
    <x v="0"/>
    <m/>
    <n v="0"/>
    <n v="0"/>
    <n v="0"/>
    <x v="0"/>
    <m/>
  </r>
  <r>
    <x v="0"/>
    <x v="0"/>
    <x v="0"/>
    <x v="2"/>
    <n v="6575"/>
    <x v="628"/>
    <x v="16"/>
    <n v="0.36800000071525601"/>
    <n v="527742"/>
    <n v="171058"/>
    <m/>
    <x v="705"/>
    <s v="PF"/>
    <d v="2017-03-20T00:00:00"/>
    <x v="230"/>
    <s v="Y"/>
    <m/>
    <s v="Nil"/>
    <m/>
    <m/>
    <s v="Change of use to an administration office for a car hire business (Class Sui Genres)  where only bookings are taken by phone (continuation of use granted by temporary permission ref. 2016/0734)."/>
    <x v="680"/>
    <s v="COU"/>
    <x v="2"/>
    <s v="CO"/>
    <m/>
    <d v="2017-05-15T00:00:00"/>
    <d v="2018-03-31T00:00:00"/>
    <m/>
    <s v="C"/>
    <s v="BF"/>
    <x v="0"/>
    <m/>
    <d v="2017-05-15T00:00:00"/>
    <d v="2018-03-31T00:00:00"/>
    <m/>
    <m/>
    <m/>
    <m/>
    <m/>
    <m/>
    <m/>
    <m/>
    <m/>
    <m/>
    <m/>
    <m/>
    <m/>
    <m/>
    <m/>
    <m/>
    <m/>
    <m/>
    <m/>
    <m/>
    <m/>
    <m/>
    <n v="8"/>
    <m/>
    <m/>
    <m/>
    <m/>
    <n v="8"/>
    <m/>
    <m/>
    <m/>
    <x v="0"/>
    <x v="1"/>
    <x v="1"/>
    <m/>
    <m/>
    <m/>
    <m/>
    <m/>
    <m/>
    <n v="-8"/>
    <x v="1"/>
    <m/>
    <m/>
    <m/>
    <m/>
    <n v="-8"/>
    <x v="1"/>
    <m/>
    <m/>
    <m/>
    <m/>
    <s v="-"/>
    <s v="-"/>
    <s v="-"/>
    <s v="-"/>
    <s v="-"/>
    <s v="-"/>
    <s v="-"/>
    <s v="-"/>
    <s v="-"/>
    <s v="-"/>
    <s v="-"/>
    <x v="1"/>
    <x v="0"/>
    <s v="-"/>
    <s v="-"/>
    <s v="-"/>
    <s v="-"/>
    <s v="-"/>
    <s v="Not Known"/>
    <s v="-"/>
    <s v="-"/>
    <s v="-"/>
    <s v="-"/>
    <s v="-"/>
    <x v="0"/>
    <x v="0"/>
    <n v="0.36800000071525601"/>
    <n v="8"/>
    <n v="8"/>
    <n v="0"/>
    <x v="0"/>
    <x v="0"/>
    <m/>
    <x v="0"/>
    <m/>
    <x v="0"/>
    <m/>
    <x v="0"/>
    <x v="1"/>
    <x v="3"/>
    <x v="0"/>
    <m/>
    <n v="0"/>
    <n v="0"/>
    <n v="0"/>
    <x v="0"/>
    <m/>
  </r>
  <r>
    <x v="1"/>
    <x v="1"/>
    <x v="1"/>
    <x v="1"/>
    <n v="6576"/>
    <x v="629"/>
    <x v="3"/>
    <n v="2.0999999716877899E-2"/>
    <n v="527523"/>
    <n v="174885"/>
    <m/>
    <x v="706"/>
    <s v="RP"/>
    <d v="2017-11-03T00:00:00"/>
    <x v="446"/>
    <s v="Y"/>
    <m/>
    <s v="APP"/>
    <d v="2018-01-10T00:00:00"/>
    <m/>
    <s v="Change of use from Class A1(Shops) to Class A3 (Restaurants and Cafes).  Erection of side and rear extensions at ground, first and second floor levels to provide 4no. residential units (1 x bedsit; 1 x 1-bedroom and 2 x 2-bedroom flats.)."/>
    <x v="681"/>
    <s v="MIX"/>
    <x v="0"/>
    <s v="NSO"/>
    <m/>
    <m/>
    <m/>
    <m/>
    <s v="C"/>
    <s v="BF"/>
    <x v="0"/>
    <m/>
    <m/>
    <m/>
    <m/>
    <m/>
    <n v="134"/>
    <m/>
    <m/>
    <n v="134"/>
    <m/>
    <m/>
    <m/>
    <m/>
    <m/>
    <m/>
    <m/>
    <m/>
    <m/>
    <m/>
    <n v="145"/>
    <m/>
    <m/>
    <m/>
    <m/>
    <n v="145"/>
    <m/>
    <m/>
    <m/>
    <m/>
    <m/>
    <m/>
    <m/>
    <m/>
    <m/>
    <x v="1"/>
    <x v="0"/>
    <x v="1"/>
    <n v="-145"/>
    <m/>
    <n v="134"/>
    <m/>
    <m/>
    <n v="-11"/>
    <m/>
    <x v="0"/>
    <m/>
    <m/>
    <m/>
    <m/>
    <m/>
    <x v="0"/>
    <m/>
    <m/>
    <m/>
    <m/>
    <s v="-"/>
    <s v="-"/>
    <s v="Restaurant"/>
    <s v="-"/>
    <s v="-"/>
    <s v="-"/>
    <s v="-"/>
    <s v="-"/>
    <s v="-"/>
    <s v="-"/>
    <s v="-"/>
    <x v="1"/>
    <x v="0"/>
    <s v="Not Known"/>
    <s v="-"/>
    <s v="-"/>
    <s v="-"/>
    <s v="-"/>
    <s v="-"/>
    <s v="-"/>
    <s v="-"/>
    <s v="-"/>
    <s v="-"/>
    <s v="-"/>
    <x v="0"/>
    <x v="0"/>
    <n v="6.9999992847441985E-3"/>
    <n v="134"/>
    <n v="145"/>
    <n v="-11"/>
    <x v="0"/>
    <x v="0"/>
    <m/>
    <x v="0"/>
    <m/>
    <x v="0"/>
    <m/>
    <x v="0"/>
    <x v="1"/>
    <x v="1"/>
    <x v="0"/>
    <m/>
    <n v="264"/>
    <n v="144"/>
    <n v="120"/>
    <x v="1"/>
    <m/>
  </r>
  <r>
    <x v="2"/>
    <x v="0"/>
    <x v="0"/>
    <x v="1"/>
    <n v="6577"/>
    <x v="630"/>
    <x v="14"/>
    <n v="4.5000001788139302E-2"/>
    <n v="527116"/>
    <n v="171635"/>
    <m/>
    <x v="707"/>
    <s v="PF"/>
    <d v="2017-06-12T00:00:00"/>
    <x v="447"/>
    <s v="Y"/>
    <m/>
    <s v="Nil"/>
    <m/>
    <m/>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x v="682"/>
    <s v="MIX"/>
    <x v="0"/>
    <s v="NSO"/>
    <m/>
    <m/>
    <m/>
    <m/>
    <s v="C"/>
    <s v="BF"/>
    <x v="0"/>
    <m/>
    <m/>
    <m/>
    <n v="66"/>
    <m/>
    <m/>
    <m/>
    <m/>
    <n v="66"/>
    <m/>
    <m/>
    <m/>
    <m/>
    <m/>
    <m/>
    <m/>
    <m/>
    <m/>
    <m/>
    <n v="74"/>
    <m/>
    <m/>
    <m/>
    <m/>
    <n v="74"/>
    <m/>
    <m/>
    <m/>
    <m/>
    <m/>
    <m/>
    <m/>
    <m/>
    <m/>
    <x v="1"/>
    <x v="0"/>
    <x v="1"/>
    <n v="-8"/>
    <m/>
    <m/>
    <m/>
    <m/>
    <n v="-8"/>
    <m/>
    <x v="0"/>
    <m/>
    <m/>
    <m/>
    <m/>
    <m/>
    <x v="0"/>
    <m/>
    <m/>
    <m/>
    <m/>
    <s v="Not Known"/>
    <s v="-"/>
    <s v="-"/>
    <s v="-"/>
    <s v="-"/>
    <s v="-"/>
    <s v="-"/>
    <s v="-"/>
    <s v="-"/>
    <s v="-"/>
    <s v="-"/>
    <x v="1"/>
    <x v="0"/>
    <s v="Services"/>
    <s v="-"/>
    <s v="-"/>
    <s v="-"/>
    <s v="-"/>
    <s v="-"/>
    <s v="-"/>
    <s v="-"/>
    <s v="-"/>
    <s v="-"/>
    <s v="-"/>
    <x v="0"/>
    <x v="0"/>
    <n v="4.0000006556510023E-3"/>
    <n v="66"/>
    <n v="239"/>
    <n v="-173"/>
    <x v="0"/>
    <x v="0"/>
    <m/>
    <x v="0"/>
    <m/>
    <x v="0"/>
    <m/>
    <x v="0"/>
    <x v="0"/>
    <x v="0"/>
    <x v="0"/>
    <m/>
    <n v="891"/>
    <n v="154"/>
    <n v="737"/>
    <x v="1"/>
    <m/>
  </r>
  <r>
    <x v="2"/>
    <x v="0"/>
    <x v="0"/>
    <x v="1"/>
    <n v="6579"/>
    <x v="631"/>
    <x v="4"/>
    <n v="7.2999998927116394E-2"/>
    <n v="526202"/>
    <n v="175408"/>
    <m/>
    <x v="708"/>
    <s v="PF"/>
    <d v="2017-03-29T00:00:00"/>
    <x v="70"/>
    <s v="Y"/>
    <m/>
    <s v="Nil"/>
    <m/>
    <m/>
    <s v="Change of use from A1, A2, A3 and B1 to yoga studio (Class D2). Proposed opening hours 06:00pm to 22:00am Monday to Friday and 07:00pm to 21:00pm Saturday, Sunday and Bank Holidays."/>
    <x v="683"/>
    <s v="COU"/>
    <x v="2"/>
    <s v="NSO"/>
    <m/>
    <m/>
    <m/>
    <m/>
    <s v="C"/>
    <s v="BF"/>
    <x v="0"/>
    <m/>
    <m/>
    <m/>
    <m/>
    <m/>
    <m/>
    <m/>
    <m/>
    <m/>
    <m/>
    <m/>
    <m/>
    <m/>
    <m/>
    <m/>
    <m/>
    <m/>
    <n v="348"/>
    <n v="348"/>
    <n v="87"/>
    <n v="87"/>
    <n v="87"/>
    <m/>
    <m/>
    <n v="261"/>
    <n v="87"/>
    <m/>
    <m/>
    <m/>
    <m/>
    <n v="87"/>
    <m/>
    <m/>
    <m/>
    <x v="1"/>
    <x v="1"/>
    <x v="0"/>
    <n v="-87"/>
    <n v="-87"/>
    <n v="-87"/>
    <m/>
    <m/>
    <n v="-261"/>
    <n v="-87"/>
    <x v="1"/>
    <m/>
    <m/>
    <m/>
    <m/>
    <n v="-87"/>
    <x v="1"/>
    <m/>
    <m/>
    <n v="348"/>
    <n v="348"/>
    <s v="-"/>
    <s v="-"/>
    <s v="-"/>
    <s v="-"/>
    <s v="-"/>
    <s v="-"/>
    <s v="-"/>
    <s v="-"/>
    <s v="-"/>
    <s v="-"/>
    <s v="-"/>
    <x v="1"/>
    <x v="2"/>
    <s v="Not Known"/>
    <s v="Not Known"/>
    <s v="Not Known"/>
    <s v="-"/>
    <s v="-"/>
    <s v="Not Known"/>
    <s v="-"/>
    <s v="-"/>
    <s v="-"/>
    <s v="-"/>
    <s v="-"/>
    <x v="0"/>
    <x v="0"/>
    <n v="7.2999998927116394E-2"/>
    <n v="348"/>
    <n v="348"/>
    <n v="0"/>
    <x v="1"/>
    <x v="0"/>
    <m/>
    <x v="0"/>
    <m/>
    <x v="0"/>
    <m/>
    <x v="0"/>
    <x v="0"/>
    <x v="0"/>
    <x v="0"/>
    <m/>
    <n v="0"/>
    <n v="0"/>
    <n v="0"/>
    <x v="0"/>
    <m/>
  </r>
  <r>
    <x v="2"/>
    <x v="0"/>
    <x v="0"/>
    <x v="1"/>
    <n v="6583"/>
    <x v="632"/>
    <x v="19"/>
    <n v="1.4999999664723899E-2"/>
    <n v="523210"/>
    <n v="174403"/>
    <m/>
    <x v="709"/>
    <s v="PF"/>
    <d v="2017-04-13T00:00:00"/>
    <x v="215"/>
    <s v="Y"/>
    <m/>
    <s v="Nil"/>
    <m/>
    <m/>
    <s v="Alterations in connection with change of use of Warden's office and club room (Sui Generis) to residential (Class C3) to provide 2 x 1-bedroom flats."/>
    <x v="684"/>
    <s v="COU"/>
    <x v="2"/>
    <s v="NSO"/>
    <m/>
    <m/>
    <m/>
    <m/>
    <s v="C"/>
    <s v="BF"/>
    <x v="0"/>
    <m/>
    <m/>
    <m/>
    <m/>
    <m/>
    <m/>
    <m/>
    <m/>
    <m/>
    <m/>
    <m/>
    <m/>
    <m/>
    <m/>
    <m/>
    <m/>
    <m/>
    <m/>
    <m/>
    <m/>
    <m/>
    <m/>
    <m/>
    <m/>
    <m/>
    <m/>
    <m/>
    <m/>
    <m/>
    <m/>
    <m/>
    <m/>
    <m/>
    <m/>
    <x v="0"/>
    <x v="0"/>
    <x v="1"/>
    <m/>
    <m/>
    <m/>
    <m/>
    <m/>
    <m/>
    <m/>
    <x v="0"/>
    <m/>
    <m/>
    <m/>
    <m/>
    <m/>
    <x v="0"/>
    <m/>
    <m/>
    <m/>
    <m/>
    <s v="-"/>
    <s v="-"/>
    <s v="-"/>
    <s v="-"/>
    <s v="-"/>
    <s v="-"/>
    <s v="-"/>
    <s v="-"/>
    <s v="-"/>
    <s v="-"/>
    <s v="-"/>
    <x v="1"/>
    <x v="0"/>
    <s v="-"/>
    <s v="-"/>
    <s v="-"/>
    <s v="-"/>
    <s v="-"/>
    <s v="-"/>
    <s v="-"/>
    <s v="-"/>
    <s v="-"/>
    <s v="-"/>
    <s v="-"/>
    <x v="0"/>
    <x v="0"/>
    <n v="0"/>
    <n v="0"/>
    <n v="106"/>
    <n v="-106"/>
    <x v="0"/>
    <x v="0"/>
    <m/>
    <x v="0"/>
    <m/>
    <x v="0"/>
    <m/>
    <x v="0"/>
    <x v="0"/>
    <x v="0"/>
    <x v="0"/>
    <m/>
    <n v="111"/>
    <n v="0"/>
    <n v="111"/>
    <x v="1"/>
    <m/>
  </r>
  <r>
    <x v="0"/>
    <x v="0"/>
    <x v="0"/>
    <x v="0"/>
    <n v="6589"/>
    <x v="633"/>
    <x v="3"/>
    <n v="8.9999996125698107E-3"/>
    <n v="527574"/>
    <n v="175160"/>
    <m/>
    <x v="710"/>
    <s v="PF"/>
    <d v="2017-05-19T00:00:00"/>
    <x v="300"/>
    <s v="Y"/>
    <m/>
    <s v="Nil"/>
    <m/>
    <m/>
    <s v="Change of use from Class A2 to Class A3 (food and drink) and installation of external extract flu to rear elevation; Opening hours Sunday 09:00 to 00:00, Monday - Saturday 09:00 to 00:30 (on the morning following)."/>
    <x v="685"/>
    <s v="COU"/>
    <x v="2"/>
    <s v="OC"/>
    <m/>
    <d v="2017-07-15T00:00:00"/>
    <d v="2018-03-31T00:00:00"/>
    <d v="2018-03-31T00:00:00"/>
    <s v="C"/>
    <s v="BF"/>
    <x v="0"/>
    <m/>
    <d v="2017-07-15T00:00:00"/>
    <d v="2018-03-31T00:00:00"/>
    <m/>
    <m/>
    <n v="101"/>
    <m/>
    <m/>
    <n v="101"/>
    <m/>
    <m/>
    <m/>
    <m/>
    <m/>
    <m/>
    <m/>
    <m/>
    <m/>
    <m/>
    <m/>
    <n v="101"/>
    <m/>
    <m/>
    <m/>
    <n v="101"/>
    <m/>
    <m/>
    <m/>
    <m/>
    <m/>
    <m/>
    <m/>
    <m/>
    <m/>
    <x v="1"/>
    <x v="0"/>
    <x v="1"/>
    <m/>
    <n v="-101"/>
    <n v="101"/>
    <m/>
    <m/>
    <m/>
    <m/>
    <x v="0"/>
    <m/>
    <m/>
    <m/>
    <m/>
    <m/>
    <x v="0"/>
    <m/>
    <m/>
    <m/>
    <m/>
    <s v="-"/>
    <s v="-"/>
    <s v="Restaurant"/>
    <s v="-"/>
    <s v="-"/>
    <s v="-"/>
    <s v="-"/>
    <s v="-"/>
    <s v="-"/>
    <s v="-"/>
    <s v="-"/>
    <x v="1"/>
    <x v="0"/>
    <s v="-"/>
    <s v="Not Known"/>
    <s v="-"/>
    <s v="-"/>
    <s v="-"/>
    <s v="-"/>
    <s v="-"/>
    <s v="-"/>
    <s v="-"/>
    <s v="-"/>
    <s v="-"/>
    <x v="0"/>
    <x v="0"/>
    <n v="8.9999996125698107E-3"/>
    <n v="101"/>
    <n v="101"/>
    <n v="0"/>
    <x v="0"/>
    <x v="0"/>
    <m/>
    <x v="0"/>
    <m/>
    <x v="0"/>
    <m/>
    <x v="0"/>
    <x v="1"/>
    <x v="1"/>
    <x v="0"/>
    <m/>
    <n v="0"/>
    <n v="0"/>
    <n v="0"/>
    <x v="0"/>
    <m/>
  </r>
  <r>
    <x v="3"/>
    <x v="0"/>
    <x v="0"/>
    <x v="1"/>
    <n v="6590"/>
    <x v="634"/>
    <x v="3"/>
    <n v="1.2000000104308101E-2"/>
    <n v="527583"/>
    <n v="174634"/>
    <m/>
    <x v="711"/>
    <s v="PF"/>
    <d v="2017-08-18T00:00:00"/>
    <x v="135"/>
    <s v="Y"/>
    <m/>
    <s v="Nil"/>
    <m/>
    <m/>
    <s v="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
    <x v="686"/>
    <s v="MIX"/>
    <x v="0"/>
    <s v="UC"/>
    <m/>
    <d v="2018-03-31T00:00:00"/>
    <m/>
    <m/>
    <s v="C"/>
    <s v="BF"/>
    <x v="0"/>
    <m/>
    <d v="2018-03-31T00:00:00"/>
    <m/>
    <n v="34"/>
    <m/>
    <m/>
    <m/>
    <m/>
    <n v="34"/>
    <m/>
    <m/>
    <m/>
    <m/>
    <m/>
    <m/>
    <m/>
    <m/>
    <m/>
    <m/>
    <m/>
    <m/>
    <m/>
    <m/>
    <m/>
    <m/>
    <m/>
    <m/>
    <m/>
    <m/>
    <m/>
    <m/>
    <m/>
    <m/>
    <m/>
    <x v="1"/>
    <x v="0"/>
    <x v="1"/>
    <n v="34"/>
    <m/>
    <m/>
    <m/>
    <m/>
    <n v="34"/>
    <m/>
    <x v="0"/>
    <m/>
    <m/>
    <m/>
    <m/>
    <m/>
    <x v="0"/>
    <m/>
    <m/>
    <m/>
    <m/>
    <s v="Consumables"/>
    <s v="-"/>
    <s v="-"/>
    <s v="-"/>
    <s v="-"/>
    <s v="-"/>
    <s v="-"/>
    <s v="-"/>
    <s v="-"/>
    <s v="-"/>
    <s v="-"/>
    <x v="1"/>
    <x v="0"/>
    <s v="-"/>
    <s v="-"/>
    <s v="-"/>
    <s v="-"/>
    <s v="-"/>
    <s v="-"/>
    <s v="-"/>
    <s v="-"/>
    <s v="-"/>
    <s v="-"/>
    <s v="-"/>
    <x v="0"/>
    <x v="0"/>
    <n v="1.0000001639127003E-3"/>
    <n v="34"/>
    <n v="0"/>
    <n v="34"/>
    <x v="0"/>
    <x v="0"/>
    <m/>
    <x v="0"/>
    <m/>
    <x v="0"/>
    <m/>
    <x v="0"/>
    <x v="0"/>
    <x v="0"/>
    <x v="0"/>
    <m/>
    <n v="124"/>
    <n v="106"/>
    <n v="18"/>
    <x v="1"/>
    <m/>
  </r>
  <r>
    <x v="2"/>
    <x v="0"/>
    <x v="0"/>
    <x v="1"/>
    <n v="6591"/>
    <x v="635"/>
    <x v="7"/>
    <n v="1.9999999552965199E-2"/>
    <n v="523591"/>
    <n v="175605"/>
    <m/>
    <x v="712"/>
    <s v="PF"/>
    <d v="2017-04-28T00:00:00"/>
    <x v="127"/>
    <s v="Y"/>
    <m/>
    <s v="Nil"/>
    <m/>
    <m/>
    <s v="Demolition of single storey extension and garage and erection of 1 x 2-bedroom two-storey house; associated alterations including landscaping, refuse and cycle storage."/>
    <x v="687"/>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45"/>
    <n v="-45"/>
    <x v="0"/>
    <x v="0"/>
    <m/>
    <x v="0"/>
    <m/>
    <x v="0"/>
    <m/>
    <x v="0"/>
    <x v="0"/>
    <x v="0"/>
    <x v="0"/>
    <m/>
    <n v="81"/>
    <n v="0"/>
    <n v="81"/>
    <x v="1"/>
    <m/>
  </r>
  <r>
    <x v="0"/>
    <x v="0"/>
    <x v="0"/>
    <x v="0"/>
    <n v="6593"/>
    <x v="636"/>
    <x v="12"/>
    <n v="3.5999998450279201E-2"/>
    <n v="525310"/>
    <n v="173602"/>
    <m/>
    <x v="713"/>
    <s v="PF"/>
    <d v="2017-05-15T00:00:00"/>
    <x v="448"/>
    <s v="Y"/>
    <m/>
    <s v="Nil"/>
    <m/>
    <m/>
    <s v="Change of use of part of the premises from a shop (Use Class A1) to a warehouse  (Use Class B8)."/>
    <x v="688"/>
    <s v="COU"/>
    <x v="2"/>
    <s v="OC"/>
    <m/>
    <d v="2017-08-01T00:00:00"/>
    <d v="2018-03-31T00:00:00"/>
    <d v="2018-03-31T00:00:00"/>
    <s v="C"/>
    <s v="BF"/>
    <x v="0"/>
    <m/>
    <d v="2017-08-01T00:00:00"/>
    <d v="2018-03-31T00:00:00"/>
    <m/>
    <m/>
    <m/>
    <m/>
    <m/>
    <m/>
    <m/>
    <m/>
    <m/>
    <m/>
    <m/>
    <n v="536"/>
    <n v="536"/>
    <m/>
    <m/>
    <m/>
    <n v="536"/>
    <m/>
    <m/>
    <m/>
    <m/>
    <n v="536"/>
    <m/>
    <m/>
    <m/>
    <m/>
    <m/>
    <m/>
    <m/>
    <m/>
    <m/>
    <x v="1"/>
    <x v="1"/>
    <x v="1"/>
    <n v="-536"/>
    <m/>
    <m/>
    <m/>
    <m/>
    <n v="-536"/>
    <m/>
    <x v="0"/>
    <m/>
    <m/>
    <m/>
    <n v="536"/>
    <n v="536"/>
    <x v="0"/>
    <m/>
    <m/>
    <m/>
    <m/>
    <s v="-"/>
    <s v="-"/>
    <s v="-"/>
    <s v="-"/>
    <s v="-"/>
    <s v="-"/>
    <s v="-"/>
    <s v="-"/>
    <s v="-"/>
    <s v="Other"/>
    <s v="-"/>
    <x v="1"/>
    <x v="0"/>
    <s v="Other"/>
    <s v="-"/>
    <s v="-"/>
    <s v="-"/>
    <s v="-"/>
    <s v="-"/>
    <s v="-"/>
    <s v="-"/>
    <s v="-"/>
    <s v="-"/>
    <s v="-"/>
    <x v="0"/>
    <x v="0"/>
    <n v="3.5999998450279201E-2"/>
    <n v="536"/>
    <n v="536"/>
    <n v="0"/>
    <x v="0"/>
    <x v="0"/>
    <m/>
    <x v="1"/>
    <s v="Kimber Road"/>
    <x v="0"/>
    <m/>
    <x v="0"/>
    <x v="0"/>
    <x v="0"/>
    <x v="0"/>
    <m/>
    <n v="0"/>
    <n v="0"/>
    <n v="0"/>
    <x v="0"/>
    <m/>
  </r>
  <r>
    <x v="2"/>
    <x v="0"/>
    <x v="0"/>
    <x v="1"/>
    <n v="6595"/>
    <x v="637"/>
    <x v="16"/>
    <n v="8.9999996125698107E-3"/>
    <n v="527461"/>
    <n v="170805"/>
    <m/>
    <x v="714"/>
    <s v="PF"/>
    <d v="2018-01-09T00:00:00"/>
    <x v="50"/>
    <s v="Y"/>
    <m/>
    <s v="Nil"/>
    <m/>
    <m/>
    <s v="Erection of a two-storey 2-bedroom dwellinghouse with associated boundary treatment, bin storage and bike storage."/>
    <x v="689"/>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21"/>
    <n v="-21"/>
    <x v="0"/>
    <x v="0"/>
    <m/>
    <x v="0"/>
    <m/>
    <x v="0"/>
    <m/>
    <x v="0"/>
    <x v="0"/>
    <x v="0"/>
    <x v="0"/>
    <m/>
    <n v="83"/>
    <n v="0"/>
    <n v="83"/>
    <x v="1"/>
    <m/>
  </r>
  <r>
    <x v="2"/>
    <x v="2"/>
    <x v="2"/>
    <x v="1"/>
    <n v="6600"/>
    <x v="638"/>
    <x v="13"/>
    <n v="8.9999996125698107E-3"/>
    <n v="525959"/>
    <n v="174033"/>
    <m/>
    <x v="715"/>
    <s v="PANR"/>
    <d v="2017-09-20T00:00:00"/>
    <x v="449"/>
    <s v="Y"/>
    <m/>
    <s v="Nil"/>
    <m/>
    <m/>
    <s v="Determination as to whether prior approval is required for change of use from retail (Class A1) to 1 x 1-bedroom flat and 1 studio flat (Class C3)."/>
    <x v="690"/>
    <s v="COU"/>
    <x v="2"/>
    <s v="NSO"/>
    <m/>
    <m/>
    <m/>
    <m/>
    <s v="C"/>
    <s v="BF"/>
    <x v="0"/>
    <m/>
    <m/>
    <m/>
    <m/>
    <m/>
    <m/>
    <m/>
    <m/>
    <m/>
    <m/>
    <m/>
    <m/>
    <m/>
    <m/>
    <m/>
    <m/>
    <m/>
    <m/>
    <m/>
    <n v="89"/>
    <m/>
    <m/>
    <m/>
    <m/>
    <n v="89"/>
    <m/>
    <m/>
    <m/>
    <m/>
    <m/>
    <m/>
    <m/>
    <m/>
    <m/>
    <x v="1"/>
    <x v="0"/>
    <x v="1"/>
    <n v="-89"/>
    <m/>
    <m/>
    <m/>
    <m/>
    <n v="-89"/>
    <m/>
    <x v="0"/>
    <m/>
    <m/>
    <m/>
    <m/>
    <m/>
    <x v="0"/>
    <m/>
    <m/>
    <m/>
    <m/>
    <s v="-"/>
    <s v="-"/>
    <s v="-"/>
    <s v="-"/>
    <s v="-"/>
    <s v="-"/>
    <s v="-"/>
    <s v="-"/>
    <s v="-"/>
    <s v="-"/>
    <s v="-"/>
    <x v="1"/>
    <x v="0"/>
    <s v="Consumables"/>
    <s v="-"/>
    <s v="-"/>
    <s v="-"/>
    <s v="-"/>
    <s v="-"/>
    <s v="-"/>
    <s v="-"/>
    <s v="-"/>
    <s v="-"/>
    <s v="-"/>
    <x v="0"/>
    <x v="0"/>
    <n v="3.9999997243285205E-3"/>
    <n v="0"/>
    <n v="89"/>
    <n v="-89"/>
    <x v="0"/>
    <x v="0"/>
    <m/>
    <x v="0"/>
    <m/>
    <x v="0"/>
    <m/>
    <x v="0"/>
    <x v="0"/>
    <x v="0"/>
    <x v="0"/>
    <m/>
    <n v="89"/>
    <n v="0"/>
    <n v="89"/>
    <x v="1"/>
    <m/>
  </r>
  <r>
    <x v="2"/>
    <x v="0"/>
    <x v="0"/>
    <x v="1"/>
    <n v="6601"/>
    <x v="639"/>
    <x v="17"/>
    <n v="1.09999999403954E-2"/>
    <n v="528338"/>
    <n v="172914"/>
    <m/>
    <x v="716"/>
    <s v="PF"/>
    <d v="2017-09-11T00:00:00"/>
    <x v="450"/>
    <s v="Y"/>
    <m/>
    <s v="Nil"/>
    <m/>
    <m/>
    <s v="Change of use from retail (Class A1) to a  restaurant and cafe (Class A3) and installation of extract flue to the rear elevation. Proposed opening hours 09:00am to 22:00pm Monday to Sunday and Bank Holidays."/>
    <x v="152"/>
    <s v="COU"/>
    <x v="2"/>
    <s v="NSO"/>
    <m/>
    <m/>
    <m/>
    <m/>
    <s v="C"/>
    <s v="BF"/>
    <x v="0"/>
    <m/>
    <m/>
    <m/>
    <m/>
    <m/>
    <n v="119"/>
    <m/>
    <m/>
    <n v="119"/>
    <m/>
    <m/>
    <m/>
    <m/>
    <m/>
    <m/>
    <m/>
    <m/>
    <m/>
    <m/>
    <n v="119"/>
    <m/>
    <m/>
    <m/>
    <m/>
    <n v="119"/>
    <m/>
    <m/>
    <m/>
    <m/>
    <m/>
    <m/>
    <m/>
    <m/>
    <m/>
    <x v="1"/>
    <x v="0"/>
    <x v="1"/>
    <n v="-119"/>
    <m/>
    <n v="119"/>
    <m/>
    <m/>
    <m/>
    <m/>
    <x v="0"/>
    <m/>
    <m/>
    <m/>
    <m/>
    <m/>
    <x v="0"/>
    <m/>
    <m/>
    <m/>
    <m/>
    <s v="-"/>
    <s v="-"/>
    <s v="Restaurant"/>
    <s v="-"/>
    <s v="-"/>
    <s v="-"/>
    <s v="-"/>
    <s v="-"/>
    <s v="-"/>
    <s v="-"/>
    <s v="-"/>
    <x v="1"/>
    <x v="0"/>
    <s v="Not Known"/>
    <s v="-"/>
    <s v="-"/>
    <s v="-"/>
    <s v="-"/>
    <s v="-"/>
    <s v="-"/>
    <s v="-"/>
    <s v="-"/>
    <s v="-"/>
    <s v="-"/>
    <x v="0"/>
    <x v="0"/>
    <n v="1.09999999403954E-2"/>
    <n v="119"/>
    <n v="119"/>
    <n v="0"/>
    <x v="0"/>
    <x v="0"/>
    <m/>
    <x v="0"/>
    <m/>
    <x v="0"/>
    <m/>
    <x v="0"/>
    <x v="0"/>
    <x v="0"/>
    <x v="0"/>
    <m/>
    <n v="0"/>
    <n v="0"/>
    <n v="0"/>
    <x v="0"/>
    <m/>
  </r>
  <r>
    <x v="2"/>
    <x v="0"/>
    <x v="0"/>
    <x v="1"/>
    <n v="6605"/>
    <x v="640"/>
    <x v="13"/>
    <n v="8.5000000894069699E-2"/>
    <n v="526077"/>
    <n v="171912"/>
    <m/>
    <x v="717"/>
    <s v="PF"/>
    <d v="2017-11-01T00:00:00"/>
    <x v="451"/>
    <s v="Y"/>
    <m/>
    <s v="Nil"/>
    <m/>
    <m/>
    <s v="Erection of three-storey building for use as workshop and warehouse with offices above (use Classes B1, B2 and B8) with associated car parking, disabled parking, bike storage and bin storage areas."/>
    <x v="691"/>
    <s v="NB"/>
    <x v="0"/>
    <s v="NSO"/>
    <m/>
    <m/>
    <m/>
    <m/>
    <s v="C"/>
    <s v="BF"/>
    <x v="0"/>
    <m/>
    <m/>
    <m/>
    <m/>
    <m/>
    <m/>
    <m/>
    <m/>
    <m/>
    <n v="530"/>
    <m/>
    <m/>
    <n v="530"/>
    <n v="190"/>
    <n v="190"/>
    <n v="910"/>
    <m/>
    <m/>
    <m/>
    <m/>
    <m/>
    <m/>
    <m/>
    <m/>
    <m/>
    <m/>
    <m/>
    <m/>
    <m/>
    <m/>
    <m/>
    <m/>
    <m/>
    <m/>
    <x v="0"/>
    <x v="1"/>
    <x v="1"/>
    <m/>
    <m/>
    <m/>
    <m/>
    <m/>
    <m/>
    <n v="530"/>
    <x v="0"/>
    <m/>
    <m/>
    <n v="190"/>
    <n v="190"/>
    <n v="910"/>
    <x v="0"/>
    <m/>
    <m/>
    <m/>
    <m/>
    <s v="-"/>
    <s v="-"/>
    <s v="-"/>
    <s v="-"/>
    <s v="-"/>
    <s v="Not Known"/>
    <s v="-"/>
    <s v="-"/>
    <s v="General Industry"/>
    <s v="Other"/>
    <s v="-"/>
    <x v="1"/>
    <x v="0"/>
    <s v="-"/>
    <s v="-"/>
    <s v="-"/>
    <s v="-"/>
    <s v="-"/>
    <s v="-"/>
    <s v="-"/>
    <s v="-"/>
    <s v="-"/>
    <s v="-"/>
    <s v="-"/>
    <x v="0"/>
    <x v="0"/>
    <n v="8.5000000894069699E-2"/>
    <n v="910"/>
    <n v="0"/>
    <n v="910"/>
    <x v="0"/>
    <x v="0"/>
    <m/>
    <x v="1"/>
    <s v="Summerstown"/>
    <x v="0"/>
    <m/>
    <x v="0"/>
    <x v="0"/>
    <x v="0"/>
    <x v="0"/>
    <m/>
    <n v="0"/>
    <n v="0"/>
    <n v="0"/>
    <x v="0"/>
    <m/>
  </r>
  <r>
    <x v="1"/>
    <x v="1"/>
    <x v="1"/>
    <x v="1"/>
    <n v="6607"/>
    <x v="641"/>
    <x v="7"/>
    <n v="1.8999999389052401E-2"/>
    <n v="524617"/>
    <n v="175406"/>
    <m/>
    <x v="718"/>
    <s v="RP"/>
    <d v="2017-06-26T00:00:00"/>
    <x v="444"/>
    <s v="Y"/>
    <m/>
    <s v="APP"/>
    <d v="2018-02-14T00:00:00"/>
    <m/>
    <s v="Change of use of the extension of the river walk in Wandsworth Park from Class D2 (assembly and leisure) to Class C3 (dwellinghouses) in order for the gardens of 105-115 Deodar Road to extend into the river walk area (approx. 176 sq.m)."/>
    <x v="692"/>
    <s v="COU"/>
    <x v="2"/>
    <s v="NSO"/>
    <m/>
    <m/>
    <m/>
    <m/>
    <s v="C"/>
    <s v="BF"/>
    <x v="0"/>
    <m/>
    <m/>
    <m/>
    <m/>
    <m/>
    <m/>
    <m/>
    <m/>
    <m/>
    <m/>
    <m/>
    <m/>
    <m/>
    <m/>
    <m/>
    <m/>
    <m/>
    <m/>
    <m/>
    <m/>
    <m/>
    <m/>
    <m/>
    <m/>
    <m/>
    <m/>
    <m/>
    <m/>
    <m/>
    <m/>
    <m/>
    <m/>
    <n v="176"/>
    <n v="176"/>
    <x v="0"/>
    <x v="0"/>
    <x v="0"/>
    <m/>
    <m/>
    <m/>
    <m/>
    <m/>
    <m/>
    <m/>
    <x v="0"/>
    <m/>
    <m/>
    <m/>
    <m/>
    <m/>
    <x v="0"/>
    <m/>
    <m/>
    <n v="-176"/>
    <n v="-176"/>
    <s v="-"/>
    <s v="-"/>
    <s v="-"/>
    <s v="-"/>
    <s v="-"/>
    <s v="-"/>
    <s v="-"/>
    <s v="-"/>
    <s v="-"/>
    <s v="-"/>
    <s v="-"/>
    <x v="1"/>
    <x v="0"/>
    <s v="-"/>
    <s v="-"/>
    <s v="-"/>
    <s v="-"/>
    <s v="-"/>
    <s v="-"/>
    <s v="-"/>
    <s v="-"/>
    <s v="-"/>
    <s v="-"/>
    <s v="-"/>
    <x v="0"/>
    <x v="4"/>
    <n v="1.8999999389052401E-2"/>
    <n v="0"/>
    <n v="176"/>
    <n v="-176"/>
    <x v="1"/>
    <x v="0"/>
    <m/>
    <x v="0"/>
    <m/>
    <x v="0"/>
    <m/>
    <x v="0"/>
    <x v="0"/>
    <x v="0"/>
    <x v="0"/>
    <m/>
    <n v="176"/>
    <n v="0"/>
    <n v="176"/>
    <x v="1"/>
    <m/>
  </r>
  <r>
    <x v="2"/>
    <x v="0"/>
    <x v="0"/>
    <x v="1"/>
    <n v="6609"/>
    <x v="642"/>
    <x v="8"/>
    <n v="2.8099999427795401"/>
    <n v="529294"/>
    <n v="176489"/>
    <s v="2.1.33"/>
    <x v="719"/>
    <s v="PF"/>
    <d v="2017-03-03T00:00:00"/>
    <x v="402"/>
    <s v="Y"/>
    <m/>
    <s v="Nil"/>
    <m/>
    <m/>
    <s v="Extension to existing single-storey portacabin located in the south of the site to create a second storey."/>
    <x v="693"/>
    <s v="EXT"/>
    <x v="1"/>
    <s v="NSO"/>
    <m/>
    <m/>
    <m/>
    <m/>
    <s v="C"/>
    <s v="BF"/>
    <x v="0"/>
    <m/>
    <m/>
    <m/>
    <m/>
    <m/>
    <m/>
    <m/>
    <m/>
    <m/>
    <m/>
    <m/>
    <m/>
    <m/>
    <m/>
    <m/>
    <m/>
    <m/>
    <m/>
    <m/>
    <m/>
    <m/>
    <m/>
    <m/>
    <m/>
    <m/>
    <m/>
    <m/>
    <m/>
    <m/>
    <m/>
    <m/>
    <m/>
    <m/>
    <m/>
    <x v="0"/>
    <x v="0"/>
    <x v="1"/>
    <m/>
    <m/>
    <m/>
    <m/>
    <m/>
    <m/>
    <m/>
    <x v="0"/>
    <m/>
    <m/>
    <m/>
    <m/>
    <m/>
    <x v="0"/>
    <m/>
    <m/>
    <m/>
    <m/>
    <s v="-"/>
    <s v="-"/>
    <s v="-"/>
    <s v="-"/>
    <s v="-"/>
    <s v="-"/>
    <s v="-"/>
    <s v="-"/>
    <s v="-"/>
    <s v="-"/>
    <s v="-"/>
    <x v="1"/>
    <x v="0"/>
    <s v="-"/>
    <s v="-"/>
    <s v="-"/>
    <s v="-"/>
    <s v="-"/>
    <s v="-"/>
    <s v="-"/>
    <s v="-"/>
    <s v="-"/>
    <s v="-"/>
    <s v="-"/>
    <x v="0"/>
    <x v="0"/>
    <n v="2.8099999427795401"/>
    <n v="26"/>
    <n v="0"/>
    <n v="26"/>
    <x v="0"/>
    <x v="1"/>
    <s v="Queenstown Road"/>
    <x v="0"/>
    <m/>
    <x v="0"/>
    <m/>
    <x v="1"/>
    <x v="0"/>
    <x v="0"/>
    <x v="0"/>
    <m/>
    <n v="0"/>
    <n v="0"/>
    <n v="0"/>
    <x v="0"/>
    <m/>
  </r>
  <r>
    <x v="0"/>
    <x v="2"/>
    <x v="2"/>
    <x v="2"/>
    <n v="6610"/>
    <x v="643"/>
    <x v="3"/>
    <n v="9.9999997764825804E-3"/>
    <n v="527447"/>
    <n v="175149"/>
    <m/>
    <x v="720"/>
    <s v="PAG"/>
    <d v="2017-06-02T00:00:00"/>
    <x v="452"/>
    <s v="Y"/>
    <m/>
    <s v="Nil"/>
    <m/>
    <m/>
    <s v="Determination as to whether prior approval is required for change of use from retail (Class A1) to a restaurant (Class A3)."/>
    <x v="36"/>
    <s v="COU"/>
    <x v="2"/>
    <s v="CO"/>
    <m/>
    <d v="2017-07-27T00:00:00"/>
    <d v="2018-03-31T00:00:00"/>
    <m/>
    <s v="C"/>
    <s v="BF"/>
    <x v="0"/>
    <m/>
    <d v="2017-07-27T00:00:00"/>
    <d v="2018-03-31T00:00:00"/>
    <m/>
    <m/>
    <n v="134"/>
    <m/>
    <m/>
    <n v="134"/>
    <m/>
    <m/>
    <m/>
    <m/>
    <m/>
    <m/>
    <m/>
    <m/>
    <m/>
    <m/>
    <n v="134"/>
    <m/>
    <m/>
    <m/>
    <m/>
    <n v="134"/>
    <m/>
    <m/>
    <m/>
    <m/>
    <m/>
    <m/>
    <m/>
    <m/>
    <m/>
    <x v="1"/>
    <x v="0"/>
    <x v="1"/>
    <n v="-134"/>
    <m/>
    <n v="134"/>
    <m/>
    <m/>
    <m/>
    <m/>
    <x v="0"/>
    <m/>
    <m/>
    <m/>
    <m/>
    <m/>
    <x v="0"/>
    <m/>
    <m/>
    <m/>
    <m/>
    <s v="-"/>
    <s v="-"/>
    <s v="Restaurant"/>
    <s v="-"/>
    <s v="-"/>
    <s v="-"/>
    <s v="-"/>
    <s v="-"/>
    <s v="-"/>
    <s v="-"/>
    <s v="-"/>
    <x v="1"/>
    <x v="0"/>
    <s v="Not Known"/>
    <s v="-"/>
    <s v="-"/>
    <s v="-"/>
    <s v="-"/>
    <s v="-"/>
    <s v="-"/>
    <s v="-"/>
    <s v="-"/>
    <s v="-"/>
    <s v="-"/>
    <x v="0"/>
    <x v="0"/>
    <n v="9.9999997764825804E-3"/>
    <n v="134"/>
    <n v="134"/>
    <n v="0"/>
    <x v="0"/>
    <x v="0"/>
    <m/>
    <x v="0"/>
    <m/>
    <x v="0"/>
    <m/>
    <x v="0"/>
    <x v="1"/>
    <x v="1"/>
    <x v="0"/>
    <m/>
    <n v="0"/>
    <n v="0"/>
    <n v="0"/>
    <x v="0"/>
    <m/>
  </r>
  <r>
    <x v="1"/>
    <x v="0"/>
    <x v="0"/>
    <x v="1"/>
    <n v="6613"/>
    <x v="644"/>
    <x v="7"/>
    <n v="3.9000000804662698E-2"/>
    <n v="523233"/>
    <n v="176094"/>
    <m/>
    <x v="721"/>
    <s v="AF"/>
    <d v="2017-12-19T00:00:00"/>
    <x v="1"/>
    <m/>
    <m/>
    <s v="Nil"/>
    <m/>
    <m/>
    <s v="Demolition of existing buildings and erection of a four storey building comprising 105sq.m ground floor commercial unit (Use Classes A1, A2 or B1), 3 x 1-bedroom and 2 x 2-bedroom flats above with front roof terrace and a two-storey, 2-bedroom mews house at the rear with two parking spaces, refuse and cycle storage."/>
    <x v="694"/>
    <s v="NB"/>
    <x v="0"/>
    <s v="NSO"/>
    <m/>
    <m/>
    <m/>
    <m/>
    <s v="P"/>
    <s v="BF"/>
    <x v="0"/>
    <m/>
    <m/>
    <m/>
    <n v="35"/>
    <n v="35"/>
    <m/>
    <m/>
    <m/>
    <n v="70"/>
    <n v="35"/>
    <m/>
    <m/>
    <n v="35"/>
    <m/>
    <m/>
    <n v="35"/>
    <m/>
    <m/>
    <m/>
    <m/>
    <m/>
    <m/>
    <m/>
    <m/>
    <m/>
    <n v="100"/>
    <m/>
    <m/>
    <m/>
    <n v="40"/>
    <n v="140"/>
    <m/>
    <m/>
    <m/>
    <x v="1"/>
    <x v="1"/>
    <x v="1"/>
    <n v="35"/>
    <n v="35"/>
    <m/>
    <m/>
    <m/>
    <n v="70"/>
    <n v="-65"/>
    <x v="1"/>
    <m/>
    <m/>
    <m/>
    <n v="-40"/>
    <n v="-105"/>
    <x v="1"/>
    <m/>
    <m/>
    <m/>
    <m/>
    <s v="Not Known"/>
    <s v="Not Known"/>
    <s v="-"/>
    <s v="-"/>
    <s v="-"/>
    <s v="Not Known"/>
    <s v="-"/>
    <s v="-"/>
    <s v="-"/>
    <s v="-"/>
    <s v="-"/>
    <x v="1"/>
    <x v="0"/>
    <s v="-"/>
    <s v="-"/>
    <s v="-"/>
    <s v="-"/>
    <s v="-"/>
    <s v="Other"/>
    <s v="-"/>
    <s v="-"/>
    <s v="-"/>
    <s v="Storage"/>
    <s v="-"/>
    <x v="0"/>
    <x v="0"/>
    <n v="8.0000013113021989E-3"/>
    <n v="105"/>
    <n v="278"/>
    <n v="-173"/>
    <x v="0"/>
    <x v="0"/>
    <m/>
    <x v="0"/>
    <m/>
    <x v="0"/>
    <m/>
    <x v="0"/>
    <x v="0"/>
    <x v="0"/>
    <x v="0"/>
    <m/>
    <n v="408"/>
    <n v="0"/>
    <n v="408"/>
    <x v="1"/>
    <m/>
  </r>
  <r>
    <x v="0"/>
    <x v="2"/>
    <x v="2"/>
    <x v="0"/>
    <n v="6616"/>
    <x v="645"/>
    <x v="11"/>
    <n v="6.0000000521540598E-3"/>
    <n v="528584"/>
    <n v="173374"/>
    <m/>
    <x v="722"/>
    <s v="PAG"/>
    <d v="2017-06-01T00:00:00"/>
    <x v="404"/>
    <s v="Y"/>
    <m/>
    <s v="Nil"/>
    <m/>
    <m/>
    <s v="Determination as to whether prior approval is required for change of use of ground floor from retail (Class A1) to a restaurant (Class A3)."/>
    <x v="36"/>
    <s v="COU"/>
    <x v="2"/>
    <s v="OC"/>
    <m/>
    <d v="2017-07-25T00:00:00"/>
    <d v="2018-03-31T00:00:00"/>
    <d v="2018-03-31T00:00:00"/>
    <s v="C"/>
    <s v="BF"/>
    <x v="0"/>
    <m/>
    <d v="2017-07-25T00:00:00"/>
    <d v="2018-03-31T00:00:00"/>
    <m/>
    <m/>
    <n v="74"/>
    <m/>
    <m/>
    <n v="74"/>
    <m/>
    <m/>
    <m/>
    <m/>
    <m/>
    <m/>
    <m/>
    <m/>
    <m/>
    <m/>
    <n v="74"/>
    <m/>
    <m/>
    <m/>
    <m/>
    <n v="74"/>
    <m/>
    <m/>
    <m/>
    <m/>
    <m/>
    <m/>
    <m/>
    <m/>
    <m/>
    <x v="1"/>
    <x v="0"/>
    <x v="1"/>
    <n v="-74"/>
    <m/>
    <n v="74"/>
    <m/>
    <m/>
    <m/>
    <m/>
    <x v="0"/>
    <m/>
    <m/>
    <m/>
    <m/>
    <m/>
    <x v="0"/>
    <m/>
    <m/>
    <m/>
    <m/>
    <s v="-"/>
    <s v="-"/>
    <s v="Café"/>
    <s v="-"/>
    <s v="-"/>
    <s v="-"/>
    <s v="-"/>
    <s v="-"/>
    <s v="-"/>
    <s v="-"/>
    <s v="-"/>
    <x v="1"/>
    <x v="0"/>
    <s v="Consumables"/>
    <s v="-"/>
    <s v="-"/>
    <s v="-"/>
    <s v="-"/>
    <s v="-"/>
    <s v="-"/>
    <s v="-"/>
    <s v="-"/>
    <s v="-"/>
    <s v="-"/>
    <x v="0"/>
    <x v="0"/>
    <n v="6.0000000521540598E-3"/>
    <n v="74"/>
    <n v="74"/>
    <n v="0"/>
    <x v="0"/>
    <x v="0"/>
    <m/>
    <x v="0"/>
    <m/>
    <x v="0"/>
    <m/>
    <x v="0"/>
    <x v="1"/>
    <x v="5"/>
    <x v="0"/>
    <m/>
    <n v="0"/>
    <n v="0"/>
    <n v="0"/>
    <x v="0"/>
    <m/>
  </r>
  <r>
    <x v="2"/>
    <x v="0"/>
    <x v="0"/>
    <x v="1"/>
    <n v="6617"/>
    <x v="646"/>
    <x v="17"/>
    <n v="1.60000007599592E-2"/>
    <n v="528284"/>
    <n v="172328"/>
    <m/>
    <x v="723"/>
    <s v="PF"/>
    <d v="2017-10-03T00:00:00"/>
    <x v="453"/>
    <s v="Y"/>
    <m/>
    <s v="Nil"/>
    <m/>
    <m/>
    <s v="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
    <x v="695"/>
    <s v="MIX"/>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98"/>
    <n v="-98"/>
    <x v="0"/>
    <x v="0"/>
    <m/>
    <x v="0"/>
    <m/>
    <x v="0"/>
    <m/>
    <x v="0"/>
    <x v="0"/>
    <x v="0"/>
    <x v="0"/>
    <m/>
    <n v="247"/>
    <n v="97"/>
    <n v="150"/>
    <x v="1"/>
    <m/>
  </r>
  <r>
    <x v="2"/>
    <x v="0"/>
    <x v="0"/>
    <x v="1"/>
    <n v="6620"/>
    <x v="647"/>
    <x v="1"/>
    <n v="5.7000000029802302E-2"/>
    <n v="521316"/>
    <n v="174751"/>
    <m/>
    <x v="724"/>
    <s v="PF"/>
    <d v="2017-06-05T00:00:00"/>
    <x v="375"/>
    <s v="Y"/>
    <m/>
    <s v="Nil"/>
    <m/>
    <m/>
    <s v="Change of use of ground floor of the south Wing from leisure (Class D2) to office (Class B1)."/>
    <x v="696"/>
    <s v="COU"/>
    <x v="2"/>
    <s v="NSV"/>
    <m/>
    <m/>
    <m/>
    <m/>
    <s v="C"/>
    <s v="BF"/>
    <x v="0"/>
    <m/>
    <m/>
    <m/>
    <m/>
    <m/>
    <m/>
    <m/>
    <m/>
    <m/>
    <n v="263"/>
    <m/>
    <m/>
    <n v="263"/>
    <m/>
    <m/>
    <n v="263"/>
    <m/>
    <m/>
    <m/>
    <m/>
    <m/>
    <m/>
    <m/>
    <m/>
    <m/>
    <m/>
    <m/>
    <m/>
    <m/>
    <m/>
    <m/>
    <m/>
    <n v="263"/>
    <n v="263"/>
    <x v="0"/>
    <x v="1"/>
    <x v="0"/>
    <m/>
    <m/>
    <m/>
    <m/>
    <m/>
    <m/>
    <n v="263"/>
    <x v="0"/>
    <m/>
    <m/>
    <m/>
    <m/>
    <n v="263"/>
    <x v="0"/>
    <m/>
    <m/>
    <n v="-263"/>
    <n v="-263"/>
    <s v="-"/>
    <s v="-"/>
    <s v="-"/>
    <s v="-"/>
    <s v="-"/>
    <s v="Not Known"/>
    <s v="-"/>
    <s v="-"/>
    <s v="-"/>
    <s v="-"/>
    <s v="-"/>
    <x v="1"/>
    <x v="0"/>
    <s v="-"/>
    <s v="-"/>
    <s v="-"/>
    <s v="-"/>
    <s v="-"/>
    <s v="-"/>
    <s v="-"/>
    <s v="-"/>
    <s v="-"/>
    <s v="-"/>
    <s v="-"/>
    <x v="0"/>
    <x v="1"/>
    <n v="5.7000000029802302E-2"/>
    <n v="263"/>
    <n v="263"/>
    <n v="0"/>
    <x v="0"/>
    <x v="0"/>
    <m/>
    <x v="0"/>
    <m/>
    <x v="0"/>
    <m/>
    <x v="0"/>
    <x v="0"/>
    <x v="0"/>
    <x v="0"/>
    <m/>
    <n v="0"/>
    <n v="0"/>
    <n v="0"/>
    <x v="0"/>
    <m/>
  </r>
  <r>
    <x v="3"/>
    <x v="0"/>
    <x v="0"/>
    <x v="1"/>
    <n v="6624"/>
    <x v="648"/>
    <x v="3"/>
    <n v="1.30000002682209E-2"/>
    <n v="527563"/>
    <n v="174577"/>
    <m/>
    <x v="725"/>
    <s v="PF"/>
    <d v="2017-06-13T00:00:00"/>
    <x v="35"/>
    <s v="Y"/>
    <m/>
    <s v="Nil"/>
    <m/>
    <m/>
    <s v="Alterations including erection of side conservatory and single storey rear extension in connection with the change of use from retail (Class A1) to restaurant/cafe (Class A3). Opening hours 07:00 to 22:00 Monday to Sunday (Amended description)."/>
    <x v="697"/>
    <s v="MIX"/>
    <x v="0"/>
    <s v="UC"/>
    <m/>
    <d v="2012-07-01T00:00:00"/>
    <m/>
    <m/>
    <s v="C"/>
    <s v="BF"/>
    <x v="0"/>
    <m/>
    <d v="2012-07-01T00:00:00"/>
    <m/>
    <m/>
    <m/>
    <n v="144"/>
    <m/>
    <m/>
    <n v="144"/>
    <m/>
    <m/>
    <m/>
    <m/>
    <m/>
    <m/>
    <m/>
    <m/>
    <m/>
    <m/>
    <n v="57"/>
    <m/>
    <m/>
    <m/>
    <m/>
    <n v="57"/>
    <m/>
    <m/>
    <m/>
    <m/>
    <m/>
    <m/>
    <m/>
    <m/>
    <m/>
    <x v="1"/>
    <x v="0"/>
    <x v="1"/>
    <n v="-57"/>
    <m/>
    <n v="144"/>
    <m/>
    <m/>
    <n v="87"/>
    <m/>
    <x v="0"/>
    <m/>
    <m/>
    <m/>
    <m/>
    <m/>
    <x v="0"/>
    <m/>
    <m/>
    <m/>
    <m/>
    <s v="-"/>
    <s v="-"/>
    <s v="Restaurant"/>
    <s v="-"/>
    <s v="-"/>
    <s v="-"/>
    <s v="-"/>
    <s v="-"/>
    <s v="-"/>
    <s v="-"/>
    <s v="-"/>
    <x v="1"/>
    <x v="0"/>
    <s v="Not Known"/>
    <s v="-"/>
    <s v="-"/>
    <s v="-"/>
    <s v="-"/>
    <s v="-"/>
    <s v="-"/>
    <s v="-"/>
    <s v="-"/>
    <s v="-"/>
    <s v="-"/>
    <x v="0"/>
    <x v="0"/>
    <n v="1.30000002682209E-2"/>
    <n v="144"/>
    <n v="57"/>
    <n v="87"/>
    <x v="0"/>
    <x v="0"/>
    <m/>
    <x v="0"/>
    <m/>
    <x v="0"/>
    <m/>
    <x v="0"/>
    <x v="0"/>
    <x v="0"/>
    <x v="0"/>
    <m/>
    <n v="0"/>
    <n v="0"/>
    <n v="0"/>
    <x v="0"/>
    <m/>
  </r>
  <r>
    <x v="2"/>
    <x v="0"/>
    <x v="0"/>
    <x v="1"/>
    <n v="6625"/>
    <x v="649"/>
    <x v="3"/>
    <n v="9.9999997764825804E-3"/>
    <n v="527466"/>
    <n v="174983"/>
    <m/>
    <x v="726"/>
    <s v="PF"/>
    <d v="2017-06-12T00:00:00"/>
    <x v="172"/>
    <s v="Y"/>
    <m/>
    <s v="Nil"/>
    <m/>
    <m/>
    <s v="Change of Use of the ground floor from Class A1 (retail) to Class A3 (restaurant and cafe)."/>
    <x v="152"/>
    <s v="COU"/>
    <x v="2"/>
    <s v="NSO"/>
    <m/>
    <m/>
    <m/>
    <m/>
    <s v="C"/>
    <s v="BF"/>
    <x v="0"/>
    <m/>
    <m/>
    <m/>
    <m/>
    <m/>
    <n v="112"/>
    <m/>
    <m/>
    <n v="112"/>
    <m/>
    <m/>
    <m/>
    <m/>
    <m/>
    <m/>
    <m/>
    <m/>
    <m/>
    <m/>
    <n v="112"/>
    <m/>
    <m/>
    <m/>
    <m/>
    <n v="112"/>
    <m/>
    <m/>
    <m/>
    <m/>
    <m/>
    <m/>
    <m/>
    <m/>
    <m/>
    <x v="1"/>
    <x v="0"/>
    <x v="1"/>
    <n v="-112"/>
    <m/>
    <n v="112"/>
    <m/>
    <m/>
    <m/>
    <m/>
    <x v="0"/>
    <m/>
    <m/>
    <m/>
    <m/>
    <m/>
    <x v="0"/>
    <m/>
    <m/>
    <m/>
    <m/>
    <s v="-"/>
    <s v="-"/>
    <s v="Restaurant"/>
    <s v="-"/>
    <s v="-"/>
    <s v="-"/>
    <s v="-"/>
    <s v="-"/>
    <s v="-"/>
    <s v="-"/>
    <s v="-"/>
    <x v="1"/>
    <x v="0"/>
    <s v="Consumables"/>
    <s v="-"/>
    <s v="-"/>
    <s v="-"/>
    <s v="-"/>
    <s v="-"/>
    <s v="-"/>
    <s v="-"/>
    <s v="-"/>
    <s v="-"/>
    <s v="-"/>
    <x v="0"/>
    <x v="0"/>
    <n v="9.9999997764825804E-3"/>
    <n v="112"/>
    <n v="112"/>
    <n v="0"/>
    <x v="0"/>
    <x v="0"/>
    <m/>
    <x v="0"/>
    <m/>
    <x v="0"/>
    <m/>
    <x v="0"/>
    <x v="1"/>
    <x v="1"/>
    <x v="0"/>
    <m/>
    <n v="0"/>
    <n v="0"/>
    <n v="0"/>
    <x v="0"/>
    <m/>
  </r>
  <r>
    <x v="1"/>
    <x v="0"/>
    <x v="0"/>
    <x v="1"/>
    <n v="6626"/>
    <x v="650"/>
    <x v="8"/>
    <n v="2.4000000208616298E-2"/>
    <n v="528645"/>
    <n v="175982"/>
    <m/>
    <x v="727"/>
    <s v="AF"/>
    <d v="2017-11-03T00:00:00"/>
    <x v="1"/>
    <m/>
    <m/>
    <s v="Nil"/>
    <m/>
    <m/>
    <s v="Demolition of storage facility and erection of 1 x 3-bedroom two-storey (plus basement) house with associated landscaping and refuse and cycle store."/>
    <x v="698"/>
    <s v="NB"/>
    <x v="0"/>
    <s v="NSO"/>
    <m/>
    <m/>
    <m/>
    <m/>
    <s v="P"/>
    <s v="BF"/>
    <x v="0"/>
    <m/>
    <m/>
    <m/>
    <m/>
    <m/>
    <m/>
    <m/>
    <m/>
    <m/>
    <m/>
    <m/>
    <m/>
    <m/>
    <m/>
    <m/>
    <m/>
    <m/>
    <m/>
    <m/>
    <m/>
    <m/>
    <m/>
    <n v="11"/>
    <m/>
    <n v="11"/>
    <m/>
    <m/>
    <m/>
    <m/>
    <m/>
    <m/>
    <m/>
    <m/>
    <m/>
    <x v="1"/>
    <x v="0"/>
    <x v="1"/>
    <m/>
    <m/>
    <m/>
    <n v="-11"/>
    <m/>
    <n v="-11"/>
    <m/>
    <x v="0"/>
    <m/>
    <m/>
    <m/>
    <m/>
    <m/>
    <x v="0"/>
    <m/>
    <m/>
    <m/>
    <m/>
    <s v="-"/>
    <s v="-"/>
    <s v="-"/>
    <s v="-"/>
    <s v="-"/>
    <s v="-"/>
    <s v="-"/>
    <s v="-"/>
    <s v="-"/>
    <s v="-"/>
    <s v="-"/>
    <x v="1"/>
    <x v="0"/>
    <s v="-"/>
    <s v="-"/>
    <s v="-"/>
    <s v="Public House"/>
    <s v="-"/>
    <s v="-"/>
    <s v="-"/>
    <s v="-"/>
    <s v="-"/>
    <s v="-"/>
    <s v="-"/>
    <x v="0"/>
    <x v="0"/>
    <n v="9.0000005438923992E-3"/>
    <n v="0"/>
    <n v="11"/>
    <n v="-11"/>
    <x v="0"/>
    <x v="0"/>
    <m/>
    <x v="0"/>
    <m/>
    <x v="0"/>
    <m/>
    <x v="0"/>
    <x v="0"/>
    <x v="0"/>
    <x v="0"/>
    <m/>
    <n v="150"/>
    <n v="0"/>
    <n v="150"/>
    <x v="1"/>
    <m/>
  </r>
  <r>
    <x v="1"/>
    <x v="0"/>
    <x v="0"/>
    <x v="1"/>
    <n v="6626"/>
    <x v="650"/>
    <x v="8"/>
    <n v="2.4000000208616298E-2"/>
    <n v="528645"/>
    <n v="175982"/>
    <m/>
    <x v="728"/>
    <s v="AF"/>
    <d v="2018-01-23T00:00:00"/>
    <x v="1"/>
    <m/>
    <m/>
    <s v="Nil"/>
    <m/>
    <m/>
    <s v="Use of the basement and ground floors as a public house (Use Class A4), an additional storey through a roof extension to create a 1 x 3-bedroom flat, a single storey side extension at first floor level and conversion of the first and second floors into 3 x 2-bedroom flats and 1 x studio flat."/>
    <x v="699"/>
    <s v="MIX"/>
    <x v="0"/>
    <s v="NSO"/>
    <m/>
    <m/>
    <m/>
    <m/>
    <s v="P"/>
    <s v="BF"/>
    <x v="0"/>
    <m/>
    <m/>
    <m/>
    <m/>
    <m/>
    <m/>
    <n v="352"/>
    <m/>
    <n v="352"/>
    <m/>
    <m/>
    <m/>
    <m/>
    <m/>
    <m/>
    <m/>
    <m/>
    <m/>
    <m/>
    <m/>
    <m/>
    <m/>
    <n v="714"/>
    <m/>
    <n v="714"/>
    <m/>
    <m/>
    <m/>
    <m/>
    <m/>
    <m/>
    <m/>
    <m/>
    <m/>
    <x v="1"/>
    <x v="0"/>
    <x v="1"/>
    <m/>
    <m/>
    <m/>
    <n v="-362"/>
    <m/>
    <n v="-362"/>
    <m/>
    <x v="0"/>
    <m/>
    <m/>
    <m/>
    <m/>
    <m/>
    <x v="0"/>
    <m/>
    <m/>
    <m/>
    <m/>
    <s v="-"/>
    <s v="-"/>
    <s v="-"/>
    <s v="Public House"/>
    <s v="-"/>
    <s v="-"/>
    <s v="-"/>
    <s v="-"/>
    <s v="-"/>
    <s v="-"/>
    <s v="-"/>
    <x v="1"/>
    <x v="0"/>
    <s v="-"/>
    <s v="-"/>
    <s v="-"/>
    <s v="Public House"/>
    <s v="-"/>
    <s v="-"/>
    <s v="-"/>
    <s v="-"/>
    <s v="-"/>
    <s v="-"/>
    <s v="-"/>
    <x v="0"/>
    <x v="0"/>
    <n v="1.0000000009313299E-2"/>
    <n v="352"/>
    <n v="714"/>
    <n v="-362"/>
    <x v="0"/>
    <x v="0"/>
    <m/>
    <x v="0"/>
    <m/>
    <x v="0"/>
    <m/>
    <x v="0"/>
    <x v="0"/>
    <x v="0"/>
    <x v="0"/>
    <m/>
    <n v="453"/>
    <n v="0"/>
    <n v="453"/>
    <x v="1"/>
    <m/>
  </r>
  <r>
    <x v="2"/>
    <x v="0"/>
    <x v="0"/>
    <x v="1"/>
    <n v="6627"/>
    <x v="651"/>
    <x v="8"/>
    <n v="1.09999999403954E-2"/>
    <n v="528710"/>
    <n v="176889"/>
    <s v="2.1.30"/>
    <x v="729"/>
    <s v="PF"/>
    <d v="2017-06-09T00:00:00"/>
    <x v="92"/>
    <s v="Y"/>
    <m/>
    <s v="Nil"/>
    <m/>
    <m/>
    <s v="Erection of three storey rear extension and side extension on the third floor and conversion of basement into shop storage."/>
    <x v="700"/>
    <s v="MIX"/>
    <x v="0"/>
    <s v="NSO"/>
    <m/>
    <m/>
    <m/>
    <m/>
    <s v="C"/>
    <s v="BF"/>
    <x v="0"/>
    <m/>
    <m/>
    <m/>
    <m/>
    <m/>
    <m/>
    <m/>
    <m/>
    <m/>
    <m/>
    <m/>
    <m/>
    <m/>
    <m/>
    <n v="73"/>
    <n v="73"/>
    <m/>
    <m/>
    <m/>
    <m/>
    <m/>
    <m/>
    <m/>
    <m/>
    <m/>
    <m/>
    <m/>
    <m/>
    <m/>
    <m/>
    <m/>
    <m/>
    <m/>
    <m/>
    <x v="0"/>
    <x v="1"/>
    <x v="1"/>
    <m/>
    <m/>
    <m/>
    <m/>
    <m/>
    <m/>
    <m/>
    <x v="0"/>
    <m/>
    <m/>
    <m/>
    <n v="73"/>
    <n v="73"/>
    <x v="0"/>
    <m/>
    <m/>
    <m/>
    <m/>
    <s v="-"/>
    <s v="-"/>
    <s v="-"/>
    <s v="-"/>
    <s v="-"/>
    <s v="-"/>
    <s v="-"/>
    <s v="-"/>
    <s v="-"/>
    <s v="Storage"/>
    <s v="-"/>
    <x v="1"/>
    <x v="0"/>
    <s v="-"/>
    <s v="-"/>
    <s v="-"/>
    <s v="-"/>
    <s v="-"/>
    <s v="-"/>
    <s v="-"/>
    <s v="-"/>
    <s v="-"/>
    <s v="-"/>
    <s v="-"/>
    <x v="0"/>
    <x v="0"/>
    <n v="3.9999997243285604E-3"/>
    <n v="73"/>
    <n v="0"/>
    <n v="73"/>
    <x v="0"/>
    <x v="0"/>
    <m/>
    <x v="0"/>
    <m/>
    <x v="0"/>
    <m/>
    <x v="1"/>
    <x v="0"/>
    <x v="0"/>
    <x v="0"/>
    <m/>
    <n v="199"/>
    <n v="177"/>
    <n v="22"/>
    <x v="1"/>
    <m/>
  </r>
  <r>
    <x v="1"/>
    <x v="0"/>
    <x v="0"/>
    <x v="1"/>
    <n v="6633"/>
    <x v="652"/>
    <x v="6"/>
    <n v="9.4999998807907104E-2"/>
    <n v="528446"/>
    <n v="175694"/>
    <m/>
    <x v="730"/>
    <s v="AF"/>
    <d v="2018-01-29T00:00:00"/>
    <x v="1"/>
    <m/>
    <m/>
    <s v="Nil"/>
    <m/>
    <m/>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x v="701"/>
    <s v="NB"/>
    <x v="0"/>
    <s v="NSO"/>
    <m/>
    <m/>
    <m/>
    <m/>
    <s v="P"/>
    <s v="BF"/>
    <x v="0"/>
    <m/>
    <m/>
    <m/>
    <m/>
    <m/>
    <m/>
    <m/>
    <m/>
    <m/>
    <m/>
    <m/>
    <m/>
    <m/>
    <m/>
    <m/>
    <m/>
    <m/>
    <m/>
    <m/>
    <m/>
    <m/>
    <m/>
    <m/>
    <m/>
    <m/>
    <n v="427"/>
    <m/>
    <m/>
    <m/>
    <m/>
    <n v="427"/>
    <m/>
    <m/>
    <m/>
    <x v="0"/>
    <x v="1"/>
    <x v="1"/>
    <m/>
    <m/>
    <m/>
    <m/>
    <m/>
    <m/>
    <n v="-427"/>
    <x v="1"/>
    <m/>
    <m/>
    <m/>
    <m/>
    <n v="-427"/>
    <x v="1"/>
    <m/>
    <m/>
    <m/>
    <m/>
    <s v="-"/>
    <s v="-"/>
    <s v="-"/>
    <s v="-"/>
    <s v="-"/>
    <s v="-"/>
    <s v="-"/>
    <s v="-"/>
    <s v="-"/>
    <s v="-"/>
    <s v="-"/>
    <x v="1"/>
    <x v="0"/>
    <s v="-"/>
    <s v="-"/>
    <s v="-"/>
    <s v="-"/>
    <s v="-"/>
    <s v="Vacant"/>
    <s v="-"/>
    <s v="-"/>
    <s v="-"/>
    <s v="-"/>
    <s v="-"/>
    <x v="0"/>
    <x v="0"/>
    <n v="0"/>
    <n v="0"/>
    <n v="427"/>
    <n v="-427"/>
    <x v="0"/>
    <x v="0"/>
    <m/>
    <x v="0"/>
    <m/>
    <x v="0"/>
    <m/>
    <x v="0"/>
    <x v="0"/>
    <x v="0"/>
    <x v="0"/>
    <m/>
    <n v="762"/>
    <n v="178"/>
    <n v="584"/>
    <x v="1"/>
    <m/>
  </r>
  <r>
    <x v="3"/>
    <x v="0"/>
    <x v="0"/>
    <x v="1"/>
    <n v="6642"/>
    <x v="653"/>
    <x v="2"/>
    <n v="4.0000001899898104E-3"/>
    <n v="528440"/>
    <n v="173266"/>
    <m/>
    <x v="731"/>
    <s v="PF"/>
    <d v="2017-07-07T00:00:00"/>
    <x v="126"/>
    <s v="Y"/>
    <m/>
    <s v="Nil"/>
    <m/>
    <m/>
    <s v="Alterations, including to shopfront,  in connection with change of use from retail (Class A1) to restaurant (Class A3) and installation of flue. (Revised plans)."/>
    <x v="702"/>
    <s v="COU"/>
    <x v="2"/>
    <s v="UC"/>
    <m/>
    <d v="2018-03-31T00:00:00"/>
    <m/>
    <m/>
    <s v="C"/>
    <s v="BF"/>
    <x v="0"/>
    <m/>
    <d v="2018-03-31T00:00:00"/>
    <m/>
    <m/>
    <m/>
    <n v="34"/>
    <m/>
    <m/>
    <n v="34"/>
    <m/>
    <m/>
    <m/>
    <m/>
    <m/>
    <m/>
    <m/>
    <m/>
    <m/>
    <m/>
    <n v="34"/>
    <m/>
    <m/>
    <m/>
    <m/>
    <n v="34"/>
    <m/>
    <m/>
    <m/>
    <m/>
    <m/>
    <m/>
    <m/>
    <m/>
    <m/>
    <x v="1"/>
    <x v="0"/>
    <x v="1"/>
    <n v="-34"/>
    <m/>
    <n v="34"/>
    <m/>
    <m/>
    <m/>
    <m/>
    <x v="0"/>
    <m/>
    <m/>
    <m/>
    <m/>
    <m/>
    <x v="0"/>
    <m/>
    <m/>
    <m/>
    <m/>
    <s v="-"/>
    <s v="-"/>
    <s v="Restaurant"/>
    <s v="-"/>
    <s v="-"/>
    <s v="-"/>
    <s v="-"/>
    <s v="-"/>
    <s v="-"/>
    <s v="-"/>
    <s v="-"/>
    <x v="1"/>
    <x v="0"/>
    <s v="Vacant"/>
    <s v="-"/>
    <s v="-"/>
    <s v="-"/>
    <s v="-"/>
    <s v="-"/>
    <s v="-"/>
    <s v="-"/>
    <s v="-"/>
    <s v="-"/>
    <s v="-"/>
    <x v="0"/>
    <x v="0"/>
    <n v="4.0000001899898104E-3"/>
    <n v="34"/>
    <n v="34"/>
    <n v="0"/>
    <x v="0"/>
    <x v="0"/>
    <m/>
    <x v="0"/>
    <m/>
    <x v="0"/>
    <m/>
    <x v="0"/>
    <x v="1"/>
    <x v="5"/>
    <x v="0"/>
    <m/>
    <n v="0"/>
    <n v="0"/>
    <n v="0"/>
    <x v="0"/>
    <m/>
  </r>
  <r>
    <x v="2"/>
    <x v="0"/>
    <x v="0"/>
    <x v="1"/>
    <n v="6644"/>
    <x v="654"/>
    <x v="4"/>
    <n v="5.4000000953674299"/>
    <n v="526166"/>
    <n v="175349"/>
    <m/>
    <x v="732"/>
    <s v="PF"/>
    <d v="2017-06-27T00:00:00"/>
    <x v="439"/>
    <s v="Y"/>
    <m/>
    <s v="Nil"/>
    <m/>
    <m/>
    <s v="Change of use from Classes A1, A2, A3, and B1 to D2 (Assembly and Leisure). Opening hours 06:00 - 23:00 Monday to Sunday."/>
    <x v="703"/>
    <s v="COU"/>
    <x v="2"/>
    <s v="NSO"/>
    <m/>
    <m/>
    <m/>
    <m/>
    <s v="C"/>
    <s v="BF"/>
    <x v="0"/>
    <m/>
    <m/>
    <m/>
    <m/>
    <m/>
    <m/>
    <m/>
    <m/>
    <m/>
    <m/>
    <m/>
    <m/>
    <m/>
    <m/>
    <m/>
    <m/>
    <m/>
    <n v="176"/>
    <n v="176"/>
    <n v="44"/>
    <n v="44"/>
    <n v="44"/>
    <m/>
    <m/>
    <n v="132"/>
    <n v="44"/>
    <m/>
    <m/>
    <m/>
    <m/>
    <n v="44"/>
    <m/>
    <m/>
    <m/>
    <x v="1"/>
    <x v="1"/>
    <x v="0"/>
    <n v="-44"/>
    <n v="-44"/>
    <n v="-44"/>
    <m/>
    <m/>
    <n v="-132"/>
    <n v="-44"/>
    <x v="1"/>
    <m/>
    <m/>
    <m/>
    <m/>
    <n v="-44"/>
    <x v="1"/>
    <m/>
    <m/>
    <n v="176"/>
    <n v="176"/>
    <s v="-"/>
    <s v="-"/>
    <s v="-"/>
    <s v="-"/>
    <s v="-"/>
    <s v="-"/>
    <s v="-"/>
    <s v="-"/>
    <s v="-"/>
    <s v="-"/>
    <s v="-"/>
    <x v="1"/>
    <x v="3"/>
    <s v="Vacant"/>
    <s v="Vacant"/>
    <s v="Vacant"/>
    <s v="-"/>
    <s v="-"/>
    <s v="Vacant"/>
    <s v="-"/>
    <s v="-"/>
    <s v="-"/>
    <s v="-"/>
    <s v="-"/>
    <x v="0"/>
    <x v="0"/>
    <n v="5.4000000953674299"/>
    <n v="176"/>
    <n v="176"/>
    <n v="0"/>
    <x v="1"/>
    <x v="0"/>
    <m/>
    <x v="0"/>
    <m/>
    <x v="0"/>
    <m/>
    <x v="0"/>
    <x v="0"/>
    <x v="0"/>
    <x v="0"/>
    <m/>
    <n v="0"/>
    <n v="0"/>
    <n v="0"/>
    <x v="0"/>
    <m/>
  </r>
  <r>
    <x v="0"/>
    <x v="2"/>
    <x v="2"/>
    <x v="0"/>
    <n v="6645"/>
    <x v="655"/>
    <x v="11"/>
    <n v="8.9999996125698107E-3"/>
    <n v="528766"/>
    <n v="173833"/>
    <m/>
    <x v="733"/>
    <s v="PAG"/>
    <d v="2017-09-01T00:00:00"/>
    <x v="454"/>
    <s v="Y"/>
    <m/>
    <s v="Nil"/>
    <m/>
    <m/>
    <s v="Determination as to whether prior approval is required for change of use from estate agent (Class A2) to spin studio (Class D2)."/>
    <x v="704"/>
    <s v="COU"/>
    <x v="2"/>
    <s v="OC"/>
    <m/>
    <d v="2017-09-04T00:00:00"/>
    <d v="2018-03-31T00:00:00"/>
    <d v="2018-03-31T00:00:00"/>
    <s v="C"/>
    <s v="BF"/>
    <x v="0"/>
    <m/>
    <d v="2017-09-04T00:00:00"/>
    <d v="2018-03-31T00:00:00"/>
    <m/>
    <m/>
    <m/>
    <m/>
    <m/>
    <m/>
    <m/>
    <m/>
    <m/>
    <m/>
    <m/>
    <m/>
    <m/>
    <m/>
    <n v="65"/>
    <n v="65"/>
    <m/>
    <n v="65"/>
    <m/>
    <m/>
    <m/>
    <n v="65"/>
    <m/>
    <m/>
    <m/>
    <m/>
    <m/>
    <m/>
    <m/>
    <m/>
    <m/>
    <x v="1"/>
    <x v="0"/>
    <x v="0"/>
    <m/>
    <n v="-65"/>
    <m/>
    <m/>
    <m/>
    <n v="-65"/>
    <m/>
    <x v="0"/>
    <m/>
    <m/>
    <m/>
    <m/>
    <m/>
    <x v="0"/>
    <m/>
    <m/>
    <n v="65"/>
    <n v="65"/>
    <s v="-"/>
    <s v="-"/>
    <s v="-"/>
    <s v="-"/>
    <s v="-"/>
    <s v="-"/>
    <s v="-"/>
    <s v="-"/>
    <s v="-"/>
    <s v="-"/>
    <s v="-"/>
    <x v="1"/>
    <x v="2"/>
    <s v="-"/>
    <s v="Estate Agent"/>
    <s v="-"/>
    <s v="-"/>
    <s v="-"/>
    <s v="-"/>
    <s v="-"/>
    <s v="-"/>
    <s v="-"/>
    <s v="-"/>
    <s v="-"/>
    <x v="0"/>
    <x v="0"/>
    <n v="8.9999996125698107E-3"/>
    <n v="65"/>
    <n v="65"/>
    <n v="0"/>
    <x v="0"/>
    <x v="0"/>
    <m/>
    <x v="0"/>
    <m/>
    <x v="0"/>
    <m/>
    <x v="0"/>
    <x v="0"/>
    <x v="0"/>
    <x v="0"/>
    <m/>
    <n v="0"/>
    <n v="0"/>
    <n v="0"/>
    <x v="0"/>
    <m/>
  </r>
  <r>
    <x v="1"/>
    <x v="0"/>
    <x v="0"/>
    <x v="1"/>
    <n v="6657"/>
    <x v="656"/>
    <x v="13"/>
    <n v="0.27399998903274497"/>
    <n v="525999"/>
    <n v="173647"/>
    <m/>
    <x v="734"/>
    <s v="AF"/>
    <d v="2017-07-27T00:00:00"/>
    <x v="1"/>
    <m/>
    <m/>
    <s v="Nil"/>
    <m/>
    <m/>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x v="705"/>
    <s v="NB"/>
    <x v="0"/>
    <s v="NSO"/>
    <m/>
    <m/>
    <m/>
    <m/>
    <s v="P"/>
    <s v="BF"/>
    <x v="0"/>
    <m/>
    <m/>
    <m/>
    <n v="141"/>
    <n v="47"/>
    <n v="47"/>
    <m/>
    <m/>
    <n v="235"/>
    <n v="48"/>
    <m/>
    <m/>
    <n v="48"/>
    <m/>
    <m/>
    <n v="48"/>
    <n v="1873"/>
    <m/>
    <n v="1873"/>
    <m/>
    <m/>
    <m/>
    <m/>
    <m/>
    <m/>
    <m/>
    <m/>
    <m/>
    <m/>
    <m/>
    <m/>
    <n v="4313"/>
    <m/>
    <n v="4313"/>
    <x v="1"/>
    <x v="1"/>
    <x v="0"/>
    <n v="141"/>
    <n v="47"/>
    <n v="47"/>
    <m/>
    <m/>
    <n v="235"/>
    <n v="48"/>
    <x v="0"/>
    <m/>
    <m/>
    <m/>
    <m/>
    <n v="48"/>
    <x v="0"/>
    <m/>
    <n v="-2440"/>
    <m/>
    <n v="-2440"/>
    <s v="Services"/>
    <s v="Not Known"/>
    <s v="Not Known"/>
    <s v="-"/>
    <s v="-"/>
    <s v="Not Known"/>
    <s v="-"/>
    <s v="-"/>
    <s v="-"/>
    <s v="-"/>
    <s v="-"/>
    <x v="3"/>
    <x v="0"/>
    <s v="-"/>
    <s v="-"/>
    <s v="-"/>
    <s v="-"/>
    <s v="-"/>
    <s v="-"/>
    <s v="-"/>
    <s v="-"/>
    <s v="-"/>
    <s v="-"/>
    <s v="-"/>
    <x v="1"/>
    <x v="0"/>
    <n v="0.27399998903274497"/>
    <n v="2156"/>
    <n v="4313"/>
    <n v="-2157"/>
    <x v="0"/>
    <x v="0"/>
    <m/>
    <x v="0"/>
    <m/>
    <x v="0"/>
    <m/>
    <x v="0"/>
    <x v="0"/>
    <x v="0"/>
    <x v="0"/>
    <m/>
    <n v="18768"/>
    <n v="0"/>
    <n v="18768"/>
    <x v="1"/>
    <m/>
  </r>
  <r>
    <x v="2"/>
    <x v="3"/>
    <x v="3"/>
    <x v="1"/>
    <n v="6662"/>
    <x v="657"/>
    <x v="12"/>
    <n v="9.9999997764825804E-3"/>
    <n v="525227"/>
    <n v="173755"/>
    <m/>
    <x v="735"/>
    <s v="LDC Prop"/>
    <d v="2017-08-10T00:00:00"/>
    <x v="127"/>
    <s v="Y"/>
    <m/>
    <s v="Nil"/>
    <m/>
    <m/>
    <s v="Change of use from Cafe &amp; Restaurant (Class A3) to a shop (Class A1)."/>
    <x v="706"/>
    <s v="COU"/>
    <x v="2"/>
    <s v="NSO"/>
    <m/>
    <m/>
    <m/>
    <m/>
    <s v="C"/>
    <s v="BF"/>
    <x v="0"/>
    <m/>
    <m/>
    <m/>
    <n v="73"/>
    <m/>
    <m/>
    <m/>
    <m/>
    <n v="73"/>
    <m/>
    <m/>
    <m/>
    <m/>
    <m/>
    <m/>
    <m/>
    <m/>
    <m/>
    <m/>
    <m/>
    <m/>
    <n v="73"/>
    <m/>
    <m/>
    <n v="73"/>
    <m/>
    <m/>
    <m/>
    <m/>
    <m/>
    <m/>
    <m/>
    <m/>
    <m/>
    <x v="1"/>
    <x v="0"/>
    <x v="1"/>
    <n v="73"/>
    <m/>
    <n v="-73"/>
    <m/>
    <m/>
    <m/>
    <m/>
    <x v="0"/>
    <m/>
    <m/>
    <m/>
    <m/>
    <m/>
    <x v="0"/>
    <m/>
    <m/>
    <m/>
    <m/>
    <s v="Not Known"/>
    <s v="-"/>
    <s v="-"/>
    <s v="-"/>
    <s v="-"/>
    <s v="-"/>
    <s v="-"/>
    <s v="-"/>
    <s v="-"/>
    <s v="-"/>
    <s v="-"/>
    <x v="1"/>
    <x v="0"/>
    <s v="-"/>
    <s v="-"/>
    <s v="Vacant"/>
    <s v="-"/>
    <s v="-"/>
    <s v="-"/>
    <s v="-"/>
    <s v="-"/>
    <s v="-"/>
    <s v="-"/>
    <s v="-"/>
    <x v="0"/>
    <x v="0"/>
    <n v="9.9999997764825804E-3"/>
    <n v="73"/>
    <n v="73"/>
    <n v="0"/>
    <x v="0"/>
    <x v="0"/>
    <m/>
    <x v="0"/>
    <m/>
    <x v="0"/>
    <m/>
    <x v="0"/>
    <x v="0"/>
    <x v="0"/>
    <x v="0"/>
    <m/>
    <n v="0"/>
    <n v="0"/>
    <n v="0"/>
    <x v="0"/>
    <m/>
  </r>
  <r>
    <x v="2"/>
    <x v="0"/>
    <x v="0"/>
    <x v="1"/>
    <n v="6664"/>
    <x v="658"/>
    <x v="7"/>
    <n v="1.4999999664723899E-2"/>
    <n v="523713"/>
    <n v="175159"/>
    <m/>
    <x v="736"/>
    <s v="PF"/>
    <d v="2017-07-26T00:00:00"/>
    <x v="15"/>
    <s v="Y"/>
    <m/>
    <s v="Nil"/>
    <m/>
    <m/>
    <s v="Change of use of basement from shop (Class A1) to clinic (Class D1)."/>
    <x v="707"/>
    <s v="COU"/>
    <x v="2"/>
    <s v="NSO"/>
    <m/>
    <m/>
    <m/>
    <m/>
    <s v="C"/>
    <s v="BF"/>
    <x v="0"/>
    <m/>
    <m/>
    <m/>
    <m/>
    <m/>
    <m/>
    <m/>
    <m/>
    <m/>
    <m/>
    <m/>
    <m/>
    <m/>
    <m/>
    <m/>
    <m/>
    <n v="45"/>
    <m/>
    <n v="45"/>
    <n v="45"/>
    <m/>
    <m/>
    <m/>
    <m/>
    <n v="45"/>
    <m/>
    <m/>
    <m/>
    <m/>
    <m/>
    <m/>
    <m/>
    <m/>
    <m/>
    <x v="1"/>
    <x v="0"/>
    <x v="0"/>
    <n v="-45"/>
    <m/>
    <m/>
    <m/>
    <m/>
    <n v="-45"/>
    <m/>
    <x v="0"/>
    <m/>
    <m/>
    <m/>
    <m/>
    <m/>
    <x v="0"/>
    <m/>
    <n v="45"/>
    <m/>
    <n v="45"/>
    <s v="-"/>
    <s v="-"/>
    <s v="-"/>
    <s v="-"/>
    <s v="-"/>
    <s v="-"/>
    <s v="-"/>
    <s v="-"/>
    <s v="-"/>
    <s v="-"/>
    <s v="-"/>
    <x v="2"/>
    <x v="0"/>
    <s v="Services"/>
    <s v="-"/>
    <s v="-"/>
    <s v="-"/>
    <s v="-"/>
    <s v="-"/>
    <s v="-"/>
    <s v="-"/>
    <s v="-"/>
    <s v="-"/>
    <s v="-"/>
    <x v="0"/>
    <x v="0"/>
    <n v="1.4999999664723899E-2"/>
    <n v="45"/>
    <n v="45"/>
    <n v="0"/>
    <x v="0"/>
    <x v="0"/>
    <m/>
    <x v="0"/>
    <m/>
    <x v="0"/>
    <m/>
    <x v="0"/>
    <x v="1"/>
    <x v="2"/>
    <x v="0"/>
    <m/>
    <n v="0"/>
    <n v="0"/>
    <n v="0"/>
    <x v="0"/>
    <m/>
  </r>
  <r>
    <x v="2"/>
    <x v="0"/>
    <x v="0"/>
    <x v="1"/>
    <n v="6665"/>
    <x v="659"/>
    <x v="11"/>
    <n v="1.30000002682209E-2"/>
    <n v="528744"/>
    <n v="173591"/>
    <m/>
    <x v="737"/>
    <s v="PF"/>
    <d v="2017-08-03T00:00:00"/>
    <x v="69"/>
    <s v="Y"/>
    <m/>
    <s v="Nil"/>
    <m/>
    <m/>
    <s v="Alterations including changes to the site frontage and a first floor rear extension to allow the conversion of the main garage building to B1 (office) use, and change of use of right hand building to 1 x 1-bedroom unit."/>
    <x v="708"/>
    <s v="COU"/>
    <x v="2"/>
    <s v="NSO"/>
    <m/>
    <m/>
    <m/>
    <m/>
    <s v="C"/>
    <s v="BF"/>
    <x v="0"/>
    <m/>
    <m/>
    <m/>
    <m/>
    <m/>
    <m/>
    <m/>
    <m/>
    <m/>
    <n v="76"/>
    <m/>
    <m/>
    <n v="76"/>
    <m/>
    <m/>
    <n v="76"/>
    <m/>
    <m/>
    <m/>
    <m/>
    <m/>
    <m/>
    <m/>
    <m/>
    <m/>
    <m/>
    <m/>
    <m/>
    <n v="121"/>
    <m/>
    <n v="121"/>
    <m/>
    <m/>
    <m/>
    <x v="0"/>
    <x v="1"/>
    <x v="1"/>
    <m/>
    <m/>
    <m/>
    <m/>
    <m/>
    <m/>
    <n v="76"/>
    <x v="0"/>
    <m/>
    <m/>
    <n v="-121"/>
    <m/>
    <n v="-45"/>
    <x v="1"/>
    <m/>
    <m/>
    <m/>
    <m/>
    <s v="-"/>
    <s v="-"/>
    <s v="-"/>
    <s v="-"/>
    <s v="-"/>
    <s v="Not Known"/>
    <s v="-"/>
    <s v="-"/>
    <s v="-"/>
    <s v="-"/>
    <s v="-"/>
    <x v="1"/>
    <x v="0"/>
    <s v="-"/>
    <s v="-"/>
    <s v="-"/>
    <s v="-"/>
    <s v="-"/>
    <s v="-"/>
    <s v="-"/>
    <s v="-"/>
    <s v="General Industry"/>
    <s v="-"/>
    <s v="-"/>
    <x v="0"/>
    <x v="0"/>
    <n v="6.0000002849847096E-3"/>
    <n v="76"/>
    <n v="121"/>
    <n v="-45"/>
    <x v="0"/>
    <x v="0"/>
    <m/>
    <x v="0"/>
    <m/>
    <x v="0"/>
    <m/>
    <x v="0"/>
    <x v="0"/>
    <x v="0"/>
    <x v="0"/>
    <m/>
    <n v="50"/>
    <n v="0"/>
    <n v="50"/>
    <x v="1"/>
    <m/>
  </r>
  <r>
    <x v="1"/>
    <x v="0"/>
    <x v="0"/>
    <x v="1"/>
    <n v="6669"/>
    <x v="660"/>
    <x v="14"/>
    <n v="7.0000002160668399E-3"/>
    <n v="527101"/>
    <n v="170989"/>
    <m/>
    <x v="738"/>
    <s v="AF"/>
    <d v="2017-08-01T00:00:00"/>
    <x v="1"/>
    <m/>
    <m/>
    <s v="Nil"/>
    <m/>
    <m/>
    <s v="Retention of a single-storey car port to be used in conjunction with the car repair shop and change of use from a car dealership to a car repair shop (Class B2)."/>
    <x v="709"/>
    <s v="COU"/>
    <x v="2"/>
    <s v="NSO"/>
    <m/>
    <m/>
    <m/>
    <m/>
    <s v="P"/>
    <s v="BF"/>
    <x v="0"/>
    <m/>
    <m/>
    <m/>
    <m/>
    <m/>
    <m/>
    <m/>
    <m/>
    <m/>
    <m/>
    <m/>
    <n v="70"/>
    <n v="70"/>
    <m/>
    <m/>
    <n v="70"/>
    <m/>
    <m/>
    <m/>
    <n v="70"/>
    <m/>
    <m/>
    <m/>
    <m/>
    <n v="70"/>
    <m/>
    <m/>
    <m/>
    <m/>
    <m/>
    <m/>
    <m/>
    <m/>
    <m/>
    <x v="1"/>
    <x v="1"/>
    <x v="1"/>
    <n v="-70"/>
    <m/>
    <m/>
    <m/>
    <m/>
    <n v="-70"/>
    <m/>
    <x v="0"/>
    <m/>
    <n v="70"/>
    <m/>
    <m/>
    <n v="70"/>
    <x v="0"/>
    <m/>
    <m/>
    <m/>
    <m/>
    <s v="-"/>
    <s v="-"/>
    <s v="-"/>
    <s v="-"/>
    <s v="-"/>
    <s v="-"/>
    <s v="-"/>
    <s v="Light Industrial"/>
    <s v="-"/>
    <s v="-"/>
    <s v="-"/>
    <x v="1"/>
    <x v="0"/>
    <s v="Services"/>
    <s v="-"/>
    <s v="-"/>
    <s v="-"/>
    <s v="-"/>
    <s v="-"/>
    <s v="-"/>
    <s v="-"/>
    <s v="-"/>
    <s v="-"/>
    <s v="-"/>
    <x v="0"/>
    <x v="0"/>
    <n v="7.0000002160668399E-3"/>
    <n v="70"/>
    <n v="70"/>
    <n v="0"/>
    <x v="0"/>
    <x v="0"/>
    <m/>
    <x v="0"/>
    <m/>
    <x v="0"/>
    <m/>
    <x v="0"/>
    <x v="0"/>
    <x v="0"/>
    <x v="0"/>
    <m/>
    <n v="0"/>
    <n v="0"/>
    <n v="0"/>
    <x v="0"/>
    <m/>
  </r>
  <r>
    <x v="1"/>
    <x v="0"/>
    <x v="0"/>
    <x v="1"/>
    <n v="6669"/>
    <x v="660"/>
    <x v="14"/>
    <n v="7.0000002160668399E-3"/>
    <n v="527101"/>
    <n v="170989"/>
    <m/>
    <x v="739"/>
    <s v="AF"/>
    <d v="2018-03-15T00:00:00"/>
    <x v="1"/>
    <m/>
    <m/>
    <s v="Nil"/>
    <m/>
    <m/>
    <s v="Demolition of existing single storey building and the erection of a single-storey one bedroom detached house."/>
    <x v="710"/>
    <s v="NB"/>
    <x v="0"/>
    <s v="NSO"/>
    <m/>
    <m/>
    <m/>
    <m/>
    <s v="P"/>
    <s v="BF"/>
    <x v="0"/>
    <m/>
    <m/>
    <m/>
    <m/>
    <m/>
    <m/>
    <m/>
    <m/>
    <m/>
    <m/>
    <m/>
    <m/>
    <m/>
    <m/>
    <m/>
    <m/>
    <m/>
    <m/>
    <m/>
    <m/>
    <m/>
    <m/>
    <m/>
    <m/>
    <m/>
    <m/>
    <m/>
    <n v="66"/>
    <m/>
    <m/>
    <n v="66"/>
    <m/>
    <m/>
    <m/>
    <x v="0"/>
    <x v="1"/>
    <x v="1"/>
    <m/>
    <m/>
    <m/>
    <m/>
    <m/>
    <m/>
    <m/>
    <x v="0"/>
    <m/>
    <n v="-66"/>
    <m/>
    <m/>
    <n v="-66"/>
    <x v="1"/>
    <m/>
    <m/>
    <m/>
    <m/>
    <s v="-"/>
    <s v="-"/>
    <s v="-"/>
    <s v="-"/>
    <s v="-"/>
    <s v="-"/>
    <s v="-"/>
    <s v="-"/>
    <s v="-"/>
    <s v="-"/>
    <s v="-"/>
    <x v="1"/>
    <x v="0"/>
    <s v="-"/>
    <s v="-"/>
    <s v="-"/>
    <s v="-"/>
    <s v="-"/>
    <s v="-"/>
    <s v="-"/>
    <s v="Light Industrial"/>
    <s v="-"/>
    <s v="-"/>
    <s v="-"/>
    <x v="0"/>
    <x v="0"/>
    <n v="0"/>
    <n v="0"/>
    <n v="66"/>
    <n v="-66"/>
    <x v="0"/>
    <x v="0"/>
    <m/>
    <x v="0"/>
    <m/>
    <x v="0"/>
    <m/>
    <x v="0"/>
    <x v="0"/>
    <x v="0"/>
    <x v="0"/>
    <m/>
    <n v="49"/>
    <n v="0"/>
    <n v="49"/>
    <x v="1"/>
    <m/>
  </r>
  <r>
    <x v="2"/>
    <x v="0"/>
    <x v="0"/>
    <x v="1"/>
    <n v="6670"/>
    <x v="661"/>
    <x v="14"/>
    <n v="0.11599999666214"/>
    <n v="527469"/>
    <n v="171617"/>
    <m/>
    <x v="740"/>
    <s v="PF"/>
    <d v="2017-08-11T00:00:00"/>
    <x v="175"/>
    <s v="Y"/>
    <m/>
    <s v="Nil"/>
    <m/>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x v="711"/>
    <s v="NB"/>
    <x v="0"/>
    <s v="NSO"/>
    <m/>
    <m/>
    <m/>
    <m/>
    <s v="C"/>
    <s v="BF"/>
    <x v="0"/>
    <m/>
    <m/>
    <m/>
    <m/>
    <m/>
    <m/>
    <m/>
    <m/>
    <m/>
    <m/>
    <m/>
    <m/>
    <m/>
    <m/>
    <m/>
    <m/>
    <m/>
    <m/>
    <m/>
    <m/>
    <m/>
    <m/>
    <m/>
    <m/>
    <m/>
    <m/>
    <m/>
    <m/>
    <n v="541"/>
    <m/>
    <n v="541"/>
    <m/>
    <m/>
    <m/>
    <x v="0"/>
    <x v="1"/>
    <x v="1"/>
    <m/>
    <m/>
    <m/>
    <m/>
    <m/>
    <m/>
    <m/>
    <x v="0"/>
    <m/>
    <m/>
    <n v="-541"/>
    <m/>
    <n v="-541"/>
    <x v="1"/>
    <m/>
    <m/>
    <m/>
    <m/>
    <s v="-"/>
    <s v="-"/>
    <s v="-"/>
    <s v="-"/>
    <s v="-"/>
    <s v="-"/>
    <s v="-"/>
    <s v="-"/>
    <s v="-"/>
    <s v="-"/>
    <s v="-"/>
    <x v="1"/>
    <x v="0"/>
    <s v="-"/>
    <s v="-"/>
    <s v="-"/>
    <s v="-"/>
    <s v="-"/>
    <s v="-"/>
    <s v="-"/>
    <s v="-"/>
    <s v="General Industry"/>
    <s v="-"/>
    <s v="-"/>
    <x v="0"/>
    <x v="0"/>
    <n v="0"/>
    <n v="0"/>
    <n v="541"/>
    <n v="-541"/>
    <x v="0"/>
    <x v="0"/>
    <m/>
    <x v="0"/>
    <m/>
    <x v="0"/>
    <m/>
    <x v="0"/>
    <x v="1"/>
    <x v="3"/>
    <x v="0"/>
    <m/>
    <n v="639"/>
    <n v="0"/>
    <n v="639"/>
    <x v="1"/>
    <m/>
  </r>
  <r>
    <x v="0"/>
    <x v="0"/>
    <x v="0"/>
    <x v="0"/>
    <n v="6671"/>
    <x v="662"/>
    <x v="14"/>
    <n v="1.7999999225139601E-2"/>
    <n v="527838"/>
    <n v="172151"/>
    <m/>
    <x v="741"/>
    <s v="PF"/>
    <d v="2017-08-08T00:00:00"/>
    <x v="455"/>
    <s v="Y"/>
    <m/>
    <s v="Nil"/>
    <m/>
    <m/>
    <s v="Alterations in connection with change of use from retail (Class A1) to study centre (Class D1)."/>
    <x v="712"/>
    <s v="COU"/>
    <x v="2"/>
    <s v="OC"/>
    <m/>
    <d v="2017-11-08T00:00:00"/>
    <d v="2018-03-31T00:00:00"/>
    <d v="2018-03-31T00:00:00"/>
    <s v="C"/>
    <s v="BF"/>
    <x v="0"/>
    <m/>
    <d v="2017-11-08T00:00:00"/>
    <d v="2018-03-31T00:00:00"/>
    <m/>
    <m/>
    <m/>
    <m/>
    <m/>
    <m/>
    <m/>
    <m/>
    <m/>
    <m/>
    <m/>
    <m/>
    <m/>
    <n v="80"/>
    <m/>
    <n v="80"/>
    <n v="80"/>
    <m/>
    <m/>
    <m/>
    <m/>
    <n v="80"/>
    <m/>
    <m/>
    <m/>
    <m/>
    <m/>
    <m/>
    <m/>
    <m/>
    <m/>
    <x v="1"/>
    <x v="0"/>
    <x v="0"/>
    <n v="-80"/>
    <m/>
    <m/>
    <m/>
    <m/>
    <n v="-80"/>
    <m/>
    <x v="0"/>
    <m/>
    <m/>
    <m/>
    <m/>
    <m/>
    <x v="0"/>
    <m/>
    <n v="80"/>
    <m/>
    <n v="80"/>
    <s v="-"/>
    <s v="-"/>
    <s v="-"/>
    <s v="-"/>
    <s v="-"/>
    <s v="-"/>
    <s v="-"/>
    <s v="-"/>
    <s v="-"/>
    <s v="-"/>
    <s v="-"/>
    <x v="0"/>
    <x v="0"/>
    <s v="Vacant"/>
    <s v="-"/>
    <s v="-"/>
    <s v="-"/>
    <s v="-"/>
    <s v="-"/>
    <s v="-"/>
    <s v="-"/>
    <s v="-"/>
    <s v="-"/>
    <s v="-"/>
    <x v="0"/>
    <x v="0"/>
    <n v="1.7999999225139601E-2"/>
    <n v="80"/>
    <n v="80"/>
    <n v="0"/>
    <x v="0"/>
    <x v="0"/>
    <m/>
    <x v="0"/>
    <m/>
    <x v="0"/>
    <m/>
    <x v="0"/>
    <x v="0"/>
    <x v="0"/>
    <x v="0"/>
    <m/>
    <n v="0"/>
    <n v="0"/>
    <n v="0"/>
    <x v="0"/>
    <m/>
  </r>
  <r>
    <x v="2"/>
    <x v="0"/>
    <x v="0"/>
    <x v="1"/>
    <n v="6674"/>
    <x v="663"/>
    <x v="15"/>
    <n v="2.5000000372528999E-2"/>
    <n v="528839"/>
    <n v="171136"/>
    <m/>
    <x v="742"/>
    <s v="PF"/>
    <d v="2017-09-25T00:00:00"/>
    <x v="456"/>
    <s v="Y"/>
    <m/>
    <s v="Nil"/>
    <m/>
    <m/>
    <s v="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
    <x v="713"/>
    <s v="MIX"/>
    <x v="0"/>
    <s v="NSO"/>
    <m/>
    <m/>
    <m/>
    <m/>
    <s v="C"/>
    <s v="BF"/>
    <x v="0"/>
    <m/>
    <m/>
    <m/>
    <m/>
    <m/>
    <m/>
    <m/>
    <m/>
    <m/>
    <m/>
    <m/>
    <m/>
    <m/>
    <m/>
    <m/>
    <m/>
    <m/>
    <m/>
    <m/>
    <n v="183"/>
    <m/>
    <m/>
    <m/>
    <m/>
    <n v="183"/>
    <m/>
    <m/>
    <m/>
    <m/>
    <m/>
    <m/>
    <m/>
    <m/>
    <m/>
    <x v="1"/>
    <x v="0"/>
    <x v="1"/>
    <n v="-183"/>
    <m/>
    <m/>
    <m/>
    <m/>
    <n v="-183"/>
    <m/>
    <x v="0"/>
    <m/>
    <m/>
    <m/>
    <m/>
    <m/>
    <x v="0"/>
    <m/>
    <m/>
    <m/>
    <m/>
    <s v="-"/>
    <s v="-"/>
    <s v="-"/>
    <s v="-"/>
    <s v="-"/>
    <s v="-"/>
    <s v="-"/>
    <s v="-"/>
    <s v="-"/>
    <s v="-"/>
    <s v="-"/>
    <x v="1"/>
    <x v="0"/>
    <s v="Not Known"/>
    <s v="-"/>
    <s v="-"/>
    <s v="-"/>
    <s v="-"/>
    <s v="-"/>
    <s v="-"/>
    <s v="-"/>
    <s v="-"/>
    <s v="-"/>
    <s v="-"/>
    <x v="0"/>
    <x v="0"/>
    <n v="1.6000000294297899E-2"/>
    <n v="0"/>
    <n v="183"/>
    <n v="-183"/>
    <x v="0"/>
    <x v="0"/>
    <m/>
    <x v="0"/>
    <m/>
    <x v="0"/>
    <m/>
    <x v="0"/>
    <x v="0"/>
    <x v="0"/>
    <x v="0"/>
    <m/>
    <n v="246"/>
    <n v="0"/>
    <n v="246"/>
    <x v="1"/>
    <m/>
  </r>
  <r>
    <x v="0"/>
    <x v="3"/>
    <x v="3"/>
    <x v="0"/>
    <n v="6675"/>
    <x v="664"/>
    <x v="15"/>
    <n v="4.0000001899898104E-3"/>
    <n v="529302"/>
    <n v="170727"/>
    <m/>
    <x v="743"/>
    <s v="LDC Exist"/>
    <d v="2017-08-18T00:00:00"/>
    <x v="135"/>
    <s v="Y"/>
    <m/>
    <s v="Nil"/>
    <m/>
    <m/>
    <s v="Use of the land for storage of builders materials (Class B8) (continued use for more than 10 years)."/>
    <x v="714"/>
    <s v="COU"/>
    <x v="2"/>
    <s v="OC"/>
    <m/>
    <d v="2017-10-13T00:00:00"/>
    <d v="2017-10-13T00:00:00"/>
    <d v="2017-10-13T00:00:00"/>
    <s v="C"/>
    <s v="BF"/>
    <x v="0"/>
    <m/>
    <d v="2017-10-13T00:00:00"/>
    <d v="2017-10-13T00:00:00"/>
    <m/>
    <m/>
    <m/>
    <m/>
    <m/>
    <m/>
    <m/>
    <m/>
    <m/>
    <m/>
    <m/>
    <n v="40"/>
    <n v="40"/>
    <m/>
    <m/>
    <m/>
    <m/>
    <m/>
    <m/>
    <m/>
    <m/>
    <m/>
    <m/>
    <m/>
    <m/>
    <m/>
    <m/>
    <m/>
    <m/>
    <m/>
    <m/>
    <x v="0"/>
    <x v="1"/>
    <x v="1"/>
    <m/>
    <m/>
    <m/>
    <m/>
    <m/>
    <m/>
    <m/>
    <x v="0"/>
    <m/>
    <m/>
    <m/>
    <n v="40"/>
    <n v="40"/>
    <x v="0"/>
    <m/>
    <m/>
    <m/>
    <m/>
    <s v="-"/>
    <s v="-"/>
    <s v="-"/>
    <s v="-"/>
    <s v="-"/>
    <s v="-"/>
    <s v="-"/>
    <s v="-"/>
    <s v="-"/>
    <s v="-"/>
    <s v="-"/>
    <x v="1"/>
    <x v="0"/>
    <s v="-"/>
    <s v="-"/>
    <s v="-"/>
    <s v="-"/>
    <s v="-"/>
    <s v="-"/>
    <s v="-"/>
    <s v="-"/>
    <s v="-"/>
    <s v="-"/>
    <s v="-"/>
    <x v="0"/>
    <x v="0"/>
    <n v="4.0000001899898104E-3"/>
    <n v="40"/>
    <n v="40"/>
    <n v="0"/>
    <x v="0"/>
    <x v="0"/>
    <m/>
    <x v="0"/>
    <m/>
    <x v="0"/>
    <m/>
    <x v="0"/>
    <x v="0"/>
    <x v="0"/>
    <x v="0"/>
    <m/>
    <n v="0"/>
    <n v="0"/>
    <n v="0"/>
    <x v="0"/>
    <m/>
  </r>
  <r>
    <x v="0"/>
    <x v="0"/>
    <x v="0"/>
    <x v="0"/>
    <n v="6678"/>
    <x v="665"/>
    <x v="6"/>
    <n v="1.60000007599592E-2"/>
    <n v="528146"/>
    <n v="175643"/>
    <m/>
    <x v="744"/>
    <s v="PF"/>
    <d v="2017-08-01T00:00:00"/>
    <x v="74"/>
    <s v="Y"/>
    <m/>
    <s v="Nil"/>
    <m/>
    <m/>
    <s v="Change of use of the rear part of the ground floor unit from a window showroom and office (Class A1) to residential (class C3) and alterations including erection of single-storey rear and side extensions to create 1 x 2 bedroom unit. Relocation of entrance of existing first floor flat from Lavender Hill to Stormont Road. Alterations to fenestration."/>
    <x v="715"/>
    <s v="MIX"/>
    <x v="0"/>
    <s v="OC"/>
    <m/>
    <d v="2017-09-25T00:00:00"/>
    <d v="2018-03-31T00:00:00"/>
    <d v="2018-03-31T00:00:00"/>
    <s v="C"/>
    <s v="BF"/>
    <x v="0"/>
    <m/>
    <d v="2017-09-25T00:00:00"/>
    <d v="2018-03-31T00:00:00"/>
    <n v="47"/>
    <m/>
    <m/>
    <m/>
    <m/>
    <n v="47"/>
    <m/>
    <m/>
    <m/>
    <m/>
    <m/>
    <m/>
    <m/>
    <m/>
    <m/>
    <m/>
    <n v="96"/>
    <m/>
    <m/>
    <m/>
    <m/>
    <n v="96"/>
    <m/>
    <m/>
    <m/>
    <m/>
    <m/>
    <m/>
    <m/>
    <m/>
    <m/>
    <x v="1"/>
    <x v="0"/>
    <x v="1"/>
    <n v="-49"/>
    <m/>
    <m/>
    <m/>
    <m/>
    <n v="-49"/>
    <m/>
    <x v="0"/>
    <m/>
    <m/>
    <m/>
    <m/>
    <m/>
    <x v="0"/>
    <m/>
    <m/>
    <m/>
    <m/>
    <s v="Not Known"/>
    <s v="-"/>
    <s v="-"/>
    <s v="-"/>
    <s v="-"/>
    <s v="-"/>
    <s v="-"/>
    <s v="-"/>
    <s v="-"/>
    <s v="-"/>
    <s v="-"/>
    <x v="1"/>
    <x v="0"/>
    <s v="Vacant"/>
    <s v="-"/>
    <s v="-"/>
    <s v="-"/>
    <s v="-"/>
    <s v="-"/>
    <s v="-"/>
    <s v="-"/>
    <s v="-"/>
    <s v="-"/>
    <s v="-"/>
    <x v="0"/>
    <x v="0"/>
    <n v="1.0000000707805139E-2"/>
    <n v="47"/>
    <n v="96"/>
    <n v="-49"/>
    <x v="0"/>
    <x v="0"/>
    <m/>
    <x v="0"/>
    <m/>
    <x v="0"/>
    <m/>
    <x v="0"/>
    <x v="0"/>
    <x v="0"/>
    <x v="0"/>
    <m/>
    <n v="66"/>
    <n v="0"/>
    <n v="66"/>
    <x v="1"/>
    <m/>
  </r>
  <r>
    <x v="1"/>
    <x v="0"/>
    <x v="0"/>
    <x v="1"/>
    <n v="6682"/>
    <x v="666"/>
    <x v="14"/>
    <n v="1.2000000104308101E-2"/>
    <n v="526464"/>
    <n v="171923"/>
    <m/>
    <x v="745"/>
    <s v="AF"/>
    <d v="2017-08-14T00:00:00"/>
    <x v="1"/>
    <m/>
    <m/>
    <s v="Nil"/>
    <m/>
    <m/>
    <s v="Alterations in connection with change of use from retail (Class A1) to restaurant (Class A3) and installation of associated extract duct to the flank elevation of 19 Wimbledon Road."/>
    <x v="152"/>
    <s v="COU"/>
    <x v="2"/>
    <s v="NSO"/>
    <m/>
    <m/>
    <m/>
    <m/>
    <s v="P"/>
    <s v="BF"/>
    <x v="0"/>
    <m/>
    <m/>
    <m/>
    <m/>
    <m/>
    <n v="57"/>
    <m/>
    <m/>
    <n v="57"/>
    <m/>
    <m/>
    <m/>
    <m/>
    <m/>
    <m/>
    <m/>
    <m/>
    <m/>
    <m/>
    <n v="57"/>
    <m/>
    <m/>
    <m/>
    <m/>
    <n v="57"/>
    <m/>
    <m/>
    <m/>
    <m/>
    <m/>
    <m/>
    <m/>
    <m/>
    <m/>
    <x v="1"/>
    <x v="0"/>
    <x v="1"/>
    <n v="-57"/>
    <m/>
    <n v="57"/>
    <m/>
    <m/>
    <m/>
    <m/>
    <x v="0"/>
    <m/>
    <m/>
    <m/>
    <m/>
    <m/>
    <x v="0"/>
    <m/>
    <m/>
    <m/>
    <m/>
    <s v="-"/>
    <s v="-"/>
    <s v="Restaurant"/>
    <s v="-"/>
    <s v="-"/>
    <s v="-"/>
    <s v="-"/>
    <s v="-"/>
    <s v="-"/>
    <s v="-"/>
    <s v="-"/>
    <x v="1"/>
    <x v="0"/>
    <s v="Vacant"/>
    <s v="-"/>
    <s v="-"/>
    <s v="-"/>
    <s v="-"/>
    <s v="-"/>
    <s v="-"/>
    <s v="-"/>
    <s v="-"/>
    <s v="-"/>
    <s v="-"/>
    <x v="0"/>
    <x v="0"/>
    <n v="1.2000000104308101E-2"/>
    <n v="57"/>
    <n v="57"/>
    <n v="0"/>
    <x v="0"/>
    <x v="0"/>
    <m/>
    <x v="0"/>
    <m/>
    <x v="0"/>
    <m/>
    <x v="0"/>
    <x v="0"/>
    <x v="0"/>
    <x v="0"/>
    <m/>
    <n v="0"/>
    <n v="0"/>
    <n v="0"/>
    <x v="0"/>
    <m/>
  </r>
  <r>
    <x v="2"/>
    <x v="0"/>
    <x v="0"/>
    <x v="1"/>
    <n v="6685"/>
    <x v="667"/>
    <x v="13"/>
    <n v="5.4000001400709201E-2"/>
    <n v="525907"/>
    <n v="172088"/>
    <m/>
    <x v="746"/>
    <s v="PF"/>
    <d v="2017-09-06T00:00:00"/>
    <x v="457"/>
    <s v="Y"/>
    <m/>
    <s v="Nil"/>
    <m/>
    <m/>
    <s v="Erection of single and three storey front extensions to provide additional storage  floorspace (Class B8) with ancillary offices and 4 x parking spaces."/>
    <x v="716"/>
    <s v="NB"/>
    <x v="0"/>
    <s v="NSO"/>
    <m/>
    <m/>
    <m/>
    <m/>
    <s v="C"/>
    <s v="BF"/>
    <x v="0"/>
    <m/>
    <m/>
    <m/>
    <m/>
    <m/>
    <m/>
    <m/>
    <m/>
    <m/>
    <m/>
    <m/>
    <m/>
    <m/>
    <m/>
    <n v="187"/>
    <n v="187"/>
    <m/>
    <m/>
    <m/>
    <m/>
    <m/>
    <m/>
    <m/>
    <m/>
    <m/>
    <m/>
    <m/>
    <m/>
    <m/>
    <n v="10"/>
    <n v="10"/>
    <m/>
    <m/>
    <m/>
    <x v="0"/>
    <x v="1"/>
    <x v="1"/>
    <m/>
    <m/>
    <m/>
    <m/>
    <m/>
    <m/>
    <m/>
    <x v="0"/>
    <m/>
    <m/>
    <m/>
    <n v="177"/>
    <n v="177"/>
    <x v="0"/>
    <m/>
    <m/>
    <m/>
    <m/>
    <s v="-"/>
    <s v="-"/>
    <s v="-"/>
    <s v="-"/>
    <s v="-"/>
    <s v="-"/>
    <s v="-"/>
    <s v="-"/>
    <s v="-"/>
    <s v="Storage"/>
    <s v="-"/>
    <x v="1"/>
    <x v="0"/>
    <s v="-"/>
    <s v="-"/>
    <s v="-"/>
    <s v="-"/>
    <s v="-"/>
    <s v="-"/>
    <s v="-"/>
    <s v="-"/>
    <s v="-"/>
    <s v="Storage"/>
    <s v="-"/>
    <x v="0"/>
    <x v="0"/>
    <n v="5.4000001400709201E-2"/>
    <n v="187"/>
    <n v="10"/>
    <n v="177"/>
    <x v="0"/>
    <x v="0"/>
    <m/>
    <x v="1"/>
    <s v="Summerstown"/>
    <x v="0"/>
    <m/>
    <x v="0"/>
    <x v="0"/>
    <x v="0"/>
    <x v="0"/>
    <m/>
    <n v="0"/>
    <n v="0"/>
    <n v="0"/>
    <x v="0"/>
    <m/>
  </r>
  <r>
    <x v="0"/>
    <x v="0"/>
    <x v="0"/>
    <x v="0"/>
    <n v="6687"/>
    <x v="668"/>
    <x v="1"/>
    <n v="0.140000000596046"/>
    <n v="522164"/>
    <n v="172848"/>
    <m/>
    <x v="747"/>
    <s v="PF"/>
    <d v="2017-09-04T00:00:00"/>
    <x v="436"/>
    <s v="Y"/>
    <m/>
    <s v="Nil"/>
    <m/>
    <m/>
    <s v="Change of Use from B1(a) Offices to D1 Church and Daytime Nursery to operate between 0730 and 1830 hours, Monday to Friday and 0800 to 1800 at weekends and Bank Holidays."/>
    <x v="717"/>
    <s v="COU"/>
    <x v="2"/>
    <s v="OC"/>
    <m/>
    <d v="2017-11-14T00:00:00"/>
    <d v="2018-03-31T00:00:00"/>
    <d v="2018-03-31T00:00:00"/>
    <s v="C"/>
    <s v="BF"/>
    <x v="0"/>
    <m/>
    <d v="2017-11-14T00:00:00"/>
    <d v="2018-03-31T00:00:00"/>
    <m/>
    <m/>
    <m/>
    <m/>
    <m/>
    <m/>
    <m/>
    <m/>
    <m/>
    <m/>
    <m/>
    <m/>
    <m/>
    <n v="286"/>
    <m/>
    <n v="286"/>
    <m/>
    <m/>
    <m/>
    <m/>
    <m/>
    <m/>
    <n v="286"/>
    <m/>
    <m/>
    <m/>
    <m/>
    <n v="286"/>
    <m/>
    <m/>
    <m/>
    <x v="0"/>
    <x v="1"/>
    <x v="0"/>
    <m/>
    <m/>
    <m/>
    <m/>
    <m/>
    <m/>
    <n v="-286"/>
    <x v="1"/>
    <m/>
    <m/>
    <m/>
    <m/>
    <n v="-286"/>
    <x v="1"/>
    <m/>
    <n v="286"/>
    <m/>
    <n v="286"/>
    <s v="-"/>
    <s v="-"/>
    <s v="-"/>
    <s v="-"/>
    <s v="-"/>
    <s v="-"/>
    <s v="-"/>
    <s v="-"/>
    <s v="-"/>
    <s v="-"/>
    <s v="-"/>
    <x v="2"/>
    <x v="0"/>
    <s v="-"/>
    <s v="-"/>
    <s v="-"/>
    <s v="-"/>
    <s v="-"/>
    <s v="Not Known"/>
    <s v="-"/>
    <s v="-"/>
    <s v="-"/>
    <s v="-"/>
    <s v="-"/>
    <x v="0"/>
    <x v="0"/>
    <n v="0.140000000596046"/>
    <n v="286"/>
    <n v="286"/>
    <n v="0"/>
    <x v="0"/>
    <x v="0"/>
    <m/>
    <x v="0"/>
    <m/>
    <x v="0"/>
    <m/>
    <x v="0"/>
    <x v="0"/>
    <x v="0"/>
    <x v="0"/>
    <m/>
    <n v="0"/>
    <n v="0"/>
    <n v="0"/>
    <x v="0"/>
    <m/>
  </r>
  <r>
    <x v="3"/>
    <x v="0"/>
    <x v="0"/>
    <x v="1"/>
    <n v="6692"/>
    <x v="669"/>
    <x v="17"/>
    <n v="1.09999999403954E-2"/>
    <n v="528269"/>
    <n v="172648"/>
    <m/>
    <x v="748"/>
    <s v="PF"/>
    <d v="2017-08-31T00:00:00"/>
    <x v="12"/>
    <s v="Y"/>
    <m/>
    <s v="Nil"/>
    <m/>
    <m/>
    <s v="Change of use from retail (Class A1) to beauty salon (Sui Generis)."/>
    <x v="718"/>
    <s v="COU"/>
    <x v="2"/>
    <s v="UC"/>
    <m/>
    <d v="2018-03-31T00:00:00"/>
    <m/>
    <m/>
    <s v="C"/>
    <s v="BF"/>
    <x v="0"/>
    <m/>
    <d v="2018-03-31T00:00:00"/>
    <m/>
    <m/>
    <m/>
    <m/>
    <m/>
    <m/>
    <m/>
    <m/>
    <m/>
    <m/>
    <m/>
    <m/>
    <m/>
    <m/>
    <m/>
    <m/>
    <m/>
    <n v="86"/>
    <m/>
    <m/>
    <m/>
    <m/>
    <n v="86"/>
    <m/>
    <m/>
    <m/>
    <m/>
    <m/>
    <m/>
    <m/>
    <m/>
    <m/>
    <x v="1"/>
    <x v="0"/>
    <x v="1"/>
    <n v="-86"/>
    <m/>
    <m/>
    <m/>
    <m/>
    <n v="-86"/>
    <m/>
    <x v="0"/>
    <m/>
    <m/>
    <m/>
    <m/>
    <m/>
    <x v="0"/>
    <m/>
    <m/>
    <m/>
    <m/>
    <s v="-"/>
    <s v="-"/>
    <s v="-"/>
    <s v="-"/>
    <s v="-"/>
    <s v="-"/>
    <s v="-"/>
    <s v="-"/>
    <s v="-"/>
    <s v="-"/>
    <s v="-"/>
    <x v="1"/>
    <x v="0"/>
    <s v="Vacant"/>
    <s v="-"/>
    <s v="-"/>
    <s v="-"/>
    <s v="-"/>
    <s v="-"/>
    <s v="-"/>
    <s v="-"/>
    <s v="-"/>
    <s v="-"/>
    <s v="-"/>
    <x v="0"/>
    <x v="0"/>
    <n v="1.09999999403954E-2"/>
    <n v="86"/>
    <n v="86"/>
    <n v="0"/>
    <x v="0"/>
    <x v="0"/>
    <m/>
    <x v="0"/>
    <m/>
    <x v="0"/>
    <m/>
    <x v="0"/>
    <x v="0"/>
    <x v="0"/>
    <x v="0"/>
    <m/>
    <n v="0"/>
    <n v="0"/>
    <n v="0"/>
    <x v="0"/>
    <m/>
  </r>
  <r>
    <x v="1"/>
    <x v="1"/>
    <x v="1"/>
    <x v="1"/>
    <n v="6694"/>
    <x v="670"/>
    <x v="17"/>
    <n v="0.103000000119209"/>
    <n v="528424"/>
    <n v="173046"/>
    <m/>
    <x v="749"/>
    <s v="RP"/>
    <d v="2017-08-31T00:00:00"/>
    <x v="69"/>
    <s v="Y"/>
    <m/>
    <s v="APP"/>
    <d v="2017-12-21T00:00:00"/>
    <m/>
    <s v="Demolition of existing garages and erection of 8 x three-storey, 3-bedroom houses and associated landscaping, cycle storage, carparking and refuse stores."/>
    <x v="719"/>
    <s v="NB"/>
    <x v="0"/>
    <s v="NSO"/>
    <m/>
    <m/>
    <m/>
    <m/>
    <s v="C"/>
    <s v="BF"/>
    <x v="0"/>
    <m/>
    <m/>
    <m/>
    <m/>
    <m/>
    <m/>
    <m/>
    <m/>
    <m/>
    <m/>
    <m/>
    <m/>
    <m/>
    <m/>
    <m/>
    <m/>
    <m/>
    <m/>
    <m/>
    <m/>
    <m/>
    <m/>
    <m/>
    <m/>
    <m/>
    <m/>
    <m/>
    <n v="84"/>
    <m/>
    <m/>
    <n v="84"/>
    <m/>
    <m/>
    <m/>
    <x v="0"/>
    <x v="1"/>
    <x v="1"/>
    <m/>
    <m/>
    <m/>
    <m/>
    <m/>
    <m/>
    <m/>
    <x v="0"/>
    <m/>
    <n v="-84"/>
    <m/>
    <m/>
    <n v="-84"/>
    <x v="1"/>
    <m/>
    <m/>
    <m/>
    <m/>
    <s v="-"/>
    <s v="-"/>
    <s v="-"/>
    <s v="-"/>
    <s v="-"/>
    <s v="-"/>
    <s v="-"/>
    <s v="-"/>
    <s v="-"/>
    <s v="-"/>
    <s v="-"/>
    <x v="1"/>
    <x v="0"/>
    <s v="-"/>
    <s v="-"/>
    <s v="-"/>
    <s v="-"/>
    <s v="-"/>
    <s v="-"/>
    <s v="-"/>
    <s v="Light Industrial"/>
    <s v="-"/>
    <s v="-"/>
    <s v="-"/>
    <x v="0"/>
    <x v="0"/>
    <n v="0"/>
    <n v="0"/>
    <n v="513"/>
    <n v="-513"/>
    <x v="0"/>
    <x v="0"/>
    <m/>
    <x v="0"/>
    <m/>
    <x v="0"/>
    <m/>
    <x v="0"/>
    <x v="0"/>
    <x v="0"/>
    <x v="0"/>
    <m/>
    <n v="808"/>
    <n v="0"/>
    <n v="808"/>
    <x v="1"/>
    <m/>
  </r>
  <r>
    <x v="0"/>
    <x v="0"/>
    <x v="0"/>
    <x v="0"/>
    <n v="6699"/>
    <x v="671"/>
    <x v="4"/>
    <n v="9.9999997764825804E-3"/>
    <n v="527473"/>
    <n v="176396"/>
    <m/>
    <x v="750"/>
    <s v="PF"/>
    <d v="2017-09-08T00:00:00"/>
    <x v="458"/>
    <s v="Y"/>
    <m/>
    <s v="Nil"/>
    <m/>
    <m/>
    <s v="Change of use of rear part ground and rear lower ground floors from Class A1 (Retail) to Sui Generis (Dog grooming and day care)"/>
    <x v="720"/>
    <s v="COU"/>
    <x v="2"/>
    <s v="OC"/>
    <m/>
    <d v="2017-11-03T00:00:00"/>
    <d v="2018-03-31T00:00:00"/>
    <d v="2018-03-31T00:00:00"/>
    <s v="C"/>
    <s v="BF"/>
    <x v="0"/>
    <m/>
    <d v="2017-11-03T00:00:00"/>
    <d v="2018-03-31T00:00:00"/>
    <n v="32"/>
    <m/>
    <m/>
    <m/>
    <m/>
    <n v="32"/>
    <m/>
    <m/>
    <m/>
    <m/>
    <m/>
    <m/>
    <m/>
    <m/>
    <m/>
    <m/>
    <n v="62"/>
    <m/>
    <m/>
    <m/>
    <m/>
    <n v="62"/>
    <m/>
    <m/>
    <m/>
    <m/>
    <m/>
    <m/>
    <m/>
    <m/>
    <m/>
    <x v="1"/>
    <x v="0"/>
    <x v="1"/>
    <n v="-30"/>
    <m/>
    <m/>
    <m/>
    <m/>
    <n v="-30"/>
    <m/>
    <x v="0"/>
    <m/>
    <m/>
    <m/>
    <m/>
    <m/>
    <x v="0"/>
    <m/>
    <m/>
    <m/>
    <m/>
    <s v="Not Known"/>
    <s v="-"/>
    <s v="-"/>
    <s v="-"/>
    <s v="-"/>
    <s v="-"/>
    <s v="-"/>
    <s v="-"/>
    <s v="-"/>
    <s v="-"/>
    <s v="-"/>
    <x v="1"/>
    <x v="0"/>
    <s v="Vacant"/>
    <s v="-"/>
    <s v="-"/>
    <s v="-"/>
    <s v="-"/>
    <s v="-"/>
    <s v="-"/>
    <s v="-"/>
    <s v="-"/>
    <s v="-"/>
    <s v="-"/>
    <x v="0"/>
    <x v="0"/>
    <n v="9.9999997764825804E-3"/>
    <n v="62"/>
    <n v="62"/>
    <n v="0"/>
    <x v="0"/>
    <x v="0"/>
    <m/>
    <x v="0"/>
    <m/>
    <x v="0"/>
    <m/>
    <x v="0"/>
    <x v="0"/>
    <x v="0"/>
    <x v="1"/>
    <s v="Battersea Park Road"/>
    <n v="0"/>
    <n v="0"/>
    <n v="0"/>
    <x v="0"/>
    <m/>
  </r>
  <r>
    <x v="0"/>
    <x v="0"/>
    <x v="0"/>
    <x v="0"/>
    <n v="6700"/>
    <x v="672"/>
    <x v="13"/>
    <n v="1.2000000104308101E-2"/>
    <n v="526042"/>
    <n v="172960"/>
    <m/>
    <x v="751"/>
    <s v="PF"/>
    <d v="2017-09-15T00:00:00"/>
    <x v="112"/>
    <s v="Y"/>
    <m/>
    <s v="Nil"/>
    <m/>
    <m/>
    <s v="Change of use of ground and basement floor from Class A4 (Drinking Establishment) to Class A3 (Restaurant/Cafe) and Class A5 (Hot Food Takaway) including installation of high level kitchen ventilation duct against rear elevation."/>
    <x v="721"/>
    <s v="COU"/>
    <x v="2"/>
    <s v="OC"/>
    <m/>
    <m/>
    <d v="2018-03-31T00:00:00"/>
    <d v="2018-03-31T00:00:00"/>
    <s v="C"/>
    <s v="BF"/>
    <x v="0"/>
    <m/>
    <m/>
    <d v="2018-03-31T00:00:00"/>
    <m/>
    <m/>
    <n v="74"/>
    <m/>
    <m/>
    <n v="74"/>
    <m/>
    <m/>
    <m/>
    <m/>
    <m/>
    <m/>
    <m/>
    <m/>
    <m/>
    <m/>
    <m/>
    <m/>
    <m/>
    <n v="74"/>
    <m/>
    <n v="74"/>
    <m/>
    <m/>
    <m/>
    <m/>
    <m/>
    <m/>
    <m/>
    <m/>
    <m/>
    <x v="1"/>
    <x v="0"/>
    <x v="1"/>
    <m/>
    <m/>
    <n v="74"/>
    <n v="-74"/>
    <m/>
    <m/>
    <m/>
    <x v="0"/>
    <m/>
    <m/>
    <m/>
    <m/>
    <m/>
    <x v="0"/>
    <m/>
    <m/>
    <m/>
    <m/>
    <s v="-"/>
    <s v="-"/>
    <s v="Restaurant"/>
    <s v="-"/>
    <s v="-"/>
    <s v="-"/>
    <s v="-"/>
    <s v="-"/>
    <s v="-"/>
    <s v="-"/>
    <s v="-"/>
    <x v="1"/>
    <x v="0"/>
    <s v="-"/>
    <s v="-"/>
    <s v="-"/>
    <s v="Vacant"/>
    <s v="-"/>
    <s v="-"/>
    <s v="-"/>
    <s v="-"/>
    <s v="-"/>
    <s v="-"/>
    <s v="-"/>
    <x v="0"/>
    <x v="0"/>
    <n v="1.2000000104308101E-2"/>
    <n v="74"/>
    <n v="74"/>
    <n v="0"/>
    <x v="0"/>
    <x v="0"/>
    <m/>
    <x v="0"/>
    <m/>
    <x v="0"/>
    <m/>
    <x v="0"/>
    <x v="0"/>
    <x v="0"/>
    <x v="1"/>
    <s v="Earlsfield"/>
    <n v="0"/>
    <n v="0"/>
    <n v="0"/>
    <x v="0"/>
    <m/>
  </r>
  <r>
    <x v="0"/>
    <x v="0"/>
    <x v="0"/>
    <x v="0"/>
    <n v="6701"/>
    <x v="673"/>
    <x v="16"/>
    <n v="9.9999997764825804E-3"/>
    <n v="527904"/>
    <n v="170625"/>
    <m/>
    <x v="752"/>
    <s v="PF"/>
    <d v="2017-09-08T00:00:00"/>
    <x v="304"/>
    <s v="Y"/>
    <m/>
    <s v="Nil"/>
    <m/>
    <m/>
    <s v="Alterations in connection with change of use from hairdressing salon (Class A1) to tattoo studio (Sui Generis) (retrospective)."/>
    <x v="722"/>
    <s v="COU"/>
    <x v="2"/>
    <s v="OC"/>
    <m/>
    <d v="2017-11-02T00:00:00"/>
    <d v="2018-03-31T00:00:00"/>
    <d v="2018-03-31T00:00:00"/>
    <s v="C"/>
    <s v="BF"/>
    <x v="0"/>
    <m/>
    <d v="2017-11-02T00:00:00"/>
    <d v="2018-03-31T00:00:00"/>
    <m/>
    <m/>
    <m/>
    <m/>
    <m/>
    <m/>
    <m/>
    <m/>
    <m/>
    <m/>
    <m/>
    <m/>
    <m/>
    <m/>
    <m/>
    <m/>
    <n v="90"/>
    <m/>
    <m/>
    <m/>
    <m/>
    <n v="90"/>
    <m/>
    <m/>
    <m/>
    <m/>
    <m/>
    <m/>
    <m/>
    <m/>
    <m/>
    <x v="1"/>
    <x v="0"/>
    <x v="1"/>
    <n v="-90"/>
    <m/>
    <m/>
    <m/>
    <m/>
    <n v="-90"/>
    <m/>
    <x v="0"/>
    <m/>
    <m/>
    <m/>
    <m/>
    <m/>
    <x v="0"/>
    <m/>
    <m/>
    <m/>
    <m/>
    <s v="-"/>
    <s v="-"/>
    <s v="-"/>
    <s v="-"/>
    <s v="-"/>
    <s v="-"/>
    <s v="-"/>
    <s v="-"/>
    <s v="-"/>
    <s v="-"/>
    <s v="-"/>
    <x v="1"/>
    <x v="0"/>
    <s v="Services"/>
    <s v="-"/>
    <s v="-"/>
    <s v="-"/>
    <s v="-"/>
    <s v="-"/>
    <s v="-"/>
    <s v="-"/>
    <s v="-"/>
    <s v="-"/>
    <s v="-"/>
    <x v="0"/>
    <x v="0"/>
    <n v="9.9999997764825804E-3"/>
    <n v="90"/>
    <n v="90"/>
    <n v="0"/>
    <x v="0"/>
    <x v="0"/>
    <m/>
    <x v="0"/>
    <m/>
    <x v="0"/>
    <m/>
    <x v="0"/>
    <x v="0"/>
    <x v="0"/>
    <x v="0"/>
    <m/>
    <n v="0"/>
    <n v="0"/>
    <n v="0"/>
    <x v="0"/>
    <m/>
  </r>
  <r>
    <x v="2"/>
    <x v="2"/>
    <x v="2"/>
    <x v="1"/>
    <n v="6707"/>
    <x v="674"/>
    <x v="11"/>
    <n v="2.8000000864267301E-2"/>
    <n v="528529"/>
    <n v="173387"/>
    <m/>
    <x v="753"/>
    <s v="PAG"/>
    <d v="2017-09-25T00:00:00"/>
    <x v="456"/>
    <s v="Y"/>
    <m/>
    <s v="Nil"/>
    <m/>
    <m/>
    <s v="Determination as to whether prior approval is required for change of use from business (Class B1)  to 7 x studio flats (Class C3)."/>
    <x v="723"/>
    <s v="COU"/>
    <x v="2"/>
    <s v="NSO"/>
    <m/>
    <m/>
    <m/>
    <m/>
    <s v="C"/>
    <s v="BF"/>
    <x v="0"/>
    <m/>
    <m/>
    <m/>
    <m/>
    <m/>
    <m/>
    <m/>
    <m/>
    <m/>
    <m/>
    <m/>
    <m/>
    <m/>
    <m/>
    <m/>
    <m/>
    <m/>
    <m/>
    <m/>
    <m/>
    <m/>
    <m/>
    <m/>
    <m/>
    <m/>
    <n v="202"/>
    <m/>
    <m/>
    <m/>
    <m/>
    <n v="202"/>
    <m/>
    <m/>
    <m/>
    <x v="0"/>
    <x v="1"/>
    <x v="1"/>
    <m/>
    <m/>
    <m/>
    <m/>
    <m/>
    <m/>
    <n v="-202"/>
    <x v="1"/>
    <m/>
    <m/>
    <m/>
    <m/>
    <n v="-202"/>
    <x v="1"/>
    <m/>
    <m/>
    <m/>
    <m/>
    <s v="-"/>
    <s v="-"/>
    <s v="-"/>
    <s v="-"/>
    <s v="-"/>
    <s v="-"/>
    <s v="-"/>
    <s v="-"/>
    <s v="-"/>
    <s v="-"/>
    <s v="-"/>
    <x v="1"/>
    <x v="0"/>
    <s v="-"/>
    <s v="-"/>
    <s v="-"/>
    <s v="-"/>
    <s v="-"/>
    <s v="Vacant"/>
    <s v="-"/>
    <s v="-"/>
    <s v="-"/>
    <s v="-"/>
    <s v="-"/>
    <x v="0"/>
    <x v="0"/>
    <n v="1.0000001639127003E-3"/>
    <n v="0"/>
    <n v="202"/>
    <n v="-202"/>
    <x v="0"/>
    <x v="0"/>
    <m/>
    <x v="0"/>
    <m/>
    <x v="0"/>
    <m/>
    <x v="0"/>
    <x v="1"/>
    <x v="5"/>
    <x v="0"/>
    <m/>
    <n v="200"/>
    <n v="0"/>
    <n v="200"/>
    <x v="1"/>
    <m/>
  </r>
  <r>
    <x v="1"/>
    <x v="0"/>
    <x v="0"/>
    <x v="1"/>
    <n v="6710"/>
    <x v="675"/>
    <x v="4"/>
    <n v="2.8000000864267301E-2"/>
    <n v="526684"/>
    <n v="176405"/>
    <m/>
    <x v="754"/>
    <s v="AF"/>
    <d v="2018-01-30T00:00:00"/>
    <x v="1"/>
    <m/>
    <m/>
    <s v="Nil"/>
    <m/>
    <m/>
    <s v="Change of use from Storage and Distribution (Class B8) to Gym (Class D2) including installation of ventilation equipment."/>
    <x v="724"/>
    <s v="COU"/>
    <x v="2"/>
    <s v="NSO"/>
    <m/>
    <m/>
    <m/>
    <m/>
    <s v="P"/>
    <s v="BF"/>
    <x v="0"/>
    <m/>
    <m/>
    <m/>
    <m/>
    <m/>
    <m/>
    <m/>
    <m/>
    <m/>
    <m/>
    <m/>
    <m/>
    <m/>
    <m/>
    <m/>
    <m/>
    <m/>
    <n v="104"/>
    <n v="104"/>
    <m/>
    <m/>
    <m/>
    <m/>
    <m/>
    <m/>
    <m/>
    <m/>
    <m/>
    <m/>
    <n v="104"/>
    <n v="104"/>
    <m/>
    <m/>
    <m/>
    <x v="0"/>
    <x v="1"/>
    <x v="0"/>
    <m/>
    <m/>
    <m/>
    <m/>
    <m/>
    <m/>
    <m/>
    <x v="0"/>
    <m/>
    <m/>
    <m/>
    <n v="-104"/>
    <n v="-104"/>
    <x v="1"/>
    <m/>
    <m/>
    <n v="104"/>
    <n v="104"/>
    <s v="-"/>
    <s v="-"/>
    <s v="-"/>
    <s v="-"/>
    <s v="-"/>
    <s v="-"/>
    <s v="-"/>
    <s v="-"/>
    <s v="-"/>
    <s v="-"/>
    <s v="-"/>
    <x v="1"/>
    <x v="2"/>
    <s v="-"/>
    <s v="-"/>
    <s v="-"/>
    <s v="-"/>
    <s v="-"/>
    <s v="-"/>
    <s v="-"/>
    <s v="-"/>
    <s v="-"/>
    <s v="Storage"/>
    <s v="-"/>
    <x v="0"/>
    <x v="0"/>
    <n v="2.8000000864267301E-2"/>
    <n v="104"/>
    <n v="104"/>
    <n v="0"/>
    <x v="1"/>
    <x v="0"/>
    <m/>
    <x v="0"/>
    <m/>
    <x v="0"/>
    <m/>
    <x v="0"/>
    <x v="0"/>
    <x v="0"/>
    <x v="0"/>
    <m/>
    <n v="0"/>
    <n v="0"/>
    <n v="0"/>
    <x v="0"/>
    <m/>
  </r>
  <r>
    <x v="1"/>
    <x v="0"/>
    <x v="0"/>
    <x v="1"/>
    <n v="6711"/>
    <x v="676"/>
    <x v="7"/>
    <n v="1.4000000432133701E-2"/>
    <n v="523785"/>
    <n v="175744"/>
    <m/>
    <x v="755"/>
    <s v="AF"/>
    <d v="2017-12-22T00:00:00"/>
    <x v="1"/>
    <m/>
    <m/>
    <s v="Nil"/>
    <m/>
    <m/>
    <s v="Alterations including replacement shopfront, excavation to enlarge basement including the formation of a front lightwell with safety railings; alterations to single storey rear extension, erection of refuse and buggy store and creation of yard/play area with alterations to rear boundary treatment and access in connection with change of use from Shop (Class A1) to Day Nursery (Class D1) with associated boundary treatment. *Application re-consulted upon due to the submission of additional information (Travel Plan)."/>
    <x v="725"/>
    <s v="COU"/>
    <x v="2"/>
    <s v="NSO"/>
    <m/>
    <m/>
    <m/>
    <m/>
    <s v="P"/>
    <s v="BF"/>
    <x v="0"/>
    <m/>
    <m/>
    <m/>
    <m/>
    <m/>
    <m/>
    <m/>
    <m/>
    <m/>
    <m/>
    <m/>
    <m/>
    <m/>
    <m/>
    <m/>
    <m/>
    <n v="115"/>
    <m/>
    <n v="115"/>
    <n v="125"/>
    <m/>
    <m/>
    <m/>
    <m/>
    <n v="125"/>
    <m/>
    <m/>
    <m/>
    <m/>
    <m/>
    <m/>
    <m/>
    <m/>
    <m/>
    <x v="1"/>
    <x v="0"/>
    <x v="0"/>
    <n v="-125"/>
    <m/>
    <m/>
    <m/>
    <m/>
    <n v="-125"/>
    <m/>
    <x v="0"/>
    <m/>
    <m/>
    <m/>
    <m/>
    <m/>
    <x v="0"/>
    <m/>
    <n v="115"/>
    <m/>
    <n v="115"/>
    <s v="-"/>
    <s v="-"/>
    <s v="-"/>
    <s v="-"/>
    <s v="-"/>
    <s v="-"/>
    <s v="-"/>
    <s v="-"/>
    <s v="-"/>
    <s v="-"/>
    <s v="-"/>
    <x v="6"/>
    <x v="0"/>
    <s v="Vacant"/>
    <s v="-"/>
    <s v="-"/>
    <s v="-"/>
    <s v="-"/>
    <s v="-"/>
    <s v="-"/>
    <s v="-"/>
    <s v="-"/>
    <s v="-"/>
    <s v="-"/>
    <x v="0"/>
    <x v="0"/>
    <n v="1.4000000432133701E-2"/>
    <n v="115"/>
    <n v="125"/>
    <n v="-10"/>
    <x v="0"/>
    <x v="0"/>
    <m/>
    <x v="0"/>
    <m/>
    <x v="0"/>
    <m/>
    <x v="0"/>
    <x v="0"/>
    <x v="0"/>
    <x v="0"/>
    <m/>
    <n v="0"/>
    <n v="0"/>
    <n v="0"/>
    <x v="0"/>
    <m/>
  </r>
  <r>
    <x v="1"/>
    <x v="0"/>
    <x v="0"/>
    <x v="1"/>
    <n v="6714"/>
    <x v="677"/>
    <x v="17"/>
    <n v="1.2000000104308101E-2"/>
    <n v="527984"/>
    <n v="172301"/>
    <m/>
    <x v="756"/>
    <s v="AF"/>
    <d v="2017-09-28T00:00:00"/>
    <x v="1"/>
    <m/>
    <m/>
    <s v="Nil"/>
    <m/>
    <m/>
    <s v="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
    <x v="726"/>
    <s v="MIX"/>
    <x v="0"/>
    <s v="NSO"/>
    <m/>
    <m/>
    <m/>
    <m/>
    <s v="P"/>
    <s v="BF"/>
    <x v="0"/>
    <m/>
    <m/>
    <m/>
    <m/>
    <m/>
    <n v="118"/>
    <m/>
    <m/>
    <n v="118"/>
    <m/>
    <m/>
    <m/>
    <m/>
    <m/>
    <m/>
    <m/>
    <m/>
    <m/>
    <m/>
    <n v="113"/>
    <m/>
    <m/>
    <m/>
    <m/>
    <n v="113"/>
    <m/>
    <m/>
    <m/>
    <m/>
    <m/>
    <m/>
    <m/>
    <m/>
    <m/>
    <x v="1"/>
    <x v="0"/>
    <x v="1"/>
    <n v="-113"/>
    <m/>
    <n v="118"/>
    <m/>
    <m/>
    <n v="5"/>
    <m/>
    <x v="0"/>
    <m/>
    <m/>
    <m/>
    <m/>
    <m/>
    <x v="0"/>
    <m/>
    <m/>
    <m/>
    <m/>
    <s v="-"/>
    <s v="-"/>
    <s v="Restaurant"/>
    <s v="-"/>
    <s v="-"/>
    <s v="-"/>
    <s v="-"/>
    <s v="-"/>
    <s v="-"/>
    <s v="-"/>
    <s v="-"/>
    <x v="1"/>
    <x v="0"/>
    <s v="Not Known"/>
    <s v="-"/>
    <s v="-"/>
    <s v="-"/>
    <s v="-"/>
    <s v="-"/>
    <s v="-"/>
    <s v="-"/>
    <s v="-"/>
    <s v="-"/>
    <s v="-"/>
    <x v="0"/>
    <x v="0"/>
    <n v="3.9999997243284902E-3"/>
    <n v="118"/>
    <n v="113"/>
    <n v="5"/>
    <x v="0"/>
    <x v="0"/>
    <m/>
    <x v="0"/>
    <m/>
    <x v="0"/>
    <m/>
    <x v="0"/>
    <x v="0"/>
    <x v="0"/>
    <x v="0"/>
    <m/>
    <n v="229"/>
    <n v="165"/>
    <n v="64"/>
    <x v="1"/>
    <m/>
  </r>
  <r>
    <x v="2"/>
    <x v="2"/>
    <x v="2"/>
    <x v="1"/>
    <n v="6716"/>
    <x v="678"/>
    <x v="12"/>
    <n v="4.8999998718500103E-2"/>
    <n v="525381"/>
    <n v="174614"/>
    <m/>
    <x v="757"/>
    <s v="PANR"/>
    <d v="2017-10-10T00:00:00"/>
    <x v="459"/>
    <s v="Y"/>
    <m/>
    <s v="Nil"/>
    <m/>
    <m/>
    <s v="Determination as to whether prior approval is required for change of use of offices at part ground and first floor levels from (Class B1a) to residential (Class C3) to provide one studio, 5 x 1 and 2 x 2 bedroom units."/>
    <x v="727"/>
    <s v="COU"/>
    <x v="2"/>
    <s v="NSO"/>
    <m/>
    <m/>
    <m/>
    <m/>
    <s v="C"/>
    <s v="BF"/>
    <x v="0"/>
    <m/>
    <m/>
    <m/>
    <m/>
    <m/>
    <m/>
    <m/>
    <m/>
    <m/>
    <m/>
    <m/>
    <m/>
    <m/>
    <m/>
    <m/>
    <m/>
    <m/>
    <m/>
    <m/>
    <m/>
    <m/>
    <m/>
    <m/>
    <m/>
    <m/>
    <n v="456"/>
    <m/>
    <m/>
    <m/>
    <m/>
    <n v="456"/>
    <m/>
    <m/>
    <m/>
    <x v="0"/>
    <x v="1"/>
    <x v="1"/>
    <m/>
    <m/>
    <m/>
    <m/>
    <m/>
    <m/>
    <n v="-456"/>
    <x v="1"/>
    <m/>
    <m/>
    <m/>
    <m/>
    <n v="-456"/>
    <x v="1"/>
    <m/>
    <m/>
    <m/>
    <m/>
    <s v="-"/>
    <s v="-"/>
    <s v="-"/>
    <s v="-"/>
    <s v="-"/>
    <s v="-"/>
    <s v="-"/>
    <s v="-"/>
    <s v="-"/>
    <s v="-"/>
    <s v="-"/>
    <x v="1"/>
    <x v="0"/>
    <s v="-"/>
    <s v="-"/>
    <s v="-"/>
    <s v="-"/>
    <s v="-"/>
    <s v="Vacant"/>
    <s v="-"/>
    <s v="-"/>
    <s v="-"/>
    <s v="-"/>
    <s v="-"/>
    <x v="0"/>
    <x v="0"/>
    <n v="3.0999999493360502E-2"/>
    <n v="0"/>
    <n v="456"/>
    <n v="-456"/>
    <x v="0"/>
    <x v="0"/>
    <m/>
    <x v="0"/>
    <m/>
    <x v="0"/>
    <m/>
    <x v="0"/>
    <x v="1"/>
    <x v="4"/>
    <x v="0"/>
    <m/>
    <n v="456"/>
    <n v="0"/>
    <n v="456"/>
    <x v="1"/>
    <m/>
  </r>
  <r>
    <x v="0"/>
    <x v="0"/>
    <x v="0"/>
    <x v="0"/>
    <n v="6717"/>
    <x v="679"/>
    <x v="7"/>
    <n v="1.4000000432133701E-2"/>
    <n v="523291"/>
    <n v="175853"/>
    <m/>
    <x v="758"/>
    <s v="PF"/>
    <d v="2017-10-17T00:00:00"/>
    <x v="460"/>
    <s v="Y"/>
    <m/>
    <s v="Nil"/>
    <m/>
    <m/>
    <s v="Alterations in connection with change of use of basement and ground floor from restaurant (Class A3) to hot food take away (Class A5)."/>
    <x v="728"/>
    <s v="COU"/>
    <x v="2"/>
    <s v="OC"/>
    <m/>
    <d v="2017-12-11T00:00:00"/>
    <d v="2018-03-31T00:00:00"/>
    <d v="2018-03-31T00:00:00"/>
    <s v="C"/>
    <s v="BF"/>
    <x v="0"/>
    <m/>
    <d v="2017-12-11T00:00:00"/>
    <d v="2018-03-31T00:00:00"/>
    <m/>
    <m/>
    <m/>
    <m/>
    <n v="85"/>
    <n v="85"/>
    <m/>
    <m/>
    <m/>
    <m/>
    <m/>
    <m/>
    <m/>
    <m/>
    <m/>
    <m/>
    <m/>
    <m/>
    <n v="85"/>
    <m/>
    <m/>
    <n v="85"/>
    <m/>
    <m/>
    <m/>
    <m/>
    <m/>
    <m/>
    <m/>
    <m/>
    <m/>
    <x v="1"/>
    <x v="0"/>
    <x v="1"/>
    <m/>
    <m/>
    <n v="-85"/>
    <m/>
    <n v="85"/>
    <m/>
    <m/>
    <x v="0"/>
    <m/>
    <m/>
    <m/>
    <m/>
    <m/>
    <x v="0"/>
    <m/>
    <m/>
    <m/>
    <m/>
    <s v="-"/>
    <s v="-"/>
    <s v="-"/>
    <s v="-"/>
    <s v="Take-Aways"/>
    <s v="-"/>
    <s v="-"/>
    <s v="-"/>
    <s v="-"/>
    <s v="-"/>
    <s v="-"/>
    <x v="1"/>
    <x v="0"/>
    <s v="-"/>
    <s v="-"/>
    <s v="Restaurant"/>
    <s v="-"/>
    <s v="-"/>
    <s v="-"/>
    <s v="-"/>
    <s v="-"/>
    <s v="-"/>
    <s v="-"/>
    <s v="-"/>
    <x v="0"/>
    <x v="0"/>
    <n v="1.4000000432133701E-2"/>
    <n v="85"/>
    <n v="85"/>
    <n v="0"/>
    <x v="0"/>
    <x v="0"/>
    <m/>
    <x v="0"/>
    <m/>
    <x v="0"/>
    <m/>
    <x v="0"/>
    <x v="0"/>
    <x v="0"/>
    <x v="0"/>
    <m/>
    <n v="0"/>
    <n v="0"/>
    <n v="0"/>
    <x v="0"/>
    <m/>
  </r>
  <r>
    <x v="0"/>
    <x v="0"/>
    <x v="0"/>
    <x v="0"/>
    <n v="6720"/>
    <x v="680"/>
    <x v="13"/>
    <n v="4.9999998882412902E-3"/>
    <n v="526036"/>
    <n v="172861"/>
    <m/>
    <x v="759"/>
    <s v="PF"/>
    <d v="2017-10-19T00:00:00"/>
    <x v="461"/>
    <s v="Y"/>
    <m/>
    <s v="Nil"/>
    <m/>
    <m/>
    <s v="Change of use from beauty therapy purpose (Class Sui Generis) to flexible use for beauty therapy purposes (Class Sui Generis) and dental treatment (Class D1)."/>
    <x v="729"/>
    <s v="COU"/>
    <x v="2"/>
    <s v="OC"/>
    <m/>
    <d v="2017-04-01T00:00:00"/>
    <d v="2018-03-31T00:00:00"/>
    <d v="2018-03-31T00:00:00"/>
    <s v="C"/>
    <s v="BF"/>
    <x v="0"/>
    <m/>
    <d v="2017-04-01T00:00:00"/>
    <d v="2018-03-31T00:00:00"/>
    <m/>
    <m/>
    <m/>
    <m/>
    <m/>
    <m/>
    <m/>
    <m/>
    <m/>
    <m/>
    <m/>
    <m/>
    <m/>
    <n v="17"/>
    <m/>
    <n v="17"/>
    <m/>
    <m/>
    <m/>
    <m/>
    <m/>
    <m/>
    <m/>
    <m/>
    <m/>
    <m/>
    <m/>
    <m/>
    <m/>
    <m/>
    <m/>
    <x v="0"/>
    <x v="0"/>
    <x v="0"/>
    <m/>
    <m/>
    <m/>
    <m/>
    <m/>
    <m/>
    <m/>
    <x v="0"/>
    <m/>
    <m/>
    <m/>
    <m/>
    <m/>
    <x v="0"/>
    <m/>
    <n v="17"/>
    <m/>
    <n v="17"/>
    <s v="-"/>
    <s v="-"/>
    <s v="-"/>
    <s v="-"/>
    <s v="-"/>
    <s v="-"/>
    <s v="-"/>
    <s v="-"/>
    <s v="-"/>
    <s v="-"/>
    <s v="-"/>
    <x v="2"/>
    <x v="0"/>
    <s v="-"/>
    <s v="-"/>
    <s v="-"/>
    <s v="-"/>
    <s v="-"/>
    <s v="-"/>
    <s v="-"/>
    <s v="-"/>
    <s v="-"/>
    <s v="-"/>
    <s v="-"/>
    <x v="0"/>
    <x v="0"/>
    <n v="4.9999998882412902E-3"/>
    <n v="102"/>
    <n v="102"/>
    <n v="0"/>
    <x v="0"/>
    <x v="0"/>
    <m/>
    <x v="0"/>
    <m/>
    <x v="0"/>
    <m/>
    <x v="0"/>
    <x v="0"/>
    <x v="0"/>
    <x v="0"/>
    <m/>
    <n v="0"/>
    <n v="0"/>
    <n v="0"/>
    <x v="0"/>
    <m/>
  </r>
  <r>
    <x v="2"/>
    <x v="0"/>
    <x v="0"/>
    <x v="1"/>
    <n v="6724"/>
    <x v="681"/>
    <x v="7"/>
    <n v="8.79999995231628E-2"/>
    <n v="523952"/>
    <n v="175317"/>
    <m/>
    <x v="760"/>
    <s v="PF"/>
    <d v="2017-10-19T00:00:00"/>
    <x v="462"/>
    <s v="Y"/>
    <m/>
    <s v="Nil"/>
    <m/>
    <m/>
    <s v="Change of use from retail (Class A1) to Beauty treatment rooms (Sui generis)."/>
    <x v="730"/>
    <s v="COU"/>
    <x v="2"/>
    <s v="NSO"/>
    <m/>
    <m/>
    <m/>
    <m/>
    <s v="C"/>
    <s v="BF"/>
    <x v="0"/>
    <m/>
    <m/>
    <m/>
    <m/>
    <m/>
    <m/>
    <m/>
    <m/>
    <m/>
    <m/>
    <m/>
    <m/>
    <m/>
    <m/>
    <m/>
    <m/>
    <m/>
    <m/>
    <m/>
    <n v="588"/>
    <m/>
    <m/>
    <m/>
    <m/>
    <n v="588"/>
    <m/>
    <m/>
    <m/>
    <m/>
    <m/>
    <m/>
    <m/>
    <m/>
    <m/>
    <x v="1"/>
    <x v="0"/>
    <x v="1"/>
    <n v="-588"/>
    <m/>
    <m/>
    <m/>
    <m/>
    <n v="-588"/>
    <m/>
    <x v="0"/>
    <m/>
    <m/>
    <m/>
    <m/>
    <m/>
    <x v="0"/>
    <m/>
    <m/>
    <m/>
    <m/>
    <s v="-"/>
    <s v="-"/>
    <s v="-"/>
    <s v="-"/>
    <s v="-"/>
    <s v="-"/>
    <s v="-"/>
    <s v="-"/>
    <s v="-"/>
    <s v="-"/>
    <s v="-"/>
    <x v="1"/>
    <x v="0"/>
    <s v="Vacant"/>
    <s v="-"/>
    <s v="-"/>
    <s v="-"/>
    <s v="-"/>
    <s v="-"/>
    <s v="-"/>
    <s v="-"/>
    <s v="-"/>
    <s v="-"/>
    <s v="-"/>
    <x v="0"/>
    <x v="0"/>
    <n v="8.79999995231628E-2"/>
    <n v="588"/>
    <n v="588"/>
    <n v="0"/>
    <x v="0"/>
    <x v="0"/>
    <m/>
    <x v="0"/>
    <m/>
    <x v="0"/>
    <m/>
    <x v="0"/>
    <x v="1"/>
    <x v="2"/>
    <x v="0"/>
    <m/>
    <n v="0"/>
    <n v="0"/>
    <n v="0"/>
    <x v="0"/>
    <m/>
  </r>
  <r>
    <x v="1"/>
    <x v="0"/>
    <x v="0"/>
    <x v="1"/>
    <n v="6726"/>
    <x v="682"/>
    <x v="11"/>
    <n v="1.60000007599592E-2"/>
    <n v="528680"/>
    <n v="173507"/>
    <m/>
    <x v="761"/>
    <s v="AF"/>
    <d v="2017-12-18T00:00:00"/>
    <x v="1"/>
    <m/>
    <m/>
    <s v="Nil"/>
    <m/>
    <m/>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x v="731"/>
    <s v="MIX"/>
    <x v="0"/>
    <s v="NSO"/>
    <m/>
    <m/>
    <m/>
    <m/>
    <s v="C"/>
    <s v="BF"/>
    <x v="0"/>
    <m/>
    <m/>
    <m/>
    <m/>
    <m/>
    <n v="130"/>
    <m/>
    <m/>
    <n v="130"/>
    <m/>
    <m/>
    <m/>
    <m/>
    <m/>
    <m/>
    <m/>
    <m/>
    <m/>
    <m/>
    <n v="220"/>
    <m/>
    <m/>
    <m/>
    <m/>
    <n v="220"/>
    <m/>
    <m/>
    <m/>
    <m/>
    <m/>
    <m/>
    <m/>
    <m/>
    <m/>
    <x v="1"/>
    <x v="0"/>
    <x v="1"/>
    <n v="-220"/>
    <m/>
    <n v="130"/>
    <m/>
    <m/>
    <n v="-90"/>
    <m/>
    <x v="0"/>
    <m/>
    <m/>
    <m/>
    <m/>
    <m/>
    <x v="0"/>
    <m/>
    <m/>
    <m/>
    <m/>
    <s v="-"/>
    <s v="-"/>
    <s v="Restaurant"/>
    <s v="-"/>
    <s v="-"/>
    <s v="-"/>
    <s v="-"/>
    <s v="-"/>
    <s v="-"/>
    <s v="-"/>
    <s v="-"/>
    <x v="1"/>
    <x v="0"/>
    <s v="Vacant"/>
    <s v="-"/>
    <s v="-"/>
    <s v="-"/>
    <s v="-"/>
    <s v="-"/>
    <s v="-"/>
    <s v="-"/>
    <s v="-"/>
    <s v="-"/>
    <s v="-"/>
    <x v="0"/>
    <x v="0"/>
    <n v="8.0000003799795896E-3"/>
    <n v="130"/>
    <n v="220"/>
    <n v="-90"/>
    <x v="0"/>
    <x v="0"/>
    <m/>
    <x v="0"/>
    <m/>
    <x v="0"/>
    <m/>
    <x v="0"/>
    <x v="1"/>
    <x v="5"/>
    <x v="0"/>
    <m/>
    <n v="127"/>
    <n v="0"/>
    <n v="127"/>
    <x v="1"/>
    <m/>
  </r>
  <r>
    <x v="2"/>
    <x v="0"/>
    <x v="0"/>
    <x v="1"/>
    <n v="6730"/>
    <x v="683"/>
    <x v="7"/>
    <n v="2.70000007003546E-2"/>
    <n v="524317"/>
    <n v="174958"/>
    <m/>
    <x v="762"/>
    <s v="PF"/>
    <d v="2017-10-19T00:00:00"/>
    <x v="463"/>
    <s v="Y"/>
    <m/>
    <s v="Nil"/>
    <m/>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x v="732"/>
    <s v="MIX"/>
    <x v="0"/>
    <s v="NSO"/>
    <m/>
    <m/>
    <m/>
    <m/>
    <s v="C"/>
    <s v="BF"/>
    <x v="0"/>
    <m/>
    <m/>
    <m/>
    <n v="138"/>
    <m/>
    <m/>
    <m/>
    <m/>
    <n v="138"/>
    <m/>
    <m/>
    <m/>
    <m/>
    <m/>
    <m/>
    <m/>
    <m/>
    <m/>
    <m/>
    <n v="61"/>
    <m/>
    <n v="41"/>
    <m/>
    <m/>
    <n v="102"/>
    <m/>
    <m/>
    <n v="29"/>
    <m/>
    <m/>
    <n v="29"/>
    <m/>
    <m/>
    <m/>
    <x v="1"/>
    <x v="1"/>
    <x v="1"/>
    <n v="77"/>
    <m/>
    <n v="-41"/>
    <m/>
    <m/>
    <n v="36"/>
    <m/>
    <x v="0"/>
    <m/>
    <n v="-29"/>
    <m/>
    <m/>
    <n v="-29"/>
    <x v="1"/>
    <m/>
    <m/>
    <m/>
    <m/>
    <s v="Consumables"/>
    <s v="-"/>
    <s v="-"/>
    <s v="-"/>
    <s v="-"/>
    <s v="-"/>
    <s v="-"/>
    <s v="-"/>
    <s v="-"/>
    <s v="-"/>
    <s v="-"/>
    <x v="1"/>
    <x v="0"/>
    <s v="Consumables"/>
    <s v="-"/>
    <s v="Restaurant"/>
    <s v="-"/>
    <s v="-"/>
    <s v="-"/>
    <s v="-"/>
    <s v="Light Industrial"/>
    <s v="-"/>
    <s v="-"/>
    <s v="-"/>
    <x v="0"/>
    <x v="0"/>
    <n v="8.0000013113021989E-3"/>
    <n v="138"/>
    <n v="131"/>
    <n v="7"/>
    <x v="0"/>
    <x v="0"/>
    <m/>
    <x v="0"/>
    <m/>
    <x v="0"/>
    <m/>
    <x v="0"/>
    <x v="1"/>
    <x v="2"/>
    <x v="0"/>
    <m/>
    <n v="282"/>
    <n v="174"/>
    <n v="108"/>
    <x v="1"/>
    <m/>
  </r>
  <r>
    <x v="3"/>
    <x v="0"/>
    <x v="0"/>
    <x v="1"/>
    <n v="6733"/>
    <x v="684"/>
    <x v="4"/>
    <n v="0.44800001382827798"/>
    <n v="527224"/>
    <n v="177130"/>
    <m/>
    <x v="763"/>
    <s v="PFLA"/>
    <d v="2017-11-01T00:00:00"/>
    <x v="63"/>
    <s v="Y"/>
    <d v="2018-01-25T00:00:00"/>
    <s v="Nil"/>
    <m/>
    <m/>
    <s v="Demolition of existing buildings and redevelopment of site to provide a part 4-storey (23.43m high) and part 8-storey (32.75m high) college building (D1 use class) with ancillary uses including business incubators, academic research and conferencing space, to also include a cafe (A3 use class) with new shopfront accessed from Parkgate Road and shop (A1 use class) accessed from Howie Street, together with public realm, highway and parking (including cycle parking), waste storage, plant, including photovoltaics at roof level and associated works."/>
    <x v="733"/>
    <s v="NB"/>
    <x v="0"/>
    <s v="UC"/>
    <m/>
    <d v="2018-03-31T00:00:00"/>
    <m/>
    <m/>
    <s v="C"/>
    <s v="BF"/>
    <x v="0"/>
    <m/>
    <d v="2018-03-31T00:00:00"/>
    <m/>
    <n v="40"/>
    <m/>
    <n v="81"/>
    <m/>
    <m/>
    <n v="121"/>
    <m/>
    <m/>
    <m/>
    <m/>
    <m/>
    <m/>
    <m/>
    <n v="15759"/>
    <m/>
    <n v="15759"/>
    <m/>
    <m/>
    <m/>
    <m/>
    <m/>
    <m/>
    <m/>
    <m/>
    <m/>
    <n v="460"/>
    <m/>
    <n v="460"/>
    <n v="2791"/>
    <m/>
    <n v="2791"/>
    <x v="1"/>
    <x v="1"/>
    <x v="0"/>
    <n v="40"/>
    <m/>
    <n v="81"/>
    <m/>
    <m/>
    <n v="121"/>
    <m/>
    <x v="0"/>
    <m/>
    <m/>
    <n v="-460"/>
    <m/>
    <n v="-460"/>
    <x v="1"/>
    <m/>
    <n v="12968"/>
    <m/>
    <n v="12968"/>
    <s v="Not Known"/>
    <s v="-"/>
    <s v="Café"/>
    <s v="-"/>
    <s v="-"/>
    <s v="-"/>
    <s v="-"/>
    <s v="-"/>
    <s v="-"/>
    <s v="-"/>
    <s v="-"/>
    <x v="0"/>
    <x v="0"/>
    <s v="-"/>
    <s v="-"/>
    <s v="-"/>
    <s v="-"/>
    <s v="-"/>
    <s v="-"/>
    <s v="-"/>
    <s v="-"/>
    <s v="General Industry"/>
    <s v="-"/>
    <s v="-"/>
    <x v="6"/>
    <x v="0"/>
    <n v="0.42600001394748727"/>
    <n v="15880"/>
    <n v="3428"/>
    <n v="12452"/>
    <x v="1"/>
    <x v="0"/>
    <m/>
    <x v="0"/>
    <m/>
    <x v="1"/>
    <s v="Howie Street"/>
    <x v="0"/>
    <x v="0"/>
    <x v="0"/>
    <x v="0"/>
    <m/>
    <n v="0"/>
    <n v="0"/>
    <n v="0"/>
    <x v="0"/>
    <m/>
  </r>
  <r>
    <x v="2"/>
    <x v="0"/>
    <x v="0"/>
    <x v="1"/>
    <n v="6734"/>
    <x v="685"/>
    <x v="16"/>
    <n v="2.4000000208616298E-2"/>
    <n v="527954"/>
    <n v="171255"/>
    <m/>
    <x v="764"/>
    <s v="PF"/>
    <d v="2017-10-03T00:00:00"/>
    <x v="464"/>
    <s v="Y"/>
    <m/>
    <s v="Nil"/>
    <m/>
    <m/>
    <s v="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
    <x v="734"/>
    <s v="MIX"/>
    <x v="0"/>
    <s v="NSO"/>
    <m/>
    <m/>
    <m/>
    <m/>
    <s v="C"/>
    <s v="BF"/>
    <x v="0"/>
    <m/>
    <m/>
    <m/>
    <m/>
    <m/>
    <m/>
    <m/>
    <m/>
    <m/>
    <m/>
    <m/>
    <m/>
    <m/>
    <m/>
    <m/>
    <m/>
    <m/>
    <m/>
    <m/>
    <m/>
    <m/>
    <m/>
    <m/>
    <m/>
    <m/>
    <n v="17"/>
    <m/>
    <m/>
    <m/>
    <m/>
    <n v="17"/>
    <m/>
    <m/>
    <m/>
    <x v="0"/>
    <x v="1"/>
    <x v="1"/>
    <m/>
    <m/>
    <m/>
    <m/>
    <m/>
    <m/>
    <n v="-17"/>
    <x v="1"/>
    <m/>
    <m/>
    <m/>
    <m/>
    <n v="-17"/>
    <x v="1"/>
    <m/>
    <m/>
    <m/>
    <m/>
    <s v="-"/>
    <s v="-"/>
    <s v="-"/>
    <s v="-"/>
    <s v="-"/>
    <s v="-"/>
    <s v="-"/>
    <s v="-"/>
    <s v="-"/>
    <s v="-"/>
    <s v="-"/>
    <x v="1"/>
    <x v="0"/>
    <s v="-"/>
    <s v="-"/>
    <s v="-"/>
    <s v="-"/>
    <s v="-"/>
    <s v="Other"/>
    <s v="-"/>
    <s v="-"/>
    <s v="-"/>
    <s v="-"/>
    <s v="-"/>
    <x v="0"/>
    <x v="0"/>
    <n v="0"/>
    <n v="0"/>
    <n v="17"/>
    <n v="-17"/>
    <x v="0"/>
    <x v="0"/>
    <m/>
    <x v="0"/>
    <m/>
    <x v="0"/>
    <m/>
    <x v="0"/>
    <x v="0"/>
    <x v="0"/>
    <x v="0"/>
    <m/>
    <n v="96"/>
    <n v="0"/>
    <n v="96"/>
    <x v="1"/>
    <m/>
  </r>
  <r>
    <x v="1"/>
    <x v="0"/>
    <x v="0"/>
    <x v="1"/>
    <n v="6735"/>
    <x v="686"/>
    <x v="15"/>
    <n v="3.70000004768372E-2"/>
    <n v="529413"/>
    <n v="171159"/>
    <m/>
    <x v="765"/>
    <s v="AF"/>
    <d v="2017-10-18T00:00:00"/>
    <x v="1"/>
    <m/>
    <m/>
    <s v="Nil"/>
    <m/>
    <m/>
    <s v="Alterations including amalgamation of flats A and B, enlargement of window opening and installation of french doors. Demolition of existing garages and erection of two-storey (plus roof level) 3-bedroom detached house with associated landscaping, cycle and refuse storage."/>
    <x v="735"/>
    <s v="MIX"/>
    <x v="0"/>
    <s v="NSO"/>
    <m/>
    <m/>
    <m/>
    <m/>
    <s v="P"/>
    <s v="BF"/>
    <x v="0"/>
    <m/>
    <m/>
    <m/>
    <m/>
    <m/>
    <m/>
    <m/>
    <m/>
    <m/>
    <m/>
    <m/>
    <m/>
    <m/>
    <m/>
    <m/>
    <m/>
    <m/>
    <m/>
    <m/>
    <m/>
    <m/>
    <m/>
    <m/>
    <m/>
    <m/>
    <m/>
    <m/>
    <m/>
    <m/>
    <m/>
    <m/>
    <m/>
    <m/>
    <m/>
    <x v="0"/>
    <x v="0"/>
    <x v="1"/>
    <m/>
    <m/>
    <m/>
    <m/>
    <m/>
    <m/>
    <m/>
    <x v="0"/>
    <m/>
    <m/>
    <m/>
    <m/>
    <m/>
    <x v="0"/>
    <m/>
    <m/>
    <m/>
    <m/>
    <s v="-"/>
    <s v="-"/>
    <s v="-"/>
    <s v="-"/>
    <s v="-"/>
    <s v="-"/>
    <s v="-"/>
    <s v="-"/>
    <s v="-"/>
    <s v="-"/>
    <s v="-"/>
    <x v="1"/>
    <x v="0"/>
    <s v="-"/>
    <s v="-"/>
    <s v="-"/>
    <s v="-"/>
    <s v="-"/>
    <s v="-"/>
    <s v="-"/>
    <s v="-"/>
    <s v="-"/>
    <s v="-"/>
    <s v="-"/>
    <x v="0"/>
    <x v="0"/>
    <n v="2.9200000688433689E-2"/>
    <n v="0"/>
    <n v="36"/>
    <n v="-36"/>
    <x v="0"/>
    <x v="0"/>
    <m/>
    <x v="0"/>
    <m/>
    <x v="0"/>
    <m/>
    <x v="0"/>
    <x v="0"/>
    <x v="0"/>
    <x v="0"/>
    <m/>
    <n v="169"/>
    <n v="40"/>
    <n v="129"/>
    <x v="1"/>
    <m/>
  </r>
  <r>
    <x v="1"/>
    <x v="0"/>
    <x v="0"/>
    <x v="1"/>
    <n v="6736"/>
    <x v="687"/>
    <x v="16"/>
    <n v="9.9999997764825804E-3"/>
    <n v="527952"/>
    <n v="171492"/>
    <m/>
    <x v="766"/>
    <s v="AF"/>
    <d v="2018-02-16T00:00:00"/>
    <x v="1"/>
    <m/>
    <m/>
    <s v="Nil"/>
    <m/>
    <m/>
    <s v="Alterations in connection with change of use of shop (Class A1) to restaurant/cafe (Class A1/A3); new shopfront; new extractor fan to the rear."/>
    <x v="671"/>
    <s v="COU"/>
    <x v="2"/>
    <s v="NSO"/>
    <m/>
    <m/>
    <m/>
    <m/>
    <s v="P"/>
    <s v="BF"/>
    <x v="0"/>
    <m/>
    <m/>
    <m/>
    <m/>
    <m/>
    <n v="85"/>
    <m/>
    <m/>
    <n v="85"/>
    <m/>
    <m/>
    <m/>
    <m/>
    <m/>
    <m/>
    <m/>
    <m/>
    <m/>
    <m/>
    <n v="85"/>
    <m/>
    <m/>
    <m/>
    <m/>
    <n v="85"/>
    <m/>
    <m/>
    <m/>
    <m/>
    <m/>
    <m/>
    <m/>
    <m/>
    <m/>
    <x v="1"/>
    <x v="0"/>
    <x v="1"/>
    <n v="-85"/>
    <m/>
    <n v="85"/>
    <m/>
    <m/>
    <m/>
    <m/>
    <x v="0"/>
    <m/>
    <m/>
    <m/>
    <m/>
    <m/>
    <x v="0"/>
    <m/>
    <m/>
    <m/>
    <m/>
    <s v="-"/>
    <s v="-"/>
    <s v="Café"/>
    <s v="-"/>
    <s v="-"/>
    <s v="-"/>
    <s v="-"/>
    <s v="-"/>
    <s v="-"/>
    <s v="-"/>
    <s v="-"/>
    <x v="1"/>
    <x v="0"/>
    <s v="Vacant"/>
    <s v="-"/>
    <s v="-"/>
    <s v="-"/>
    <s v="-"/>
    <s v="-"/>
    <s v="-"/>
    <s v="-"/>
    <s v="-"/>
    <s v="-"/>
    <s v="-"/>
    <x v="0"/>
    <x v="0"/>
    <n v="9.9999997764825804E-3"/>
    <n v="85"/>
    <n v="85"/>
    <n v="0"/>
    <x v="0"/>
    <x v="0"/>
    <m/>
    <x v="0"/>
    <m/>
    <x v="0"/>
    <m/>
    <x v="0"/>
    <x v="0"/>
    <x v="0"/>
    <x v="0"/>
    <m/>
    <n v="0"/>
    <n v="0"/>
    <n v="0"/>
    <x v="0"/>
    <m/>
  </r>
  <r>
    <x v="2"/>
    <x v="0"/>
    <x v="0"/>
    <x v="1"/>
    <n v="6738"/>
    <x v="688"/>
    <x v="9"/>
    <n v="1.2000000104308101E-2"/>
    <n v="527743"/>
    <n v="176512"/>
    <m/>
    <x v="767"/>
    <s v="PF"/>
    <d v="2018-01-09T00:00:00"/>
    <x v="465"/>
    <s v="Y"/>
    <m/>
    <s v="Nil"/>
    <m/>
    <m/>
    <s v="Change of use from scrap metal shop (Sui Generis) to Retail (Class A1) with ancillary office space."/>
    <x v="736"/>
    <s v="COU"/>
    <x v="2"/>
    <s v="NSO"/>
    <m/>
    <m/>
    <m/>
    <m/>
    <s v="C"/>
    <s v="BF"/>
    <x v="0"/>
    <m/>
    <m/>
    <m/>
    <n v="59"/>
    <m/>
    <m/>
    <m/>
    <m/>
    <n v="59"/>
    <m/>
    <m/>
    <m/>
    <m/>
    <m/>
    <m/>
    <m/>
    <m/>
    <m/>
    <m/>
    <m/>
    <m/>
    <m/>
    <m/>
    <m/>
    <m/>
    <m/>
    <m/>
    <m/>
    <m/>
    <m/>
    <m/>
    <m/>
    <m/>
    <m/>
    <x v="1"/>
    <x v="0"/>
    <x v="1"/>
    <n v="59"/>
    <m/>
    <m/>
    <m/>
    <m/>
    <n v="59"/>
    <m/>
    <x v="0"/>
    <m/>
    <m/>
    <m/>
    <m/>
    <m/>
    <x v="0"/>
    <m/>
    <m/>
    <m/>
    <m/>
    <s v="Durables"/>
    <s v="-"/>
    <s v="-"/>
    <s v="-"/>
    <s v="-"/>
    <s v="-"/>
    <s v="-"/>
    <s v="-"/>
    <s v="-"/>
    <s v="-"/>
    <s v="-"/>
    <x v="1"/>
    <x v="0"/>
    <s v="-"/>
    <s v="-"/>
    <s v="-"/>
    <s v="-"/>
    <s v="-"/>
    <s v="-"/>
    <s v="-"/>
    <s v="-"/>
    <s v="-"/>
    <s v="-"/>
    <s v="-"/>
    <x v="0"/>
    <x v="0"/>
    <n v="1.2000000104308101E-2"/>
    <n v="59"/>
    <n v="59"/>
    <n v="0"/>
    <x v="0"/>
    <x v="0"/>
    <m/>
    <x v="0"/>
    <m/>
    <x v="0"/>
    <m/>
    <x v="0"/>
    <x v="0"/>
    <x v="0"/>
    <x v="0"/>
    <m/>
    <n v="0"/>
    <n v="0"/>
    <n v="0"/>
    <x v="0"/>
    <m/>
  </r>
  <r>
    <x v="2"/>
    <x v="2"/>
    <x v="2"/>
    <x v="1"/>
    <n v="6739"/>
    <x v="689"/>
    <x v="2"/>
    <n v="0.25600001215934798"/>
    <n v="528376"/>
    <n v="173160"/>
    <m/>
    <x v="768"/>
    <s v="PAG"/>
    <d v="2017-11-08T00:00:00"/>
    <x v="46"/>
    <s v="Y"/>
    <m/>
    <s v="Nil"/>
    <m/>
    <m/>
    <s v="Determination as to whether prior approval is required for change of use from offices (Class B1) to 71 residential units (33 x studio flats, 19 x 1-bedroom flats, 18 x 2-bedroom flats and 1 x 3-bedroom flat) (Class C3)."/>
    <x v="737"/>
    <s v="COU"/>
    <x v="2"/>
    <s v="NSV"/>
    <m/>
    <m/>
    <m/>
    <m/>
    <s v="C"/>
    <s v="BF"/>
    <x v="0"/>
    <m/>
    <m/>
    <m/>
    <m/>
    <m/>
    <m/>
    <m/>
    <m/>
    <m/>
    <m/>
    <m/>
    <m/>
    <m/>
    <m/>
    <m/>
    <m/>
    <m/>
    <m/>
    <m/>
    <m/>
    <m/>
    <m/>
    <m/>
    <m/>
    <m/>
    <n v="4644"/>
    <m/>
    <m/>
    <m/>
    <m/>
    <n v="4644"/>
    <m/>
    <m/>
    <m/>
    <x v="0"/>
    <x v="1"/>
    <x v="1"/>
    <m/>
    <m/>
    <m/>
    <m/>
    <m/>
    <m/>
    <n v="-4644"/>
    <x v="1"/>
    <m/>
    <m/>
    <m/>
    <m/>
    <n v="-4644"/>
    <x v="1"/>
    <m/>
    <m/>
    <m/>
    <m/>
    <s v="-"/>
    <s v="-"/>
    <s v="-"/>
    <s v="-"/>
    <s v="-"/>
    <s v="-"/>
    <s v="-"/>
    <s v="-"/>
    <s v="-"/>
    <s v="-"/>
    <s v="-"/>
    <x v="1"/>
    <x v="0"/>
    <s v="-"/>
    <s v="-"/>
    <s v="-"/>
    <s v="-"/>
    <s v="-"/>
    <s v="Financial or Professional Services"/>
    <s v="-"/>
    <s v="-"/>
    <s v="-"/>
    <s v="-"/>
    <s v="-"/>
    <x v="0"/>
    <x v="0"/>
    <n v="0"/>
    <n v="0"/>
    <n v="4644"/>
    <n v="-4644"/>
    <x v="0"/>
    <x v="0"/>
    <m/>
    <x v="0"/>
    <m/>
    <x v="0"/>
    <m/>
    <x v="0"/>
    <x v="0"/>
    <x v="0"/>
    <x v="0"/>
    <m/>
    <n v="4644"/>
    <n v="0"/>
    <n v="4644"/>
    <x v="1"/>
    <m/>
  </r>
  <r>
    <x v="3"/>
    <x v="2"/>
    <x v="2"/>
    <x v="1"/>
    <n v="6740"/>
    <x v="690"/>
    <x v="2"/>
    <n v="8.0000003799796104E-3"/>
    <n v="528278"/>
    <n v="173009"/>
    <m/>
    <x v="769"/>
    <s v="PANR"/>
    <d v="2017-11-13T00:00:00"/>
    <x v="466"/>
    <s v="Y"/>
    <m/>
    <s v="Nil"/>
    <m/>
    <m/>
    <s v="Determination as to whether prior approval is required for change of use from retail (Class A1) to 1 x 2-bedroom flat (Class C3)."/>
    <x v="738"/>
    <s v="COU"/>
    <x v="2"/>
    <s v="UC"/>
    <m/>
    <d v="2018-03-31T00:00:00"/>
    <m/>
    <m/>
    <s v="C"/>
    <s v="BF"/>
    <x v="0"/>
    <m/>
    <d v="2018-03-31T00:00:00"/>
    <m/>
    <m/>
    <m/>
    <m/>
    <m/>
    <m/>
    <m/>
    <m/>
    <m/>
    <m/>
    <m/>
    <m/>
    <m/>
    <m/>
    <m/>
    <m/>
    <m/>
    <n v="73"/>
    <m/>
    <m/>
    <m/>
    <m/>
    <n v="73"/>
    <m/>
    <m/>
    <m/>
    <m/>
    <m/>
    <m/>
    <m/>
    <m/>
    <m/>
    <x v="1"/>
    <x v="0"/>
    <x v="1"/>
    <n v="-73"/>
    <m/>
    <m/>
    <m/>
    <m/>
    <n v="-73"/>
    <m/>
    <x v="0"/>
    <m/>
    <m/>
    <m/>
    <m/>
    <m/>
    <x v="0"/>
    <m/>
    <m/>
    <m/>
    <m/>
    <s v="-"/>
    <s v="-"/>
    <s v="-"/>
    <s v="-"/>
    <s v="-"/>
    <s v="-"/>
    <s v="-"/>
    <s v="-"/>
    <s v="-"/>
    <s v="-"/>
    <s v="-"/>
    <x v="1"/>
    <x v="0"/>
    <s v="Consumables"/>
    <s v="-"/>
    <s v="-"/>
    <s v="-"/>
    <s v="-"/>
    <s v="-"/>
    <s v="-"/>
    <s v="-"/>
    <s v="-"/>
    <s v="-"/>
    <s v="-"/>
    <x v="0"/>
    <x v="0"/>
    <n v="0"/>
    <n v="0"/>
    <n v="73"/>
    <n v="-73"/>
    <x v="0"/>
    <x v="0"/>
    <m/>
    <x v="0"/>
    <m/>
    <x v="0"/>
    <m/>
    <x v="0"/>
    <x v="0"/>
    <x v="0"/>
    <x v="0"/>
    <m/>
    <n v="73"/>
    <n v="0"/>
    <n v="73"/>
    <x v="1"/>
    <m/>
  </r>
  <r>
    <x v="3"/>
    <x v="0"/>
    <x v="0"/>
    <x v="1"/>
    <n v="6741"/>
    <x v="691"/>
    <x v="12"/>
    <n v="6.0000000521540598E-3"/>
    <n v="525163"/>
    <n v="173398"/>
    <m/>
    <x v="770"/>
    <s v="PF"/>
    <d v="2017-11-10T00:00:00"/>
    <x v="464"/>
    <s v="Y"/>
    <m/>
    <s v="Nil"/>
    <m/>
    <m/>
    <s v="Alterations including replacement fenestration to front and side elevations in connection with change of use from physiotherapy practice (Class D1) to a 1-bedroom flat (Class C3)."/>
    <x v="739"/>
    <s v="COU"/>
    <x v="2"/>
    <s v="UC"/>
    <m/>
    <d v="2018-03-31T00:00:00"/>
    <m/>
    <m/>
    <s v="C"/>
    <s v="BF"/>
    <x v="0"/>
    <m/>
    <d v="2018-03-31T00:00:00"/>
    <m/>
    <m/>
    <m/>
    <m/>
    <m/>
    <m/>
    <m/>
    <m/>
    <m/>
    <m/>
    <m/>
    <m/>
    <m/>
    <m/>
    <m/>
    <m/>
    <m/>
    <m/>
    <m/>
    <m/>
    <m/>
    <m/>
    <m/>
    <m/>
    <m/>
    <m/>
    <m/>
    <m/>
    <m/>
    <n v="45"/>
    <m/>
    <n v="45"/>
    <x v="0"/>
    <x v="0"/>
    <x v="0"/>
    <m/>
    <m/>
    <m/>
    <m/>
    <m/>
    <m/>
    <m/>
    <x v="0"/>
    <m/>
    <m/>
    <m/>
    <m/>
    <m/>
    <x v="0"/>
    <m/>
    <n v="-45"/>
    <m/>
    <n v="-45"/>
    <s v="-"/>
    <s v="-"/>
    <s v="-"/>
    <s v="-"/>
    <s v="-"/>
    <s v="-"/>
    <s v="-"/>
    <s v="-"/>
    <s v="-"/>
    <s v="-"/>
    <s v="-"/>
    <x v="1"/>
    <x v="0"/>
    <s v="-"/>
    <s v="-"/>
    <s v="-"/>
    <s v="-"/>
    <s v="-"/>
    <s v="-"/>
    <s v="-"/>
    <s v="-"/>
    <s v="-"/>
    <s v="-"/>
    <s v="-"/>
    <x v="2"/>
    <x v="0"/>
    <n v="1.9999998621642494E-3"/>
    <n v="0"/>
    <n v="45"/>
    <n v="-45"/>
    <x v="0"/>
    <x v="0"/>
    <m/>
    <x v="0"/>
    <m/>
    <x v="0"/>
    <m/>
    <x v="0"/>
    <x v="0"/>
    <x v="0"/>
    <x v="0"/>
    <m/>
    <n v="45"/>
    <n v="0"/>
    <n v="45"/>
    <x v="1"/>
    <m/>
  </r>
  <r>
    <x v="0"/>
    <x v="0"/>
    <x v="0"/>
    <x v="0"/>
    <n v="6742"/>
    <x v="692"/>
    <x v="11"/>
    <n v="6.0000000521540598E-3"/>
    <n v="528581"/>
    <n v="173329"/>
    <m/>
    <x v="771"/>
    <s v="PF"/>
    <d v="2017-11-20T00:00:00"/>
    <x v="210"/>
    <s v="Y"/>
    <m/>
    <s v="Nil"/>
    <m/>
    <m/>
    <s v="Change of use from shop (Class A1) to restaurant and cafe (Class A3). Replacement shopfront and extarct flue to rear. Proposed opening hours 12:00 to 21:00 Monday to Sunday and Bank Holidays."/>
    <x v="702"/>
    <s v="COU"/>
    <x v="2"/>
    <s v="OC"/>
    <m/>
    <d v="2018-01-18T00:00:00"/>
    <d v="2018-03-31T00:00:00"/>
    <d v="2018-03-31T00:00:00"/>
    <s v="C"/>
    <s v="BF"/>
    <x v="0"/>
    <m/>
    <d v="2018-01-18T00:00:00"/>
    <d v="2018-03-31T00:00:00"/>
    <m/>
    <m/>
    <n v="100"/>
    <m/>
    <m/>
    <n v="100"/>
    <m/>
    <m/>
    <m/>
    <m/>
    <m/>
    <m/>
    <m/>
    <m/>
    <m/>
    <m/>
    <n v="100"/>
    <m/>
    <m/>
    <m/>
    <m/>
    <n v="100"/>
    <m/>
    <m/>
    <m/>
    <m/>
    <m/>
    <m/>
    <m/>
    <m/>
    <m/>
    <x v="1"/>
    <x v="0"/>
    <x v="1"/>
    <n v="-100"/>
    <m/>
    <n v="100"/>
    <m/>
    <m/>
    <m/>
    <m/>
    <x v="0"/>
    <m/>
    <m/>
    <m/>
    <m/>
    <m/>
    <x v="0"/>
    <m/>
    <m/>
    <m/>
    <m/>
    <s v="-"/>
    <s v="-"/>
    <s v="Restaurant"/>
    <s v="-"/>
    <s v="-"/>
    <s v="-"/>
    <s v="-"/>
    <s v="-"/>
    <s v="-"/>
    <s v="-"/>
    <s v="-"/>
    <x v="1"/>
    <x v="0"/>
    <s v="Vacant"/>
    <s v="-"/>
    <s v="-"/>
    <s v="-"/>
    <s v="-"/>
    <s v="-"/>
    <s v="-"/>
    <s v="-"/>
    <s v="-"/>
    <s v="-"/>
    <s v="-"/>
    <x v="0"/>
    <x v="0"/>
    <n v="6.0000000521540598E-3"/>
    <n v="100"/>
    <n v="100"/>
    <n v="0"/>
    <x v="0"/>
    <x v="0"/>
    <m/>
    <x v="0"/>
    <m/>
    <x v="0"/>
    <m/>
    <x v="0"/>
    <x v="1"/>
    <x v="5"/>
    <x v="0"/>
    <m/>
    <n v="0"/>
    <n v="0"/>
    <n v="0"/>
    <x v="0"/>
    <m/>
  </r>
  <r>
    <x v="2"/>
    <x v="0"/>
    <x v="0"/>
    <x v="1"/>
    <n v="6746"/>
    <x v="693"/>
    <x v="3"/>
    <n v="1.30000002682209E-2"/>
    <n v="527452"/>
    <n v="175150"/>
    <m/>
    <x v="772"/>
    <s v="PF"/>
    <d v="2017-11-09T00:00:00"/>
    <x v="467"/>
    <s v="Y"/>
    <m/>
    <s v="Nil"/>
    <m/>
    <m/>
    <s v="Alterations to shopfront and change of use from Hairdresser (Class A1) to Pilates Studio (Class D2)."/>
    <x v="740"/>
    <s v="COU"/>
    <x v="2"/>
    <s v="NSV"/>
    <m/>
    <m/>
    <m/>
    <m/>
    <s v="C"/>
    <s v="BF"/>
    <x v="0"/>
    <m/>
    <m/>
    <m/>
    <m/>
    <m/>
    <m/>
    <m/>
    <m/>
    <m/>
    <m/>
    <m/>
    <m/>
    <m/>
    <m/>
    <m/>
    <m/>
    <m/>
    <n v="111"/>
    <n v="111"/>
    <n v="111"/>
    <m/>
    <m/>
    <m/>
    <m/>
    <n v="111"/>
    <m/>
    <m/>
    <m/>
    <m/>
    <m/>
    <m/>
    <m/>
    <m/>
    <m/>
    <x v="1"/>
    <x v="0"/>
    <x v="0"/>
    <n v="-111"/>
    <m/>
    <m/>
    <m/>
    <m/>
    <n v="-111"/>
    <m/>
    <x v="0"/>
    <m/>
    <m/>
    <m/>
    <m/>
    <m/>
    <x v="0"/>
    <m/>
    <m/>
    <n v="111"/>
    <n v="111"/>
    <s v="-"/>
    <s v="-"/>
    <s v="-"/>
    <s v="-"/>
    <s v="-"/>
    <s v="-"/>
    <s v="-"/>
    <s v="-"/>
    <s v="-"/>
    <s v="-"/>
    <s v="-"/>
    <x v="1"/>
    <x v="2"/>
    <s v="Vacant"/>
    <s v="-"/>
    <s v="-"/>
    <s v="-"/>
    <s v="-"/>
    <s v="-"/>
    <s v="-"/>
    <s v="-"/>
    <s v="-"/>
    <s v="-"/>
    <s v="-"/>
    <x v="0"/>
    <x v="0"/>
    <n v="1.30000002682209E-2"/>
    <n v="111"/>
    <n v="111"/>
    <n v="0"/>
    <x v="0"/>
    <x v="0"/>
    <m/>
    <x v="0"/>
    <m/>
    <x v="0"/>
    <m/>
    <x v="0"/>
    <x v="1"/>
    <x v="1"/>
    <x v="0"/>
    <m/>
    <n v="0"/>
    <n v="0"/>
    <n v="0"/>
    <x v="0"/>
    <m/>
  </r>
  <r>
    <x v="2"/>
    <x v="0"/>
    <x v="0"/>
    <x v="1"/>
    <n v="6748"/>
    <x v="694"/>
    <x v="7"/>
    <n v="0.104000002145767"/>
    <n v="524016"/>
    <n v="175204"/>
    <m/>
    <x v="773"/>
    <s v="PF"/>
    <d v="2017-11-17T00:00:00"/>
    <x v="468"/>
    <s v="Y"/>
    <m/>
    <s v="Nil"/>
    <m/>
    <m/>
    <s v="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
    <x v="741"/>
    <s v="MIX"/>
    <x v="0"/>
    <s v="NSO"/>
    <m/>
    <m/>
    <m/>
    <m/>
    <s v="C"/>
    <s v="BF"/>
    <x v="0"/>
    <m/>
    <m/>
    <m/>
    <n v="1396"/>
    <m/>
    <m/>
    <m/>
    <m/>
    <n v="1396"/>
    <m/>
    <m/>
    <m/>
    <m/>
    <m/>
    <m/>
    <m/>
    <m/>
    <m/>
    <m/>
    <m/>
    <m/>
    <m/>
    <m/>
    <m/>
    <m/>
    <m/>
    <m/>
    <m/>
    <m/>
    <m/>
    <m/>
    <m/>
    <m/>
    <m/>
    <x v="1"/>
    <x v="0"/>
    <x v="1"/>
    <n v="1396"/>
    <m/>
    <m/>
    <m/>
    <m/>
    <n v="1396"/>
    <m/>
    <x v="0"/>
    <m/>
    <m/>
    <m/>
    <m/>
    <m/>
    <x v="0"/>
    <m/>
    <m/>
    <m/>
    <m/>
    <s v="Services"/>
    <s v="-"/>
    <s v="-"/>
    <s v="-"/>
    <s v="-"/>
    <s v="-"/>
    <s v="-"/>
    <s v="-"/>
    <s v="-"/>
    <s v="-"/>
    <s v="-"/>
    <x v="1"/>
    <x v="0"/>
    <s v="-"/>
    <s v="-"/>
    <s v="-"/>
    <s v="-"/>
    <s v="-"/>
    <s v="-"/>
    <s v="-"/>
    <s v="-"/>
    <s v="-"/>
    <s v="-"/>
    <s v="-"/>
    <x v="0"/>
    <x v="0"/>
    <n v="2.6999998837709205E-2"/>
    <n v="1396"/>
    <n v="0"/>
    <n v="1396"/>
    <x v="0"/>
    <x v="0"/>
    <m/>
    <x v="0"/>
    <m/>
    <x v="0"/>
    <m/>
    <x v="0"/>
    <x v="1"/>
    <x v="2"/>
    <x v="0"/>
    <m/>
    <n v="487"/>
    <n v="302"/>
    <n v="185"/>
    <x v="1"/>
    <m/>
  </r>
  <r>
    <x v="2"/>
    <x v="0"/>
    <x v="0"/>
    <x v="1"/>
    <n v="6751"/>
    <x v="695"/>
    <x v="6"/>
    <n v="2.0999999716877899E-2"/>
    <n v="527935"/>
    <n v="175416"/>
    <m/>
    <x v="774"/>
    <s v="PF"/>
    <d v="2017-11-21T00:00:00"/>
    <x v="469"/>
    <s v="Y"/>
    <m/>
    <s v="Nil"/>
    <m/>
    <m/>
    <s v="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
    <x v="742"/>
    <s v="MIX"/>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255"/>
    <n v="-255"/>
    <x v="0"/>
    <x v="0"/>
    <m/>
    <x v="0"/>
    <m/>
    <x v="0"/>
    <m/>
    <x v="0"/>
    <x v="0"/>
    <x v="0"/>
    <x v="0"/>
    <m/>
    <n v="423"/>
    <n v="0"/>
    <n v="423"/>
    <x v="1"/>
    <m/>
  </r>
  <r>
    <x v="2"/>
    <x v="0"/>
    <x v="0"/>
    <x v="1"/>
    <n v="6754"/>
    <x v="696"/>
    <x v="9"/>
    <n v="1.60000007599592E-2"/>
    <n v="526823"/>
    <n v="175858"/>
    <m/>
    <x v="775"/>
    <s v="PF"/>
    <d v="2017-12-07T00:00:00"/>
    <x v="470"/>
    <s v="Y"/>
    <m/>
    <s v="Nil"/>
    <m/>
    <m/>
    <s v="Amalgamation of units 10 and 12 Lavender Road and change of use from retail (Class A1) to office/business (Class B1/A2) including minor alterations to existing frontage."/>
    <x v="743"/>
    <s v="MIX"/>
    <x v="0"/>
    <s v="NSV"/>
    <m/>
    <m/>
    <m/>
    <m/>
    <s v="C"/>
    <s v="BF"/>
    <x v="0"/>
    <m/>
    <m/>
    <m/>
    <m/>
    <n v="50"/>
    <m/>
    <m/>
    <m/>
    <n v="50"/>
    <n v="51"/>
    <m/>
    <m/>
    <n v="51"/>
    <m/>
    <m/>
    <n v="51"/>
    <m/>
    <m/>
    <m/>
    <n v="51"/>
    <n v="50"/>
    <m/>
    <m/>
    <m/>
    <n v="101"/>
    <m/>
    <m/>
    <m/>
    <m/>
    <m/>
    <m/>
    <m/>
    <m/>
    <m/>
    <x v="1"/>
    <x v="1"/>
    <x v="1"/>
    <n v="-51"/>
    <m/>
    <m/>
    <m/>
    <m/>
    <n v="-51"/>
    <n v="51"/>
    <x v="0"/>
    <m/>
    <m/>
    <m/>
    <m/>
    <n v="51"/>
    <x v="0"/>
    <m/>
    <m/>
    <m/>
    <m/>
    <s v="-"/>
    <s v="Estate Agent"/>
    <s v="-"/>
    <s v="-"/>
    <s v="-"/>
    <s v="Other"/>
    <s v="-"/>
    <s v="-"/>
    <s v="-"/>
    <s v="-"/>
    <s v="-"/>
    <x v="1"/>
    <x v="0"/>
    <s v="Vacant"/>
    <s v="Vacant"/>
    <s v="-"/>
    <s v="-"/>
    <s v="-"/>
    <s v="-"/>
    <s v="-"/>
    <s v="-"/>
    <s v="-"/>
    <s v="-"/>
    <s v="-"/>
    <x v="0"/>
    <x v="0"/>
    <n v="1.60000007599592E-2"/>
    <n v="101"/>
    <n v="101"/>
    <n v="0"/>
    <x v="0"/>
    <x v="0"/>
    <m/>
    <x v="0"/>
    <m/>
    <x v="0"/>
    <m/>
    <x v="0"/>
    <x v="0"/>
    <x v="0"/>
    <x v="0"/>
    <m/>
    <n v="0"/>
    <n v="0"/>
    <n v="0"/>
    <x v="0"/>
    <m/>
  </r>
  <r>
    <x v="2"/>
    <x v="0"/>
    <x v="0"/>
    <x v="1"/>
    <n v="6755"/>
    <x v="697"/>
    <x v="13"/>
    <n v="7.0000002160668399E-3"/>
    <n v="526150"/>
    <n v="172704"/>
    <m/>
    <x v="776"/>
    <s v="PF"/>
    <d v="2017-10-19T00:00:00"/>
    <x v="2"/>
    <s v="Y"/>
    <m/>
    <s v="Nil"/>
    <m/>
    <m/>
    <s v="The demolition of existing garages and the erection of a two-storey 1-bedroom dwelling."/>
    <x v="744"/>
    <s v="NB"/>
    <x v="0"/>
    <s v="NSO"/>
    <m/>
    <m/>
    <m/>
    <m/>
    <s v="C"/>
    <s v="BF"/>
    <x v="0"/>
    <m/>
    <m/>
    <m/>
    <m/>
    <m/>
    <m/>
    <m/>
    <m/>
    <m/>
    <m/>
    <m/>
    <m/>
    <m/>
    <m/>
    <m/>
    <m/>
    <m/>
    <m/>
    <m/>
    <m/>
    <m/>
    <m/>
    <m/>
    <m/>
    <m/>
    <m/>
    <m/>
    <m/>
    <m/>
    <m/>
    <m/>
    <m/>
    <m/>
    <m/>
    <x v="0"/>
    <x v="0"/>
    <x v="1"/>
    <m/>
    <m/>
    <m/>
    <m/>
    <m/>
    <m/>
    <m/>
    <x v="0"/>
    <m/>
    <m/>
    <m/>
    <m/>
    <m/>
    <x v="0"/>
    <m/>
    <m/>
    <m/>
    <m/>
    <s v="-"/>
    <s v="-"/>
    <s v="-"/>
    <s v="-"/>
    <s v="-"/>
    <s v="-"/>
    <s v="-"/>
    <s v="-"/>
    <s v="-"/>
    <s v="-"/>
    <s v="-"/>
    <x v="1"/>
    <x v="0"/>
    <s v="-"/>
    <s v="-"/>
    <s v="-"/>
    <s v="-"/>
    <s v="-"/>
    <s v="-"/>
    <s v="-"/>
    <s v="-"/>
    <s v="-"/>
    <s v="-"/>
    <s v="-"/>
    <x v="0"/>
    <x v="0"/>
    <n v="0"/>
    <n v="0"/>
    <n v="37"/>
    <n v="-37"/>
    <x v="0"/>
    <x v="0"/>
    <m/>
    <x v="0"/>
    <m/>
    <x v="0"/>
    <m/>
    <x v="0"/>
    <x v="0"/>
    <x v="0"/>
    <x v="1"/>
    <s v="Earlsfield"/>
    <n v="58"/>
    <n v="0"/>
    <n v="58"/>
    <x v="1"/>
    <m/>
  </r>
  <r>
    <x v="1"/>
    <x v="0"/>
    <x v="0"/>
    <x v="1"/>
    <n v="6756"/>
    <x v="698"/>
    <x v="5"/>
    <n v="5.4000001400709201E-2"/>
    <n v="525755"/>
    <n v="174872"/>
    <m/>
    <x v="777"/>
    <s v="AF"/>
    <d v="2017-12-14T00:00:00"/>
    <x v="1"/>
    <m/>
    <m/>
    <m/>
    <m/>
    <m/>
    <s v="Erection of a four-storey plus basement building to provide 1532sq.m. of floorspace for flexible use at ground floor level (Classes A1-A2 and B1a - Retail, Financial and Professional Services, and Offices) and Offices (Class B1a) on upper floors. *Application re-consulted as existing plans now available to view*"/>
    <x v="745"/>
    <s v="NB"/>
    <x v="0"/>
    <s v="NSO"/>
    <m/>
    <m/>
    <m/>
    <m/>
    <s v="P"/>
    <s v="BF"/>
    <x v="0"/>
    <m/>
    <m/>
    <m/>
    <n v="149"/>
    <n v="150"/>
    <m/>
    <m/>
    <m/>
    <n v="299"/>
    <n v="1305"/>
    <m/>
    <m/>
    <n v="1305"/>
    <m/>
    <m/>
    <n v="1305"/>
    <m/>
    <m/>
    <m/>
    <n v="121"/>
    <m/>
    <m/>
    <m/>
    <m/>
    <n v="121"/>
    <m/>
    <m/>
    <m/>
    <m/>
    <m/>
    <m/>
    <m/>
    <m/>
    <m/>
    <x v="1"/>
    <x v="1"/>
    <x v="1"/>
    <n v="28"/>
    <n v="150"/>
    <m/>
    <m/>
    <m/>
    <n v="178"/>
    <n v="1305"/>
    <x v="0"/>
    <m/>
    <m/>
    <m/>
    <m/>
    <n v="1305"/>
    <x v="0"/>
    <m/>
    <m/>
    <m/>
    <m/>
    <s v="Consumables"/>
    <s v="Not Known"/>
    <s v="-"/>
    <s v="-"/>
    <s v="-"/>
    <s v="Financial or Professional Services"/>
    <s v="-"/>
    <s v="-"/>
    <s v="-"/>
    <s v="-"/>
    <s v="-"/>
    <x v="1"/>
    <x v="0"/>
    <s v="Consumables"/>
    <s v="-"/>
    <s v="-"/>
    <s v="-"/>
    <s v="-"/>
    <s v="-"/>
    <s v="-"/>
    <s v="-"/>
    <s v="-"/>
    <s v="-"/>
    <s v="-"/>
    <x v="0"/>
    <x v="0"/>
    <n v="5.4000001400709201E-2"/>
    <n v="1604"/>
    <n v="121"/>
    <n v="1483"/>
    <x v="0"/>
    <x v="0"/>
    <m/>
    <x v="0"/>
    <m/>
    <x v="0"/>
    <m/>
    <x v="0"/>
    <x v="0"/>
    <x v="0"/>
    <x v="0"/>
    <m/>
    <n v="0"/>
    <n v="0"/>
    <n v="0"/>
    <x v="0"/>
    <m/>
  </r>
  <r>
    <x v="1"/>
    <x v="0"/>
    <x v="0"/>
    <x v="1"/>
    <n v="6757"/>
    <x v="699"/>
    <x v="5"/>
    <n v="7.9000003635883304E-2"/>
    <n v="525222"/>
    <n v="174998"/>
    <m/>
    <x v="778"/>
    <s v="AF"/>
    <d v="2017-12-05T00:00:00"/>
    <x v="1"/>
    <m/>
    <m/>
    <s v="Nil"/>
    <m/>
    <m/>
    <s v="Demolition of existing building and redevelopment of the site to provide a five storey building comprising 309 sq.m. of flexible Class A1/A2/A3/D1 use at ground floor, 839 sqm of Class B1a (Office) use at first and second floor, and nine residential units on the upper floors, together with associated cycle parking."/>
    <x v="746"/>
    <s v="NB"/>
    <x v="0"/>
    <s v="NSO"/>
    <m/>
    <m/>
    <m/>
    <m/>
    <s v="P"/>
    <s v="BF"/>
    <x v="0"/>
    <m/>
    <m/>
    <m/>
    <n v="77"/>
    <n v="77"/>
    <n v="77"/>
    <m/>
    <m/>
    <n v="231"/>
    <n v="839"/>
    <m/>
    <m/>
    <n v="839"/>
    <m/>
    <m/>
    <n v="839"/>
    <n v="78"/>
    <m/>
    <n v="78"/>
    <n v="471"/>
    <m/>
    <m/>
    <m/>
    <m/>
    <n v="471"/>
    <m/>
    <m/>
    <m/>
    <m/>
    <m/>
    <m/>
    <m/>
    <m/>
    <m/>
    <x v="1"/>
    <x v="1"/>
    <x v="0"/>
    <n v="-394"/>
    <n v="77"/>
    <n v="77"/>
    <m/>
    <m/>
    <n v="-240"/>
    <n v="839"/>
    <x v="0"/>
    <m/>
    <m/>
    <m/>
    <m/>
    <n v="839"/>
    <x v="0"/>
    <m/>
    <n v="78"/>
    <m/>
    <n v="78"/>
    <s v="Not Known"/>
    <s v="Not Known"/>
    <s v="Not Known"/>
    <s v="-"/>
    <s v="-"/>
    <s v="Not Known"/>
    <s v="-"/>
    <s v="-"/>
    <s v="-"/>
    <s v="-"/>
    <s v="-"/>
    <x v="5"/>
    <x v="0"/>
    <s v="Services"/>
    <s v="-"/>
    <s v="-"/>
    <s v="-"/>
    <s v="-"/>
    <s v="-"/>
    <s v="-"/>
    <s v="-"/>
    <s v="-"/>
    <s v="-"/>
    <s v="-"/>
    <x v="0"/>
    <x v="0"/>
    <n v="4.9000004306435599E-2"/>
    <n v="1148"/>
    <n v="471"/>
    <n v="677"/>
    <x v="0"/>
    <x v="0"/>
    <m/>
    <x v="1"/>
    <s v="Central Wandsworth"/>
    <x v="0"/>
    <m/>
    <x v="0"/>
    <x v="0"/>
    <x v="0"/>
    <x v="0"/>
    <m/>
    <n v="708"/>
    <n v="0"/>
    <n v="708"/>
    <x v="1"/>
    <m/>
  </r>
  <r>
    <x v="1"/>
    <x v="0"/>
    <x v="0"/>
    <x v="1"/>
    <n v="6758"/>
    <x v="700"/>
    <x v="16"/>
    <n v="0.18400000035762801"/>
    <n v="527876"/>
    <n v="171066"/>
    <m/>
    <x v="779"/>
    <s v="AF"/>
    <d v="2017-12-06T00:00:00"/>
    <x v="1"/>
    <m/>
    <m/>
    <s v="Nil"/>
    <m/>
    <m/>
    <s v="Demolition of existing church halls on the west side of St Boniface Church and erection of part two, part three-storey building to existing Mitcham Road terrace and two-storey, three-storey and four-storey buildings to the rear. To accommodate a mixed use development including a community centre  (Class D1) with ancillary offices and cafe, presbytery with four units for priests and two guest rooms, retail units (Class A1) and 10 residential units (5 x 2-bedroom and 5 x 3-bedroom). Associated car parking, cycle and refuse storage, boundary treatment and landscaping."/>
    <x v="747"/>
    <s v="NB"/>
    <x v="0"/>
    <s v="NSO"/>
    <m/>
    <m/>
    <m/>
    <m/>
    <s v="P"/>
    <s v="BF"/>
    <x v="0"/>
    <m/>
    <m/>
    <m/>
    <n v="117"/>
    <m/>
    <m/>
    <m/>
    <m/>
    <n v="117"/>
    <n v="141"/>
    <m/>
    <m/>
    <n v="141"/>
    <m/>
    <m/>
    <n v="141"/>
    <m/>
    <n v="555"/>
    <n v="555"/>
    <m/>
    <m/>
    <m/>
    <m/>
    <m/>
    <m/>
    <m/>
    <m/>
    <m/>
    <m/>
    <m/>
    <m/>
    <n v="530"/>
    <m/>
    <n v="530"/>
    <x v="1"/>
    <x v="1"/>
    <x v="0"/>
    <n v="117"/>
    <m/>
    <m/>
    <m/>
    <m/>
    <n v="117"/>
    <n v="141"/>
    <x v="0"/>
    <m/>
    <m/>
    <m/>
    <m/>
    <n v="141"/>
    <x v="0"/>
    <m/>
    <n v="-530"/>
    <n v="555"/>
    <n v="25"/>
    <s v="Not Known"/>
    <s v="-"/>
    <s v="-"/>
    <s v="-"/>
    <s v="-"/>
    <s v="Not Known"/>
    <s v="-"/>
    <s v="-"/>
    <s v="-"/>
    <s v="-"/>
    <s v="-"/>
    <x v="1"/>
    <x v="2"/>
    <s v="-"/>
    <s v="-"/>
    <s v="-"/>
    <s v="-"/>
    <s v="-"/>
    <s v="-"/>
    <s v="-"/>
    <s v="-"/>
    <s v="-"/>
    <s v="-"/>
    <s v="-"/>
    <x v="3"/>
    <x v="0"/>
    <n v="7.6999999582768014E-2"/>
    <n v="813"/>
    <n v="530"/>
    <n v="283"/>
    <x v="0"/>
    <x v="0"/>
    <m/>
    <x v="0"/>
    <m/>
    <x v="0"/>
    <m/>
    <x v="0"/>
    <x v="1"/>
    <x v="3"/>
    <x v="0"/>
    <m/>
    <n v="822"/>
    <n v="0"/>
    <n v="822"/>
    <x v="1"/>
    <m/>
  </r>
  <r>
    <x v="1"/>
    <x v="4"/>
    <x v="4"/>
    <x v="1"/>
    <n v="6759"/>
    <x v="701"/>
    <x v="8"/>
    <n v="0.14599999785423301"/>
    <n v="528871"/>
    <n v="176673"/>
    <m/>
    <x v="780"/>
    <s v="SLA"/>
    <d v="2018-01-31T00:00:00"/>
    <x v="1"/>
    <m/>
    <d v="2018-06-26T00:00:00"/>
    <s v="Nil"/>
    <m/>
    <m/>
    <s v="Demolition of existing buildings on site and construction of 1 new building ranging from 6 to 10 storeys in height comprising of office (Use Class B1a) to accommodate co-working and small and medium enterprises (SMEs) on all floors, light industrial (Use Class B1c) at the rear of the ground floor (plus partial mezzanine) and at basement level, dual use of the first, second and third floors for office (Use Class B1a)/light industrial (Use Class B1c) and ancillary facilities, public realm improvements and associated landscaping."/>
    <x v="748"/>
    <s v="NB"/>
    <x v="0"/>
    <s v="NSO"/>
    <m/>
    <m/>
    <m/>
    <m/>
    <s v="P"/>
    <s v="BF"/>
    <x v="0"/>
    <m/>
    <m/>
    <m/>
    <m/>
    <m/>
    <m/>
    <m/>
    <m/>
    <m/>
    <n v="7668"/>
    <m/>
    <n v="1956"/>
    <n v="9624"/>
    <m/>
    <m/>
    <n v="9624"/>
    <m/>
    <m/>
    <m/>
    <m/>
    <m/>
    <m/>
    <m/>
    <m/>
    <m/>
    <n v="598"/>
    <m/>
    <n v="407"/>
    <m/>
    <m/>
    <n v="1005"/>
    <m/>
    <m/>
    <m/>
    <x v="0"/>
    <x v="1"/>
    <x v="1"/>
    <m/>
    <m/>
    <m/>
    <m/>
    <m/>
    <m/>
    <n v="7070"/>
    <x v="0"/>
    <m/>
    <n v="1549"/>
    <m/>
    <m/>
    <n v="8619"/>
    <x v="0"/>
    <m/>
    <m/>
    <m/>
    <m/>
    <s v="-"/>
    <s v="-"/>
    <s v="-"/>
    <s v="-"/>
    <s v="-"/>
    <s v="Financial or Professional Services"/>
    <s v="-"/>
    <s v="Light Industrial"/>
    <s v="-"/>
    <s v="-"/>
    <s v="-"/>
    <x v="1"/>
    <x v="0"/>
    <s v="-"/>
    <s v="-"/>
    <s v="-"/>
    <s v="-"/>
    <s v="-"/>
    <s v="Other"/>
    <s v="-"/>
    <s v="Light Industrial"/>
    <s v="-"/>
    <s v="-"/>
    <s v="-"/>
    <x v="0"/>
    <x v="0"/>
    <n v="0.14599999785423301"/>
    <n v="10327"/>
    <n v="1005"/>
    <n v="9322"/>
    <x v="0"/>
    <x v="1"/>
    <s v="Queenstown Road"/>
    <x v="0"/>
    <m/>
    <x v="0"/>
    <m/>
    <x v="1"/>
    <x v="0"/>
    <x v="0"/>
    <x v="0"/>
    <m/>
    <n v="0"/>
    <n v="0"/>
    <n v="0"/>
    <x v="0"/>
    <m/>
  </r>
  <r>
    <x v="2"/>
    <x v="0"/>
    <x v="0"/>
    <x v="1"/>
    <n v="6761"/>
    <x v="702"/>
    <x v="4"/>
    <n v="9.9999997764825804E-3"/>
    <n v="526171"/>
    <n v="175460"/>
    <m/>
    <x v="781"/>
    <s v="PF"/>
    <d v="2017-12-08T00:00:00"/>
    <x v="106"/>
    <s v="Y"/>
    <m/>
    <s v="Nil"/>
    <m/>
    <m/>
    <s v="Change of use from Assembly and Leisure (Class D2) to flexible Business (Class B1) and Assembly and Leisure (Class D2) ."/>
    <x v="749"/>
    <s v="COU"/>
    <x v="2"/>
    <s v="NSO"/>
    <m/>
    <m/>
    <m/>
    <m/>
    <s v="C"/>
    <s v="BF"/>
    <x v="0"/>
    <m/>
    <m/>
    <m/>
    <m/>
    <m/>
    <m/>
    <m/>
    <m/>
    <m/>
    <n v="66"/>
    <m/>
    <m/>
    <n v="66"/>
    <m/>
    <m/>
    <n v="66"/>
    <m/>
    <n v="65"/>
    <n v="65"/>
    <m/>
    <m/>
    <m/>
    <m/>
    <m/>
    <m/>
    <m/>
    <m/>
    <m/>
    <m/>
    <m/>
    <m/>
    <m/>
    <n v="131"/>
    <n v="131"/>
    <x v="0"/>
    <x v="1"/>
    <x v="0"/>
    <m/>
    <m/>
    <m/>
    <m/>
    <m/>
    <m/>
    <n v="66"/>
    <x v="0"/>
    <m/>
    <m/>
    <m/>
    <m/>
    <n v="66"/>
    <x v="0"/>
    <m/>
    <m/>
    <n v="-66"/>
    <n v="-66"/>
    <s v="-"/>
    <s v="-"/>
    <s v="-"/>
    <s v="-"/>
    <s v="-"/>
    <s v="Not Known"/>
    <s v="-"/>
    <s v="-"/>
    <s v="-"/>
    <s v="-"/>
    <s v="-"/>
    <x v="1"/>
    <x v="2"/>
    <s v="-"/>
    <s v="-"/>
    <s v="-"/>
    <s v="-"/>
    <s v="-"/>
    <s v="-"/>
    <s v="-"/>
    <s v="-"/>
    <s v="-"/>
    <s v="-"/>
    <s v="-"/>
    <x v="0"/>
    <x v="4"/>
    <n v="9.9999997764825804E-3"/>
    <n v="131"/>
    <n v="131"/>
    <n v="0"/>
    <x v="1"/>
    <x v="0"/>
    <m/>
    <x v="0"/>
    <m/>
    <x v="0"/>
    <m/>
    <x v="0"/>
    <x v="0"/>
    <x v="0"/>
    <x v="0"/>
    <m/>
    <n v="0"/>
    <n v="0"/>
    <n v="0"/>
    <x v="0"/>
    <m/>
  </r>
  <r>
    <x v="3"/>
    <x v="0"/>
    <x v="0"/>
    <x v="1"/>
    <n v="6763"/>
    <x v="703"/>
    <x v="7"/>
    <n v="1.09999999403954E-2"/>
    <n v="524349"/>
    <n v="175321"/>
    <m/>
    <x v="782"/>
    <s v="PF"/>
    <d v="2017-12-14T00:00:00"/>
    <x v="471"/>
    <s v="Y"/>
    <m/>
    <s v="Nil"/>
    <m/>
    <m/>
    <s v="Change of use of the rear part of ground floor and part of the basement from retail (Class A1) to a music school (Class D1)."/>
    <x v="750"/>
    <s v="COU"/>
    <x v="2"/>
    <s v="UC"/>
    <m/>
    <d v="2018-03-31T00:00:00"/>
    <m/>
    <m/>
    <s v="C"/>
    <s v="BF"/>
    <x v="0"/>
    <m/>
    <d v="2018-03-31T00:00:00"/>
    <m/>
    <n v="46"/>
    <m/>
    <m/>
    <m/>
    <m/>
    <n v="46"/>
    <m/>
    <m/>
    <m/>
    <m/>
    <m/>
    <m/>
    <m/>
    <n v="118"/>
    <m/>
    <n v="118"/>
    <n v="164"/>
    <m/>
    <m/>
    <m/>
    <m/>
    <n v="164"/>
    <m/>
    <m/>
    <m/>
    <m/>
    <m/>
    <m/>
    <m/>
    <m/>
    <m/>
    <x v="1"/>
    <x v="0"/>
    <x v="0"/>
    <n v="-118"/>
    <m/>
    <m/>
    <m/>
    <m/>
    <n v="-118"/>
    <m/>
    <x v="0"/>
    <m/>
    <m/>
    <m/>
    <m/>
    <m/>
    <x v="0"/>
    <m/>
    <n v="118"/>
    <m/>
    <n v="118"/>
    <s v="Not Known"/>
    <s v="-"/>
    <s v="-"/>
    <s v="-"/>
    <s v="-"/>
    <s v="-"/>
    <s v="-"/>
    <s v="-"/>
    <s v="-"/>
    <s v="-"/>
    <s v="-"/>
    <x v="0"/>
    <x v="0"/>
    <s v="Vacant"/>
    <s v="-"/>
    <s v="-"/>
    <s v="-"/>
    <s v="-"/>
    <s v="-"/>
    <s v="-"/>
    <s v="-"/>
    <s v="-"/>
    <s v="-"/>
    <s v="-"/>
    <x v="0"/>
    <x v="0"/>
    <n v="1.09999999403954E-2"/>
    <n v="164"/>
    <n v="164"/>
    <n v="0"/>
    <x v="0"/>
    <x v="0"/>
    <m/>
    <x v="0"/>
    <m/>
    <x v="0"/>
    <m/>
    <x v="0"/>
    <x v="0"/>
    <x v="0"/>
    <x v="0"/>
    <m/>
    <n v="0"/>
    <n v="0"/>
    <n v="0"/>
    <x v="0"/>
    <m/>
  </r>
  <r>
    <x v="1"/>
    <x v="0"/>
    <x v="0"/>
    <x v="1"/>
    <n v="6764"/>
    <x v="704"/>
    <x v="0"/>
    <n v="2.9999999329447701E-2"/>
    <n v="524365"/>
    <n v="173954"/>
    <m/>
    <x v="783"/>
    <s v="AF"/>
    <d v="2017-12-28T00:00:00"/>
    <x v="1"/>
    <m/>
    <m/>
    <s v="Nil"/>
    <m/>
    <m/>
    <s v="Erection of four-storey building to provide 3 x 2-bedroom and 1 x 1-bedroom flats with balconies and associated landscaping and refuse/cycle storage (revised daylight/sunlight report)."/>
    <x v="751"/>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
    <n v="0"/>
    <n v="293"/>
    <n v="-293"/>
    <x v="0"/>
    <x v="0"/>
    <m/>
    <x v="0"/>
    <m/>
    <x v="0"/>
    <m/>
    <x v="0"/>
    <x v="0"/>
    <x v="0"/>
    <x v="0"/>
    <m/>
    <n v="291"/>
    <n v="0"/>
    <n v="291"/>
    <x v="1"/>
    <m/>
  </r>
  <r>
    <x v="1"/>
    <x v="0"/>
    <x v="0"/>
    <x v="1"/>
    <n v="6765"/>
    <x v="705"/>
    <x v="15"/>
    <n v="3.70000004768372E-2"/>
    <n v="529291"/>
    <n v="171713"/>
    <m/>
    <x v="784"/>
    <s v="AF"/>
    <d v="2017-12-21T00:00:00"/>
    <x v="1"/>
    <m/>
    <m/>
    <s v="Nil"/>
    <m/>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x v="752"/>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
    <n v="0"/>
    <n v="193"/>
    <n v="-193"/>
    <x v="0"/>
    <x v="0"/>
    <m/>
    <x v="0"/>
    <m/>
    <x v="0"/>
    <m/>
    <x v="0"/>
    <x v="0"/>
    <x v="0"/>
    <x v="0"/>
    <m/>
    <n v="573"/>
    <n v="0"/>
    <n v="573"/>
    <x v="1"/>
    <m/>
  </r>
  <r>
    <x v="1"/>
    <x v="4"/>
    <x v="4"/>
    <x v="1"/>
    <n v="6766"/>
    <x v="706"/>
    <x v="9"/>
    <n v="0.326999992132187"/>
    <n v="526808"/>
    <n v="175510"/>
    <s v="4.1.7"/>
    <x v="785"/>
    <s v="SLA"/>
    <d v="2017-12-18T00:00:00"/>
    <x v="1"/>
    <m/>
    <d v="2018-03-22T00:00:00"/>
    <s v="Nil"/>
    <m/>
    <m/>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x v="753"/>
    <s v="NB"/>
    <x v="0"/>
    <s v="NSO"/>
    <m/>
    <m/>
    <m/>
    <m/>
    <s v="P"/>
    <s v="BF"/>
    <x v="0"/>
    <m/>
    <m/>
    <m/>
    <m/>
    <n v="110"/>
    <m/>
    <m/>
    <m/>
    <n v="110"/>
    <n v="109"/>
    <m/>
    <m/>
    <n v="109"/>
    <m/>
    <m/>
    <n v="109"/>
    <n v="5175"/>
    <n v="54"/>
    <n v="5229"/>
    <m/>
    <m/>
    <m/>
    <m/>
    <m/>
    <m/>
    <m/>
    <m/>
    <m/>
    <m/>
    <m/>
    <m/>
    <m/>
    <m/>
    <m/>
    <x v="1"/>
    <x v="1"/>
    <x v="0"/>
    <m/>
    <n v="110"/>
    <m/>
    <m/>
    <m/>
    <n v="110"/>
    <n v="109"/>
    <x v="0"/>
    <m/>
    <m/>
    <m/>
    <m/>
    <n v="109"/>
    <x v="0"/>
    <m/>
    <n v="5175"/>
    <n v="54"/>
    <n v="5229"/>
    <s v="-"/>
    <s v="Not Known"/>
    <s v="-"/>
    <s v="-"/>
    <s v="-"/>
    <s v="Not Known"/>
    <s v="-"/>
    <s v="-"/>
    <s v="-"/>
    <s v="-"/>
    <s v="-"/>
    <x v="0"/>
    <x v="3"/>
    <s v="-"/>
    <s v="-"/>
    <s v="-"/>
    <s v="-"/>
    <s v="-"/>
    <s v="-"/>
    <s v="-"/>
    <s v="-"/>
    <s v="-"/>
    <s v="-"/>
    <s v="-"/>
    <x v="0"/>
    <x v="0"/>
    <n v="7.2999999999999995E-2"/>
    <n v="5448"/>
    <n v="167"/>
    <n v="5281"/>
    <x v="0"/>
    <x v="0"/>
    <m/>
    <x v="0"/>
    <m/>
    <x v="0"/>
    <m/>
    <x v="0"/>
    <x v="0"/>
    <x v="0"/>
    <x v="0"/>
    <m/>
    <n v="17634"/>
    <n v="0"/>
    <n v="17634"/>
    <x v="1"/>
    <m/>
  </r>
  <r>
    <x v="1"/>
    <x v="4"/>
    <x v="4"/>
    <x v="1"/>
    <n v="6769"/>
    <x v="707"/>
    <x v="8"/>
    <n v="3.9999999105930301E-2"/>
    <n v="528983"/>
    <n v="176965"/>
    <m/>
    <x v="786"/>
    <s v="SLA"/>
    <d v="2017-12-22T00:00:00"/>
    <x v="1"/>
    <m/>
    <d v="2018-03-22T00:00:00"/>
    <s v="Nil"/>
    <m/>
    <m/>
    <s v="Redevelopment of the site to provide a new 10 storey building, plus basement, comprising 544m2 of light industrial use (Class B1(c)) on the ground, mezzanine and first floor levels; 3,000m2 of office use (Class B1(a)) on the upper floor levels 2-9; 100m2 of shared B1(a)/ B1(c) space at the basement level, along with 508m2 of associated cycle storage, washing and changing facilities, plant, services, refuse stores and a roof terrace. All 4,152m2 of floorspace is proposed as managed workspace aimed at Small and Medium Enterprises (SMEs) serving the emerging digital and creative sectors."/>
    <x v="754"/>
    <s v="NB"/>
    <x v="0"/>
    <s v="NSO"/>
    <m/>
    <m/>
    <m/>
    <m/>
    <s v="P"/>
    <s v="BF"/>
    <x v="0"/>
    <m/>
    <m/>
    <m/>
    <m/>
    <m/>
    <m/>
    <m/>
    <m/>
    <m/>
    <n v="3050"/>
    <m/>
    <n v="594"/>
    <n v="3644"/>
    <m/>
    <m/>
    <n v="3644"/>
    <m/>
    <m/>
    <m/>
    <m/>
    <m/>
    <m/>
    <m/>
    <m/>
    <m/>
    <m/>
    <m/>
    <n v="410"/>
    <m/>
    <m/>
    <n v="410"/>
    <m/>
    <m/>
    <m/>
    <x v="0"/>
    <x v="1"/>
    <x v="1"/>
    <m/>
    <m/>
    <m/>
    <m/>
    <m/>
    <m/>
    <n v="3050"/>
    <x v="0"/>
    <m/>
    <n v="184"/>
    <m/>
    <m/>
    <n v="3234"/>
    <x v="0"/>
    <m/>
    <m/>
    <m/>
    <m/>
    <s v="-"/>
    <s v="-"/>
    <s v="-"/>
    <s v="-"/>
    <s v="-"/>
    <s v="Other"/>
    <s v="-"/>
    <s v="-"/>
    <s v="-"/>
    <s v="-"/>
    <s v="-"/>
    <x v="1"/>
    <x v="0"/>
    <s v="-"/>
    <s v="-"/>
    <s v="-"/>
    <s v="-"/>
    <s v="-"/>
    <s v="-"/>
    <s v="-"/>
    <s v="Vacant"/>
    <s v="-"/>
    <s v="-"/>
    <s v="-"/>
    <x v="0"/>
    <x v="0"/>
    <n v="3.9999999105930301E-2"/>
    <n v="4152"/>
    <n v="410"/>
    <n v="3742"/>
    <x v="0"/>
    <x v="1"/>
    <s v="Queenstown Road"/>
    <x v="0"/>
    <m/>
    <x v="0"/>
    <m/>
    <x v="1"/>
    <x v="0"/>
    <x v="0"/>
    <x v="0"/>
    <m/>
    <n v="0"/>
    <n v="0"/>
    <n v="0"/>
    <x v="0"/>
    <m/>
  </r>
  <r>
    <x v="2"/>
    <x v="0"/>
    <x v="0"/>
    <x v="1"/>
    <n v="6775"/>
    <x v="708"/>
    <x v="6"/>
    <m/>
    <n v="528543"/>
    <n v="175748"/>
    <m/>
    <x v="787"/>
    <s v="PF"/>
    <d v="2017-12-20T00:00:00"/>
    <x v="57"/>
    <s v="Y"/>
    <m/>
    <s v="Nil"/>
    <m/>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x v="755"/>
    <s v="MIX"/>
    <x v="0"/>
    <s v="NSV"/>
    <m/>
    <m/>
    <m/>
    <m/>
    <s v="C"/>
    <s v="BF"/>
    <x v="0"/>
    <m/>
    <m/>
    <m/>
    <m/>
    <m/>
    <n v="279"/>
    <m/>
    <m/>
    <n v="279"/>
    <m/>
    <m/>
    <m/>
    <m/>
    <m/>
    <m/>
    <m/>
    <m/>
    <m/>
    <m/>
    <m/>
    <m/>
    <m/>
    <n v="352"/>
    <m/>
    <n v="352"/>
    <m/>
    <m/>
    <m/>
    <m/>
    <m/>
    <m/>
    <m/>
    <m/>
    <m/>
    <x v="1"/>
    <x v="0"/>
    <x v="1"/>
    <m/>
    <m/>
    <n v="279"/>
    <n v="-352"/>
    <m/>
    <n v="-73"/>
    <m/>
    <x v="0"/>
    <m/>
    <m/>
    <m/>
    <m/>
    <m/>
    <x v="0"/>
    <m/>
    <m/>
    <m/>
    <m/>
    <s v="-"/>
    <s v="-"/>
    <s v="Restaurant"/>
    <s v="-"/>
    <s v="-"/>
    <s v="-"/>
    <s v="-"/>
    <s v="-"/>
    <s v="-"/>
    <s v="-"/>
    <s v="-"/>
    <x v="1"/>
    <x v="0"/>
    <s v="-"/>
    <s v="-"/>
    <s v="-"/>
    <s v="Vacant"/>
    <s v="-"/>
    <s v="-"/>
    <s v="-"/>
    <s v="-"/>
    <s v="-"/>
    <s v="-"/>
    <s v="-"/>
    <x v="0"/>
    <x v="0"/>
    <n v="1.0999999999999999E-2"/>
    <n v="279"/>
    <n v="352"/>
    <n v="-73"/>
    <x v="0"/>
    <x v="0"/>
    <m/>
    <x v="0"/>
    <m/>
    <x v="0"/>
    <m/>
    <x v="0"/>
    <x v="0"/>
    <x v="0"/>
    <x v="1"/>
    <s v="Lavender Hill/Queenstown Road"/>
    <n v="283"/>
    <n v="173"/>
    <n v="110"/>
    <x v="1"/>
    <m/>
  </r>
  <r>
    <x v="0"/>
    <x v="0"/>
    <x v="0"/>
    <x v="0"/>
    <n v="6777"/>
    <x v="709"/>
    <x v="7"/>
    <n v="3.0999999493360499E-2"/>
    <n v="523750"/>
    <n v="175138"/>
    <m/>
    <x v="788"/>
    <s v="PF"/>
    <d v="2018-01-03T00:00:00"/>
    <x v="472"/>
    <s v="Y"/>
    <m/>
    <s v="Nil"/>
    <m/>
    <m/>
    <s v="Change of use of basement from Class A1 to Sui Generis for use as a tattoo parlour."/>
    <x v="756"/>
    <s v="COU"/>
    <x v="2"/>
    <s v="OC"/>
    <m/>
    <m/>
    <d v="2018-03-31T00:00:00"/>
    <d v="2018-03-31T00:00:00"/>
    <s v="C"/>
    <s v="BF"/>
    <x v="0"/>
    <m/>
    <m/>
    <d v="2018-03-31T00:00:00"/>
    <m/>
    <m/>
    <m/>
    <m/>
    <m/>
    <m/>
    <m/>
    <m/>
    <m/>
    <m/>
    <m/>
    <m/>
    <m/>
    <m/>
    <m/>
    <m/>
    <n v="64"/>
    <m/>
    <m/>
    <m/>
    <m/>
    <n v="64"/>
    <m/>
    <m/>
    <m/>
    <m/>
    <m/>
    <m/>
    <m/>
    <m/>
    <m/>
    <x v="1"/>
    <x v="0"/>
    <x v="1"/>
    <n v="-64"/>
    <m/>
    <m/>
    <m/>
    <m/>
    <n v="-64"/>
    <m/>
    <x v="0"/>
    <m/>
    <m/>
    <m/>
    <m/>
    <m/>
    <x v="0"/>
    <m/>
    <m/>
    <m/>
    <m/>
    <s v="-"/>
    <s v="-"/>
    <s v="-"/>
    <s v="-"/>
    <s v="-"/>
    <s v="-"/>
    <s v="-"/>
    <s v="-"/>
    <s v="-"/>
    <s v="-"/>
    <s v="-"/>
    <x v="1"/>
    <x v="0"/>
    <s v="Vacant"/>
    <s v="-"/>
    <s v="-"/>
    <s v="-"/>
    <s v="-"/>
    <s v="-"/>
    <s v="-"/>
    <s v="-"/>
    <s v="-"/>
    <s v="-"/>
    <s v="-"/>
    <x v="0"/>
    <x v="0"/>
    <n v="3.0999999493360499E-2"/>
    <n v="53"/>
    <n v="64"/>
    <n v="-11"/>
    <x v="0"/>
    <x v="0"/>
    <m/>
    <x v="0"/>
    <m/>
    <x v="0"/>
    <m/>
    <x v="0"/>
    <x v="1"/>
    <x v="2"/>
    <x v="0"/>
    <m/>
    <n v="0"/>
    <n v="0"/>
    <n v="0"/>
    <x v="0"/>
    <m/>
  </r>
  <r>
    <x v="2"/>
    <x v="0"/>
    <x v="0"/>
    <x v="1"/>
    <n v="6783"/>
    <x v="710"/>
    <x v="3"/>
    <n v="8.0000003799796104E-3"/>
    <n v="527377"/>
    <n v="175261"/>
    <m/>
    <x v="789"/>
    <s v="PF"/>
    <d v="2018-01-05T00:00:00"/>
    <x v="463"/>
    <s v="Y"/>
    <m/>
    <s v="Nil"/>
    <m/>
    <m/>
    <s v="Alterations including infill of lower and upper ground floor lightwells, and first floor rear extension to allow the change of use of upper levels from Shop (Class A1) to 3 no. residential units (Class C3)."/>
    <x v="757"/>
    <s v="MIX"/>
    <x v="0"/>
    <s v="NSV"/>
    <m/>
    <m/>
    <m/>
    <m/>
    <s v="C"/>
    <s v="BF"/>
    <x v="0"/>
    <m/>
    <m/>
    <m/>
    <n v="215"/>
    <m/>
    <m/>
    <m/>
    <m/>
    <n v="215"/>
    <m/>
    <m/>
    <m/>
    <m/>
    <m/>
    <m/>
    <m/>
    <m/>
    <m/>
    <m/>
    <n v="343"/>
    <m/>
    <m/>
    <m/>
    <m/>
    <n v="343"/>
    <m/>
    <m/>
    <m/>
    <m/>
    <m/>
    <m/>
    <m/>
    <m/>
    <m/>
    <x v="1"/>
    <x v="0"/>
    <x v="1"/>
    <n v="-128"/>
    <m/>
    <m/>
    <m/>
    <m/>
    <n v="-128"/>
    <m/>
    <x v="0"/>
    <m/>
    <m/>
    <m/>
    <m/>
    <m/>
    <x v="0"/>
    <m/>
    <m/>
    <m/>
    <m/>
    <s v="Durables"/>
    <s v="-"/>
    <s v="-"/>
    <s v="-"/>
    <s v="-"/>
    <s v="-"/>
    <s v="-"/>
    <s v="-"/>
    <s v="-"/>
    <s v="-"/>
    <s v="-"/>
    <x v="1"/>
    <x v="0"/>
    <s v="Durables"/>
    <s v="-"/>
    <s v="-"/>
    <s v="-"/>
    <s v="-"/>
    <s v="-"/>
    <s v="-"/>
    <s v="-"/>
    <s v="-"/>
    <s v="-"/>
    <s v="-"/>
    <x v="0"/>
    <x v="0"/>
    <n v="4.0000001899898E-3"/>
    <n v="215"/>
    <n v="343"/>
    <n v="-128"/>
    <x v="0"/>
    <x v="0"/>
    <m/>
    <x v="0"/>
    <m/>
    <x v="0"/>
    <m/>
    <x v="0"/>
    <x v="1"/>
    <x v="1"/>
    <x v="0"/>
    <m/>
    <n v="182"/>
    <n v="0"/>
    <n v="182"/>
    <x v="1"/>
    <m/>
  </r>
  <r>
    <x v="0"/>
    <x v="3"/>
    <x v="3"/>
    <x v="0"/>
    <n v="6787"/>
    <x v="711"/>
    <x v="15"/>
    <n v="4.9999998882412902E-3"/>
    <n v="529457"/>
    <n v="170756"/>
    <m/>
    <x v="790"/>
    <s v="LDC Exist"/>
    <d v="2018-01-16T00:00:00"/>
    <x v="473"/>
    <s v="Y"/>
    <m/>
    <s v="Nil"/>
    <m/>
    <m/>
    <s v="Use as residential (Class C3) for more than 4 years."/>
    <x v="758"/>
    <s v="COU"/>
    <x v="2"/>
    <s v="OC"/>
    <m/>
    <m/>
    <d v="2018-03-12T00:00:00"/>
    <d v="2018-03-12T00:00:00"/>
    <s v="C"/>
    <s v="BF"/>
    <x v="0"/>
    <m/>
    <m/>
    <d v="2018-03-12T00:00:00"/>
    <m/>
    <m/>
    <m/>
    <m/>
    <m/>
    <m/>
    <m/>
    <m/>
    <m/>
    <m/>
    <m/>
    <m/>
    <m/>
    <m/>
    <m/>
    <m/>
    <n v="23"/>
    <m/>
    <m/>
    <m/>
    <m/>
    <n v="23"/>
    <m/>
    <m/>
    <m/>
    <m/>
    <m/>
    <m/>
    <m/>
    <m/>
    <m/>
    <x v="1"/>
    <x v="0"/>
    <x v="1"/>
    <n v="-23"/>
    <m/>
    <m/>
    <m/>
    <m/>
    <n v="-23"/>
    <m/>
    <x v="0"/>
    <m/>
    <m/>
    <m/>
    <m/>
    <m/>
    <x v="0"/>
    <m/>
    <m/>
    <m/>
    <m/>
    <s v="-"/>
    <s v="-"/>
    <s v="-"/>
    <s v="-"/>
    <s v="-"/>
    <s v="-"/>
    <s v="-"/>
    <s v="-"/>
    <s v="-"/>
    <s v="-"/>
    <s v="-"/>
    <x v="1"/>
    <x v="0"/>
    <s v="Not Known"/>
    <s v="-"/>
    <s v="-"/>
    <s v="-"/>
    <s v="-"/>
    <s v="-"/>
    <s v="-"/>
    <s v="-"/>
    <s v="-"/>
    <s v="-"/>
    <s v="-"/>
    <x v="0"/>
    <x v="0"/>
    <n v="2.9999997932463902E-3"/>
    <n v="0"/>
    <n v="23"/>
    <n v="-23"/>
    <x v="0"/>
    <x v="0"/>
    <m/>
    <x v="0"/>
    <m/>
    <x v="0"/>
    <m/>
    <x v="0"/>
    <x v="0"/>
    <x v="0"/>
    <x v="0"/>
    <m/>
    <n v="23"/>
    <n v="0"/>
    <n v="23"/>
    <x v="1"/>
    <m/>
  </r>
  <r>
    <x v="2"/>
    <x v="0"/>
    <x v="0"/>
    <x v="1"/>
    <n v="6792"/>
    <x v="712"/>
    <x v="11"/>
    <n v="6.8000003695488004E-2"/>
    <n v="528718"/>
    <n v="173146"/>
    <m/>
    <x v="791"/>
    <s v="PF"/>
    <d v="2018-01-18T00:00:00"/>
    <x v="232"/>
    <s v="Y"/>
    <m/>
    <s v="Nil"/>
    <m/>
    <m/>
    <s v="Alterations including change of second floor function room, kitchen and ancillary rooms to guest bedrooms (increase total from 10 to 15 bedrooms at second and third floor levels) (Class A4/C1 use - public house with guest rooms). Erection of a single-storey rear extension. (Accompanying listed building application ref.2018/0341)"/>
    <x v="759"/>
    <s v="COU"/>
    <x v="2"/>
    <s v="NSO"/>
    <m/>
    <m/>
    <m/>
    <m/>
    <s v="C"/>
    <s v="BF"/>
    <x v="0"/>
    <m/>
    <m/>
    <m/>
    <m/>
    <m/>
    <m/>
    <n v="2056"/>
    <m/>
    <n v="2056"/>
    <m/>
    <m/>
    <m/>
    <m/>
    <m/>
    <m/>
    <m/>
    <m/>
    <m/>
    <m/>
    <m/>
    <m/>
    <m/>
    <n v="2047"/>
    <m/>
    <n v="2047"/>
    <m/>
    <m/>
    <m/>
    <m/>
    <m/>
    <m/>
    <m/>
    <m/>
    <m/>
    <x v="1"/>
    <x v="0"/>
    <x v="1"/>
    <m/>
    <m/>
    <m/>
    <n v="9"/>
    <m/>
    <n v="9"/>
    <m/>
    <x v="0"/>
    <m/>
    <m/>
    <m/>
    <m/>
    <m/>
    <x v="0"/>
    <m/>
    <m/>
    <m/>
    <m/>
    <s v="-"/>
    <s v="-"/>
    <s v="-"/>
    <s v="Public House"/>
    <s v="-"/>
    <s v="-"/>
    <s v="-"/>
    <s v="-"/>
    <s v="-"/>
    <s v="-"/>
    <s v="-"/>
    <x v="1"/>
    <x v="0"/>
    <s v="-"/>
    <s v="-"/>
    <s v="-"/>
    <s v="Public House"/>
    <s v="-"/>
    <s v="-"/>
    <s v="-"/>
    <s v="-"/>
    <s v="-"/>
    <s v="-"/>
    <s v="-"/>
    <x v="0"/>
    <x v="0"/>
    <n v="6.8000003695488004E-2"/>
    <n v="2056"/>
    <n v="2047"/>
    <n v="9"/>
    <x v="0"/>
    <x v="0"/>
    <m/>
    <x v="0"/>
    <m/>
    <x v="0"/>
    <m/>
    <x v="0"/>
    <x v="1"/>
    <x v="5"/>
    <x v="0"/>
    <m/>
    <n v="0"/>
    <n v="0"/>
    <n v="0"/>
    <x v="0"/>
    <m/>
  </r>
  <r>
    <x v="1"/>
    <x v="0"/>
    <x v="0"/>
    <x v="1"/>
    <n v="6793"/>
    <x v="713"/>
    <x v="11"/>
    <n v="1.8999999389052401E-2"/>
    <n v="527996"/>
    <n v="174004"/>
    <m/>
    <x v="792"/>
    <s v="AF"/>
    <d v="2018-01-24T00:00:00"/>
    <x v="1"/>
    <m/>
    <m/>
    <s v="Nil"/>
    <m/>
    <m/>
    <s v="Alterations including erection of two dormer windows to main rear roof to provide an additional floorspace (Class B1)."/>
    <x v="760"/>
    <s v="EXT"/>
    <x v="1"/>
    <s v="NSO"/>
    <m/>
    <m/>
    <m/>
    <m/>
    <s v="P"/>
    <s v="BF"/>
    <x v="0"/>
    <m/>
    <m/>
    <m/>
    <m/>
    <m/>
    <m/>
    <m/>
    <m/>
    <m/>
    <n v="49"/>
    <m/>
    <m/>
    <n v="49"/>
    <m/>
    <m/>
    <n v="49"/>
    <m/>
    <m/>
    <m/>
    <m/>
    <m/>
    <m/>
    <m/>
    <m/>
    <m/>
    <m/>
    <m/>
    <m/>
    <m/>
    <m/>
    <m/>
    <m/>
    <m/>
    <m/>
    <x v="0"/>
    <x v="1"/>
    <x v="1"/>
    <m/>
    <m/>
    <m/>
    <m/>
    <m/>
    <m/>
    <n v="49"/>
    <x v="0"/>
    <m/>
    <m/>
    <m/>
    <m/>
    <n v="49"/>
    <x v="0"/>
    <m/>
    <m/>
    <m/>
    <m/>
    <s v="-"/>
    <s v="-"/>
    <s v="-"/>
    <s v="-"/>
    <s v="-"/>
    <s v="Financial or Professional Services"/>
    <s v="-"/>
    <s v="-"/>
    <s v="-"/>
    <s v="-"/>
    <s v="-"/>
    <x v="1"/>
    <x v="0"/>
    <s v="-"/>
    <s v="-"/>
    <s v="-"/>
    <s v="-"/>
    <s v="-"/>
    <s v="-"/>
    <s v="-"/>
    <s v="-"/>
    <s v="-"/>
    <s v="-"/>
    <s v="-"/>
    <x v="0"/>
    <x v="0"/>
    <n v="1.8999999389052401E-2"/>
    <n v="49"/>
    <n v="0"/>
    <n v="49"/>
    <x v="0"/>
    <x v="0"/>
    <m/>
    <x v="0"/>
    <m/>
    <x v="0"/>
    <m/>
    <x v="0"/>
    <x v="0"/>
    <x v="0"/>
    <x v="0"/>
    <m/>
    <n v="0"/>
    <n v="0"/>
    <n v="0"/>
    <x v="0"/>
    <m/>
  </r>
  <r>
    <x v="2"/>
    <x v="0"/>
    <x v="0"/>
    <x v="1"/>
    <n v="6797"/>
    <x v="714"/>
    <x v="18"/>
    <n v="3.5000000149011598E-2"/>
    <n v="527076"/>
    <n v="173817"/>
    <m/>
    <x v="793"/>
    <s v="PF"/>
    <d v="2018-01-19T00:00:00"/>
    <x v="471"/>
    <s v="Y"/>
    <m/>
    <s v="Nil"/>
    <m/>
    <m/>
    <s v="Change of use from doctors surgery (Class D1)  to residential (Class C3)"/>
    <x v="761"/>
    <s v="COU"/>
    <x v="2"/>
    <s v="NSO"/>
    <m/>
    <m/>
    <m/>
    <m/>
    <s v="C"/>
    <s v="BF"/>
    <x v="0"/>
    <m/>
    <m/>
    <m/>
    <m/>
    <m/>
    <m/>
    <m/>
    <m/>
    <m/>
    <m/>
    <m/>
    <m/>
    <m/>
    <m/>
    <m/>
    <m/>
    <m/>
    <m/>
    <m/>
    <m/>
    <m/>
    <m/>
    <m/>
    <m/>
    <m/>
    <m/>
    <m/>
    <m/>
    <m/>
    <m/>
    <m/>
    <n v="55"/>
    <m/>
    <n v="55"/>
    <x v="0"/>
    <x v="0"/>
    <x v="0"/>
    <m/>
    <m/>
    <m/>
    <m/>
    <m/>
    <m/>
    <m/>
    <x v="0"/>
    <m/>
    <m/>
    <m/>
    <m/>
    <m/>
    <x v="0"/>
    <m/>
    <n v="-55"/>
    <m/>
    <n v="-55"/>
    <s v="-"/>
    <s v="-"/>
    <s v="-"/>
    <s v="-"/>
    <s v="-"/>
    <s v="-"/>
    <s v="-"/>
    <s v="-"/>
    <s v="-"/>
    <s v="-"/>
    <s v="-"/>
    <x v="1"/>
    <x v="0"/>
    <s v="-"/>
    <s v="-"/>
    <s v="-"/>
    <s v="-"/>
    <s v="-"/>
    <s v="-"/>
    <s v="-"/>
    <s v="-"/>
    <s v="-"/>
    <s v="-"/>
    <s v="-"/>
    <x v="5"/>
    <x v="0"/>
    <n v="2.7999999932944757E-2"/>
    <n v="0"/>
    <n v="55"/>
    <n v="-55"/>
    <x v="0"/>
    <x v="0"/>
    <m/>
    <x v="0"/>
    <m/>
    <x v="0"/>
    <m/>
    <x v="0"/>
    <x v="0"/>
    <x v="0"/>
    <x v="0"/>
    <m/>
    <n v="55"/>
    <n v="0"/>
    <n v="55"/>
    <x v="1"/>
    <m/>
  </r>
  <r>
    <x v="2"/>
    <x v="2"/>
    <x v="2"/>
    <x v="1"/>
    <n v="6802"/>
    <x v="715"/>
    <x v="3"/>
    <n v="2.0000000949949E-3"/>
    <n v="527680"/>
    <n v="174924"/>
    <m/>
    <x v="794"/>
    <s v="PAG"/>
    <d v="2018-02-02T00:00:00"/>
    <x v="63"/>
    <s v="Y"/>
    <m/>
    <s v="Nil"/>
    <m/>
    <m/>
    <s v="Determination as to whether prior approval is required for change of use from storage (Class B8) to residential (Class C3) to provide 1 x studio flat."/>
    <x v="762"/>
    <s v="COU"/>
    <x v="2"/>
    <s v="NSO"/>
    <m/>
    <m/>
    <m/>
    <m/>
    <s v="C"/>
    <s v="BF"/>
    <x v="0"/>
    <m/>
    <m/>
    <m/>
    <m/>
    <m/>
    <m/>
    <m/>
    <m/>
    <m/>
    <m/>
    <m/>
    <m/>
    <m/>
    <m/>
    <m/>
    <m/>
    <m/>
    <m/>
    <m/>
    <m/>
    <m/>
    <m/>
    <m/>
    <m/>
    <m/>
    <m/>
    <m/>
    <m/>
    <m/>
    <n v="18"/>
    <n v="18"/>
    <m/>
    <m/>
    <m/>
    <x v="0"/>
    <x v="1"/>
    <x v="1"/>
    <m/>
    <m/>
    <m/>
    <m/>
    <m/>
    <m/>
    <m/>
    <x v="0"/>
    <m/>
    <m/>
    <m/>
    <n v="-18"/>
    <n v="-18"/>
    <x v="1"/>
    <m/>
    <m/>
    <m/>
    <m/>
    <s v="-"/>
    <s v="-"/>
    <s v="-"/>
    <s v="-"/>
    <s v="-"/>
    <s v="-"/>
    <s v="-"/>
    <s v="-"/>
    <s v="-"/>
    <s v="-"/>
    <s v="-"/>
    <x v="1"/>
    <x v="0"/>
    <s v="-"/>
    <s v="-"/>
    <s v="-"/>
    <s v="-"/>
    <s v="-"/>
    <s v="-"/>
    <s v="-"/>
    <s v="-"/>
    <s v="-"/>
    <s v="Storage"/>
    <s v="-"/>
    <x v="0"/>
    <x v="0"/>
    <n v="0"/>
    <n v="0"/>
    <n v="18"/>
    <n v="-18"/>
    <x v="0"/>
    <x v="0"/>
    <m/>
    <x v="0"/>
    <m/>
    <x v="0"/>
    <m/>
    <x v="0"/>
    <x v="0"/>
    <x v="0"/>
    <x v="0"/>
    <m/>
    <n v="18"/>
    <n v="0"/>
    <n v="18"/>
    <x v="1"/>
    <m/>
  </r>
  <r>
    <x v="1"/>
    <x v="0"/>
    <x v="0"/>
    <x v="1"/>
    <n v="6803"/>
    <x v="716"/>
    <x v="4"/>
    <n v="3.4000001847744002E-2"/>
    <n v="526216"/>
    <n v="175398"/>
    <m/>
    <x v="795"/>
    <s v="AF"/>
    <d v="2018-01-30T00:00:00"/>
    <x v="1"/>
    <m/>
    <m/>
    <s v="Nil"/>
    <m/>
    <m/>
    <s v="Amalgamation of Unit E and part of Unit D Meridian House and change of use from Class A1, A2, A3 and B1 to Class A1, A2, A3, B1 and D2 for the use as a gym."/>
    <x v="763"/>
    <s v="COU"/>
    <x v="2"/>
    <s v="NSO"/>
    <m/>
    <m/>
    <m/>
    <m/>
    <s v="P"/>
    <s v="BF"/>
    <x v="0"/>
    <m/>
    <m/>
    <m/>
    <n v="58"/>
    <n v="58"/>
    <n v="58"/>
    <m/>
    <m/>
    <n v="174"/>
    <n v="58"/>
    <m/>
    <m/>
    <n v="58"/>
    <m/>
    <m/>
    <n v="58"/>
    <m/>
    <n v="57"/>
    <n v="57"/>
    <n v="72"/>
    <n v="72"/>
    <n v="73"/>
    <m/>
    <m/>
    <n v="217"/>
    <n v="72"/>
    <m/>
    <m/>
    <m/>
    <m/>
    <n v="72"/>
    <m/>
    <m/>
    <m/>
    <x v="1"/>
    <x v="1"/>
    <x v="0"/>
    <n v="-14"/>
    <n v="-14"/>
    <n v="-15"/>
    <m/>
    <m/>
    <n v="-43"/>
    <n v="-14"/>
    <x v="1"/>
    <m/>
    <m/>
    <m/>
    <m/>
    <n v="-14"/>
    <x v="1"/>
    <m/>
    <m/>
    <n v="57"/>
    <n v="57"/>
    <s v="Not Known"/>
    <s v="Not Known"/>
    <s v="Restaurant"/>
    <s v="-"/>
    <s v="-"/>
    <s v="Not Known"/>
    <s v="-"/>
    <s v="-"/>
    <s v="-"/>
    <s v="-"/>
    <s v="-"/>
    <x v="1"/>
    <x v="2"/>
    <s v="Vacant"/>
    <s v="Vacant"/>
    <s v="Vacant"/>
    <s v="-"/>
    <s v="-"/>
    <s v="Vacant"/>
    <s v="-"/>
    <s v="-"/>
    <s v="-"/>
    <s v="-"/>
    <s v="-"/>
    <x v="0"/>
    <x v="0"/>
    <n v="3.4000001847744002E-2"/>
    <n v="289"/>
    <n v="289"/>
    <n v="0"/>
    <x v="1"/>
    <x v="0"/>
    <m/>
    <x v="0"/>
    <m/>
    <x v="0"/>
    <m/>
    <x v="0"/>
    <x v="0"/>
    <x v="0"/>
    <x v="0"/>
    <m/>
    <n v="0"/>
    <n v="0"/>
    <n v="0"/>
    <x v="0"/>
    <m/>
  </r>
  <r>
    <x v="1"/>
    <x v="0"/>
    <x v="0"/>
    <x v="1"/>
    <n v="6804"/>
    <x v="717"/>
    <x v="7"/>
    <n v="1.60000007599592E-2"/>
    <n v="523594"/>
    <n v="175801"/>
    <m/>
    <x v="796"/>
    <s v="AF"/>
    <d v="2018-01-23T00:00:00"/>
    <x v="1"/>
    <m/>
    <m/>
    <s v="Nil"/>
    <m/>
    <m/>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x v="764"/>
    <s v="MIX"/>
    <x v="0"/>
    <s v="NSO"/>
    <m/>
    <m/>
    <m/>
    <m/>
    <s v="P"/>
    <s v="BF"/>
    <x v="0"/>
    <m/>
    <m/>
    <m/>
    <n v="40"/>
    <n v="39"/>
    <m/>
    <m/>
    <m/>
    <n v="79"/>
    <m/>
    <m/>
    <m/>
    <m/>
    <m/>
    <m/>
    <m/>
    <m/>
    <m/>
    <m/>
    <n v="59"/>
    <m/>
    <m/>
    <m/>
    <m/>
    <n v="59"/>
    <m/>
    <m/>
    <m/>
    <n v="88"/>
    <m/>
    <n v="88"/>
    <m/>
    <m/>
    <m/>
    <x v="1"/>
    <x v="1"/>
    <x v="1"/>
    <n v="-19"/>
    <n v="39"/>
    <m/>
    <m/>
    <m/>
    <n v="20"/>
    <m/>
    <x v="0"/>
    <m/>
    <m/>
    <n v="-88"/>
    <m/>
    <n v="-88"/>
    <x v="1"/>
    <m/>
    <m/>
    <m/>
    <m/>
    <s v="Services"/>
    <s v="Not Known"/>
    <s v="-"/>
    <s v="-"/>
    <s v="-"/>
    <s v="-"/>
    <s v="-"/>
    <s v="-"/>
    <s v="-"/>
    <s v="-"/>
    <s v="-"/>
    <x v="1"/>
    <x v="0"/>
    <s v="Services"/>
    <s v="-"/>
    <s v="-"/>
    <s v="-"/>
    <s v="-"/>
    <s v="-"/>
    <s v="-"/>
    <s v="-"/>
    <s v="General Industry"/>
    <s v="-"/>
    <s v="-"/>
    <x v="0"/>
    <x v="0"/>
    <n v="5.0000003539026009E-3"/>
    <n v="79"/>
    <n v="147"/>
    <n v="-68"/>
    <x v="0"/>
    <x v="0"/>
    <m/>
    <x v="0"/>
    <m/>
    <x v="0"/>
    <m/>
    <x v="0"/>
    <x v="0"/>
    <x v="0"/>
    <x v="0"/>
    <m/>
    <n v="220"/>
    <n v="122"/>
    <n v="98"/>
    <x v="1"/>
    <m/>
  </r>
  <r>
    <x v="1"/>
    <x v="0"/>
    <x v="0"/>
    <x v="1"/>
    <n v="6805"/>
    <x v="718"/>
    <x v="7"/>
    <n v="2.9999999329447701E-2"/>
    <n v="524490"/>
    <n v="175266"/>
    <m/>
    <x v="797"/>
    <s v="AF"/>
    <d v="2018-02-05T00:00:00"/>
    <x v="1"/>
    <m/>
    <m/>
    <s v="Nil"/>
    <m/>
    <m/>
    <s v="Alterations including erection of front and rear mansard extension to main roof and conversion of upper floors to 1 x 1-bedroom and 5 x 2-bedroom flats with roof terraces at all upper floors; refuse and cycle storage accessed from the rear."/>
    <x v="765"/>
    <s v="MIX"/>
    <x v="0"/>
    <s v="NSO"/>
    <m/>
    <m/>
    <m/>
    <m/>
    <s v="P"/>
    <s v="BF"/>
    <x v="0"/>
    <m/>
    <m/>
    <m/>
    <m/>
    <m/>
    <m/>
    <n v="217"/>
    <m/>
    <n v="217"/>
    <m/>
    <m/>
    <m/>
    <m/>
    <m/>
    <m/>
    <m/>
    <m/>
    <m/>
    <m/>
    <m/>
    <m/>
    <m/>
    <n v="663"/>
    <m/>
    <n v="663"/>
    <m/>
    <m/>
    <m/>
    <m/>
    <m/>
    <m/>
    <m/>
    <m/>
    <m/>
    <x v="1"/>
    <x v="0"/>
    <x v="1"/>
    <m/>
    <m/>
    <m/>
    <n v="-446"/>
    <m/>
    <n v="-446"/>
    <m/>
    <x v="0"/>
    <m/>
    <m/>
    <m/>
    <m/>
    <m/>
    <x v="0"/>
    <m/>
    <m/>
    <m/>
    <m/>
    <s v="-"/>
    <s v="-"/>
    <s v="-"/>
    <s v="Public House"/>
    <s v="-"/>
    <s v="-"/>
    <s v="-"/>
    <s v="-"/>
    <s v="-"/>
    <s v="-"/>
    <s v="-"/>
    <x v="1"/>
    <x v="0"/>
    <s v="-"/>
    <s v="-"/>
    <s v="-"/>
    <s v="Public House"/>
    <s v="-"/>
    <s v="-"/>
    <s v="-"/>
    <s v="-"/>
    <s v="-"/>
    <s v="-"/>
    <s v="-"/>
    <x v="0"/>
    <x v="0"/>
    <n v="9.9999983794987028E-3"/>
    <n v="217"/>
    <n v="663"/>
    <n v="-446"/>
    <x v="0"/>
    <x v="0"/>
    <m/>
    <x v="0"/>
    <m/>
    <x v="0"/>
    <m/>
    <x v="0"/>
    <x v="0"/>
    <x v="0"/>
    <x v="0"/>
    <m/>
    <n v="402"/>
    <n v="0"/>
    <n v="402"/>
    <x v="1"/>
    <m/>
  </r>
  <r>
    <x v="2"/>
    <x v="0"/>
    <x v="0"/>
    <x v="1"/>
    <n v="6808"/>
    <x v="719"/>
    <x v="5"/>
    <n v="9.9999997764825804E-3"/>
    <n v="526942"/>
    <n v="175151"/>
    <m/>
    <x v="798"/>
    <s v="PF"/>
    <d v="2018-01-29T00:00:00"/>
    <x v="474"/>
    <s v="Y"/>
    <m/>
    <s v="Nil"/>
    <m/>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x v="766"/>
    <s v="MIX"/>
    <x v="0"/>
    <s v="NSO"/>
    <m/>
    <m/>
    <m/>
    <m/>
    <s v="C"/>
    <s v="BF"/>
    <x v="0"/>
    <m/>
    <m/>
    <m/>
    <n v="16"/>
    <n v="16"/>
    <m/>
    <m/>
    <m/>
    <n v="32"/>
    <n v="15"/>
    <m/>
    <m/>
    <n v="15"/>
    <m/>
    <m/>
    <n v="15"/>
    <m/>
    <m/>
    <m/>
    <m/>
    <n v="64"/>
    <m/>
    <m/>
    <m/>
    <n v="64"/>
    <m/>
    <m/>
    <m/>
    <m/>
    <m/>
    <m/>
    <m/>
    <m/>
    <m/>
    <x v="1"/>
    <x v="1"/>
    <x v="1"/>
    <n v="16"/>
    <n v="-48"/>
    <m/>
    <m/>
    <m/>
    <n v="-32"/>
    <n v="15"/>
    <x v="0"/>
    <m/>
    <m/>
    <m/>
    <m/>
    <n v="15"/>
    <x v="0"/>
    <m/>
    <m/>
    <m/>
    <m/>
    <s v="Not Known"/>
    <s v="Not Known"/>
    <s v="-"/>
    <s v="-"/>
    <s v="-"/>
    <s v="Not Known"/>
    <s v="-"/>
    <s v="-"/>
    <s v="-"/>
    <s v="-"/>
    <s v="-"/>
    <x v="1"/>
    <x v="0"/>
    <s v="-"/>
    <s v="Vacant"/>
    <s v="-"/>
    <s v="-"/>
    <s v="-"/>
    <s v="-"/>
    <s v="-"/>
    <s v="-"/>
    <s v="-"/>
    <s v="-"/>
    <s v="-"/>
    <x v="0"/>
    <x v="0"/>
    <n v="2.9999995604157404E-3"/>
    <n v="47"/>
    <n v="64"/>
    <n v="-17"/>
    <x v="0"/>
    <x v="0"/>
    <m/>
    <x v="0"/>
    <m/>
    <x v="0"/>
    <m/>
    <x v="0"/>
    <x v="0"/>
    <x v="0"/>
    <x v="0"/>
    <m/>
    <n v="214"/>
    <n v="122"/>
    <n v="92"/>
    <x v="1"/>
    <m/>
  </r>
  <r>
    <x v="1"/>
    <x v="0"/>
    <x v="0"/>
    <x v="1"/>
    <n v="6811"/>
    <x v="720"/>
    <x v="12"/>
    <n v="1.8999999389052401E-2"/>
    <n v="525229"/>
    <n v="173182"/>
    <m/>
    <x v="799"/>
    <s v="AF"/>
    <d v="2018-02-16T00:00:00"/>
    <x v="1"/>
    <m/>
    <m/>
    <s v="Nil"/>
    <m/>
    <m/>
    <s v="Change of use of ground floor from Class A2 to Class C3 forming a 1-bedroom flat. Erection of first floor level extension to building at rear including replacement screening to terrace and formation of ground floor cycle and refuse storage."/>
    <x v="767"/>
    <s v="COU"/>
    <x v="2"/>
    <s v="NSO"/>
    <m/>
    <m/>
    <m/>
    <m/>
    <s v="P"/>
    <s v="BF"/>
    <x v="0"/>
    <m/>
    <m/>
    <m/>
    <m/>
    <m/>
    <m/>
    <m/>
    <m/>
    <m/>
    <m/>
    <m/>
    <m/>
    <m/>
    <m/>
    <m/>
    <m/>
    <m/>
    <m/>
    <m/>
    <m/>
    <n v="54"/>
    <m/>
    <m/>
    <m/>
    <n v="54"/>
    <m/>
    <m/>
    <m/>
    <m/>
    <m/>
    <m/>
    <m/>
    <m/>
    <m/>
    <x v="1"/>
    <x v="0"/>
    <x v="1"/>
    <m/>
    <n v="-54"/>
    <m/>
    <m/>
    <m/>
    <n v="-54"/>
    <m/>
    <x v="0"/>
    <m/>
    <m/>
    <m/>
    <m/>
    <m/>
    <x v="0"/>
    <m/>
    <m/>
    <m/>
    <m/>
    <s v="-"/>
    <s v="-"/>
    <s v="-"/>
    <s v="-"/>
    <s v="-"/>
    <s v="-"/>
    <s v="-"/>
    <s v="-"/>
    <s v="-"/>
    <s v="-"/>
    <s v="-"/>
    <x v="1"/>
    <x v="0"/>
    <s v="-"/>
    <s v="Estate Agent"/>
    <s v="-"/>
    <s v="-"/>
    <s v="-"/>
    <s v="-"/>
    <s v="-"/>
    <s v="-"/>
    <s v="-"/>
    <s v="-"/>
    <s v="-"/>
    <x v="0"/>
    <x v="0"/>
    <n v="8.9999996125698211E-3"/>
    <n v="0"/>
    <n v="54"/>
    <n v="-54"/>
    <x v="0"/>
    <x v="0"/>
    <m/>
    <x v="0"/>
    <m/>
    <x v="0"/>
    <m/>
    <x v="0"/>
    <x v="0"/>
    <x v="0"/>
    <x v="0"/>
    <m/>
    <n v="54"/>
    <n v="0"/>
    <n v="54"/>
    <x v="1"/>
    <m/>
  </r>
  <r>
    <x v="1"/>
    <x v="0"/>
    <x v="0"/>
    <x v="1"/>
    <n v="6813"/>
    <x v="721"/>
    <x v="7"/>
    <n v="1.30000002682209E-2"/>
    <n v="523985"/>
    <n v="175230"/>
    <m/>
    <x v="800"/>
    <s v="AF"/>
    <d v="2018-02-12T00:00:00"/>
    <x v="1"/>
    <m/>
    <m/>
    <s v="Nil"/>
    <m/>
    <m/>
    <s v="Alterations in connection with change of use from betting shop (Sui Generis) to dental surgery (Class D1)."/>
    <x v="768"/>
    <s v="COU"/>
    <x v="2"/>
    <s v="NSO"/>
    <m/>
    <m/>
    <m/>
    <m/>
    <s v="P"/>
    <s v="BF"/>
    <x v="0"/>
    <m/>
    <m/>
    <m/>
    <m/>
    <m/>
    <m/>
    <m/>
    <m/>
    <m/>
    <m/>
    <m/>
    <m/>
    <m/>
    <m/>
    <m/>
    <m/>
    <n v="138"/>
    <m/>
    <n v="138"/>
    <m/>
    <n v="150"/>
    <m/>
    <m/>
    <m/>
    <n v="150"/>
    <m/>
    <m/>
    <m/>
    <m/>
    <m/>
    <m/>
    <m/>
    <m/>
    <m/>
    <x v="1"/>
    <x v="0"/>
    <x v="0"/>
    <m/>
    <n v="-150"/>
    <m/>
    <m/>
    <m/>
    <n v="-150"/>
    <m/>
    <x v="0"/>
    <m/>
    <m/>
    <m/>
    <m/>
    <m/>
    <x v="0"/>
    <m/>
    <n v="138"/>
    <m/>
    <n v="138"/>
    <s v="-"/>
    <s v="-"/>
    <s v="-"/>
    <s v="-"/>
    <s v="-"/>
    <s v="-"/>
    <s v="-"/>
    <s v="-"/>
    <s v="-"/>
    <s v="-"/>
    <s v="-"/>
    <x v="2"/>
    <x v="0"/>
    <s v="-"/>
    <s v="Betting Shop"/>
    <s v="-"/>
    <s v="-"/>
    <s v="-"/>
    <s v="-"/>
    <s v="-"/>
    <s v="-"/>
    <s v="-"/>
    <s v="-"/>
    <s v="-"/>
    <x v="0"/>
    <x v="0"/>
    <n v="1.30000002682209E-2"/>
    <n v="138"/>
    <n v="150"/>
    <n v="-12"/>
    <x v="0"/>
    <x v="0"/>
    <m/>
    <x v="0"/>
    <m/>
    <x v="0"/>
    <m/>
    <x v="0"/>
    <x v="1"/>
    <x v="2"/>
    <x v="0"/>
    <m/>
    <n v="0"/>
    <n v="0"/>
    <n v="0"/>
    <x v="0"/>
    <m/>
  </r>
  <r>
    <x v="1"/>
    <x v="2"/>
    <x v="2"/>
    <x v="1"/>
    <n v="6814"/>
    <x v="722"/>
    <x v="7"/>
    <n v="1.7999999225139601E-2"/>
    <n v="524031"/>
    <n v="175248"/>
    <m/>
    <x v="801"/>
    <s v="NPA"/>
    <d v="2018-02-15T00:00:00"/>
    <x v="1"/>
    <m/>
    <m/>
    <s v="Nil"/>
    <m/>
    <m/>
    <s v="Determination as to whether prior approval is required for change of use of office at first and second floor levels (Class B1a) to residential (Class C3) to provide 3 x 1-bedroom flats."/>
    <x v="651"/>
    <s v="COU"/>
    <x v="2"/>
    <s v="NSO"/>
    <m/>
    <m/>
    <m/>
    <m/>
    <s v="P"/>
    <s v="BF"/>
    <x v="0"/>
    <m/>
    <m/>
    <m/>
    <m/>
    <m/>
    <m/>
    <m/>
    <m/>
    <m/>
    <m/>
    <m/>
    <m/>
    <m/>
    <m/>
    <m/>
    <m/>
    <m/>
    <m/>
    <m/>
    <m/>
    <m/>
    <m/>
    <m/>
    <m/>
    <m/>
    <n v="135"/>
    <m/>
    <m/>
    <m/>
    <m/>
    <n v="135"/>
    <m/>
    <m/>
    <m/>
    <x v="0"/>
    <x v="1"/>
    <x v="1"/>
    <m/>
    <m/>
    <m/>
    <m/>
    <m/>
    <m/>
    <n v="-135"/>
    <x v="1"/>
    <m/>
    <m/>
    <m/>
    <m/>
    <n v="-135"/>
    <x v="1"/>
    <m/>
    <m/>
    <m/>
    <m/>
    <s v="-"/>
    <s v="-"/>
    <s v="-"/>
    <s v="-"/>
    <s v="-"/>
    <s v="-"/>
    <s v="-"/>
    <s v="-"/>
    <s v="-"/>
    <s v="-"/>
    <s v="-"/>
    <x v="1"/>
    <x v="0"/>
    <s v="-"/>
    <s v="-"/>
    <s v="-"/>
    <s v="-"/>
    <s v="-"/>
    <s v="Other"/>
    <s v="-"/>
    <s v="-"/>
    <s v="-"/>
    <s v="-"/>
    <s v="-"/>
    <x v="0"/>
    <x v="0"/>
    <n v="4.9999989569187008E-3"/>
    <n v="0"/>
    <n v="135"/>
    <n v="-135"/>
    <x v="0"/>
    <x v="0"/>
    <m/>
    <x v="0"/>
    <m/>
    <x v="0"/>
    <m/>
    <x v="0"/>
    <x v="1"/>
    <x v="2"/>
    <x v="0"/>
    <m/>
    <n v="135"/>
    <n v="0"/>
    <n v="135"/>
    <x v="1"/>
    <m/>
  </r>
  <r>
    <x v="1"/>
    <x v="0"/>
    <x v="0"/>
    <x v="1"/>
    <n v="6815"/>
    <x v="723"/>
    <x v="0"/>
    <n v="7.0000002160668399E-3"/>
    <n v="524144"/>
    <n v="173132"/>
    <m/>
    <x v="802"/>
    <s v="AF"/>
    <d v="2018-02-15T00:00:00"/>
    <x v="1"/>
    <m/>
    <m/>
    <s v="Nil"/>
    <m/>
    <m/>
    <s v="Demolition of existing building and erection of a part-single, part four-storey 3-bedroomed dwellinghouse including roof terrace, with one off-street parking space."/>
    <x v="769"/>
    <s v="NB"/>
    <x v="0"/>
    <s v="NSO"/>
    <m/>
    <m/>
    <m/>
    <m/>
    <s v="C"/>
    <s v="BF"/>
    <x v="0"/>
    <m/>
    <m/>
    <m/>
    <m/>
    <m/>
    <m/>
    <m/>
    <m/>
    <m/>
    <m/>
    <m/>
    <m/>
    <m/>
    <m/>
    <m/>
    <m/>
    <m/>
    <m/>
    <m/>
    <m/>
    <m/>
    <m/>
    <m/>
    <m/>
    <m/>
    <m/>
    <m/>
    <m/>
    <m/>
    <m/>
    <m/>
    <n v="39"/>
    <m/>
    <n v="39"/>
    <x v="0"/>
    <x v="0"/>
    <x v="0"/>
    <m/>
    <m/>
    <m/>
    <m/>
    <m/>
    <m/>
    <m/>
    <x v="0"/>
    <m/>
    <m/>
    <m/>
    <m/>
    <m/>
    <x v="0"/>
    <m/>
    <n v="-39"/>
    <m/>
    <n v="-39"/>
    <s v="-"/>
    <s v="-"/>
    <s v="-"/>
    <s v="-"/>
    <s v="-"/>
    <s v="-"/>
    <s v="-"/>
    <s v="-"/>
    <s v="-"/>
    <s v="-"/>
    <s v="-"/>
    <x v="1"/>
    <x v="0"/>
    <s v="-"/>
    <s v="-"/>
    <s v="-"/>
    <s v="-"/>
    <s v="-"/>
    <s v="-"/>
    <s v="-"/>
    <s v="-"/>
    <s v="-"/>
    <s v="-"/>
    <s v="-"/>
    <x v="5"/>
    <x v="0"/>
    <n v="0"/>
    <n v="0"/>
    <n v="39"/>
    <n v="-39"/>
    <x v="0"/>
    <x v="0"/>
    <m/>
    <x v="0"/>
    <m/>
    <x v="0"/>
    <m/>
    <x v="0"/>
    <x v="0"/>
    <x v="0"/>
    <x v="0"/>
    <m/>
    <n v="148"/>
    <n v="0"/>
    <n v="148"/>
    <x v="1"/>
    <m/>
  </r>
  <r>
    <x v="1"/>
    <x v="0"/>
    <x v="0"/>
    <x v="1"/>
    <n v="6817"/>
    <x v="724"/>
    <x v="17"/>
    <n v="2.5000000372528999E-2"/>
    <n v="528402"/>
    <n v="172041"/>
    <m/>
    <x v="803"/>
    <s v="AF"/>
    <d v="2018-02-22T00:00:00"/>
    <x v="1"/>
    <m/>
    <m/>
    <s v="Nil"/>
    <m/>
    <m/>
    <s v="Alterations including erection of dormer roof extension and erection of rear extension at first floor level (with french doors and safety railings) in connection conversion of two-bedroom flat and first floor office to 6 x 1-bedroom flats."/>
    <x v="770"/>
    <s v="MIX"/>
    <x v="0"/>
    <s v="NSO"/>
    <m/>
    <m/>
    <m/>
    <m/>
    <s v="P"/>
    <s v="BF"/>
    <x v="0"/>
    <m/>
    <m/>
    <m/>
    <m/>
    <m/>
    <m/>
    <m/>
    <m/>
    <m/>
    <m/>
    <m/>
    <m/>
    <m/>
    <m/>
    <m/>
    <m/>
    <m/>
    <m/>
    <m/>
    <m/>
    <m/>
    <m/>
    <m/>
    <m/>
    <m/>
    <n v="60"/>
    <m/>
    <m/>
    <m/>
    <m/>
    <n v="60"/>
    <m/>
    <m/>
    <m/>
    <x v="0"/>
    <x v="1"/>
    <x v="1"/>
    <m/>
    <m/>
    <m/>
    <m/>
    <m/>
    <m/>
    <n v="-60"/>
    <x v="1"/>
    <m/>
    <m/>
    <m/>
    <m/>
    <n v="-60"/>
    <x v="1"/>
    <m/>
    <m/>
    <m/>
    <m/>
    <s v="-"/>
    <s v="-"/>
    <s v="-"/>
    <s v="-"/>
    <s v="-"/>
    <s v="-"/>
    <s v="-"/>
    <s v="-"/>
    <s v="-"/>
    <s v="-"/>
    <s v="-"/>
    <x v="1"/>
    <x v="0"/>
    <s v="-"/>
    <s v="-"/>
    <s v="-"/>
    <s v="-"/>
    <s v="-"/>
    <s v="Other"/>
    <s v="-"/>
    <s v="-"/>
    <s v="-"/>
    <s v="-"/>
    <s v="-"/>
    <x v="0"/>
    <x v="0"/>
    <n v="0"/>
    <n v="0"/>
    <n v="60"/>
    <n v="-60"/>
    <x v="0"/>
    <x v="0"/>
    <m/>
    <x v="0"/>
    <m/>
    <x v="0"/>
    <m/>
    <x v="0"/>
    <x v="0"/>
    <x v="0"/>
    <x v="0"/>
    <m/>
    <n v="244"/>
    <n v="60"/>
    <n v="184"/>
    <x v="1"/>
    <m/>
  </r>
  <r>
    <x v="1"/>
    <x v="2"/>
    <x v="2"/>
    <x v="1"/>
    <n v="6821"/>
    <x v="725"/>
    <x v="4"/>
    <n v="0.270000010728836"/>
    <n v="527311"/>
    <n v="177194"/>
    <m/>
    <x v="804"/>
    <s v="NPA"/>
    <d v="2018-02-20T00:00:00"/>
    <x v="1"/>
    <m/>
    <m/>
    <s v="Nil"/>
    <m/>
    <m/>
    <s v="Determination as to whether prior approval is required for change of use from office at ground floor level (Use Class B1(a)) to residential (Use Class C3) to provide 1 x 1 bedroom and 1 x 2 bedroom flats."/>
    <x v="771"/>
    <s v="COU"/>
    <x v="2"/>
    <s v="NSO"/>
    <m/>
    <m/>
    <m/>
    <m/>
    <s v="P"/>
    <s v="BF"/>
    <x v="0"/>
    <m/>
    <m/>
    <m/>
    <m/>
    <m/>
    <m/>
    <m/>
    <m/>
    <m/>
    <m/>
    <m/>
    <m/>
    <m/>
    <m/>
    <m/>
    <m/>
    <m/>
    <m/>
    <m/>
    <m/>
    <m/>
    <m/>
    <m/>
    <m/>
    <m/>
    <n v="172"/>
    <m/>
    <m/>
    <m/>
    <m/>
    <n v="172"/>
    <m/>
    <m/>
    <m/>
    <x v="0"/>
    <x v="1"/>
    <x v="1"/>
    <m/>
    <m/>
    <m/>
    <m/>
    <m/>
    <m/>
    <n v="-172"/>
    <x v="1"/>
    <m/>
    <m/>
    <m/>
    <m/>
    <n v="-172"/>
    <x v="1"/>
    <m/>
    <m/>
    <m/>
    <m/>
    <s v="-"/>
    <s v="-"/>
    <s v="-"/>
    <s v="-"/>
    <s v="-"/>
    <s v="-"/>
    <s v="-"/>
    <s v="-"/>
    <s v="-"/>
    <s v="-"/>
    <s v="-"/>
    <x v="1"/>
    <x v="0"/>
    <s v="-"/>
    <s v="-"/>
    <s v="-"/>
    <s v="-"/>
    <s v="-"/>
    <s v="Not Known"/>
    <s v="-"/>
    <s v="-"/>
    <s v="-"/>
    <s v="-"/>
    <s v="-"/>
    <x v="0"/>
    <x v="0"/>
    <n v="0.25600001029670233"/>
    <n v="0"/>
    <n v="172"/>
    <n v="-172"/>
    <x v="1"/>
    <x v="0"/>
    <m/>
    <x v="0"/>
    <m/>
    <x v="0"/>
    <m/>
    <x v="0"/>
    <x v="0"/>
    <x v="0"/>
    <x v="0"/>
    <m/>
    <n v="172"/>
    <n v="0"/>
    <n v="172"/>
    <x v="1"/>
    <m/>
  </r>
  <r>
    <x v="1"/>
    <x v="2"/>
    <x v="2"/>
    <x v="1"/>
    <n v="6822"/>
    <x v="726"/>
    <x v="4"/>
    <n v="0.27099999785423301"/>
    <n v="527295"/>
    <n v="177182"/>
    <m/>
    <x v="805"/>
    <s v="NPA"/>
    <d v="2018-02-20T00:00:00"/>
    <x v="1"/>
    <m/>
    <m/>
    <s v="Nil"/>
    <m/>
    <m/>
    <s v="Determination as to whether prior approval is required for change of use of office at first floor level (Use Class B1(a)) to residential (Use Class C3) to provide 1 x studio flat."/>
    <x v="772"/>
    <s v="COU"/>
    <x v="2"/>
    <s v="NSO"/>
    <m/>
    <m/>
    <m/>
    <m/>
    <s v="P"/>
    <s v="BF"/>
    <x v="0"/>
    <m/>
    <m/>
    <m/>
    <m/>
    <m/>
    <m/>
    <m/>
    <m/>
    <m/>
    <m/>
    <m/>
    <m/>
    <m/>
    <m/>
    <m/>
    <m/>
    <m/>
    <m/>
    <m/>
    <m/>
    <m/>
    <m/>
    <m/>
    <m/>
    <m/>
    <n v="170"/>
    <m/>
    <m/>
    <m/>
    <m/>
    <n v="170"/>
    <m/>
    <m/>
    <m/>
    <x v="0"/>
    <x v="1"/>
    <x v="1"/>
    <m/>
    <m/>
    <m/>
    <m/>
    <m/>
    <m/>
    <n v="-170"/>
    <x v="1"/>
    <m/>
    <m/>
    <m/>
    <m/>
    <n v="-170"/>
    <x v="1"/>
    <m/>
    <m/>
    <m/>
    <m/>
    <s v="-"/>
    <s v="-"/>
    <s v="-"/>
    <s v="-"/>
    <s v="-"/>
    <s v="-"/>
    <s v="-"/>
    <s v="-"/>
    <s v="-"/>
    <s v="-"/>
    <s v="-"/>
    <x v="1"/>
    <x v="0"/>
    <s v="-"/>
    <s v="-"/>
    <s v="-"/>
    <s v="-"/>
    <s v="-"/>
    <s v="Not Known"/>
    <s v="-"/>
    <s v="-"/>
    <s v="-"/>
    <s v="-"/>
    <s v="-"/>
    <x v="0"/>
    <x v="0"/>
    <n v="0.25699999742209934"/>
    <n v="0"/>
    <n v="170"/>
    <n v="-170"/>
    <x v="1"/>
    <x v="0"/>
    <m/>
    <x v="0"/>
    <m/>
    <x v="0"/>
    <m/>
    <x v="0"/>
    <x v="0"/>
    <x v="0"/>
    <x v="0"/>
    <m/>
    <n v="170"/>
    <n v="0"/>
    <n v="170"/>
    <x v="1"/>
    <m/>
  </r>
  <r>
    <x v="1"/>
    <x v="2"/>
    <x v="2"/>
    <x v="1"/>
    <n v="6823"/>
    <x v="727"/>
    <x v="4"/>
    <n v="0.270000010728836"/>
    <n v="527310"/>
    <n v="177159"/>
    <m/>
    <x v="806"/>
    <s v="NPA"/>
    <d v="2018-03-29T00:00:00"/>
    <x v="1"/>
    <m/>
    <m/>
    <s v="Nil"/>
    <m/>
    <m/>
    <s v="Determination as to whether prior approval is required for change of use of office Class B1a) to residential (Class C3) to provide 2 x 1-bedroom flats."/>
    <x v="773"/>
    <s v="COU"/>
    <x v="2"/>
    <s v="NSO"/>
    <m/>
    <m/>
    <m/>
    <m/>
    <s v="P"/>
    <s v="BF"/>
    <x v="0"/>
    <m/>
    <m/>
    <m/>
    <m/>
    <m/>
    <m/>
    <m/>
    <m/>
    <m/>
    <m/>
    <m/>
    <m/>
    <m/>
    <m/>
    <m/>
    <m/>
    <m/>
    <m/>
    <m/>
    <m/>
    <m/>
    <m/>
    <m/>
    <m/>
    <m/>
    <n v="155"/>
    <m/>
    <m/>
    <m/>
    <m/>
    <n v="155"/>
    <m/>
    <m/>
    <m/>
    <x v="0"/>
    <x v="1"/>
    <x v="1"/>
    <m/>
    <m/>
    <m/>
    <m/>
    <m/>
    <m/>
    <n v="-155"/>
    <x v="1"/>
    <m/>
    <m/>
    <m/>
    <m/>
    <n v="-155"/>
    <x v="1"/>
    <m/>
    <m/>
    <m/>
    <m/>
    <s v="-"/>
    <s v="-"/>
    <s v="-"/>
    <s v="-"/>
    <s v="-"/>
    <s v="-"/>
    <s v="-"/>
    <s v="-"/>
    <s v="-"/>
    <s v="-"/>
    <s v="-"/>
    <x v="1"/>
    <x v="0"/>
    <s v="-"/>
    <s v="-"/>
    <s v="-"/>
    <s v="-"/>
    <s v="-"/>
    <s v="Financial or Professional Services"/>
    <s v="-"/>
    <s v="-"/>
    <s v="-"/>
    <s v="-"/>
    <s v="-"/>
    <x v="0"/>
    <x v="0"/>
    <n v="0.2570000104606151"/>
    <n v="0"/>
    <n v="155"/>
    <n v="-155"/>
    <x v="1"/>
    <x v="0"/>
    <m/>
    <x v="0"/>
    <m/>
    <x v="0"/>
    <m/>
    <x v="0"/>
    <x v="0"/>
    <x v="0"/>
    <x v="0"/>
    <m/>
    <n v="155"/>
    <n v="0"/>
    <n v="155"/>
    <x v="1"/>
    <m/>
  </r>
  <r>
    <x v="1"/>
    <x v="2"/>
    <x v="2"/>
    <x v="1"/>
    <n v="6824"/>
    <x v="728"/>
    <x v="4"/>
    <n v="0.27099999785423301"/>
    <n v="527310"/>
    <n v="177159"/>
    <m/>
    <x v="807"/>
    <s v="NPA"/>
    <d v="2018-02-20T00:00:00"/>
    <x v="1"/>
    <m/>
    <m/>
    <s v="Nil"/>
    <m/>
    <m/>
    <s v="Determination as to whether prior approval is required for change of use of office at first floor level (UseClass B1(a)) to residential (Use Class C3) to provide 1 x 2 bedroom flat."/>
    <x v="774"/>
    <s v="COU"/>
    <x v="2"/>
    <s v="NSO"/>
    <m/>
    <m/>
    <m/>
    <m/>
    <s v="P"/>
    <s v="BF"/>
    <x v="0"/>
    <m/>
    <m/>
    <m/>
    <m/>
    <m/>
    <m/>
    <m/>
    <m/>
    <m/>
    <m/>
    <m/>
    <m/>
    <m/>
    <m/>
    <m/>
    <m/>
    <m/>
    <m/>
    <m/>
    <m/>
    <m/>
    <m/>
    <m/>
    <m/>
    <m/>
    <n v="123"/>
    <m/>
    <m/>
    <m/>
    <m/>
    <n v="123"/>
    <m/>
    <m/>
    <m/>
    <x v="0"/>
    <x v="1"/>
    <x v="1"/>
    <m/>
    <m/>
    <m/>
    <m/>
    <m/>
    <m/>
    <n v="-123"/>
    <x v="1"/>
    <m/>
    <m/>
    <m/>
    <m/>
    <n v="-123"/>
    <x v="1"/>
    <m/>
    <m/>
    <m/>
    <m/>
    <s v="-"/>
    <s v="-"/>
    <s v="-"/>
    <s v="-"/>
    <s v="-"/>
    <s v="-"/>
    <s v="-"/>
    <s v="-"/>
    <s v="-"/>
    <s v="-"/>
    <s v="-"/>
    <x v="1"/>
    <x v="0"/>
    <s v="-"/>
    <s v="-"/>
    <s v="-"/>
    <s v="-"/>
    <s v="-"/>
    <s v="Not Known"/>
    <s v="-"/>
    <s v="-"/>
    <s v="-"/>
    <s v="-"/>
    <s v="-"/>
    <x v="0"/>
    <x v="0"/>
    <n v="0.26099999807775043"/>
    <n v="0"/>
    <n v="123"/>
    <n v="-123"/>
    <x v="1"/>
    <x v="0"/>
    <m/>
    <x v="0"/>
    <m/>
    <x v="0"/>
    <m/>
    <x v="0"/>
    <x v="0"/>
    <x v="0"/>
    <x v="0"/>
    <m/>
    <n v="123"/>
    <n v="0"/>
    <n v="123"/>
    <x v="1"/>
    <m/>
  </r>
  <r>
    <x v="1"/>
    <x v="2"/>
    <x v="2"/>
    <x v="1"/>
    <n v="6825"/>
    <x v="729"/>
    <x v="4"/>
    <n v="0.27099999785423301"/>
    <n v="527310"/>
    <n v="177159"/>
    <m/>
    <x v="808"/>
    <s v="NPA"/>
    <d v="2018-02-20T00:00:00"/>
    <x v="1"/>
    <m/>
    <m/>
    <s v="Nil"/>
    <m/>
    <m/>
    <s v="Determination as to whether prior approval is required for change of use of office at second floor level (Use Class B1(a) to residential (Use Class 3) to provide 1 x 2 bedroom flat."/>
    <x v="775"/>
    <s v="COU"/>
    <x v="2"/>
    <s v="NSO"/>
    <m/>
    <m/>
    <m/>
    <m/>
    <s v="P"/>
    <s v="BF"/>
    <x v="0"/>
    <m/>
    <m/>
    <m/>
    <m/>
    <m/>
    <m/>
    <m/>
    <m/>
    <m/>
    <m/>
    <m/>
    <m/>
    <m/>
    <m/>
    <m/>
    <m/>
    <m/>
    <m/>
    <m/>
    <m/>
    <m/>
    <m/>
    <m/>
    <m/>
    <m/>
    <n v="125"/>
    <m/>
    <m/>
    <m/>
    <m/>
    <n v="125"/>
    <m/>
    <m/>
    <m/>
    <x v="0"/>
    <x v="1"/>
    <x v="1"/>
    <m/>
    <m/>
    <m/>
    <m/>
    <m/>
    <m/>
    <n v="-125"/>
    <x v="1"/>
    <m/>
    <m/>
    <m/>
    <m/>
    <n v="-125"/>
    <x v="1"/>
    <m/>
    <m/>
    <m/>
    <m/>
    <s v="-"/>
    <s v="-"/>
    <s v="-"/>
    <s v="-"/>
    <s v="-"/>
    <s v="-"/>
    <s v="-"/>
    <s v="-"/>
    <s v="-"/>
    <s v="-"/>
    <s v="-"/>
    <x v="1"/>
    <x v="0"/>
    <s v="-"/>
    <s v="-"/>
    <s v="-"/>
    <s v="-"/>
    <s v="-"/>
    <s v="Not Known"/>
    <s v="-"/>
    <s v="-"/>
    <s v="-"/>
    <s v="-"/>
    <s v="-"/>
    <x v="0"/>
    <x v="0"/>
    <n v="0.2599999979138376"/>
    <n v="0"/>
    <n v="125"/>
    <n v="-125"/>
    <x v="1"/>
    <x v="0"/>
    <m/>
    <x v="0"/>
    <m/>
    <x v="0"/>
    <m/>
    <x v="0"/>
    <x v="0"/>
    <x v="0"/>
    <x v="0"/>
    <m/>
    <n v="125"/>
    <n v="0"/>
    <n v="125"/>
    <x v="1"/>
    <m/>
  </r>
  <r>
    <x v="1"/>
    <x v="2"/>
    <x v="2"/>
    <x v="1"/>
    <n v="6826"/>
    <x v="730"/>
    <x v="4"/>
    <n v="0.27099999785423301"/>
    <n v="527310"/>
    <n v="177159"/>
    <m/>
    <x v="809"/>
    <s v="NPA"/>
    <d v="2018-02-20T00:00:00"/>
    <x v="1"/>
    <m/>
    <m/>
    <s v="Nil"/>
    <m/>
    <m/>
    <s v="Determination as to whether prior approval is required for change of use of office at first floor level  (Use Class B1(a)) to residential (Use Class C3) to provide 1 x 1 bedroom flat and 1 x 2 bedroom flat."/>
    <x v="776"/>
    <s v="COU"/>
    <x v="2"/>
    <s v="NSO"/>
    <m/>
    <m/>
    <m/>
    <m/>
    <s v="P"/>
    <s v="BF"/>
    <x v="0"/>
    <m/>
    <m/>
    <m/>
    <m/>
    <m/>
    <m/>
    <m/>
    <m/>
    <m/>
    <m/>
    <m/>
    <m/>
    <m/>
    <m/>
    <m/>
    <m/>
    <m/>
    <m/>
    <m/>
    <m/>
    <m/>
    <m/>
    <m/>
    <m/>
    <m/>
    <n v="195"/>
    <m/>
    <m/>
    <m/>
    <m/>
    <n v="195"/>
    <m/>
    <m/>
    <m/>
    <x v="0"/>
    <x v="1"/>
    <x v="1"/>
    <m/>
    <m/>
    <m/>
    <m/>
    <m/>
    <m/>
    <n v="-195"/>
    <x v="1"/>
    <m/>
    <m/>
    <m/>
    <m/>
    <n v="-195"/>
    <x v="1"/>
    <m/>
    <m/>
    <m/>
    <m/>
    <s v="-"/>
    <s v="-"/>
    <s v="-"/>
    <s v="-"/>
    <s v="-"/>
    <s v="-"/>
    <s v="-"/>
    <s v="-"/>
    <s v="-"/>
    <s v="-"/>
    <s v="-"/>
    <x v="1"/>
    <x v="0"/>
    <s v="-"/>
    <s v="-"/>
    <s v="-"/>
    <s v="-"/>
    <s v="-"/>
    <s v="Not Known"/>
    <s v="-"/>
    <s v="-"/>
    <s v="-"/>
    <s v="-"/>
    <s v="-"/>
    <x v="0"/>
    <x v="0"/>
    <n v="0.25499999709427379"/>
    <n v="0"/>
    <n v="195"/>
    <n v="-195"/>
    <x v="1"/>
    <x v="0"/>
    <m/>
    <x v="0"/>
    <m/>
    <x v="0"/>
    <m/>
    <x v="0"/>
    <x v="0"/>
    <x v="0"/>
    <x v="0"/>
    <m/>
    <n v="195"/>
    <n v="0"/>
    <n v="195"/>
    <x v="1"/>
    <m/>
  </r>
  <r>
    <x v="1"/>
    <x v="0"/>
    <x v="0"/>
    <x v="1"/>
    <n v="6827"/>
    <x v="731"/>
    <x v="15"/>
    <n v="0.25299999117851302"/>
    <n v="528519"/>
    <n v="170963"/>
    <m/>
    <x v="810"/>
    <s v="AF"/>
    <d v="2018-02-28T00:00:00"/>
    <x v="1"/>
    <m/>
    <m/>
    <s v="Nil"/>
    <m/>
    <m/>
    <s v="Erection of two-storey extension over the existing two-storey element of the existing student accommodation building at the Cedars Hall to provide 34 x 1 bed 1 person units."/>
    <x v="777"/>
    <s v="EXT"/>
    <x v="1"/>
    <s v="NSO"/>
    <m/>
    <m/>
    <m/>
    <m/>
    <s v="P"/>
    <s v="BF"/>
    <x v="0"/>
    <m/>
    <m/>
    <m/>
    <m/>
    <m/>
    <m/>
    <m/>
    <m/>
    <m/>
    <m/>
    <m/>
    <m/>
    <m/>
    <m/>
    <m/>
    <m/>
    <m/>
    <m/>
    <m/>
    <m/>
    <m/>
    <m/>
    <m/>
    <m/>
    <m/>
    <m/>
    <m/>
    <m/>
    <m/>
    <m/>
    <m/>
    <m/>
    <m/>
    <m/>
    <x v="0"/>
    <x v="0"/>
    <x v="1"/>
    <m/>
    <m/>
    <m/>
    <m/>
    <m/>
    <m/>
    <m/>
    <x v="0"/>
    <m/>
    <m/>
    <m/>
    <m/>
    <m/>
    <x v="0"/>
    <n v="576"/>
    <m/>
    <m/>
    <m/>
    <s v="-"/>
    <s v="-"/>
    <s v="-"/>
    <s v="-"/>
    <s v="-"/>
    <s v="-"/>
    <s v="-"/>
    <s v="-"/>
    <s v="-"/>
    <s v="-"/>
    <s v="Higher Education Accommodation"/>
    <x v="1"/>
    <x v="0"/>
    <s v="-"/>
    <s v="-"/>
    <s v="-"/>
    <s v="-"/>
    <s v="-"/>
    <s v="-"/>
    <s v="-"/>
    <s v="-"/>
    <s v="-"/>
    <s v="-"/>
    <s v="-"/>
    <x v="0"/>
    <x v="0"/>
    <n v="0.25299999117851302"/>
    <n v="576"/>
    <n v="0"/>
    <n v="576"/>
    <x v="0"/>
    <x v="0"/>
    <m/>
    <x v="0"/>
    <m/>
    <x v="0"/>
    <m/>
    <x v="0"/>
    <x v="0"/>
    <x v="0"/>
    <x v="0"/>
    <m/>
    <n v="0"/>
    <n v="0"/>
    <n v="0"/>
    <x v="0"/>
    <m/>
  </r>
  <r>
    <x v="1"/>
    <x v="0"/>
    <x v="0"/>
    <x v="1"/>
    <n v="6829"/>
    <x v="732"/>
    <x v="3"/>
    <m/>
    <n v="527412"/>
    <n v="175246"/>
    <m/>
    <x v="811"/>
    <s v="AF"/>
    <d v="2018-03-01T00:00:00"/>
    <x v="1"/>
    <m/>
    <m/>
    <s v="Nil"/>
    <m/>
    <m/>
    <s v="Alterations in connection with change of use from retail (Class A1) to a mixed use as a beauty salon and retail shop (Classes A1/D1) with the installation of a new shopfront."/>
    <x v="778"/>
    <s v="COU"/>
    <x v="2"/>
    <s v="NSO"/>
    <m/>
    <m/>
    <m/>
    <m/>
    <s v="P"/>
    <s v="BF"/>
    <x v="0"/>
    <m/>
    <m/>
    <m/>
    <n v="30"/>
    <m/>
    <m/>
    <m/>
    <m/>
    <n v="30"/>
    <m/>
    <m/>
    <m/>
    <m/>
    <m/>
    <m/>
    <m/>
    <m/>
    <m/>
    <m/>
    <n v="95"/>
    <m/>
    <m/>
    <m/>
    <m/>
    <n v="95"/>
    <m/>
    <m/>
    <m/>
    <m/>
    <m/>
    <m/>
    <m/>
    <m/>
    <m/>
    <x v="1"/>
    <x v="0"/>
    <x v="1"/>
    <n v="-65"/>
    <m/>
    <m/>
    <m/>
    <m/>
    <n v="-65"/>
    <m/>
    <x v="0"/>
    <m/>
    <m/>
    <m/>
    <m/>
    <m/>
    <x v="0"/>
    <m/>
    <m/>
    <m/>
    <m/>
    <s v="Durables"/>
    <s v="-"/>
    <s v="-"/>
    <s v="-"/>
    <s v="-"/>
    <s v="-"/>
    <s v="-"/>
    <s v="-"/>
    <s v="-"/>
    <s v="-"/>
    <s v="-"/>
    <x v="1"/>
    <x v="0"/>
    <s v="Durables"/>
    <s v="-"/>
    <s v="-"/>
    <s v="-"/>
    <s v="-"/>
    <s v="-"/>
    <s v="-"/>
    <s v="-"/>
    <s v="-"/>
    <s v="-"/>
    <s v="-"/>
    <x v="0"/>
    <x v="0"/>
    <n v="0"/>
    <n v="95"/>
    <n v="95"/>
    <n v="0"/>
    <x v="0"/>
    <x v="0"/>
    <m/>
    <x v="0"/>
    <m/>
    <x v="0"/>
    <m/>
    <x v="0"/>
    <x v="1"/>
    <x v="1"/>
    <x v="0"/>
    <m/>
    <n v="0"/>
    <n v="0"/>
    <n v="0"/>
    <x v="0"/>
    <m/>
  </r>
  <r>
    <x v="1"/>
    <x v="0"/>
    <x v="0"/>
    <x v="1"/>
    <n v="6831"/>
    <x v="733"/>
    <x v="4"/>
    <m/>
    <n v="526454"/>
    <n v="175614"/>
    <m/>
    <x v="812"/>
    <s v="AF"/>
    <d v="2018-02-28T00:00:00"/>
    <x v="1"/>
    <m/>
    <m/>
    <m/>
    <m/>
    <m/>
    <s v="Alterations in connection with change of use from office (Class B1a) to assembley and leisure (Class D2)."/>
    <x v="779"/>
    <s v="COU"/>
    <x v="2"/>
    <s v="NSO"/>
    <m/>
    <m/>
    <m/>
    <m/>
    <s v="P"/>
    <s v="BF"/>
    <x v="0"/>
    <m/>
    <m/>
    <m/>
    <m/>
    <m/>
    <m/>
    <m/>
    <m/>
    <m/>
    <m/>
    <m/>
    <m/>
    <m/>
    <m/>
    <m/>
    <m/>
    <m/>
    <n v="345"/>
    <n v="345"/>
    <m/>
    <m/>
    <m/>
    <m/>
    <m/>
    <m/>
    <n v="345"/>
    <m/>
    <m/>
    <m/>
    <m/>
    <n v="345"/>
    <m/>
    <m/>
    <m/>
    <x v="0"/>
    <x v="1"/>
    <x v="0"/>
    <m/>
    <m/>
    <m/>
    <m/>
    <m/>
    <m/>
    <n v="-345"/>
    <x v="1"/>
    <m/>
    <m/>
    <m/>
    <m/>
    <n v="-345"/>
    <x v="1"/>
    <m/>
    <m/>
    <n v="345"/>
    <n v="345"/>
    <s v="-"/>
    <s v="-"/>
    <s v="-"/>
    <s v="-"/>
    <s v="-"/>
    <s v="-"/>
    <s v="-"/>
    <s v="-"/>
    <s v="-"/>
    <s v="-"/>
    <s v="-"/>
    <x v="1"/>
    <x v="2"/>
    <s v="-"/>
    <s v="-"/>
    <s v="-"/>
    <s v="-"/>
    <s v="-"/>
    <s v="Vacant"/>
    <s v="-"/>
    <s v="-"/>
    <s v="-"/>
    <s v="-"/>
    <s v="-"/>
    <x v="0"/>
    <x v="0"/>
    <n v="0"/>
    <n v="345"/>
    <n v="345"/>
    <n v="0"/>
    <x v="1"/>
    <x v="0"/>
    <m/>
    <x v="0"/>
    <m/>
    <x v="1"/>
    <s v="Chatfield/Mendip Roads"/>
    <x v="0"/>
    <x v="0"/>
    <x v="0"/>
    <x v="0"/>
    <m/>
    <n v="0"/>
    <n v="0"/>
    <n v="0"/>
    <x v="0"/>
    <m/>
  </r>
  <r>
    <x v="1"/>
    <x v="2"/>
    <x v="2"/>
    <x v="1"/>
    <n v="6832"/>
    <x v="734"/>
    <x v="0"/>
    <n v="1.4999999664723899E-2"/>
    <n v="524684"/>
    <n v="173166"/>
    <m/>
    <x v="813"/>
    <s v="NPA"/>
    <d v="2018-02-28T00:00:00"/>
    <x v="1"/>
    <m/>
    <m/>
    <s v="Nil"/>
    <m/>
    <m/>
    <s v="Determination as to whether prior approval is required for change of use from retail (Class A1) to a cafe (Class A3) with associated external alterations to front elevation."/>
    <x v="780"/>
    <s v="COU"/>
    <x v="2"/>
    <s v="NSO"/>
    <m/>
    <m/>
    <m/>
    <m/>
    <s v="P"/>
    <s v="BF"/>
    <x v="0"/>
    <m/>
    <m/>
    <m/>
    <m/>
    <m/>
    <n v="91"/>
    <m/>
    <m/>
    <n v="91"/>
    <m/>
    <m/>
    <m/>
    <m/>
    <m/>
    <m/>
    <m/>
    <m/>
    <m/>
    <m/>
    <n v="91"/>
    <m/>
    <m/>
    <m/>
    <m/>
    <n v="91"/>
    <m/>
    <m/>
    <m/>
    <m/>
    <m/>
    <m/>
    <m/>
    <m/>
    <m/>
    <x v="1"/>
    <x v="0"/>
    <x v="1"/>
    <n v="-91"/>
    <m/>
    <n v="91"/>
    <m/>
    <m/>
    <m/>
    <m/>
    <x v="0"/>
    <m/>
    <m/>
    <m/>
    <m/>
    <m/>
    <x v="0"/>
    <m/>
    <m/>
    <m/>
    <m/>
    <s v="-"/>
    <s v="-"/>
    <s v="Café"/>
    <s v="-"/>
    <s v="-"/>
    <s v="-"/>
    <s v="-"/>
    <s v="-"/>
    <s v="-"/>
    <s v="-"/>
    <s v="-"/>
    <x v="1"/>
    <x v="0"/>
    <s v="Not Known"/>
    <s v="-"/>
    <s v="-"/>
    <s v="-"/>
    <s v="-"/>
    <s v="-"/>
    <s v="-"/>
    <s v="-"/>
    <s v="-"/>
    <s v="-"/>
    <s v="-"/>
    <x v="0"/>
    <x v="0"/>
    <n v="1.4999999664723899E-2"/>
    <n v="91"/>
    <n v="91"/>
    <n v="0"/>
    <x v="0"/>
    <x v="0"/>
    <m/>
    <x v="0"/>
    <m/>
    <x v="0"/>
    <m/>
    <x v="0"/>
    <x v="0"/>
    <x v="0"/>
    <x v="1"/>
    <s v="Southfields"/>
    <n v="0"/>
    <n v="0"/>
    <n v="0"/>
    <x v="0"/>
    <m/>
  </r>
  <r>
    <x v="1"/>
    <x v="0"/>
    <x v="0"/>
    <x v="1"/>
    <n v="6838"/>
    <x v="735"/>
    <x v="7"/>
    <n v="1.2029999494552599"/>
    <n v="523938"/>
    <n v="175373"/>
    <m/>
    <x v="814"/>
    <s v="AF"/>
    <d v="2018-03-07T00:00:00"/>
    <x v="1"/>
    <m/>
    <m/>
    <s v="Nil"/>
    <m/>
    <m/>
    <s v="Change of use of part of the roof level car park to a food led 'pop-up' venue (Use Class A3/A4) and the associated erection of a single-storey pergola, with access through the shopping centre"/>
    <x v="781"/>
    <s v="COU"/>
    <x v="2"/>
    <s v="NSO"/>
    <m/>
    <m/>
    <m/>
    <m/>
    <s v="P"/>
    <s v="BF"/>
    <x v="0"/>
    <m/>
    <m/>
    <m/>
    <m/>
    <m/>
    <n v="707"/>
    <n v="707"/>
    <m/>
    <n v="1414"/>
    <m/>
    <m/>
    <m/>
    <m/>
    <m/>
    <m/>
    <m/>
    <m/>
    <m/>
    <m/>
    <m/>
    <m/>
    <m/>
    <m/>
    <m/>
    <m/>
    <m/>
    <m/>
    <m/>
    <m/>
    <m/>
    <m/>
    <m/>
    <m/>
    <m/>
    <x v="1"/>
    <x v="0"/>
    <x v="1"/>
    <m/>
    <m/>
    <n v="707"/>
    <n v="707"/>
    <m/>
    <n v="1414"/>
    <m/>
    <x v="0"/>
    <m/>
    <m/>
    <m/>
    <m/>
    <m/>
    <x v="0"/>
    <m/>
    <m/>
    <m/>
    <m/>
    <s v="-"/>
    <s v="-"/>
    <s v="Snack Bars"/>
    <s v="Bar"/>
    <s v="-"/>
    <s v="-"/>
    <s v="-"/>
    <s v="-"/>
    <s v="-"/>
    <s v="-"/>
    <s v="-"/>
    <x v="1"/>
    <x v="0"/>
    <s v="-"/>
    <s v="-"/>
    <s v="-"/>
    <s v="-"/>
    <s v="-"/>
    <s v="-"/>
    <s v="-"/>
    <s v="-"/>
    <s v="-"/>
    <s v="-"/>
    <s v="-"/>
    <x v="0"/>
    <x v="0"/>
    <n v="1.2029999494552599"/>
    <n v="1414"/>
    <n v="130"/>
    <n v="1284"/>
    <x v="0"/>
    <x v="0"/>
    <m/>
    <x v="0"/>
    <m/>
    <x v="0"/>
    <m/>
    <x v="0"/>
    <x v="1"/>
    <x v="2"/>
    <x v="0"/>
    <m/>
    <n v="0"/>
    <n v="0"/>
    <n v="0"/>
    <x v="0"/>
    <m/>
  </r>
  <r>
    <x v="1"/>
    <x v="0"/>
    <x v="0"/>
    <x v="1"/>
    <n v="6839"/>
    <x v="736"/>
    <x v="7"/>
    <n v="7.0000002160668399E-3"/>
    <n v="525097"/>
    <n v="175034"/>
    <m/>
    <x v="815"/>
    <s v="AF"/>
    <d v="2018-03-09T00:00:00"/>
    <x v="1"/>
    <m/>
    <m/>
    <s v="Nil"/>
    <m/>
    <m/>
    <s v="Erection of five storey building to provide 5 x studio flats with associated cycle and bin storage."/>
    <x v="782"/>
    <s v="NB"/>
    <x v="0"/>
    <s v="NSO"/>
    <m/>
    <m/>
    <m/>
    <m/>
    <s v="P"/>
    <s v="BF"/>
    <x v="0"/>
    <m/>
    <m/>
    <m/>
    <m/>
    <m/>
    <m/>
    <m/>
    <m/>
    <m/>
    <m/>
    <m/>
    <m/>
    <m/>
    <m/>
    <m/>
    <m/>
    <m/>
    <m/>
    <m/>
    <m/>
    <m/>
    <m/>
    <m/>
    <m/>
    <m/>
    <m/>
    <m/>
    <m/>
    <m/>
    <m/>
    <m/>
    <m/>
    <m/>
    <m/>
    <x v="0"/>
    <x v="0"/>
    <x v="1"/>
    <m/>
    <m/>
    <m/>
    <m/>
    <m/>
    <m/>
    <m/>
    <x v="0"/>
    <m/>
    <m/>
    <m/>
    <m/>
    <m/>
    <x v="0"/>
    <m/>
    <m/>
    <m/>
    <m/>
    <s v="-"/>
    <s v="-"/>
    <s v="-"/>
    <s v="-"/>
    <s v="-"/>
    <s v="-"/>
    <s v="-"/>
    <s v="-"/>
    <s v="-"/>
    <s v="-"/>
    <s v="-"/>
    <x v="1"/>
    <x v="0"/>
    <s v="-"/>
    <s v="-"/>
    <s v="-"/>
    <s v="-"/>
    <s v="-"/>
    <s v="-"/>
    <s v="-"/>
    <s v="-"/>
    <s v="-"/>
    <s v="-"/>
    <s v="-"/>
    <x v="0"/>
    <x v="0"/>
    <n v="0"/>
    <n v="0"/>
    <n v="65"/>
    <n v="-65"/>
    <x v="0"/>
    <x v="0"/>
    <m/>
    <x v="0"/>
    <m/>
    <x v="0"/>
    <m/>
    <x v="0"/>
    <x v="0"/>
    <x v="0"/>
    <x v="0"/>
    <m/>
    <n v="192"/>
    <n v="0"/>
    <n v="192"/>
    <x v="1"/>
    <m/>
  </r>
  <r>
    <x v="1"/>
    <x v="0"/>
    <x v="0"/>
    <x v="1"/>
    <n v="6841"/>
    <x v="737"/>
    <x v="0"/>
    <n v="9.7000002861022894E-2"/>
    <n v="524290"/>
    <n v="173418"/>
    <m/>
    <x v="816"/>
    <s v="AF"/>
    <d v="2018-03-09T00:00:00"/>
    <x v="1"/>
    <m/>
    <m/>
    <s v="Nil"/>
    <m/>
    <m/>
    <s v="Demolition of existing garages and erection of three-storey (plus basement) building to provide 2x 3-bedroom flats, 6x 2-bedroom flats and 1x 1-bedroom flat with associated landscaping, underground parking, bin and cycle storage."/>
    <x v="783"/>
    <s v="NB"/>
    <x v="0"/>
    <s v="NSO"/>
    <m/>
    <m/>
    <m/>
    <m/>
    <s v="P"/>
    <s v="BF"/>
    <x v="0"/>
    <m/>
    <m/>
    <m/>
    <m/>
    <m/>
    <m/>
    <m/>
    <m/>
    <m/>
    <m/>
    <m/>
    <m/>
    <m/>
    <m/>
    <m/>
    <m/>
    <m/>
    <m/>
    <m/>
    <m/>
    <m/>
    <m/>
    <m/>
    <m/>
    <m/>
    <m/>
    <m/>
    <m/>
    <m/>
    <m/>
    <m/>
    <m/>
    <m/>
    <m/>
    <x v="0"/>
    <x v="0"/>
    <x v="1"/>
    <m/>
    <m/>
    <m/>
    <m/>
    <m/>
    <m/>
    <m/>
    <x v="0"/>
    <m/>
    <m/>
    <m/>
    <m/>
    <m/>
    <x v="0"/>
    <m/>
    <m/>
    <m/>
    <m/>
    <s v="-"/>
    <s v="-"/>
    <s v="-"/>
    <s v="-"/>
    <s v="-"/>
    <s v="-"/>
    <s v="-"/>
    <s v="-"/>
    <s v="-"/>
    <s v="-"/>
    <s v="-"/>
    <x v="1"/>
    <x v="0"/>
    <s v="-"/>
    <s v="-"/>
    <s v="-"/>
    <s v="-"/>
    <s v="-"/>
    <s v="-"/>
    <s v="-"/>
    <s v="-"/>
    <s v="-"/>
    <s v="-"/>
    <s v="-"/>
    <x v="0"/>
    <x v="0"/>
    <n v="2.1999999880790697E-2"/>
    <n v="339"/>
    <n v="194"/>
    <n v="145"/>
    <x v="0"/>
    <x v="0"/>
    <m/>
    <x v="0"/>
    <m/>
    <x v="0"/>
    <m/>
    <x v="0"/>
    <x v="0"/>
    <x v="0"/>
    <x v="0"/>
    <m/>
    <n v="1173"/>
    <n v="0"/>
    <n v="1173"/>
    <x v="1"/>
    <m/>
  </r>
  <r>
    <x v="1"/>
    <x v="0"/>
    <x v="0"/>
    <x v="1"/>
    <n v="6843"/>
    <x v="738"/>
    <x v="10"/>
    <n v="2.0000000949949E-3"/>
    <n v="524516"/>
    <n v="174818"/>
    <m/>
    <x v="817"/>
    <s v="AF"/>
    <d v="2018-03-13T00:00:00"/>
    <x v="1"/>
    <m/>
    <m/>
    <s v="Nil"/>
    <m/>
    <m/>
    <s v="Change of use from taxi office (Sui generis) to nail bar (Sui generis)- Retrospective."/>
    <x v="784"/>
    <s v="COU"/>
    <x v="2"/>
    <s v="NSO"/>
    <m/>
    <m/>
    <m/>
    <m/>
    <s v="P"/>
    <s v="BF"/>
    <x v="0"/>
    <m/>
    <m/>
    <m/>
    <m/>
    <m/>
    <m/>
    <m/>
    <m/>
    <m/>
    <m/>
    <m/>
    <m/>
    <m/>
    <m/>
    <m/>
    <m/>
    <m/>
    <m/>
    <m/>
    <m/>
    <m/>
    <m/>
    <m/>
    <m/>
    <m/>
    <m/>
    <m/>
    <m/>
    <m/>
    <m/>
    <m/>
    <m/>
    <m/>
    <m/>
    <x v="0"/>
    <x v="0"/>
    <x v="1"/>
    <m/>
    <m/>
    <m/>
    <m/>
    <m/>
    <m/>
    <m/>
    <x v="0"/>
    <m/>
    <m/>
    <m/>
    <m/>
    <m/>
    <x v="0"/>
    <m/>
    <m/>
    <m/>
    <m/>
    <s v="-"/>
    <s v="-"/>
    <s v="-"/>
    <s v="-"/>
    <s v="-"/>
    <s v="-"/>
    <s v="-"/>
    <s v="-"/>
    <s v="-"/>
    <s v="-"/>
    <s v="-"/>
    <x v="1"/>
    <x v="0"/>
    <s v="-"/>
    <s v="-"/>
    <s v="-"/>
    <s v="-"/>
    <s v="-"/>
    <s v="-"/>
    <s v="-"/>
    <s v="-"/>
    <s v="-"/>
    <s v="-"/>
    <s v="-"/>
    <x v="0"/>
    <x v="0"/>
    <n v="2.0000000949949E-3"/>
    <n v="28"/>
    <n v="28"/>
    <n v="0"/>
    <x v="0"/>
    <x v="0"/>
    <m/>
    <x v="0"/>
    <m/>
    <x v="0"/>
    <m/>
    <x v="0"/>
    <x v="0"/>
    <x v="0"/>
    <x v="0"/>
    <m/>
    <n v="0"/>
    <n v="0"/>
    <n v="0"/>
    <x v="0"/>
    <m/>
  </r>
  <r>
    <x v="1"/>
    <x v="0"/>
    <x v="0"/>
    <x v="1"/>
    <n v="6844"/>
    <x v="739"/>
    <x v="15"/>
    <n v="8.9999996125698107E-3"/>
    <n v="529391"/>
    <n v="170726"/>
    <m/>
    <x v="818"/>
    <s v="AF"/>
    <d v="2018-03-15T00:00:00"/>
    <x v="1"/>
    <m/>
    <m/>
    <s v="Nil"/>
    <m/>
    <m/>
    <s v="Conversion of the ground floor property from retail (Class A1) to a one-bedroom flat (Class C3 Residential) with access to the rear garden and alterations including new shopfront."/>
    <x v="785"/>
    <s v="COU"/>
    <x v="2"/>
    <s v="NSO"/>
    <m/>
    <m/>
    <m/>
    <m/>
    <s v="P"/>
    <s v="BF"/>
    <x v="0"/>
    <m/>
    <m/>
    <m/>
    <m/>
    <m/>
    <m/>
    <m/>
    <m/>
    <m/>
    <m/>
    <m/>
    <m/>
    <m/>
    <m/>
    <m/>
    <m/>
    <m/>
    <m/>
    <m/>
    <n v="58"/>
    <m/>
    <m/>
    <m/>
    <m/>
    <n v="58"/>
    <m/>
    <m/>
    <m/>
    <m/>
    <m/>
    <m/>
    <m/>
    <m/>
    <m/>
    <x v="1"/>
    <x v="0"/>
    <x v="1"/>
    <n v="-58"/>
    <m/>
    <m/>
    <m/>
    <m/>
    <n v="-58"/>
    <m/>
    <x v="0"/>
    <m/>
    <m/>
    <m/>
    <m/>
    <m/>
    <x v="0"/>
    <m/>
    <m/>
    <m/>
    <m/>
    <s v="-"/>
    <s v="-"/>
    <s v="-"/>
    <s v="-"/>
    <s v="-"/>
    <s v="-"/>
    <s v="-"/>
    <s v="-"/>
    <s v="-"/>
    <s v="-"/>
    <s v="-"/>
    <x v="1"/>
    <x v="0"/>
    <s v="Consumables"/>
    <s v="-"/>
    <s v="-"/>
    <s v="-"/>
    <s v="-"/>
    <s v="-"/>
    <s v="-"/>
    <s v="-"/>
    <s v="-"/>
    <s v="-"/>
    <s v="-"/>
    <x v="0"/>
    <x v="0"/>
    <n v="3.9999997243285205E-3"/>
    <n v="0"/>
    <n v="58"/>
    <n v="-58"/>
    <x v="0"/>
    <x v="0"/>
    <m/>
    <x v="0"/>
    <m/>
    <x v="0"/>
    <m/>
    <x v="0"/>
    <x v="0"/>
    <x v="0"/>
    <x v="0"/>
    <m/>
    <n v="58"/>
    <n v="0"/>
    <n v="58"/>
    <x v="1"/>
    <m/>
  </r>
  <r>
    <x v="1"/>
    <x v="0"/>
    <x v="0"/>
    <x v="1"/>
    <n v="6845"/>
    <x v="740"/>
    <x v="16"/>
    <n v="1.30000002682209E-2"/>
    <n v="527670"/>
    <n v="171250"/>
    <m/>
    <x v="819"/>
    <s v="AF"/>
    <d v="2018-03-15T00:00:00"/>
    <x v="1"/>
    <m/>
    <m/>
    <s v="Nil"/>
    <m/>
    <m/>
    <s v="Change of use from hairdresser (Class A1) to beauty salon (Sui Generis)."/>
    <x v="786"/>
    <s v="COU"/>
    <x v="2"/>
    <s v="NSO"/>
    <m/>
    <m/>
    <m/>
    <m/>
    <s v="P"/>
    <s v="BF"/>
    <x v="0"/>
    <m/>
    <m/>
    <m/>
    <m/>
    <m/>
    <m/>
    <m/>
    <m/>
    <m/>
    <m/>
    <m/>
    <m/>
    <m/>
    <m/>
    <m/>
    <m/>
    <m/>
    <m/>
    <m/>
    <n v="67"/>
    <m/>
    <m/>
    <m/>
    <m/>
    <n v="67"/>
    <m/>
    <m/>
    <m/>
    <m/>
    <m/>
    <m/>
    <m/>
    <m/>
    <m/>
    <x v="1"/>
    <x v="0"/>
    <x v="1"/>
    <n v="-67"/>
    <m/>
    <m/>
    <m/>
    <m/>
    <n v="-67"/>
    <m/>
    <x v="0"/>
    <m/>
    <m/>
    <m/>
    <m/>
    <m/>
    <x v="0"/>
    <m/>
    <m/>
    <m/>
    <m/>
    <s v="-"/>
    <s v="-"/>
    <s v="-"/>
    <s v="-"/>
    <s v="-"/>
    <s v="-"/>
    <s v="-"/>
    <s v="-"/>
    <s v="-"/>
    <s v="-"/>
    <s v="-"/>
    <x v="1"/>
    <x v="0"/>
    <s v="Services"/>
    <s v="-"/>
    <s v="-"/>
    <s v="-"/>
    <s v="-"/>
    <s v="-"/>
    <s v="-"/>
    <s v="-"/>
    <s v="-"/>
    <s v="-"/>
    <s v="-"/>
    <x v="0"/>
    <x v="0"/>
    <n v="1.30000002682209E-2"/>
    <n v="67"/>
    <n v="67"/>
    <n v="0"/>
    <x v="0"/>
    <x v="0"/>
    <m/>
    <x v="0"/>
    <m/>
    <x v="0"/>
    <m/>
    <x v="0"/>
    <x v="1"/>
    <x v="3"/>
    <x v="0"/>
    <m/>
    <n v="0"/>
    <n v="0"/>
    <n v="0"/>
    <x v="0"/>
    <m/>
  </r>
  <r>
    <x v="1"/>
    <x v="2"/>
    <x v="2"/>
    <x v="1"/>
    <n v="6847"/>
    <x v="741"/>
    <x v="4"/>
    <n v="0.108999997377396"/>
    <n v="527092"/>
    <n v="177253"/>
    <m/>
    <x v="820"/>
    <s v="NPA"/>
    <d v="2018-03-21T00:00:00"/>
    <x v="1"/>
    <m/>
    <m/>
    <s v="Nil"/>
    <m/>
    <m/>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x v="787"/>
    <s v="COU"/>
    <x v="2"/>
    <s v="NSO"/>
    <m/>
    <m/>
    <m/>
    <m/>
    <s v="P"/>
    <s v="BF"/>
    <x v="0"/>
    <m/>
    <m/>
    <m/>
    <m/>
    <m/>
    <m/>
    <m/>
    <m/>
    <m/>
    <m/>
    <m/>
    <m/>
    <m/>
    <m/>
    <m/>
    <m/>
    <m/>
    <m/>
    <m/>
    <m/>
    <m/>
    <m/>
    <m/>
    <m/>
    <m/>
    <n v="3200"/>
    <m/>
    <m/>
    <m/>
    <m/>
    <n v="3200"/>
    <m/>
    <m/>
    <m/>
    <x v="0"/>
    <x v="1"/>
    <x v="1"/>
    <m/>
    <m/>
    <m/>
    <m/>
    <m/>
    <m/>
    <n v="-3200"/>
    <x v="1"/>
    <m/>
    <m/>
    <m/>
    <m/>
    <n v="-3200"/>
    <x v="1"/>
    <m/>
    <m/>
    <m/>
    <m/>
    <s v="-"/>
    <s v="-"/>
    <s v="-"/>
    <s v="-"/>
    <s v="-"/>
    <s v="-"/>
    <s v="-"/>
    <s v="-"/>
    <s v="-"/>
    <s v="-"/>
    <s v="-"/>
    <x v="1"/>
    <x v="0"/>
    <s v="-"/>
    <s v="-"/>
    <s v="-"/>
    <s v="-"/>
    <s v="-"/>
    <s v="Other"/>
    <s v="-"/>
    <s v="-"/>
    <s v="-"/>
    <s v="-"/>
    <s v="-"/>
    <x v="0"/>
    <x v="0"/>
    <n v="1.6999997198582098E-2"/>
    <n v="0"/>
    <n v="3200"/>
    <n v="-3200"/>
    <x v="1"/>
    <x v="0"/>
    <m/>
    <x v="0"/>
    <m/>
    <x v="0"/>
    <m/>
    <x v="0"/>
    <x v="0"/>
    <x v="0"/>
    <x v="0"/>
    <m/>
    <n v="3200"/>
    <n v="0"/>
    <n v="3200"/>
    <x v="1"/>
    <m/>
  </r>
  <r>
    <x v="1"/>
    <x v="0"/>
    <x v="0"/>
    <x v="1"/>
    <n v="6861"/>
    <x v="742"/>
    <x v="16"/>
    <m/>
    <n v="527627"/>
    <n v="171307"/>
    <m/>
    <x v="821"/>
    <s v="AF"/>
    <d v="2018-03-29T00:00:00"/>
    <x v="1"/>
    <m/>
    <m/>
    <s v="Nil"/>
    <m/>
    <m/>
    <s v="Change of use from shop (Class A1) to hot food takeaway (Class A5)."/>
    <x v="788"/>
    <s v="COU"/>
    <x v="2"/>
    <s v="NSO"/>
    <m/>
    <m/>
    <m/>
    <m/>
    <s v="P"/>
    <s v="BF"/>
    <x v="0"/>
    <m/>
    <m/>
    <m/>
    <m/>
    <m/>
    <m/>
    <m/>
    <n v="79"/>
    <n v="79"/>
    <m/>
    <m/>
    <m/>
    <m/>
    <m/>
    <m/>
    <m/>
    <m/>
    <m/>
    <m/>
    <n v="79"/>
    <m/>
    <m/>
    <m/>
    <m/>
    <n v="79"/>
    <m/>
    <m/>
    <m/>
    <m/>
    <m/>
    <m/>
    <m/>
    <m/>
    <m/>
    <x v="1"/>
    <x v="0"/>
    <x v="1"/>
    <n v="-79"/>
    <m/>
    <m/>
    <m/>
    <n v="79"/>
    <m/>
    <m/>
    <x v="0"/>
    <m/>
    <m/>
    <m/>
    <m/>
    <m/>
    <x v="0"/>
    <m/>
    <m/>
    <m/>
    <m/>
    <s v="-"/>
    <s v="-"/>
    <s v="-"/>
    <s v="-"/>
    <s v="Take-Aways"/>
    <s v="-"/>
    <s v="-"/>
    <s v="-"/>
    <s v="-"/>
    <s v="-"/>
    <s v="-"/>
    <x v="1"/>
    <x v="0"/>
    <s v="Consumables"/>
    <s v="-"/>
    <s v="-"/>
    <s v="-"/>
    <s v="-"/>
    <s v="-"/>
    <s v="-"/>
    <s v="-"/>
    <s v="-"/>
    <s v="-"/>
    <s v="-"/>
    <x v="0"/>
    <x v="0"/>
    <n v="0"/>
    <n v="79"/>
    <n v="79"/>
    <n v="0"/>
    <x v="0"/>
    <x v="0"/>
    <m/>
    <x v="0"/>
    <m/>
    <x v="0"/>
    <m/>
    <x v="0"/>
    <x v="1"/>
    <x v="3"/>
    <x v="0"/>
    <m/>
    <n v="0"/>
    <n v="0"/>
    <n v="0"/>
    <x v="0"/>
    <m/>
  </r>
  <r>
    <x v="2"/>
    <x v="0"/>
    <x v="0"/>
    <x v="1"/>
    <n v="6878"/>
    <x v="743"/>
    <x v="13"/>
    <n v="5.2999999374151202E-2"/>
    <n v="526264"/>
    <n v="172041"/>
    <m/>
    <x v="822"/>
    <s v="PF"/>
    <d v="2017-05-17T00:00:00"/>
    <x v="475"/>
    <s v="Y"/>
    <m/>
    <s v="Nil"/>
    <m/>
    <m/>
    <s v="Alterations including erection of roof extension to provide additional floor and erection of Hindu dome structure on roof."/>
    <x v="789"/>
    <s v="EXT"/>
    <x v="1"/>
    <s v="NSO"/>
    <m/>
    <m/>
    <m/>
    <m/>
    <s v="C"/>
    <s v="BF"/>
    <x v="0"/>
    <m/>
    <m/>
    <m/>
    <m/>
    <m/>
    <m/>
    <m/>
    <m/>
    <m/>
    <m/>
    <m/>
    <m/>
    <m/>
    <m/>
    <m/>
    <m/>
    <n v="150"/>
    <m/>
    <n v="150"/>
    <m/>
    <m/>
    <m/>
    <m/>
    <m/>
    <m/>
    <m/>
    <m/>
    <m/>
    <m/>
    <m/>
    <m/>
    <m/>
    <m/>
    <m/>
    <x v="0"/>
    <x v="0"/>
    <x v="0"/>
    <m/>
    <m/>
    <m/>
    <m/>
    <m/>
    <m/>
    <m/>
    <x v="0"/>
    <m/>
    <m/>
    <m/>
    <m/>
    <m/>
    <x v="0"/>
    <m/>
    <n v="150"/>
    <m/>
    <n v="150"/>
    <s v="-"/>
    <s v="-"/>
    <s v="-"/>
    <s v="-"/>
    <s v="-"/>
    <s v="-"/>
    <s v="-"/>
    <s v="-"/>
    <s v="-"/>
    <s v="-"/>
    <s v="-"/>
    <x v="7"/>
    <x v="0"/>
    <s v="-"/>
    <s v="-"/>
    <s v="-"/>
    <s v="-"/>
    <s v="-"/>
    <s v="-"/>
    <s v="-"/>
    <s v="-"/>
    <s v="-"/>
    <s v="-"/>
    <s v="-"/>
    <x v="0"/>
    <x v="0"/>
    <n v="5.2999999374151202E-2"/>
    <n v="150"/>
    <n v="0"/>
    <n v="150"/>
    <x v="0"/>
    <x v="0"/>
    <m/>
    <x v="1"/>
    <s v="Summerstown"/>
    <x v="0"/>
    <m/>
    <x v="0"/>
    <x v="0"/>
    <x v="0"/>
    <x v="0"/>
    <m/>
    <n v="0"/>
    <n v="0"/>
    <n v="0"/>
    <x v="0"/>
    <m/>
  </r>
  <r>
    <x v="2"/>
    <x v="2"/>
    <x v="2"/>
    <x v="1"/>
    <n v="6879"/>
    <x v="744"/>
    <x v="6"/>
    <n v="6.0000000521540598E-3"/>
    <n v="528230"/>
    <n v="175670"/>
    <m/>
    <x v="823"/>
    <s v="PAG"/>
    <d v="2017-03-16T00:00:00"/>
    <x v="476"/>
    <s v="Y"/>
    <m/>
    <s v="Nil"/>
    <m/>
    <m/>
    <s v="Determination as to whether prior approval is required for change of use from retail (Class A1) to a cafe (Class A3). Installation of additional vent in side elevation."/>
    <x v="36"/>
    <s v="COU"/>
    <x v="2"/>
    <s v="NSO"/>
    <m/>
    <m/>
    <m/>
    <m/>
    <s v="C"/>
    <s v="BF"/>
    <x v="0"/>
    <m/>
    <m/>
    <m/>
    <m/>
    <m/>
    <n v="50"/>
    <m/>
    <m/>
    <n v="50"/>
    <m/>
    <m/>
    <m/>
    <m/>
    <m/>
    <m/>
    <m/>
    <m/>
    <m/>
    <m/>
    <n v="50"/>
    <m/>
    <m/>
    <m/>
    <m/>
    <n v="50"/>
    <m/>
    <m/>
    <m/>
    <m/>
    <m/>
    <m/>
    <m/>
    <m/>
    <m/>
    <x v="1"/>
    <x v="0"/>
    <x v="1"/>
    <n v="-50"/>
    <m/>
    <n v="50"/>
    <m/>
    <m/>
    <m/>
    <m/>
    <x v="0"/>
    <m/>
    <m/>
    <m/>
    <m/>
    <m/>
    <x v="0"/>
    <m/>
    <m/>
    <m/>
    <m/>
    <s v="-"/>
    <s v="-"/>
    <s v="Café"/>
    <s v="-"/>
    <s v="-"/>
    <s v="-"/>
    <s v="-"/>
    <s v="-"/>
    <s v="-"/>
    <s v="-"/>
    <s v="-"/>
    <x v="1"/>
    <x v="0"/>
    <s v="Services"/>
    <s v="-"/>
    <s v="-"/>
    <s v="-"/>
    <s v="-"/>
    <s v="-"/>
    <s v="-"/>
    <s v="-"/>
    <s v="-"/>
    <s v="-"/>
    <s v="-"/>
    <x v="0"/>
    <x v="0"/>
    <n v="6.0000000521540598E-3"/>
    <n v="50"/>
    <n v="50"/>
    <n v="0"/>
    <x v="0"/>
    <x v="0"/>
    <m/>
    <x v="0"/>
    <m/>
    <x v="0"/>
    <m/>
    <x v="0"/>
    <x v="0"/>
    <x v="0"/>
    <x v="0"/>
    <m/>
    <n v="0"/>
    <n v="0"/>
    <n v="0"/>
    <x v="0"/>
    <m/>
  </r>
  <r>
    <x v="1"/>
    <x v="0"/>
    <x v="0"/>
    <x v="1"/>
    <n v="6880"/>
    <x v="745"/>
    <x v="1"/>
    <n v="0.34999999403953602"/>
    <n v="522033"/>
    <n v="174613"/>
    <m/>
    <x v="824"/>
    <s v="AF"/>
    <d v="2018-03-29T00:00:00"/>
    <x v="1"/>
    <m/>
    <m/>
    <s v="Nil"/>
    <m/>
    <m/>
    <s v="Alterations including erection of two-storey rear extension, enclosure of existing courtyard, installation of replacement of windows and erection of external plant."/>
    <x v="790"/>
    <s v="EXT"/>
    <x v="1"/>
    <s v="NSO"/>
    <m/>
    <m/>
    <m/>
    <m/>
    <s v="P"/>
    <s v="BF"/>
    <x v="0"/>
    <m/>
    <m/>
    <m/>
    <m/>
    <m/>
    <m/>
    <m/>
    <m/>
    <m/>
    <m/>
    <m/>
    <m/>
    <m/>
    <m/>
    <m/>
    <m/>
    <n v="160"/>
    <m/>
    <n v="160"/>
    <m/>
    <m/>
    <m/>
    <m/>
    <m/>
    <m/>
    <m/>
    <m/>
    <m/>
    <m/>
    <m/>
    <m/>
    <m/>
    <m/>
    <m/>
    <x v="0"/>
    <x v="0"/>
    <x v="0"/>
    <m/>
    <m/>
    <m/>
    <m/>
    <m/>
    <m/>
    <m/>
    <x v="0"/>
    <m/>
    <m/>
    <m/>
    <m/>
    <m/>
    <x v="0"/>
    <m/>
    <n v="160"/>
    <m/>
    <n v="160"/>
    <s v="-"/>
    <s v="-"/>
    <s v="-"/>
    <s v="-"/>
    <s v="-"/>
    <s v="-"/>
    <s v="-"/>
    <s v="-"/>
    <s v="-"/>
    <s v="-"/>
    <s v="-"/>
    <x v="0"/>
    <x v="0"/>
    <s v="-"/>
    <s v="-"/>
    <s v="-"/>
    <s v="-"/>
    <s v="-"/>
    <s v="-"/>
    <s v="-"/>
    <s v="-"/>
    <s v="-"/>
    <s v="-"/>
    <s v="-"/>
    <x v="0"/>
    <x v="0"/>
    <n v="0.34999999403953602"/>
    <n v="635"/>
    <n v="0"/>
    <n v="635"/>
    <x v="0"/>
    <x v="0"/>
    <m/>
    <x v="0"/>
    <m/>
    <x v="0"/>
    <m/>
    <x v="0"/>
    <x v="0"/>
    <x v="0"/>
    <x v="0"/>
    <m/>
    <n v="0"/>
    <n v="0"/>
    <n v="0"/>
    <x v="0"/>
    <m/>
  </r>
  <r>
    <x v="1"/>
    <x v="0"/>
    <x v="0"/>
    <x v="1"/>
    <n v="6884"/>
    <x v="746"/>
    <x v="7"/>
    <n v="1.60000007599592E-2"/>
    <n v="524096"/>
    <n v="175530"/>
    <m/>
    <x v="825"/>
    <s v="AF"/>
    <d v="2018-03-21T00:00:00"/>
    <x v="1"/>
    <m/>
    <m/>
    <m/>
    <m/>
    <m/>
    <s v="Alterations including erecton of single to three-storey rear extensions including first floor level rear terraces in connection with use of rear ground floor and upper floors to provide 1 x 1-bed and 2 x 2-bed flats with associated refuse and cycle storage to rear; alterations to shopfront."/>
    <x v="791"/>
    <s v="MIX"/>
    <x v="0"/>
    <s v="NSO"/>
    <m/>
    <m/>
    <m/>
    <m/>
    <s v="P"/>
    <s v="BF"/>
    <x v="0"/>
    <m/>
    <m/>
    <m/>
    <n v="70"/>
    <m/>
    <m/>
    <m/>
    <m/>
    <n v="70"/>
    <m/>
    <m/>
    <m/>
    <m/>
    <m/>
    <m/>
    <m/>
    <m/>
    <m/>
    <m/>
    <n v="99"/>
    <m/>
    <m/>
    <m/>
    <m/>
    <n v="99"/>
    <m/>
    <m/>
    <m/>
    <m/>
    <m/>
    <m/>
    <m/>
    <m/>
    <m/>
    <x v="1"/>
    <x v="0"/>
    <x v="1"/>
    <n v="-29"/>
    <m/>
    <m/>
    <m/>
    <m/>
    <n v="-29"/>
    <m/>
    <x v="0"/>
    <m/>
    <m/>
    <m/>
    <m/>
    <m/>
    <x v="0"/>
    <m/>
    <m/>
    <m/>
    <m/>
    <s v="Services"/>
    <s v="-"/>
    <s v="-"/>
    <s v="-"/>
    <s v="-"/>
    <s v="-"/>
    <s v="-"/>
    <s v="-"/>
    <s v="-"/>
    <s v="-"/>
    <s v="-"/>
    <x v="1"/>
    <x v="0"/>
    <s v="Services"/>
    <s v="-"/>
    <s v="-"/>
    <s v="-"/>
    <s v="-"/>
    <s v="-"/>
    <s v="-"/>
    <s v="-"/>
    <s v="-"/>
    <s v="-"/>
    <s v="-"/>
    <x v="0"/>
    <x v="0"/>
    <n v="6.0000002849847009E-3"/>
    <n v="70"/>
    <n v="99"/>
    <n v="-29"/>
    <x v="0"/>
    <x v="0"/>
    <m/>
    <x v="0"/>
    <m/>
    <x v="0"/>
    <m/>
    <x v="0"/>
    <x v="1"/>
    <x v="2"/>
    <x v="0"/>
    <m/>
    <n v="169"/>
    <n v="0"/>
    <n v="169"/>
    <x v="1"/>
    <m/>
  </r>
  <r>
    <x v="1"/>
    <x v="0"/>
    <x v="0"/>
    <x v="1"/>
    <n v="6885"/>
    <x v="747"/>
    <x v="13"/>
    <n v="1.30000002682209E-2"/>
    <n v="525906"/>
    <n v="173856"/>
    <m/>
    <x v="826"/>
    <s v="AF"/>
    <d v="2018-03-27T00:00:00"/>
    <x v="1"/>
    <m/>
    <m/>
    <s v="Nil"/>
    <m/>
    <m/>
    <s v="Alterations including erection of part single/part two storey rear/side extension,  in connection with use of front part of ground floor as a shop and the remainder as, 1 x 2-bedroom and 2 x 1-bedroom flats with rear first floor terrace."/>
    <x v="792"/>
    <s v="MIX"/>
    <x v="0"/>
    <s v="NSO"/>
    <m/>
    <m/>
    <m/>
    <m/>
    <s v="P"/>
    <s v="BF"/>
    <x v="0"/>
    <m/>
    <m/>
    <m/>
    <n v="32"/>
    <m/>
    <m/>
    <m/>
    <m/>
    <n v="32"/>
    <m/>
    <m/>
    <m/>
    <m/>
    <m/>
    <m/>
    <m/>
    <m/>
    <m/>
    <m/>
    <n v="83"/>
    <m/>
    <m/>
    <m/>
    <m/>
    <n v="83"/>
    <m/>
    <m/>
    <m/>
    <m/>
    <m/>
    <m/>
    <m/>
    <m/>
    <m/>
    <x v="1"/>
    <x v="0"/>
    <x v="1"/>
    <n v="-51"/>
    <m/>
    <m/>
    <m/>
    <m/>
    <n v="-51"/>
    <m/>
    <x v="0"/>
    <m/>
    <m/>
    <m/>
    <m/>
    <m/>
    <x v="0"/>
    <m/>
    <m/>
    <m/>
    <m/>
    <s v="Not Known"/>
    <s v="-"/>
    <s v="-"/>
    <s v="-"/>
    <s v="-"/>
    <s v="-"/>
    <s v="-"/>
    <s v="-"/>
    <s v="-"/>
    <s v="-"/>
    <s v="-"/>
    <x v="1"/>
    <x v="0"/>
    <s v="Vacant"/>
    <s v="-"/>
    <s v="-"/>
    <s v="-"/>
    <s v="-"/>
    <s v="-"/>
    <s v="-"/>
    <s v="-"/>
    <s v="-"/>
    <s v="-"/>
    <s v="-"/>
    <x v="0"/>
    <x v="0"/>
    <n v="1.9999998621643006E-3"/>
    <n v="32"/>
    <n v="83"/>
    <n v="-51"/>
    <x v="0"/>
    <x v="0"/>
    <m/>
    <x v="0"/>
    <m/>
    <x v="0"/>
    <m/>
    <x v="0"/>
    <x v="0"/>
    <x v="0"/>
    <x v="0"/>
    <m/>
    <n v="169"/>
    <n v="71"/>
    <n v="98"/>
    <x v="1"/>
    <m/>
  </r>
  <r>
    <x v="1"/>
    <x v="0"/>
    <x v="0"/>
    <x v="1"/>
    <n v="6886"/>
    <x v="748"/>
    <x v="6"/>
    <n v="1.2000000104308101E-2"/>
    <n v="528414"/>
    <n v="175770"/>
    <m/>
    <x v="827"/>
    <s v="AF"/>
    <d v="2018-03-12T00:00:00"/>
    <x v="1"/>
    <m/>
    <m/>
    <s v="Nil"/>
    <m/>
    <m/>
    <s v="Alterations to shopfront and excavation enlarge basement including formation of front lightwell with grille over and wall surround."/>
    <x v="793"/>
    <s v="EXT"/>
    <x v="1"/>
    <s v="NSO"/>
    <m/>
    <m/>
    <m/>
    <m/>
    <s v="P"/>
    <s v="BF"/>
    <x v="0"/>
    <m/>
    <m/>
    <m/>
    <m/>
    <n v="5"/>
    <m/>
    <m/>
    <m/>
    <n v="5"/>
    <m/>
    <m/>
    <m/>
    <m/>
    <m/>
    <m/>
    <m/>
    <m/>
    <m/>
    <m/>
    <m/>
    <m/>
    <m/>
    <m/>
    <m/>
    <m/>
    <m/>
    <m/>
    <m/>
    <m/>
    <m/>
    <m/>
    <m/>
    <m/>
    <m/>
    <x v="1"/>
    <x v="0"/>
    <x v="1"/>
    <m/>
    <n v="5"/>
    <m/>
    <m/>
    <m/>
    <n v="5"/>
    <m/>
    <x v="0"/>
    <m/>
    <m/>
    <m/>
    <m/>
    <m/>
    <x v="0"/>
    <m/>
    <m/>
    <m/>
    <m/>
    <s v="-"/>
    <s v="Not Known"/>
    <s v="-"/>
    <s v="-"/>
    <s v="-"/>
    <s v="-"/>
    <s v="-"/>
    <s v="-"/>
    <s v="-"/>
    <s v="-"/>
    <s v="-"/>
    <x v="1"/>
    <x v="0"/>
    <s v="-"/>
    <s v="-"/>
    <s v="-"/>
    <s v="-"/>
    <s v="-"/>
    <s v="-"/>
    <s v="-"/>
    <s v="-"/>
    <s v="-"/>
    <s v="-"/>
    <s v="-"/>
    <x v="0"/>
    <x v="0"/>
    <n v="1.2000000104308101E-2"/>
    <n v="5"/>
    <n v="0"/>
    <n v="5"/>
    <x v="0"/>
    <x v="0"/>
    <m/>
    <x v="0"/>
    <m/>
    <x v="0"/>
    <m/>
    <x v="0"/>
    <x v="0"/>
    <x v="0"/>
    <x v="1"/>
    <s v="Lavender Hill/Queenstown Road"/>
    <n v="0"/>
    <n v="0"/>
    <n v="0"/>
    <x v="0"/>
    <m/>
  </r>
  <r>
    <x v="1"/>
    <x v="0"/>
    <x v="0"/>
    <x v="1"/>
    <n v="6887"/>
    <x v="749"/>
    <x v="17"/>
    <n v="4.39999997615814E-2"/>
    <n v="528204"/>
    <n v="172540"/>
    <m/>
    <x v="828"/>
    <s v="AF"/>
    <d v="2018-03-28T00:00:00"/>
    <x v="1"/>
    <m/>
    <m/>
    <s v="Nil"/>
    <m/>
    <m/>
    <s v="Change of use from Shop (Class A1) to  Restaurant/Cafe (Class A3)."/>
    <x v="152"/>
    <s v="COU"/>
    <x v="2"/>
    <s v="NSO"/>
    <m/>
    <m/>
    <m/>
    <m/>
    <s v="P"/>
    <s v="BF"/>
    <x v="0"/>
    <m/>
    <m/>
    <m/>
    <m/>
    <m/>
    <n v="50"/>
    <m/>
    <m/>
    <n v="50"/>
    <m/>
    <m/>
    <m/>
    <m/>
    <m/>
    <m/>
    <m/>
    <m/>
    <m/>
    <m/>
    <n v="50"/>
    <m/>
    <m/>
    <m/>
    <m/>
    <n v="50"/>
    <m/>
    <m/>
    <m/>
    <m/>
    <m/>
    <m/>
    <m/>
    <m/>
    <m/>
    <x v="1"/>
    <x v="0"/>
    <x v="1"/>
    <n v="-50"/>
    <m/>
    <n v="50"/>
    <m/>
    <m/>
    <m/>
    <m/>
    <x v="0"/>
    <m/>
    <m/>
    <m/>
    <m/>
    <m/>
    <x v="0"/>
    <m/>
    <m/>
    <m/>
    <m/>
    <s v="-"/>
    <s v="-"/>
    <s v="Restaurant"/>
    <s v="-"/>
    <s v="-"/>
    <s v="-"/>
    <s v="-"/>
    <s v="-"/>
    <s v="-"/>
    <s v="-"/>
    <s v="-"/>
    <x v="1"/>
    <x v="0"/>
    <s v="Services"/>
    <s v="-"/>
    <s v="-"/>
    <s v="-"/>
    <s v="-"/>
    <s v="-"/>
    <s v="-"/>
    <s v="-"/>
    <s v="-"/>
    <s v="-"/>
    <s v="-"/>
    <x v="0"/>
    <x v="0"/>
    <n v="4.39999997615814E-2"/>
    <n v="50"/>
    <n v="50"/>
    <n v="0"/>
    <x v="0"/>
    <x v="0"/>
    <m/>
    <x v="0"/>
    <m/>
    <x v="0"/>
    <m/>
    <x v="0"/>
    <x v="0"/>
    <x v="0"/>
    <x v="0"/>
    <m/>
    <n v="0"/>
    <n v="0"/>
    <n v="0"/>
    <x v="0"/>
    <m/>
  </r>
  <r>
    <x v="1"/>
    <x v="0"/>
    <x v="0"/>
    <x v="1"/>
    <n v="6888"/>
    <x v="750"/>
    <x v="18"/>
    <n v="0.30000001192092901"/>
    <n v="526871"/>
    <n v="173938"/>
    <m/>
    <x v="829"/>
    <s v="AF"/>
    <d v="2018-03-28T00:00:00"/>
    <x v="1"/>
    <m/>
    <m/>
    <s v="Nil"/>
    <m/>
    <m/>
    <s v="Retention of various structures including sheds, poly-tunnels and yurt in connection with continued use as an Urban Community Farm (Sui Generis)."/>
    <x v="794"/>
    <s v="NB"/>
    <x v="0"/>
    <s v="NSO"/>
    <m/>
    <m/>
    <m/>
    <m/>
    <s v="P"/>
    <s v="GF"/>
    <x v="0"/>
    <m/>
    <m/>
    <m/>
    <m/>
    <m/>
    <m/>
    <m/>
    <m/>
    <m/>
    <m/>
    <m/>
    <m/>
    <m/>
    <m/>
    <m/>
    <m/>
    <m/>
    <m/>
    <m/>
    <m/>
    <m/>
    <m/>
    <m/>
    <m/>
    <m/>
    <m/>
    <m/>
    <m/>
    <m/>
    <m/>
    <m/>
    <m/>
    <m/>
    <m/>
    <x v="0"/>
    <x v="0"/>
    <x v="1"/>
    <m/>
    <m/>
    <m/>
    <m/>
    <m/>
    <m/>
    <m/>
    <x v="0"/>
    <m/>
    <m/>
    <m/>
    <m/>
    <m/>
    <x v="0"/>
    <m/>
    <m/>
    <m/>
    <m/>
    <s v="-"/>
    <s v="-"/>
    <s v="-"/>
    <s v="-"/>
    <s v="-"/>
    <s v="-"/>
    <s v="-"/>
    <s v="-"/>
    <s v="-"/>
    <s v="-"/>
    <s v="-"/>
    <x v="1"/>
    <x v="0"/>
    <s v="-"/>
    <s v="-"/>
    <s v="-"/>
    <s v="-"/>
    <s v="-"/>
    <s v="-"/>
    <s v="-"/>
    <s v="-"/>
    <s v="-"/>
    <s v="-"/>
    <s v="-"/>
    <x v="0"/>
    <x v="0"/>
    <n v="0"/>
    <n v="101"/>
    <n v="0"/>
    <n v="101"/>
    <x v="0"/>
    <x v="0"/>
    <m/>
    <x v="0"/>
    <m/>
    <x v="0"/>
    <m/>
    <x v="0"/>
    <x v="0"/>
    <x v="0"/>
    <x v="0"/>
    <m/>
    <n v="0"/>
    <n v="0"/>
    <n v="0"/>
    <x v="0"/>
    <m/>
  </r>
  <r>
    <x v="1"/>
    <x v="0"/>
    <x v="0"/>
    <x v="1"/>
    <n v="6923"/>
    <x v="751"/>
    <x v="3"/>
    <n v="2.0999999716877899E-2"/>
    <n v="527323"/>
    <n v="174838"/>
    <m/>
    <x v="830"/>
    <s v="AF"/>
    <d v="2018-02-22T00:00:00"/>
    <x v="1"/>
    <m/>
    <m/>
    <s v="Nil"/>
    <m/>
    <m/>
    <s v="Erection of mansard roof extension to main rear roof and above two-storey back addition to provide additional teaching spaces."/>
    <x v="795"/>
    <s v="EXT"/>
    <x v="1"/>
    <s v="NSO"/>
    <m/>
    <m/>
    <m/>
    <m/>
    <s v="P"/>
    <s v="BF"/>
    <x v="0"/>
    <m/>
    <m/>
    <m/>
    <m/>
    <m/>
    <m/>
    <m/>
    <m/>
    <m/>
    <m/>
    <m/>
    <m/>
    <m/>
    <m/>
    <m/>
    <m/>
    <n v="71"/>
    <m/>
    <n v="71"/>
    <m/>
    <m/>
    <m/>
    <m/>
    <m/>
    <m/>
    <m/>
    <m/>
    <m/>
    <m/>
    <m/>
    <m/>
    <m/>
    <m/>
    <m/>
    <x v="0"/>
    <x v="0"/>
    <x v="0"/>
    <m/>
    <m/>
    <m/>
    <m/>
    <m/>
    <m/>
    <m/>
    <x v="0"/>
    <m/>
    <m/>
    <m/>
    <m/>
    <m/>
    <x v="0"/>
    <m/>
    <n v="71"/>
    <m/>
    <n v="71"/>
    <s v="-"/>
    <s v="-"/>
    <s v="-"/>
    <s v="-"/>
    <s v="-"/>
    <s v="-"/>
    <s v="-"/>
    <s v="-"/>
    <s v="-"/>
    <s v="-"/>
    <s v="-"/>
    <x v="0"/>
    <x v="0"/>
    <s v="-"/>
    <s v="-"/>
    <s v="-"/>
    <s v="-"/>
    <s v="-"/>
    <s v="-"/>
    <s v="-"/>
    <s v="-"/>
    <s v="-"/>
    <s v="-"/>
    <s v="-"/>
    <x v="0"/>
    <x v="0"/>
    <n v="2.0999999716877899E-2"/>
    <n v="71"/>
    <n v="0"/>
    <n v="71"/>
    <x v="0"/>
    <x v="0"/>
    <m/>
    <x v="0"/>
    <m/>
    <x v="0"/>
    <m/>
    <x v="0"/>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36"/>
    <s v="C"/>
    <d v="2017-03-31T00:00:00"/>
    <m/>
    <m/>
    <m/>
    <m/>
    <m/>
    <m/>
    <m/>
    <m/>
    <m/>
    <m/>
    <m/>
    <m/>
    <n v="149"/>
    <n v="149"/>
    <m/>
    <m/>
    <m/>
    <m/>
    <m/>
    <m/>
    <m/>
    <m/>
    <m/>
    <m/>
    <m/>
    <m/>
    <m/>
    <m/>
    <m/>
    <m/>
    <m/>
    <m/>
    <x v="0"/>
    <x v="1"/>
    <x v="1"/>
    <m/>
    <m/>
    <m/>
    <m/>
    <m/>
    <m/>
    <m/>
    <x v="0"/>
    <m/>
    <m/>
    <m/>
    <n v="149"/>
    <n v="149"/>
    <x v="0"/>
    <m/>
    <m/>
    <m/>
    <m/>
    <s v="-"/>
    <s v="-"/>
    <s v="-"/>
    <s v="-"/>
    <s v="-"/>
    <s v="-"/>
    <s v="-"/>
    <s v="-"/>
    <s v="-"/>
    <s v="Storage"/>
    <s v="-"/>
    <x v="1"/>
    <x v="0"/>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37"/>
    <s v="C"/>
    <d v="2017-03-31T00:00:00"/>
    <m/>
    <m/>
    <m/>
    <m/>
    <m/>
    <m/>
    <m/>
    <m/>
    <m/>
    <m/>
    <m/>
    <m/>
    <n v="149"/>
    <n v="149"/>
    <m/>
    <m/>
    <m/>
    <m/>
    <m/>
    <m/>
    <m/>
    <m/>
    <m/>
    <m/>
    <m/>
    <m/>
    <m/>
    <m/>
    <m/>
    <m/>
    <m/>
    <m/>
    <x v="0"/>
    <x v="1"/>
    <x v="1"/>
    <m/>
    <m/>
    <m/>
    <m/>
    <m/>
    <m/>
    <m/>
    <x v="0"/>
    <m/>
    <m/>
    <m/>
    <n v="149"/>
    <n v="149"/>
    <x v="0"/>
    <m/>
    <m/>
    <m/>
    <m/>
    <s v="-"/>
    <s v="-"/>
    <s v="-"/>
    <s v="-"/>
    <s v="-"/>
    <s v="-"/>
    <s v="-"/>
    <s v="-"/>
    <s v="-"/>
    <s v="Storage"/>
    <s v="-"/>
    <x v="1"/>
    <x v="0"/>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38"/>
    <s v="C"/>
    <d v="2017-03-31T00:00:00"/>
    <m/>
    <m/>
    <m/>
    <m/>
    <m/>
    <m/>
    <m/>
    <m/>
    <m/>
    <m/>
    <m/>
    <m/>
    <m/>
    <m/>
    <m/>
    <m/>
    <m/>
    <m/>
    <m/>
    <m/>
    <m/>
    <m/>
    <m/>
    <m/>
    <m/>
    <m/>
    <m/>
    <m/>
    <m/>
    <m/>
    <m/>
    <m/>
    <x v="0"/>
    <x v="0"/>
    <x v="1"/>
    <m/>
    <m/>
    <m/>
    <m/>
    <m/>
    <m/>
    <m/>
    <x v="0"/>
    <m/>
    <m/>
    <m/>
    <m/>
    <m/>
    <x v="0"/>
    <m/>
    <m/>
    <m/>
    <m/>
    <s v="-"/>
    <s v="-"/>
    <s v="-"/>
    <s v="-"/>
    <s v="-"/>
    <s v="-"/>
    <s v="-"/>
    <s v="-"/>
    <s v="-"/>
    <s v="-"/>
    <s v="-"/>
    <x v="1"/>
    <x v="0"/>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39"/>
    <s v="C"/>
    <d v="2017-03-31T00:00:00"/>
    <m/>
    <m/>
    <m/>
    <m/>
    <m/>
    <m/>
    <m/>
    <m/>
    <m/>
    <m/>
    <m/>
    <m/>
    <m/>
    <m/>
    <m/>
    <m/>
    <m/>
    <m/>
    <m/>
    <m/>
    <m/>
    <m/>
    <m/>
    <m/>
    <m/>
    <m/>
    <m/>
    <m/>
    <m/>
    <m/>
    <m/>
    <m/>
    <x v="0"/>
    <x v="0"/>
    <x v="1"/>
    <m/>
    <m/>
    <m/>
    <m/>
    <m/>
    <m/>
    <m/>
    <x v="0"/>
    <m/>
    <m/>
    <m/>
    <m/>
    <m/>
    <x v="0"/>
    <m/>
    <m/>
    <m/>
    <m/>
    <s v="-"/>
    <s v="-"/>
    <s v="-"/>
    <s v="-"/>
    <s v="-"/>
    <s v="-"/>
    <s v="-"/>
    <s v="-"/>
    <s v="-"/>
    <s v="-"/>
    <s v="-"/>
    <x v="1"/>
    <x v="0"/>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0"/>
    <s v="C"/>
    <d v="2017-03-31T00:00:00"/>
    <m/>
    <m/>
    <m/>
    <m/>
    <m/>
    <m/>
    <m/>
    <m/>
    <m/>
    <m/>
    <m/>
    <m/>
    <m/>
    <m/>
    <n v="149"/>
    <m/>
    <n v="149"/>
    <m/>
    <m/>
    <m/>
    <m/>
    <m/>
    <m/>
    <m/>
    <m/>
    <m/>
    <m/>
    <m/>
    <m/>
    <m/>
    <m/>
    <m/>
    <x v="0"/>
    <x v="0"/>
    <x v="0"/>
    <m/>
    <m/>
    <m/>
    <m/>
    <m/>
    <m/>
    <m/>
    <x v="0"/>
    <m/>
    <m/>
    <m/>
    <m/>
    <m/>
    <x v="0"/>
    <m/>
    <n v="149"/>
    <m/>
    <n v="149"/>
    <s v="-"/>
    <s v="-"/>
    <s v="-"/>
    <s v="-"/>
    <s v="-"/>
    <s v="-"/>
    <s v="-"/>
    <s v="-"/>
    <s v="-"/>
    <s v="-"/>
    <s v="-"/>
    <x v="5"/>
    <x v="0"/>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1"/>
    <s v="C"/>
    <d v="2017-03-31T00:00:00"/>
    <m/>
    <m/>
    <m/>
    <m/>
    <m/>
    <m/>
    <m/>
    <m/>
    <m/>
    <m/>
    <m/>
    <m/>
    <m/>
    <m/>
    <m/>
    <n v="149"/>
    <n v="149"/>
    <m/>
    <m/>
    <m/>
    <m/>
    <m/>
    <m/>
    <m/>
    <m/>
    <m/>
    <m/>
    <m/>
    <m/>
    <m/>
    <m/>
    <m/>
    <x v="0"/>
    <x v="0"/>
    <x v="0"/>
    <m/>
    <m/>
    <m/>
    <m/>
    <m/>
    <m/>
    <m/>
    <x v="0"/>
    <m/>
    <m/>
    <m/>
    <m/>
    <m/>
    <x v="0"/>
    <m/>
    <m/>
    <n v="149"/>
    <n v="149"/>
    <s v="-"/>
    <s v="-"/>
    <s v="-"/>
    <s v="-"/>
    <s v="-"/>
    <s v="-"/>
    <s v="-"/>
    <s v="-"/>
    <s v="-"/>
    <s v="-"/>
    <s v="-"/>
    <x v="1"/>
    <x v="4"/>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2"/>
    <s v="C"/>
    <d v="2017-03-31T00:00:00"/>
    <m/>
    <m/>
    <m/>
    <m/>
    <m/>
    <m/>
    <m/>
    <m/>
    <m/>
    <m/>
    <m/>
    <m/>
    <m/>
    <m/>
    <m/>
    <n v="150"/>
    <n v="150"/>
    <m/>
    <m/>
    <m/>
    <m/>
    <m/>
    <m/>
    <m/>
    <m/>
    <m/>
    <m/>
    <m/>
    <m/>
    <m/>
    <m/>
    <m/>
    <x v="0"/>
    <x v="0"/>
    <x v="0"/>
    <m/>
    <m/>
    <m/>
    <m/>
    <m/>
    <m/>
    <m/>
    <x v="0"/>
    <m/>
    <m/>
    <m/>
    <m/>
    <m/>
    <x v="0"/>
    <m/>
    <m/>
    <n v="150"/>
    <n v="150"/>
    <s v="-"/>
    <s v="-"/>
    <s v="-"/>
    <s v="-"/>
    <s v="-"/>
    <s v="-"/>
    <s v="-"/>
    <s v="-"/>
    <s v="-"/>
    <s v="-"/>
    <s v="-"/>
    <x v="1"/>
    <x v="4"/>
    <s v="-"/>
    <s v="-"/>
    <s v="-"/>
    <s v="-"/>
    <s v="-"/>
    <s v="-"/>
    <s v="-"/>
    <s v="-"/>
    <s v="-"/>
    <s v="-"/>
    <s v="-"/>
    <x v="0"/>
    <x v="0"/>
    <n v="0.53899997472763095"/>
    <n v="150"/>
    <n v="0"/>
    <n v="150"/>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3"/>
    <s v="C"/>
    <d v="2017-03-31T00:00:00"/>
    <m/>
    <m/>
    <m/>
    <n v="75"/>
    <n v="75"/>
    <m/>
    <n v="150"/>
    <m/>
    <m/>
    <m/>
    <m/>
    <m/>
    <m/>
    <m/>
    <m/>
    <m/>
    <m/>
    <m/>
    <m/>
    <m/>
    <m/>
    <m/>
    <m/>
    <m/>
    <m/>
    <m/>
    <m/>
    <m/>
    <m/>
    <m/>
    <m/>
    <m/>
    <x v="1"/>
    <x v="0"/>
    <x v="1"/>
    <m/>
    <m/>
    <n v="75"/>
    <n v="75"/>
    <m/>
    <n v="150"/>
    <m/>
    <x v="0"/>
    <m/>
    <m/>
    <m/>
    <m/>
    <m/>
    <x v="0"/>
    <m/>
    <m/>
    <m/>
    <m/>
    <s v="-"/>
    <s v="-"/>
    <s v="Not Known"/>
    <s v="Not Known"/>
    <s v="-"/>
    <s v="-"/>
    <s v="-"/>
    <s v="-"/>
    <s v="-"/>
    <s v="-"/>
    <s v="-"/>
    <x v="1"/>
    <x v="0"/>
    <s v="-"/>
    <s v="-"/>
    <s v="-"/>
    <s v="-"/>
    <s v="-"/>
    <s v="-"/>
    <s v="-"/>
    <s v="-"/>
    <s v="-"/>
    <s v="-"/>
    <s v="-"/>
    <x v="0"/>
    <x v="0"/>
    <n v="0.53899997472763095"/>
    <n v="150"/>
    <n v="0"/>
    <n v="150"/>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4"/>
    <s v="C"/>
    <d v="2017-03-31T00:00:00"/>
    <m/>
    <n v="74"/>
    <m/>
    <n v="75"/>
    <m/>
    <m/>
    <n v="149"/>
    <m/>
    <m/>
    <m/>
    <m/>
    <m/>
    <m/>
    <m/>
    <m/>
    <m/>
    <m/>
    <m/>
    <m/>
    <m/>
    <m/>
    <m/>
    <m/>
    <m/>
    <m/>
    <m/>
    <m/>
    <m/>
    <m/>
    <m/>
    <m/>
    <m/>
    <x v="1"/>
    <x v="0"/>
    <x v="1"/>
    <n v="74"/>
    <m/>
    <n v="75"/>
    <m/>
    <m/>
    <n v="149"/>
    <m/>
    <x v="0"/>
    <m/>
    <m/>
    <m/>
    <m/>
    <m/>
    <x v="0"/>
    <m/>
    <m/>
    <m/>
    <m/>
    <s v="Not Known"/>
    <s v="-"/>
    <s v="Not Known"/>
    <s v="-"/>
    <s v="-"/>
    <s v="-"/>
    <s v="-"/>
    <s v="-"/>
    <s v="-"/>
    <s v="-"/>
    <s v="-"/>
    <x v="1"/>
    <x v="0"/>
    <s v="-"/>
    <s v="-"/>
    <s v="-"/>
    <s v="-"/>
    <s v="-"/>
    <s v="-"/>
    <s v="-"/>
    <s v="-"/>
    <s v="-"/>
    <s v="-"/>
    <s v="-"/>
    <x v="0"/>
    <x v="0"/>
    <n v="0.53899997472763095"/>
    <n v="149"/>
    <n v="0"/>
    <n v="14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5"/>
    <s v="C"/>
    <d v="2017-03-31T00:00:00"/>
    <m/>
    <n v="75"/>
    <m/>
    <n v="75"/>
    <m/>
    <m/>
    <n v="150"/>
    <m/>
    <m/>
    <m/>
    <m/>
    <m/>
    <m/>
    <m/>
    <m/>
    <m/>
    <m/>
    <m/>
    <m/>
    <m/>
    <m/>
    <m/>
    <m/>
    <m/>
    <m/>
    <m/>
    <m/>
    <m/>
    <m/>
    <m/>
    <m/>
    <m/>
    <x v="1"/>
    <x v="0"/>
    <x v="1"/>
    <n v="75"/>
    <m/>
    <n v="75"/>
    <m/>
    <m/>
    <n v="150"/>
    <m/>
    <x v="0"/>
    <m/>
    <m/>
    <m/>
    <m/>
    <m/>
    <x v="0"/>
    <m/>
    <m/>
    <m/>
    <m/>
    <s v="Not Known"/>
    <s v="-"/>
    <s v="Not Known"/>
    <s v="-"/>
    <s v="-"/>
    <s v="-"/>
    <s v="-"/>
    <s v="-"/>
    <s v="-"/>
    <s v="-"/>
    <s v="-"/>
    <x v="1"/>
    <x v="0"/>
    <s v="-"/>
    <s v="-"/>
    <s v="-"/>
    <s v="-"/>
    <s v="-"/>
    <s v="-"/>
    <s v="-"/>
    <s v="-"/>
    <s v="-"/>
    <s v="-"/>
    <s v="-"/>
    <x v="0"/>
    <x v="0"/>
    <n v="0.53899997472763095"/>
    <n v="150"/>
    <n v="0"/>
    <n v="150"/>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6"/>
    <s v="C"/>
    <d v="2017-03-31T00:00:00"/>
    <m/>
    <n v="39"/>
    <m/>
    <n v="39"/>
    <m/>
    <m/>
    <n v="78"/>
    <m/>
    <m/>
    <m/>
    <m/>
    <m/>
    <m/>
    <m/>
    <m/>
    <m/>
    <m/>
    <m/>
    <m/>
    <m/>
    <m/>
    <m/>
    <m/>
    <m/>
    <m/>
    <m/>
    <m/>
    <m/>
    <m/>
    <m/>
    <m/>
    <m/>
    <x v="1"/>
    <x v="0"/>
    <x v="1"/>
    <n v="39"/>
    <m/>
    <n v="39"/>
    <m/>
    <m/>
    <n v="78"/>
    <m/>
    <x v="0"/>
    <m/>
    <m/>
    <m/>
    <m/>
    <m/>
    <x v="0"/>
    <m/>
    <m/>
    <m/>
    <m/>
    <s v="Not Known"/>
    <s v="-"/>
    <s v="Not Known"/>
    <s v="-"/>
    <s v="-"/>
    <s v="-"/>
    <s v="-"/>
    <s v="-"/>
    <s v="-"/>
    <s v="-"/>
    <s v="-"/>
    <x v="1"/>
    <x v="0"/>
    <s v="-"/>
    <s v="-"/>
    <s v="-"/>
    <s v="-"/>
    <s v="-"/>
    <s v="-"/>
    <s v="-"/>
    <s v="-"/>
    <s v="-"/>
    <s v="-"/>
    <s v="-"/>
    <x v="0"/>
    <x v="0"/>
    <n v="0.53899997472763095"/>
    <n v="78"/>
    <n v="0"/>
    <n v="78"/>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7"/>
    <s v="C"/>
    <d v="2017-03-31T00:00:00"/>
    <m/>
    <n v="47"/>
    <m/>
    <n v="48"/>
    <m/>
    <m/>
    <n v="95"/>
    <m/>
    <m/>
    <m/>
    <m/>
    <m/>
    <m/>
    <m/>
    <m/>
    <m/>
    <m/>
    <m/>
    <m/>
    <m/>
    <m/>
    <m/>
    <m/>
    <m/>
    <m/>
    <m/>
    <m/>
    <m/>
    <m/>
    <m/>
    <m/>
    <m/>
    <x v="1"/>
    <x v="0"/>
    <x v="1"/>
    <n v="47"/>
    <m/>
    <n v="48"/>
    <m/>
    <m/>
    <n v="95"/>
    <m/>
    <x v="0"/>
    <m/>
    <m/>
    <m/>
    <m/>
    <m/>
    <x v="0"/>
    <m/>
    <m/>
    <m/>
    <m/>
    <s v="Not Known"/>
    <s v="-"/>
    <s v="Not Known"/>
    <s v="-"/>
    <s v="-"/>
    <s v="-"/>
    <s v="-"/>
    <s v="-"/>
    <s v="-"/>
    <s v="-"/>
    <s v="-"/>
    <x v="1"/>
    <x v="0"/>
    <s v="-"/>
    <s v="-"/>
    <s v="-"/>
    <s v="-"/>
    <s v="-"/>
    <s v="-"/>
    <s v="-"/>
    <s v="-"/>
    <s v="-"/>
    <s v="-"/>
    <s v="-"/>
    <x v="0"/>
    <x v="0"/>
    <n v="0.53899997472763095"/>
    <n v="95"/>
    <n v="0"/>
    <n v="95"/>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8"/>
    <s v="C"/>
    <d v="2017-03-31T00:00:00"/>
    <m/>
    <m/>
    <m/>
    <m/>
    <m/>
    <m/>
    <m/>
    <m/>
    <m/>
    <m/>
    <m/>
    <m/>
    <m/>
    <m/>
    <n v="233"/>
    <n v="233"/>
    <n v="466"/>
    <m/>
    <m/>
    <m/>
    <m/>
    <m/>
    <m/>
    <m/>
    <m/>
    <m/>
    <m/>
    <m/>
    <m/>
    <m/>
    <m/>
    <m/>
    <x v="0"/>
    <x v="0"/>
    <x v="0"/>
    <m/>
    <m/>
    <m/>
    <m/>
    <m/>
    <m/>
    <m/>
    <x v="0"/>
    <m/>
    <m/>
    <m/>
    <m/>
    <m/>
    <x v="0"/>
    <m/>
    <n v="233"/>
    <n v="233"/>
    <n v="466"/>
    <s v="-"/>
    <s v="-"/>
    <s v="-"/>
    <s v="-"/>
    <s v="-"/>
    <s v="-"/>
    <s v="-"/>
    <s v="-"/>
    <s v="-"/>
    <s v="-"/>
    <s v="-"/>
    <x v="5"/>
    <x v="3"/>
    <s v="-"/>
    <s v="-"/>
    <s v="-"/>
    <s v="-"/>
    <s v="-"/>
    <s v="-"/>
    <s v="-"/>
    <s v="-"/>
    <s v="-"/>
    <s v="-"/>
    <s v="-"/>
    <x v="0"/>
    <x v="0"/>
    <n v="0.53899997472763095"/>
    <n v="596"/>
    <n v="0"/>
    <n v="596"/>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49"/>
    <s v="C"/>
    <d v="2017-03-31T00:00:00"/>
    <m/>
    <m/>
    <m/>
    <n v="156"/>
    <n v="156"/>
    <m/>
    <n v="312"/>
    <m/>
    <m/>
    <m/>
    <m/>
    <n v="157"/>
    <m/>
    <n v="157"/>
    <m/>
    <m/>
    <m/>
    <m/>
    <m/>
    <m/>
    <m/>
    <m/>
    <m/>
    <m/>
    <m/>
    <m/>
    <m/>
    <m/>
    <m/>
    <m/>
    <m/>
    <m/>
    <x v="1"/>
    <x v="1"/>
    <x v="1"/>
    <m/>
    <m/>
    <n v="156"/>
    <n v="156"/>
    <m/>
    <n v="312"/>
    <m/>
    <x v="0"/>
    <m/>
    <m/>
    <n v="157"/>
    <m/>
    <n v="157"/>
    <x v="0"/>
    <m/>
    <m/>
    <m/>
    <m/>
    <s v="-"/>
    <s v="-"/>
    <s v="Not Known"/>
    <s v="Not Known"/>
    <s v="-"/>
    <s v="-"/>
    <s v="-"/>
    <s v="-"/>
    <s v="General Industry"/>
    <s v="-"/>
    <s v="-"/>
    <x v="1"/>
    <x v="0"/>
    <s v="-"/>
    <s v="-"/>
    <s v="-"/>
    <s v="-"/>
    <s v="-"/>
    <s v="-"/>
    <s v="-"/>
    <s v="-"/>
    <s v="-"/>
    <s v="-"/>
    <s v="-"/>
    <x v="0"/>
    <x v="0"/>
    <n v="0.53899997472763095"/>
    <n v="469"/>
    <n v="0"/>
    <n v="469"/>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50"/>
    <s v="C"/>
    <d v="2017-03-31T00:00:00"/>
    <m/>
    <m/>
    <m/>
    <n v="234"/>
    <n v="234"/>
    <m/>
    <n v="468"/>
    <m/>
    <m/>
    <m/>
    <m/>
    <m/>
    <m/>
    <m/>
    <m/>
    <m/>
    <m/>
    <m/>
    <m/>
    <m/>
    <m/>
    <m/>
    <m/>
    <m/>
    <m/>
    <m/>
    <m/>
    <m/>
    <m/>
    <m/>
    <m/>
    <m/>
    <x v="1"/>
    <x v="0"/>
    <x v="1"/>
    <m/>
    <m/>
    <n v="234"/>
    <n v="234"/>
    <m/>
    <n v="468"/>
    <m/>
    <x v="0"/>
    <m/>
    <m/>
    <m/>
    <m/>
    <m/>
    <x v="0"/>
    <m/>
    <m/>
    <m/>
    <m/>
    <s v="-"/>
    <s v="-"/>
    <s v="Not Known"/>
    <s v="Not Known"/>
    <s v="-"/>
    <s v="-"/>
    <s v="-"/>
    <s v="-"/>
    <s v="-"/>
    <s v="-"/>
    <s v="-"/>
    <x v="1"/>
    <x v="0"/>
    <s v="-"/>
    <s v="-"/>
    <s v="-"/>
    <s v="-"/>
    <s v="-"/>
    <s v="-"/>
    <s v="-"/>
    <s v="-"/>
    <s v="-"/>
    <s v="-"/>
    <s v="-"/>
    <x v="0"/>
    <x v="0"/>
    <n v="0.53899997472763095"/>
    <n v="468"/>
    <n v="0"/>
    <n v="468"/>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51"/>
    <s v="C"/>
    <d v="2017-03-31T00:00:00"/>
    <m/>
    <m/>
    <m/>
    <n v="220"/>
    <n v="220"/>
    <m/>
    <n v="440"/>
    <m/>
    <m/>
    <m/>
    <m/>
    <m/>
    <m/>
    <m/>
    <m/>
    <m/>
    <m/>
    <m/>
    <m/>
    <m/>
    <m/>
    <m/>
    <m/>
    <m/>
    <m/>
    <m/>
    <m/>
    <m/>
    <m/>
    <m/>
    <m/>
    <m/>
    <x v="1"/>
    <x v="0"/>
    <x v="1"/>
    <m/>
    <m/>
    <n v="220"/>
    <n v="220"/>
    <m/>
    <n v="440"/>
    <m/>
    <x v="0"/>
    <m/>
    <m/>
    <m/>
    <m/>
    <m/>
    <x v="0"/>
    <m/>
    <m/>
    <m/>
    <m/>
    <s v="-"/>
    <s v="-"/>
    <s v="Not Known"/>
    <s v="Not Known"/>
    <s v="-"/>
    <s v="-"/>
    <s v="-"/>
    <s v="-"/>
    <s v="-"/>
    <s v="-"/>
    <s v="-"/>
    <x v="1"/>
    <x v="0"/>
    <s v="-"/>
    <s v="-"/>
    <s v="-"/>
    <s v="-"/>
    <s v="-"/>
    <s v="-"/>
    <s v="-"/>
    <s v="-"/>
    <s v="-"/>
    <s v="-"/>
    <s v="-"/>
    <x v="0"/>
    <x v="0"/>
    <n v="0.53899997472763095"/>
    <n v="440"/>
    <n v="0"/>
    <n v="440"/>
    <x v="1"/>
    <x v="0"/>
    <m/>
    <x v="0"/>
    <m/>
    <x v="0"/>
    <m/>
    <x v="1"/>
    <x v="0"/>
    <x v="0"/>
    <x v="0"/>
    <m/>
    <n v="0"/>
    <n v="0"/>
    <n v="0"/>
    <x v="0"/>
    <m/>
  </r>
  <r>
    <x v="3"/>
    <x v="0"/>
    <x v="0"/>
    <x v="1"/>
    <n v="7064"/>
    <x v="752"/>
    <x v="8"/>
    <n v="0.53899997472763095"/>
    <n v="528738"/>
    <n v="177648"/>
    <m/>
    <x v="831"/>
    <s v="S73"/>
    <d v="2016-12-09T00:00:00"/>
    <x v="420"/>
    <m/>
    <m/>
    <s v="Nil"/>
    <m/>
    <m/>
    <s v="Application for amendments to planning permission 2016/0916 dated  07/04/2016 for the redevelopment of sixteen railway arches located immediately to the south of the Grosvenor Railway Bridge to provide commercial floorspace comprising of flexible retail/cafe/restaurant (A1/A3), flexible cafe/restaurant/drinking establishment (A3/A4), non-residential institution (D1), storage (B8), flexible non-residential institution/leisure/sui-generis use ((D1/D2/sui-generis), and public and private welfare facilities; all associated with the adjacent Battersea Power Station development and associated hard landscaping works. (Amendments relating to the change of use of Arches 749-751 &amp; 757, and opening hours of Use classes A3, A4, A5 and  the village hall)."/>
    <x v="796"/>
    <s v="COU"/>
    <x v="2"/>
    <s v="UC"/>
    <m/>
    <d v="2017-03-31T00:00:00"/>
    <m/>
    <m/>
    <s v="C"/>
    <s v="BF"/>
    <x v="52"/>
    <s v="C"/>
    <d v="2017-03-31T00:00:00"/>
    <m/>
    <m/>
    <m/>
    <m/>
    <m/>
    <m/>
    <m/>
    <m/>
    <m/>
    <m/>
    <m/>
    <m/>
    <m/>
    <m/>
    <m/>
    <m/>
    <m/>
    <m/>
    <m/>
    <m/>
    <m/>
    <m/>
    <m/>
    <m/>
    <m/>
    <m/>
    <m/>
    <n v="3748"/>
    <n v="3748"/>
    <m/>
    <m/>
    <m/>
    <x v="0"/>
    <x v="1"/>
    <x v="1"/>
    <m/>
    <m/>
    <m/>
    <m/>
    <m/>
    <m/>
    <m/>
    <x v="0"/>
    <m/>
    <m/>
    <m/>
    <n v="-3748"/>
    <n v="-3748"/>
    <x v="1"/>
    <m/>
    <m/>
    <m/>
    <m/>
    <s v="-"/>
    <s v="-"/>
    <s v="-"/>
    <s v="-"/>
    <s v="-"/>
    <s v="-"/>
    <s v="-"/>
    <s v="-"/>
    <s v="-"/>
    <s v="-"/>
    <s v="-"/>
    <x v="1"/>
    <x v="0"/>
    <s v="-"/>
    <s v="-"/>
    <s v="-"/>
    <s v="-"/>
    <s v="-"/>
    <s v="-"/>
    <s v="-"/>
    <s v="-"/>
    <s v="-"/>
    <s v="Storage"/>
    <s v="-"/>
    <x v="0"/>
    <x v="0"/>
    <n v="0.53899997472763095"/>
    <n v="0"/>
    <n v="3748"/>
    <n v="-3748"/>
    <x v="1"/>
    <x v="0"/>
    <m/>
    <x v="0"/>
    <m/>
    <x v="0"/>
    <m/>
    <x v="1"/>
    <x v="0"/>
    <x v="0"/>
    <x v="0"/>
    <m/>
    <n v="0"/>
    <n v="0"/>
    <n v="0"/>
    <x v="0"/>
    <m/>
  </r>
  <r>
    <x v="0"/>
    <x v="0"/>
    <x v="0"/>
    <x v="0"/>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2"/>
    <x v="2"/>
    <x v="0"/>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3"/>
    <x v="3"/>
    <x v="0"/>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0"/>
    <x v="0"/>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2"/>
    <x v="2"/>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3"/>
    <x v="3"/>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0"/>
    <x v="0"/>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5"/>
    <x v="5"/>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2"/>
    <x v="2"/>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3"/>
    <x v="3"/>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4"/>
    <x v="4"/>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0"/>
    <x v="0"/>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5"/>
    <x v="5"/>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2"/>
    <x v="2"/>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3"/>
    <x v="3"/>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0"/>
    <x v="0"/>
    <x v="2"/>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2"/>
    <x v="2"/>
    <x v="2"/>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3"/>
    <x v="3"/>
    <x v="2"/>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0"/>
    <x v="0"/>
    <x v="0"/>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2"/>
    <x v="2"/>
    <x v="0"/>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3"/>
    <x v="3"/>
    <x v="0"/>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0"/>
    <x v="0"/>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2"/>
    <x v="2"/>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3"/>
    <x v="3"/>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0"/>
    <x v="0"/>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5"/>
    <x v="5"/>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2"/>
    <x v="2"/>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3"/>
    <x v="3"/>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4"/>
    <x v="4"/>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0"/>
    <x v="0"/>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5"/>
    <x v="5"/>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2"/>
    <x v="2"/>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3"/>
    <x v="3"/>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0"/>
    <x v="0"/>
    <x v="2"/>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2"/>
    <x v="2"/>
    <x v="2"/>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3"/>
    <x v="3"/>
    <x v="2"/>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0"/>
    <x v="0"/>
    <x v="0"/>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2"/>
    <x v="2"/>
    <x v="0"/>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3"/>
    <x v="3"/>
    <x v="0"/>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0"/>
    <x v="0"/>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2"/>
    <x v="2"/>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3"/>
    <x v="3"/>
    <x v="3"/>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0"/>
    <x v="0"/>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5"/>
    <x v="5"/>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2"/>
    <x v="2"/>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2"/>
    <x v="3"/>
    <x v="3"/>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4"/>
    <x v="4"/>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0"/>
    <x v="0"/>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5"/>
    <x v="5"/>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2"/>
    <x v="2"/>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3"/>
    <x v="3"/>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0"/>
    <x v="0"/>
    <x v="2"/>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2"/>
    <x v="2"/>
    <x v="2"/>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0"/>
    <x v="3"/>
    <x v="3"/>
    <x v="2"/>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1"/>
    <x v="1"/>
    <x v="1"/>
    <m/>
    <x v="753"/>
    <x v="20"/>
    <m/>
    <m/>
    <m/>
    <m/>
    <x v="832"/>
    <m/>
    <m/>
    <x v="1"/>
    <m/>
    <m/>
    <m/>
    <m/>
    <m/>
    <m/>
    <x v="797"/>
    <m/>
    <x v="0"/>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1"/>
    <x v="1"/>
    <x v="1"/>
    <m/>
    <x v="753"/>
    <x v="20"/>
    <m/>
    <m/>
    <m/>
    <m/>
    <x v="832"/>
    <m/>
    <m/>
    <x v="1"/>
    <m/>
    <m/>
    <m/>
    <m/>
    <m/>
    <m/>
    <x v="797"/>
    <m/>
    <x v="1"/>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r>
    <x v="1"/>
    <x v="1"/>
    <x v="1"/>
    <x v="1"/>
    <m/>
    <x v="753"/>
    <x v="20"/>
    <m/>
    <m/>
    <m/>
    <m/>
    <x v="832"/>
    <m/>
    <m/>
    <x v="1"/>
    <m/>
    <m/>
    <m/>
    <m/>
    <m/>
    <m/>
    <x v="797"/>
    <m/>
    <x v="2"/>
    <m/>
    <m/>
    <m/>
    <m/>
    <m/>
    <m/>
    <m/>
    <x v="0"/>
    <m/>
    <m/>
    <m/>
    <m/>
    <m/>
    <m/>
    <m/>
    <m/>
    <m/>
    <m/>
    <m/>
    <m/>
    <m/>
    <m/>
    <m/>
    <m/>
    <m/>
    <m/>
    <m/>
    <m/>
    <m/>
    <m/>
    <m/>
    <m/>
    <m/>
    <m/>
    <m/>
    <m/>
    <m/>
    <m/>
    <m/>
    <m/>
    <m/>
    <m/>
    <x v="0"/>
    <x v="0"/>
    <x v="1"/>
    <m/>
    <m/>
    <m/>
    <m/>
    <m/>
    <m/>
    <m/>
    <x v="0"/>
    <m/>
    <m/>
    <m/>
    <m/>
    <m/>
    <x v="0"/>
    <m/>
    <m/>
    <m/>
    <m/>
    <m/>
    <m/>
    <m/>
    <m/>
    <m/>
    <m/>
    <m/>
    <m/>
    <m/>
    <m/>
    <m/>
    <x v="9"/>
    <x v="5"/>
    <m/>
    <m/>
    <m/>
    <m/>
    <m/>
    <m/>
    <m/>
    <m/>
    <m/>
    <m/>
    <m/>
    <x v="8"/>
    <x v="5"/>
    <m/>
    <m/>
    <m/>
    <m/>
    <x v="0"/>
    <x v="0"/>
    <m/>
    <x v="0"/>
    <m/>
    <x v="0"/>
    <m/>
    <x v="0"/>
    <x v="0"/>
    <x v="0"/>
    <x v="0"/>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I29" firstHeaderRow="0" firstDataRow="1" firstDataCol="3"/>
  <pivotFields count="134">
    <pivotField axis="axisRow" compact="0" outline="0" subtotalTop="0" showAll="0">
      <items count="5">
        <item x="0"/>
        <item x="3"/>
        <item x="2"/>
        <item x="1"/>
        <item t="default"/>
      </items>
    </pivotField>
    <pivotField axis="axisRow" compact="0" outline="0" subtotalTop="0" showAll="0">
      <items count="7">
        <item x="4"/>
        <item x="0"/>
        <item x="5"/>
        <item x="2"/>
        <item x="3"/>
        <item x="1"/>
        <item t="default"/>
      </items>
    </pivotField>
    <pivotField compact="0" outline="0" showAll="0" defaultSubtotal="0"/>
    <pivotField axis="axisRow" compact="0" outline="0" subtotalTop="0" showAll="0">
      <items count="4">
        <item x="2"/>
        <item x="0"/>
        <item x="1"/>
        <item t="default"/>
      </items>
    </pivotField>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dataField="1"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dataField="1"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3">
    <field x="3"/>
    <field x="0"/>
    <field x="1"/>
  </rowFields>
  <rowItems count="28">
    <i>
      <x/>
      <x/>
      <x v="1"/>
    </i>
    <i r="2">
      <x v="3"/>
    </i>
    <i r="2">
      <x v="4"/>
    </i>
    <i t="default" r="1">
      <x/>
    </i>
    <i t="default">
      <x/>
    </i>
    <i>
      <x v="1"/>
      <x/>
      <x v="1"/>
    </i>
    <i r="2">
      <x v="3"/>
    </i>
    <i r="2">
      <x v="4"/>
    </i>
    <i t="default" r="1">
      <x/>
    </i>
    <i t="default">
      <x v="1"/>
    </i>
    <i>
      <x v="2"/>
      <x v="1"/>
      <x v="1"/>
    </i>
    <i r="2">
      <x v="3"/>
    </i>
    <i r="2">
      <x v="4"/>
    </i>
    <i t="default" r="1">
      <x v="1"/>
    </i>
    <i r="1">
      <x v="2"/>
      <x v="1"/>
    </i>
    <i r="2">
      <x v="2"/>
    </i>
    <i r="2">
      <x v="3"/>
    </i>
    <i r="2">
      <x v="4"/>
    </i>
    <i t="default" r="1">
      <x v="2"/>
    </i>
    <i r="1">
      <x v="3"/>
      <x/>
    </i>
    <i r="2">
      <x v="1"/>
    </i>
    <i r="2">
      <x v="2"/>
    </i>
    <i r="2">
      <x v="3"/>
    </i>
    <i r="2">
      <x v="4"/>
    </i>
    <i r="2">
      <x v="5"/>
    </i>
    <i t="default" r="1">
      <x v="3"/>
    </i>
    <i t="default">
      <x v="2"/>
    </i>
    <i t="grand">
      <x/>
    </i>
  </rowItems>
  <colFields count="1">
    <field x="-2"/>
  </colFields>
  <colItems count="6">
    <i>
      <x/>
    </i>
    <i i="1">
      <x v="1"/>
    </i>
    <i i="2">
      <x v="2"/>
    </i>
    <i i="3">
      <x v="3"/>
    </i>
    <i i="4">
      <x v="4"/>
    </i>
    <i i="5">
      <x v="5"/>
    </i>
  </colItems>
  <dataFields count="6">
    <dataField name="Count of B Total Gain" fld="47" subtotal="count" baseField="0" baseItem="0"/>
    <dataField name="Count of B Total Loss" fld="62" subtotal="count" baseField="21" baseItem="1"/>
    <dataField name="Count of B Total Net" fld="81" subtotal="count" baseField="0" baseItem="0"/>
    <dataField name="Sum of B Total Gain2" fld="47" baseField="21" baseItem="1"/>
    <dataField name="Sum of B Total Loss" fld="62" baseField="0" baseItem="0"/>
    <dataField name="Sum of B Total Net2" fld="81" baseField="21" baseItem="1"/>
  </dataFields>
  <formats count="1">
    <format dxfId="14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9:L10" firstHeaderRow="0" firstDataRow="1" firstDataCol="0" rowPageCount="7"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7">
    <pageField fld="0" item="0" hier="-1"/>
    <pageField fld="117" hier="-1"/>
    <pageField fld="118" hier="-1"/>
    <pageField fld="120" hier="-1"/>
    <pageField fld="122" hier="-1"/>
    <pageField fld="124" hier="-1"/>
    <pageField fld="125" item="0"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9:L10" firstHeaderRow="0" firstDataRow="1" firstDataCol="0" rowPageCount="7"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7">
    <pageField fld="0" item="0" hier="-1"/>
    <pageField fld="117" item="1" hier="-1"/>
    <pageField fld="118" item="1" hier="-1"/>
    <pageField fld="120" item="1" hier="-1"/>
    <pageField fld="122" item="1" hier="-1"/>
    <pageField fld="124" item="1" hier="-1"/>
    <pageField fld="125" item="1"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3:L4" firstHeaderRow="0" firstDataRow="1" firstDataCol="0" rowPageCount="1"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
    <pageField fld="0" item="0"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item="0" hier="-1"/>
    <pageField fld="118"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hier="-1"/>
    <pageField fld="118" item="0"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hier="-1"/>
    <pageField fld="118" hier="-1"/>
    <pageField fld="125" hier="-1"/>
    <pageField fld="120" item="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hier="-1"/>
    <pageField fld="118" hier="-1"/>
    <pageField fld="125" hier="-1"/>
    <pageField fld="120" hier="-1"/>
    <pageField fld="124" hier="-1"/>
    <pageField fld="122" item="0"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hier="-1"/>
    <pageField fld="118" hier="-1"/>
    <pageField fld="125" hier="-1"/>
    <pageField fld="120" hier="-1"/>
    <pageField fld="124" item="0"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hier="-1"/>
    <pageField fld="118" hier="-1"/>
    <pageField fld="125" item="0"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item="1" hier="-1"/>
    <pageField fld="118" item="1" hier="-1"/>
    <pageField fld="125" item="1" hier="-1"/>
    <pageField fld="120" item="1" hier="-1"/>
    <pageField fld="124" item="1" hier="-1"/>
    <pageField fld="122" item="1"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I70" firstHeaderRow="0" firstDataRow="1" firstDataCol="3"/>
  <pivotFields count="134">
    <pivotField axis="axisRow" compact="0" outline="0" subtotalTop="0" showAll="0">
      <items count="5">
        <item x="0"/>
        <item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axis="axisRow" compact="0" outline="0" subtotalTop="0" showAll="0">
      <items count="4">
        <item x="0"/>
        <item x="1"/>
        <item x="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dataField="1"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dataField="1"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3">
    <field x="0"/>
    <field x="1"/>
    <field x="23"/>
  </rowFields>
  <rowItems count="69">
    <i>
      <x/>
      <x v="1"/>
      <x/>
    </i>
    <i r="2">
      <x v="1"/>
    </i>
    <i r="2">
      <x v="2"/>
    </i>
    <i t="default" r="1">
      <x v="1"/>
    </i>
    <i r="1">
      <x v="3"/>
      <x/>
    </i>
    <i r="2">
      <x v="1"/>
    </i>
    <i r="2">
      <x v="2"/>
    </i>
    <i t="default" r="1">
      <x v="3"/>
    </i>
    <i r="1">
      <x v="4"/>
      <x/>
    </i>
    <i r="2">
      <x v="1"/>
    </i>
    <i r="2">
      <x v="2"/>
    </i>
    <i t="default" r="1">
      <x v="4"/>
    </i>
    <i t="default">
      <x/>
    </i>
    <i>
      <x v="1"/>
      <x v="1"/>
      <x/>
    </i>
    <i r="2">
      <x v="1"/>
    </i>
    <i r="2">
      <x v="2"/>
    </i>
    <i t="default" r="1">
      <x v="1"/>
    </i>
    <i r="1">
      <x v="3"/>
      <x/>
    </i>
    <i r="2">
      <x v="1"/>
    </i>
    <i r="2">
      <x v="2"/>
    </i>
    <i t="default" r="1">
      <x v="3"/>
    </i>
    <i r="1">
      <x v="4"/>
      <x/>
    </i>
    <i r="2">
      <x v="1"/>
    </i>
    <i r="2">
      <x v="2"/>
    </i>
    <i t="default" r="1">
      <x v="4"/>
    </i>
    <i t="default">
      <x v="1"/>
    </i>
    <i>
      <x v="2"/>
      <x v="1"/>
      <x/>
    </i>
    <i r="2">
      <x v="1"/>
    </i>
    <i r="2">
      <x v="2"/>
    </i>
    <i t="default" r="1">
      <x v="1"/>
    </i>
    <i r="1">
      <x v="2"/>
      <x/>
    </i>
    <i r="2">
      <x v="1"/>
    </i>
    <i r="2">
      <x v="2"/>
    </i>
    <i t="default" r="1">
      <x v="2"/>
    </i>
    <i r="1">
      <x v="3"/>
      <x/>
    </i>
    <i r="2">
      <x v="1"/>
    </i>
    <i r="2">
      <x v="2"/>
    </i>
    <i t="default" r="1">
      <x v="3"/>
    </i>
    <i r="1">
      <x v="4"/>
      <x/>
    </i>
    <i r="2">
      <x v="1"/>
    </i>
    <i r="2">
      <x v="2"/>
    </i>
    <i t="default" r="1">
      <x v="4"/>
    </i>
    <i t="default">
      <x v="2"/>
    </i>
    <i>
      <x v="3"/>
      <x/>
      <x/>
    </i>
    <i r="2">
      <x v="1"/>
    </i>
    <i r="2">
      <x v="2"/>
    </i>
    <i t="default" r="1">
      <x/>
    </i>
    <i r="1">
      <x v="1"/>
      <x/>
    </i>
    <i r="2">
      <x v="1"/>
    </i>
    <i r="2">
      <x v="2"/>
    </i>
    <i t="default" r="1">
      <x v="1"/>
    </i>
    <i r="1">
      <x v="2"/>
      <x/>
    </i>
    <i r="2">
      <x v="1"/>
    </i>
    <i r="2">
      <x v="2"/>
    </i>
    <i t="default" r="1">
      <x v="2"/>
    </i>
    <i r="1">
      <x v="3"/>
      <x/>
    </i>
    <i r="2">
      <x v="1"/>
    </i>
    <i r="2">
      <x v="2"/>
    </i>
    <i t="default" r="1">
      <x v="3"/>
    </i>
    <i r="1">
      <x v="4"/>
      <x/>
    </i>
    <i r="2">
      <x v="1"/>
    </i>
    <i r="2">
      <x v="2"/>
    </i>
    <i t="default" r="1">
      <x v="4"/>
    </i>
    <i r="1">
      <x v="5"/>
      <x/>
    </i>
    <i r="2">
      <x v="1"/>
    </i>
    <i r="2">
      <x v="2"/>
    </i>
    <i t="default" r="1">
      <x v="5"/>
    </i>
    <i t="default">
      <x v="3"/>
    </i>
    <i t="grand">
      <x/>
    </i>
  </rowItems>
  <colFields count="1">
    <field x="-2"/>
  </colFields>
  <colItems count="6">
    <i>
      <x/>
    </i>
    <i i="1">
      <x v="1"/>
    </i>
    <i i="2">
      <x v="2"/>
    </i>
    <i i="3">
      <x v="3"/>
    </i>
    <i i="4">
      <x v="4"/>
    </i>
    <i i="5">
      <x v="5"/>
    </i>
  </colItems>
  <dataFields count="6">
    <dataField name="Count of B Total Gain" fld="47" subtotal="count" baseField="0" baseItem="0"/>
    <dataField name="Count of B Total Loss" fld="62" subtotal="count" baseField="21" baseItem="1"/>
    <dataField name="Count of B Total Net" fld="81" subtotal="count" baseField="0" baseItem="0"/>
    <dataField name="Sum of B Total Gain2" fld="47" baseField="21" baseItem="1"/>
    <dataField name="Sum of B Total Loss" fld="62" baseField="0" baseItem="0"/>
    <dataField name="Sum of B Total Net2" fld="81" baseField="21" baseItem="1"/>
  </dataFields>
  <formats count="1">
    <format dxfId="14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0" hier="-1"/>
    <pageField fld="82" item="0" hier="-1"/>
    <pageField fld="132" item="0" hier="-1"/>
    <pageField fld="117" hier="-1"/>
    <pageField fld="118"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item="0" hier="-1"/>
    <pageField fld="118"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hier="-1"/>
    <pageField fld="118" item="0"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hier="-1"/>
    <pageField fld="118" hier="-1"/>
    <pageField fld="125" hier="-1"/>
    <pageField fld="120" item="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hier="-1"/>
    <pageField fld="118" hier="-1"/>
    <pageField fld="125" hier="-1"/>
    <pageField fld="120" hier="-1"/>
    <pageField fld="124" hier="-1"/>
    <pageField fld="122" item="0"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hier="-1"/>
    <pageField fld="118" hier="-1"/>
    <pageField fld="125" hier="-1"/>
    <pageField fld="120" hier="-1"/>
    <pageField fld="124" item="0"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2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hier="-1"/>
    <pageField fld="118" hier="-1"/>
    <pageField fld="125" item="0"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item="1" hier="-1"/>
    <pageField fld="118" item="1" hier="-1"/>
    <pageField fld="125" item="1" hier="-1"/>
    <pageField fld="120" item="1" hier="-1"/>
    <pageField fld="124" item="1" hier="-1"/>
    <pageField fld="122" item="1"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1:L12" firstHeaderRow="0" firstDataRow="1" firstDataCol="0" rowPageCount="9"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9">
    <pageField fld="0" item="1" hier="-1"/>
    <pageField fld="82" item="0" hier="-1"/>
    <pageField fld="132" item="0" hier="-1"/>
    <pageField fld="117" hier="-1"/>
    <pageField fld="118"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item="0" hier="-1"/>
    <pageField fld="118"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3"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N22" firstHeaderRow="0" firstDataRow="1" firstDataCol="2"/>
  <pivotFields count="134">
    <pivotField axis="axisRow" compact="0" outline="0" subtotalTop="0" showAll="0">
      <items count="5">
        <item x="0"/>
        <item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outline="0" subtotalTop="0" showAll="0"/>
    <pivotField compact="0" outline="0" showAll="0" defaultSubtota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21">
    <i>
      <x/>
      <x v="1"/>
    </i>
    <i r="1">
      <x v="3"/>
    </i>
    <i r="1">
      <x v="4"/>
    </i>
    <i t="default">
      <x/>
    </i>
    <i>
      <x v="1"/>
      <x v="1"/>
    </i>
    <i r="1">
      <x v="3"/>
    </i>
    <i r="1">
      <x v="4"/>
    </i>
    <i t="default">
      <x v="1"/>
    </i>
    <i>
      <x v="2"/>
      <x v="1"/>
    </i>
    <i r="1">
      <x v="2"/>
    </i>
    <i r="1">
      <x v="3"/>
    </i>
    <i r="1">
      <x v="4"/>
    </i>
    <i t="default">
      <x v="2"/>
    </i>
    <i>
      <x v="3"/>
      <x/>
    </i>
    <i r="1">
      <x v="1"/>
    </i>
    <i r="1">
      <x v="2"/>
    </i>
    <i r="1">
      <x v="3"/>
    </i>
    <i r="1">
      <x v="4"/>
    </i>
    <i r="1">
      <x v="5"/>
    </i>
    <i t="default">
      <x v="3"/>
    </i>
    <i t="grand">
      <x/>
    </i>
  </rowItems>
  <colFields count="1">
    <field x="-2"/>
  </colFields>
  <colItems count="12">
    <i>
      <x/>
    </i>
    <i i="1">
      <x v="1"/>
    </i>
    <i i="2">
      <x v="2"/>
    </i>
    <i i="3">
      <x v="3"/>
    </i>
    <i i="4">
      <x v="4"/>
    </i>
    <i i="5">
      <x v="5"/>
    </i>
    <i i="6">
      <x v="6"/>
    </i>
    <i i="7">
      <x v="7"/>
    </i>
    <i i="8">
      <x v="8"/>
    </i>
    <i i="9">
      <x v="9"/>
    </i>
    <i i="10">
      <x v="10"/>
    </i>
    <i i="11">
      <x v="11"/>
    </i>
  </colItems>
  <dataFields count="12">
    <dataField name="Count of B1a Net" fld="75" subtotal="count" baseField="0" baseItem="0"/>
    <dataField name="Sum of B1a Net2" fld="75" baseField="0" baseItem="0"/>
    <dataField name="Count of B1b Net" fld="77" subtotal="count" baseField="0" baseItem="0"/>
    <dataField name="Sum of B1b Net2" fld="77" baseField="0" baseItem="0"/>
    <dataField name="Count of B1c Net" fld="78" subtotal="count" baseField="0" baseItem="0"/>
    <dataField name="Sum of B1c Net2" fld="78" baseField="0" baseItem="0"/>
    <dataField name="Count of B2 Net" fld="79" subtotal="count" baseField="0" baseItem="0"/>
    <dataField name="Sum of B2 Net2" fld="79" baseField="0" baseItem="0"/>
    <dataField name="Count of B8 Net" fld="80" subtotal="count" baseField="0" baseItem="0"/>
    <dataField name="Sum of B8 Net2" fld="80" baseField="0" baseItem="0"/>
    <dataField name="Count of B Total Net" fld="81" subtotal="count" baseField="0" baseItem="0"/>
    <dataField name="Sum of B Total Net2" fld="81" baseField="0" baseItem="0"/>
  </dataFields>
  <formats count="1">
    <format dxfId="14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hier="-1"/>
    <pageField fld="118" item="0"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hier="-1"/>
    <pageField fld="118" hier="-1"/>
    <pageField fld="125" hier="-1"/>
    <pageField fld="120" item="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hier="-1"/>
    <pageField fld="118" hier="-1"/>
    <pageField fld="125" hier="-1"/>
    <pageField fld="120" hier="-1"/>
    <pageField fld="124" hier="-1"/>
    <pageField fld="122" item="0"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hier="-1"/>
    <pageField fld="118" hier="-1"/>
    <pageField fld="125" hier="-1"/>
    <pageField fld="120" hier="-1"/>
    <pageField fld="124" item="0"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2D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hier="-1"/>
    <pageField fld="118" hier="-1"/>
    <pageField fld="125" item="0"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item="1" hier="-1"/>
    <pageField fld="118" item="1" hier="-1"/>
    <pageField fld="125" item="1" hier="-1"/>
    <pageField fld="120" item="1" hier="-1"/>
    <pageField fld="124" item="1" hier="-1"/>
    <pageField fld="122" item="1"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1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12:L13" firstHeaderRow="0" firstDataRow="1" firstDataCol="0" rowPageCount="10"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axis="axisPage"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10">
    <pageField fld="0" item="2" hier="-1"/>
    <pageField fld="1" item="1" hier="-1"/>
    <pageField fld="82" item="0" hier="-1"/>
    <pageField fld="132" item="0" hier="-1"/>
    <pageField fld="117" hier="-1"/>
    <pageField fld="118" hier="-1"/>
    <pageField fld="125" hier="-1"/>
    <pageField fld="120" hier="-1"/>
    <pageField fld="124" hier="-1"/>
    <pageField fld="122"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0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31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5:F17" firstHeaderRow="1" firstDataRow="1" firstDataCol="5" rowPageCount="3" colPageCount="1"/>
  <pivotFields count="134">
    <pivotField axis="axisPage" compact="0" outline="0" showAll="0" defaultSubtotal="0">
      <items count="4">
        <item x="0"/>
        <item x="3"/>
        <item x="2"/>
        <item x="1"/>
      </items>
    </pivotField>
    <pivotField axis="axisRow" compact="0" outline="0" showAll="0" defaultSubtotal="0">
      <items count="6">
        <item x="4"/>
        <item sd="0" x="0"/>
        <item x="5"/>
        <item x="2"/>
        <item x="3"/>
        <item x="1"/>
      </items>
    </pivotField>
    <pivotField compact="0" outline="0" showAll="0" defaultSubtotal="0"/>
    <pivotField compact="0" outline="0" showAll="0" defaultSubtotal="0"/>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sd="0"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x="75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98">
        <item x="124"/>
        <item x="726"/>
        <item x="713"/>
        <item x="230"/>
        <item x="160"/>
        <item x="354"/>
        <item x="646"/>
        <item x="330"/>
        <item x="231"/>
        <item x="353"/>
        <item x="143"/>
        <item x="50"/>
        <item x="649"/>
        <item x="647"/>
        <item x="326"/>
        <item x="201"/>
        <item x="220"/>
        <item x="485"/>
        <item x="435"/>
        <item x="476"/>
        <item x="236"/>
        <item x="208"/>
        <item x="636"/>
        <item x="69"/>
        <item x="281"/>
        <item x="225"/>
        <item x="51"/>
        <item x="56"/>
        <item x="204"/>
        <item x="643"/>
        <item x="315"/>
        <item x="303"/>
        <item x="190"/>
        <item x="310"/>
        <item x="175"/>
        <item x="308"/>
        <item x="183"/>
        <item x="309"/>
        <item x="151"/>
        <item x="766"/>
        <item x="107"/>
        <item x="139"/>
        <item x="150"/>
        <item x="223"/>
        <item x="790"/>
        <item x="191"/>
        <item x="283"/>
        <item x="660"/>
        <item x="135"/>
        <item x="136"/>
        <item x="453"/>
        <item x="584"/>
        <item x="366"/>
        <item x="498"/>
        <item x="217"/>
        <item x="791"/>
        <item x="531"/>
        <item x="530"/>
        <item x="529"/>
        <item x="528"/>
        <item x="501"/>
        <item x="80"/>
        <item x="144"/>
        <item x="592"/>
        <item x="101"/>
        <item x="743"/>
        <item x="429"/>
        <item x="282"/>
        <item x="127"/>
        <item x="178"/>
        <item x="286"/>
        <item x="6"/>
        <item x="195"/>
        <item x="243"/>
        <item x="609"/>
        <item x="111"/>
        <item x="477"/>
        <item x="352"/>
        <item x="284"/>
        <item x="199"/>
        <item x="181"/>
        <item x="115"/>
        <item x="116"/>
        <item x="114"/>
        <item x="345"/>
        <item x="74"/>
        <item x="30"/>
        <item x="131"/>
        <item x="714"/>
        <item x="537"/>
        <item x="156"/>
        <item x="758"/>
        <item x="67"/>
        <item x="667"/>
        <item x="548"/>
        <item x="77"/>
        <item x="511"/>
        <item x="706"/>
        <item x="262"/>
        <item x="513"/>
        <item x="32"/>
        <item x="251"/>
        <item x="363"/>
        <item x="370"/>
        <item x="307"/>
        <item x="218"/>
        <item x="444"/>
        <item x="155"/>
        <item x="403"/>
        <item x="517"/>
        <item x="443"/>
        <item x="741"/>
        <item x="294"/>
        <item x="700"/>
        <item x="770"/>
        <item x="502"/>
        <item x="359"/>
        <item x="552"/>
        <item x="686"/>
        <item x="764"/>
        <item x="465"/>
        <item x="510"/>
        <item x="246"/>
        <item x="695"/>
        <item x="263"/>
        <item x="742"/>
        <item x="174"/>
        <item x="21"/>
        <item x="108"/>
        <item x="756"/>
        <item x="95"/>
        <item x="408"/>
        <item x="786"/>
        <item x="613"/>
        <item x="707"/>
        <item x="311"/>
        <item x="9"/>
        <item x="664"/>
        <item x="569"/>
        <item x="570"/>
        <item x="670"/>
        <item x="419"/>
        <item x="68"/>
        <item x="58"/>
        <item x="551"/>
        <item x="778"/>
        <item x="340"/>
        <item x="152"/>
        <item x="73"/>
        <item x="731"/>
        <item x="415"/>
        <item x="681"/>
        <item x="321"/>
        <item x="788"/>
        <item x="341"/>
        <item x="276"/>
        <item x="267"/>
        <item x="397"/>
        <item x="623"/>
        <item x="586"/>
        <item x="616"/>
        <item x="334"/>
        <item x="72"/>
        <item x="60"/>
        <item x="462"/>
        <item x="763"/>
        <item x="683"/>
        <item x="672"/>
        <item x="768"/>
        <item x="159"/>
        <item x="685"/>
        <item x="767"/>
        <item x="545"/>
        <item x="606"/>
        <item x="563"/>
        <item x="603"/>
        <item x="526"/>
        <item x="597"/>
        <item x="489"/>
        <item x="547"/>
        <item x="521"/>
        <item x="171"/>
        <item x="555"/>
        <item x="699"/>
        <item x="500"/>
        <item x="632"/>
        <item x="559"/>
        <item x="482"/>
        <item x="248"/>
        <item x="431"/>
        <item x="357"/>
        <item x="440"/>
        <item x="534"/>
        <item x="460"/>
        <item x="91"/>
        <item x="661"/>
        <item x="680"/>
        <item x="325"/>
        <item x="516"/>
        <item x="532"/>
        <item x="779"/>
        <item x="447"/>
        <item x="165"/>
        <item x="654"/>
        <item x="717"/>
        <item x="546"/>
        <item x="302"/>
        <item x="614"/>
        <item x="724"/>
        <item x="306"/>
        <item x="211"/>
        <item x="666"/>
        <item x="402"/>
        <item x="291"/>
        <item x="395"/>
        <item x="565"/>
        <item x="506"/>
        <item x="164"/>
        <item x="110"/>
        <item x="604"/>
        <item x="375"/>
        <item x="300"/>
        <item x="739"/>
        <item x="97"/>
        <item x="749"/>
        <item x="16"/>
        <item x="23"/>
        <item x="703"/>
        <item x="785"/>
        <item x="35"/>
        <item x="167"/>
        <item x="31"/>
        <item x="657"/>
        <item x="384"/>
        <item x="757"/>
        <item x="765"/>
        <item x="496"/>
        <item x="71"/>
        <item x="541"/>
        <item x="49"/>
        <item x="123"/>
        <item x="378"/>
        <item x="572"/>
        <item x="618"/>
        <item x="729"/>
        <item x="349"/>
        <item x="590"/>
        <item x="14"/>
        <item x="515"/>
        <item x="509"/>
        <item x="216"/>
        <item x="213"/>
        <item x="736"/>
        <item x="94"/>
        <item x="255"/>
        <item x="42"/>
        <item x="319"/>
        <item x="702"/>
        <item x="671"/>
        <item x="673"/>
        <item x="725"/>
        <item x="63"/>
        <item x="712"/>
        <item x="679"/>
        <item x="740"/>
        <item x="730"/>
        <item x="718"/>
        <item x="318"/>
        <item x="635"/>
        <item x="549"/>
        <item x="333"/>
        <item x="621"/>
        <item x="755"/>
        <item x="324"/>
        <item x="663"/>
        <item x="22"/>
        <item x="53"/>
        <item x="599"/>
        <item x="637"/>
        <item x="696"/>
        <item x="331"/>
        <item x="64"/>
        <item x="684"/>
        <item x="692"/>
        <item x="591"/>
        <item x="52"/>
        <item x="602"/>
        <item x="360"/>
        <item x="78"/>
        <item x="728"/>
        <item x="356"/>
        <item x="313"/>
        <item x="562"/>
        <item x="708"/>
        <item x="65"/>
        <item x="250"/>
        <item x="232"/>
        <item x="653"/>
        <item x="172"/>
        <item x="76"/>
        <item x="568"/>
        <item x="525"/>
        <item x="721"/>
        <item x="600"/>
        <item x="421"/>
        <item x="761"/>
        <item x="219"/>
        <item x="439"/>
        <item x="119"/>
        <item x="610"/>
        <item x="504"/>
        <item x="39"/>
        <item x="759"/>
        <item x="430"/>
        <item x="734"/>
        <item x="688"/>
        <item x="792"/>
        <item x="522"/>
        <item x="385"/>
        <item x="129"/>
        <item x="593"/>
        <item x="456"/>
        <item x="237"/>
        <item x="781"/>
        <item x="173"/>
        <item x="298"/>
        <item x="398"/>
        <item x="505"/>
        <item x="634"/>
        <item x="715"/>
        <item x="238"/>
        <item x="412"/>
        <item x="43"/>
        <item x="750"/>
        <item x="153"/>
        <item x="720"/>
        <item x="322"/>
        <item x="289"/>
        <item x="305"/>
        <item x="84"/>
        <item x="553"/>
        <item x="258"/>
        <item x="394"/>
        <item x="658"/>
        <item x="304"/>
        <item x="126"/>
        <item x="148"/>
        <item x="214"/>
        <item x="542"/>
        <item x="576"/>
        <item x="92"/>
        <item x="639"/>
        <item x="337"/>
        <item x="254"/>
        <item x="413"/>
        <item x="473"/>
        <item x="484"/>
        <item x="745"/>
        <item x="539"/>
        <item x="316"/>
        <item x="746"/>
        <item x="432"/>
        <item x="198"/>
        <item x="619"/>
        <item x="163"/>
        <item x="196"/>
        <item x="104"/>
        <item x="228"/>
        <item x="682"/>
        <item x="607"/>
        <item x="125"/>
        <item x="339"/>
        <item x="361"/>
        <item x="257"/>
        <item x="629"/>
        <item x="698"/>
        <item x="351"/>
        <item x="782"/>
        <item x="17"/>
        <item x="640"/>
        <item x="347"/>
        <item x="405"/>
        <item x="47"/>
        <item x="350"/>
        <item x="4"/>
        <item x="478"/>
        <item x="314"/>
        <item x="676"/>
        <item x="564"/>
        <item x="367"/>
        <item x="210"/>
        <item x="102"/>
        <item x="694"/>
        <item x="748"/>
        <item x="710"/>
        <item x="732"/>
        <item x="10"/>
        <item x="520"/>
        <item x="519"/>
        <item x="480"/>
        <item x="441"/>
        <item x="166"/>
        <item x="82"/>
        <item x="463"/>
        <item x="438"/>
        <item x="417"/>
        <item x="100"/>
        <item x="377"/>
        <item x="188"/>
        <item x="416"/>
        <item x="642"/>
        <item x="280"/>
        <item x="753"/>
        <item x="751"/>
        <item x="170"/>
        <item x="379"/>
        <item x="344"/>
        <item x="567"/>
        <item x="617"/>
        <item x="34"/>
        <item x="158"/>
        <item x="705"/>
        <item x="747"/>
        <item x="418"/>
        <item x="147"/>
        <item x="90"/>
        <item x="240"/>
        <item x="133"/>
        <item x="574"/>
        <item x="540"/>
        <item x="687"/>
        <item x="605"/>
        <item x="373"/>
        <item x="524"/>
        <item x="348"/>
        <item x="454"/>
        <item x="122"/>
        <item x="735"/>
        <item x="575"/>
        <item x="630"/>
        <item x="783"/>
        <item x="752"/>
        <item x="631"/>
        <item x="41"/>
        <item x="85"/>
        <item x="487"/>
        <item x="296"/>
        <item x="446"/>
        <item x="499"/>
        <item x="98"/>
        <item x="414"/>
        <item x="338"/>
        <item x="475"/>
        <item x="209"/>
        <item x="269"/>
        <item x="202"/>
        <item x="317"/>
        <item x="470"/>
        <item x="40"/>
        <item x="88"/>
        <item x="434"/>
        <item x="410"/>
        <item x="719"/>
        <item x="711"/>
        <item x="271"/>
        <item x="140"/>
        <item x="25"/>
        <item x="142"/>
        <item x="733"/>
        <item x="588"/>
        <item x="259"/>
        <item x="479"/>
        <item x="346"/>
        <item x="290"/>
        <item x="244"/>
        <item x="471"/>
        <item x="362"/>
        <item x="701"/>
        <item x="103"/>
        <item x="229"/>
        <item x="37"/>
        <item x="87"/>
        <item x="96"/>
        <item x="668"/>
        <item x="427"/>
        <item x="448"/>
        <item x="381"/>
        <item x="86"/>
        <item x="154"/>
        <item x="769"/>
        <item x="536"/>
        <item x="518"/>
        <item x="744"/>
        <item x="589"/>
        <item x="538"/>
        <item x="55"/>
        <item x="533"/>
        <item x="411"/>
        <item x="364"/>
        <item x="491"/>
        <item x="266"/>
        <item x="137"/>
        <item x="11"/>
        <item x="249"/>
        <item x="508"/>
        <item x="716"/>
        <item x="273"/>
        <item x="46"/>
        <item x="20"/>
        <item x="335"/>
        <item x="292"/>
        <item x="27"/>
        <item x="556"/>
        <item x="193"/>
        <item x="285"/>
        <item x="146"/>
        <item x="494"/>
        <item x="399"/>
        <item x="488"/>
        <item x="777"/>
        <item x="328"/>
        <item x="161"/>
        <item x="241"/>
        <item x="404"/>
        <item x="265"/>
        <item x="612"/>
        <item x="207"/>
        <item x="295"/>
        <item x="793"/>
        <item x="486"/>
        <item x="235"/>
        <item x="44"/>
        <item x="503"/>
        <item x="550"/>
        <item x="449"/>
        <item x="389"/>
        <item x="332"/>
        <item x="497"/>
        <item x="625"/>
        <item x="62"/>
        <item x="433"/>
        <item x="512"/>
        <item x="472"/>
        <item x="336"/>
        <item x="145"/>
        <item x="66"/>
        <item x="450"/>
        <item x="157"/>
        <item x="278"/>
        <item x="253"/>
        <item x="452"/>
        <item x="59"/>
        <item x="693"/>
        <item x="795"/>
        <item x="38"/>
        <item x="638"/>
        <item x="789"/>
        <item x="669"/>
        <item x="132"/>
        <item x="112"/>
        <item x="15"/>
        <item x="187"/>
        <item x="655"/>
        <item x="75"/>
        <item x="662"/>
        <item x="507"/>
        <item x="677"/>
        <item x="760"/>
        <item x="320"/>
        <item x="420"/>
        <item x="121"/>
        <item x="493"/>
        <item x="81"/>
        <item x="689"/>
        <item x="543"/>
        <item x="113"/>
        <item x="566"/>
        <item x="577"/>
        <item x="369"/>
        <item x="659"/>
        <item x="212"/>
        <item x="585"/>
        <item x="205"/>
        <item x="691"/>
        <item x="329"/>
        <item x="260"/>
        <item x="268"/>
        <item x="70"/>
        <item x="3"/>
        <item x="79"/>
        <item x="587"/>
        <item x="628"/>
        <item x="611"/>
        <item x="200"/>
        <item x="365"/>
        <item x="99"/>
        <item x="445"/>
        <item x="656"/>
        <item x="514"/>
        <item x="342"/>
        <item x="327"/>
        <item x="560"/>
        <item x="197"/>
        <item x="215"/>
        <item x="8"/>
        <item x="206"/>
        <item x="469"/>
        <item x="134"/>
        <item x="492"/>
        <item x="358"/>
        <item x="490"/>
        <item x="0"/>
        <item x="19"/>
        <item x="1"/>
        <item x="261"/>
        <item x="297"/>
        <item x="194"/>
        <item x="118"/>
        <item x="29"/>
        <item x="179"/>
        <item x="93"/>
        <item x="89"/>
        <item x="527"/>
        <item x="464"/>
        <item x="400"/>
        <item x="428"/>
        <item x="396"/>
        <item x="495"/>
        <item x="277"/>
        <item x="239"/>
        <item x="293"/>
        <item x="601"/>
        <item x="57"/>
        <item x="459"/>
        <item x="523"/>
        <item x="474"/>
        <item x="138"/>
        <item x="697"/>
        <item x="323"/>
        <item x="192"/>
        <item x="376"/>
        <item x="274"/>
        <item x="561"/>
        <item x="650"/>
        <item x="387"/>
        <item x="481"/>
        <item x="128"/>
        <item x="598"/>
        <item x="312"/>
        <item x="36"/>
        <item x="780"/>
        <item x="620"/>
        <item x="437"/>
        <item x="665"/>
        <item x="738"/>
        <item x="61"/>
        <item x="458"/>
        <item x="595"/>
        <item x="704"/>
        <item x="386"/>
        <item x="787"/>
        <item x="674"/>
        <item x="279"/>
        <item x="557"/>
        <item x="383"/>
        <item x="455"/>
        <item x="571"/>
        <item x="7"/>
        <item x="422"/>
        <item x="644"/>
        <item x="406"/>
        <item x="645"/>
        <item x="426"/>
        <item x="558"/>
        <item x="355"/>
        <item x="409"/>
        <item x="737"/>
        <item x="424"/>
        <item x="579"/>
        <item x="275"/>
        <item x="203"/>
        <item x="392"/>
        <item x="466"/>
        <item x="372"/>
        <item x="391"/>
        <item x="242"/>
        <item x="652"/>
        <item x="483"/>
        <item x="776"/>
        <item x="594"/>
        <item x="774"/>
        <item x="772"/>
        <item x="580"/>
        <item x="775"/>
        <item x="299"/>
        <item x="648"/>
        <item x="771"/>
        <item x="596"/>
        <item x="544"/>
        <item x="83"/>
        <item x="169"/>
        <item x="252"/>
        <item x="374"/>
        <item x="457"/>
        <item x="234"/>
        <item x="581"/>
        <item x="675"/>
        <item x="773"/>
        <item x="221"/>
        <item x="467"/>
        <item x="380"/>
        <item x="651"/>
        <item x="33"/>
        <item x="425"/>
        <item x="451"/>
        <item x="423"/>
        <item x="727"/>
        <item x="762"/>
        <item x="233"/>
        <item x="633"/>
        <item x="141"/>
        <item x="245"/>
        <item x="436"/>
        <item x="723"/>
        <item x="48"/>
        <item x="578"/>
        <item x="382"/>
        <item x="583"/>
        <item x="690"/>
        <item x="18"/>
        <item x="582"/>
        <item x="573"/>
        <item x="45"/>
        <item x="554"/>
        <item x="226"/>
        <item x="227"/>
        <item x="184"/>
        <item x="176"/>
        <item x="270"/>
        <item x="754"/>
        <item x="222"/>
        <item x="180"/>
        <item x="120"/>
        <item x="182"/>
        <item x="130"/>
        <item x="461"/>
        <item x="615"/>
        <item x="224"/>
        <item x="109"/>
        <item x="247"/>
        <item x="26"/>
        <item x="393"/>
        <item x="5"/>
        <item x="13"/>
        <item x="117"/>
        <item x="794"/>
        <item x="709"/>
        <item x="722"/>
        <item x="535"/>
        <item x="641"/>
        <item x="388"/>
        <item x="301"/>
        <item x="784"/>
        <item x="401"/>
        <item x="407"/>
        <item x="149"/>
        <item x="627"/>
        <item x="185"/>
        <item x="12"/>
        <item x="24"/>
        <item x="287"/>
        <item x="368"/>
        <item x="189"/>
        <item x="28"/>
        <item x="468"/>
        <item x="272"/>
        <item x="105"/>
        <item x="371"/>
        <item x="106"/>
        <item x="186"/>
        <item x="256"/>
        <item x="168"/>
        <item x="54"/>
        <item x="678"/>
        <item x="608"/>
        <item x="2"/>
        <item x="264"/>
        <item x="626"/>
        <item x="622"/>
        <item x="442"/>
        <item x="624"/>
        <item x="796"/>
        <item x="343"/>
        <item x="177"/>
        <item x="390"/>
        <item x="288"/>
        <item x="162"/>
        <item x="79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axis="axisPage" compact="0" outline="0" showAll="0" defaultSubtotal="0">
      <items count="2">
        <item x="0"/>
        <item x="1"/>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2">
        <item x="1"/>
        <item x="0"/>
      </items>
    </pivotField>
    <pivotField axis="axisRow" compact="0" outline="0" showAll="0" defaultSubtotal="0">
      <items count="7">
        <item x="5"/>
        <item x="6"/>
        <item x="1"/>
        <item x="2"/>
        <item x="3"/>
        <item x="4"/>
        <item x="0"/>
      </items>
    </pivotField>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11"/>
    <field x="5"/>
    <field x="21"/>
    <field x="126"/>
    <field x="1"/>
  </rowFields>
  <rowItems count="12">
    <i>
      <x v="34"/>
      <x v="432"/>
      <x v="102"/>
      <x v="4"/>
      <x v="1"/>
    </i>
    <i>
      <x v="60"/>
      <x v="364"/>
      <x v="726"/>
      <x v="5"/>
      <x v="3"/>
    </i>
    <i>
      <x v="72"/>
      <x v="66"/>
      <x v="681"/>
      <x v="3"/>
      <x v="3"/>
    </i>
    <i>
      <x v="83"/>
      <x v="374"/>
      <x v="644"/>
      <x v="5"/>
      <x v="3"/>
    </i>
    <i>
      <x v="96"/>
      <x v="364"/>
      <x v="664"/>
      <x v="5"/>
      <x v="3"/>
    </i>
    <i>
      <x v="107"/>
      <x v="3"/>
      <x v="668"/>
      <x v="4"/>
      <x v="3"/>
    </i>
    <i>
      <x v="149"/>
      <x v="218"/>
      <x v="665"/>
      <x v="2"/>
      <x v="3"/>
    </i>
    <i>
      <x v="301"/>
      <x v="594"/>
      <x v="205"/>
      <x v="3"/>
      <x v="1"/>
    </i>
    <i>
      <x v="455"/>
      <x v="144"/>
      <x v="585"/>
      <x v="3"/>
      <x v="1"/>
    </i>
    <i>
      <x v="516"/>
      <x v="212"/>
      <x v="274"/>
      <x/>
      <x v="1"/>
    </i>
    <i>
      <x v="568"/>
      <x v="734"/>
      <x v="196"/>
      <x v="4"/>
      <x v="1"/>
    </i>
    <i t="grand">
      <x/>
    </i>
  </rowItems>
  <colItems count="1">
    <i/>
  </colItems>
  <pageFields count="3">
    <pageField fld="0" item="0" hier="-1"/>
    <pageField fld="125" item="0" hier="-1"/>
    <pageField fld="76" item="1" hier="-1"/>
  </pageFields>
  <dataFields count="1">
    <dataField name="Sum of B1a Net" fld="75" baseField="0" baseItem="2551368"/>
  </dataFields>
  <formats count="1">
    <format dxfId="10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19" firstHeaderRow="0" firstDataRow="1" firstDataCol="2" rowPageCount="6" colPageCount="1"/>
  <pivotFields count="134">
    <pivotField axis="axisRow" compact="0" multipleItemSelectionAllowed="1" showAll="0">
      <items count="5">
        <item h="1" x="0"/>
        <item sd="0"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11">
    <i>
      <x v="1"/>
    </i>
    <i>
      <x v="2"/>
    </i>
    <i r="1">
      <x v="1"/>
    </i>
    <i r="1">
      <x v="2"/>
    </i>
    <i r="1">
      <x v="3"/>
    </i>
    <i>
      <x v="3"/>
    </i>
    <i r="1">
      <x/>
    </i>
    <i r="1">
      <x v="1"/>
    </i>
    <i r="1">
      <x v="3"/>
    </i>
    <i r="1">
      <x v="5"/>
    </i>
    <i t="grand">
      <x/>
    </i>
  </rowItems>
  <colFields count="1">
    <field x="-2"/>
  </colFields>
  <colItems count="2">
    <i>
      <x/>
    </i>
    <i i="1">
      <x v="1"/>
    </i>
  </colItems>
  <pageFields count="6">
    <pageField fld="117" item="0" hier="-1"/>
    <pageField fld="118" hier="-1"/>
    <pageField fld="125" hier="-1"/>
    <pageField fld="120" hier="-1"/>
    <pageField fld="124" hier="-1"/>
    <pageField fld="122" hier="-1"/>
  </pageFields>
  <dataFields count="2">
    <dataField name="Count of B Total Net" fld="81" subtotal="count" baseField="0" baseItem="0"/>
    <dataField name="Sum of B Total Net2" fld="81" baseField="0" baseItem="1"/>
  </dataFields>
  <formats count="1">
    <format dxfId="10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16"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8">
    <i>
      <x v="1"/>
    </i>
    <i r="1">
      <x v="1"/>
    </i>
    <i>
      <x v="2"/>
    </i>
    <i r="1">
      <x v="1"/>
    </i>
    <i r="1">
      <x v="3"/>
    </i>
    <i>
      <x v="3"/>
    </i>
    <i r="1">
      <x/>
    </i>
    <i t="grand">
      <x/>
    </i>
  </rowItems>
  <colFields count="1">
    <field x="-2"/>
  </colFields>
  <colItems count="2">
    <i>
      <x/>
    </i>
    <i i="1">
      <x v="1"/>
    </i>
  </colItems>
  <pageFields count="6">
    <pageField fld="117" hier="-1"/>
    <pageField fld="118" item="0" hier="-1"/>
    <pageField fld="125" hier="-1"/>
    <pageField fld="120" hier="-1"/>
    <pageField fld="124" hier="-1"/>
    <pageField fld="122" hier="-1"/>
  </pageFields>
  <dataFields count="2">
    <dataField name="Count of B Total Net" fld="81" subtotal="count" baseField="0" baseItem="0"/>
    <dataField name="Sum of B Total Net2" fld="81" baseField="0" baseItem="1"/>
  </dataFields>
  <formats count="1">
    <format dxfId="10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4"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K4" firstHeaderRow="0" firstDataRow="1" firstDataCol="0" rowPageCount="1" colPageCount="1"/>
  <pivotFields count="134">
    <pivotField axis="axisPage" compact="0" outline="0" subtotalTop="0" showAll="0">
      <items count="5">
        <item x="0"/>
        <item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dataField="1" compact="0" outline="0" showAll="0" defaultSubtotal="0"/>
    <pivotField dataField="1" compact="0" numFmtId="3" outline="0" subtotalTop="0" showAll="0"/>
    <pivotField dataField="1" compact="0" numFmtId="3" outline="0" subtotalTop="0" showAll="0"/>
    <pivotField dataField="1"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dataField="1"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Items count="1">
    <i/>
  </rowItems>
  <colFields count="1">
    <field x="-2"/>
  </colFields>
  <colItems count="11">
    <i>
      <x/>
    </i>
    <i i="1">
      <x v="1"/>
    </i>
    <i i="2">
      <x v="2"/>
    </i>
    <i i="3">
      <x v="3"/>
    </i>
    <i i="4">
      <x v="4"/>
    </i>
    <i i="5">
      <x v="5"/>
    </i>
    <i i="6">
      <x v="6"/>
    </i>
    <i i="7">
      <x v="7"/>
    </i>
    <i i="8">
      <x v="8"/>
    </i>
    <i i="9">
      <x v="9"/>
    </i>
    <i i="10">
      <x v="10"/>
    </i>
  </colItems>
  <pageFields count="1">
    <pageField fld="0" item="0" hier="-1"/>
  </pageFields>
  <dataFields count="11">
    <dataField name="Count of B1 Total Gain" fld="44" subtotal="count" baseField="0" baseItem="0"/>
    <dataField name="Sum of B1 Total Gain2" fld="44" baseField="0" baseItem="1"/>
    <dataField name="Count of B2 Gain" fld="45" subtotal="count" baseField="0" baseItem="0"/>
    <dataField name="Sum of B2 Gain2" fld="45" baseField="0" baseItem="1"/>
    <dataField name="Count of B8 Gain" fld="46" subtotal="count" baseField="0" baseItem="0"/>
    <dataField name="Sum of B8 Gain2" fld="46" baseField="0" baseItem="1"/>
    <dataField name="Count of B Total Gain" fld="47" subtotal="count" baseField="0" baseItem="0"/>
    <dataField name="Sum of B Total Gain2" fld="47" baseField="0" baseItem="1"/>
    <dataField name="Count of B Total Loss" fld="62" subtotal="count" baseField="0" baseItem="0"/>
    <dataField name="Sum of B Total Loss2" fld="62" baseField="0" baseItem="6"/>
    <dataField name="Sum of B Total Net" fld="81" baseField="0" baseItem="1"/>
  </dataFields>
  <formats count="1">
    <format dxfId="14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35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16"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8">
    <i>
      <x v="1"/>
    </i>
    <i r="1">
      <x v="1"/>
    </i>
    <i>
      <x v="2"/>
    </i>
    <i r="1">
      <x v="1"/>
    </i>
    <i r="1">
      <x v="3"/>
    </i>
    <i>
      <x v="3"/>
    </i>
    <i r="1">
      <x v="1"/>
    </i>
    <i t="grand">
      <x/>
    </i>
  </rowItems>
  <colFields count="1">
    <field x="-2"/>
  </colFields>
  <colItems count="2">
    <i>
      <x/>
    </i>
    <i i="1">
      <x v="1"/>
    </i>
  </colItems>
  <pageFields count="6">
    <pageField fld="117" hier="-1"/>
    <pageField fld="118" hier="-1"/>
    <pageField fld="125" hier="-1"/>
    <pageField fld="120" item="0" hier="-1"/>
    <pageField fld="124" hier="-1"/>
    <pageField fld="122" hier="-1"/>
  </pageFields>
  <dataFields count="2">
    <dataField name="Count of B Total Net" fld="81" subtotal="count" baseField="0" baseItem="0"/>
    <dataField name="Sum of B Total Net2" fld="81" baseField="0" baseItem="1"/>
  </dataFields>
  <formats count="1">
    <format dxfId="10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36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16"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8">
    <i>
      <x v="1"/>
    </i>
    <i r="1">
      <x v="1"/>
    </i>
    <i>
      <x v="2"/>
    </i>
    <i r="1">
      <x v="1"/>
    </i>
    <i r="1">
      <x v="3"/>
    </i>
    <i>
      <x v="3"/>
    </i>
    <i r="1">
      <x v="1"/>
    </i>
    <i t="grand">
      <x/>
    </i>
  </rowItems>
  <colFields count="1">
    <field x="-2"/>
  </colFields>
  <colItems count="2">
    <i>
      <x/>
    </i>
    <i i="1">
      <x v="1"/>
    </i>
  </colItems>
  <pageFields count="6">
    <pageField fld="117" hier="-1"/>
    <pageField fld="118" hier="-1"/>
    <pageField fld="125" hier="-1"/>
    <pageField fld="120" hier="-1"/>
    <pageField fld="124" hier="-1"/>
    <pageField fld="122" item="0" hier="-1"/>
  </pageFields>
  <dataFields count="2">
    <dataField name="Count of B Total Net" fld="81" subtotal="count" baseField="0" baseItem="0"/>
    <dataField name="Sum of B Total Net2" fld="81" baseField="0" baseItem="1"/>
  </dataFields>
  <formats count="1">
    <format dxfId="10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37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19"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11">
    <i>
      <x v="1"/>
    </i>
    <i r="1">
      <x v="1"/>
    </i>
    <i r="1">
      <x v="3"/>
    </i>
    <i>
      <x v="2"/>
    </i>
    <i r="1">
      <x v="1"/>
    </i>
    <i r="1">
      <x v="2"/>
    </i>
    <i r="1">
      <x v="3"/>
    </i>
    <i>
      <x v="3"/>
    </i>
    <i r="1">
      <x/>
    </i>
    <i r="1">
      <x v="1"/>
    </i>
    <i t="grand">
      <x/>
    </i>
  </rowItems>
  <colFields count="1">
    <field x="-2"/>
  </colFields>
  <colItems count="2">
    <i>
      <x/>
    </i>
    <i i="1">
      <x v="1"/>
    </i>
  </colItems>
  <pageFields count="6">
    <pageField fld="117" hier="-1"/>
    <pageField fld="118" hier="-1"/>
    <pageField fld="125" hier="-1"/>
    <pageField fld="120" hier="-1"/>
    <pageField fld="124" item="0" hier="-1"/>
    <pageField fld="122" hier="-1"/>
  </pageFields>
  <dataFields count="2">
    <dataField name="Count of B Total Net" fld="81" subtotal="count" baseField="0" baseItem="0"/>
    <dataField name="Sum of B Total Net2" fld="81" baseField="0" baseItem="1"/>
  </dataFields>
  <formats count="1">
    <format dxfId="10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38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22"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14">
    <i>
      <x v="1"/>
    </i>
    <i r="1">
      <x v="1"/>
    </i>
    <i r="1">
      <x v="3"/>
    </i>
    <i>
      <x v="2"/>
    </i>
    <i r="1">
      <x v="1"/>
    </i>
    <i r="1">
      <x v="2"/>
    </i>
    <i r="1">
      <x v="3"/>
    </i>
    <i r="1">
      <x v="4"/>
    </i>
    <i>
      <x v="3"/>
    </i>
    <i r="1">
      <x/>
    </i>
    <i r="1">
      <x v="1"/>
    </i>
    <i r="1">
      <x v="3"/>
    </i>
    <i r="1">
      <x v="5"/>
    </i>
    <i t="grand">
      <x/>
    </i>
  </rowItems>
  <colFields count="1">
    <field x="-2"/>
  </colFields>
  <colItems count="2">
    <i>
      <x/>
    </i>
    <i i="1">
      <x v="1"/>
    </i>
  </colItems>
  <pageFields count="6">
    <pageField fld="117" hier="-1"/>
    <pageField fld="118" hier="-1"/>
    <pageField fld="125" item="0" hier="-1"/>
    <pageField fld="120" hier="-1"/>
    <pageField fld="124" hier="-1"/>
    <pageField fld="122" hier="-1"/>
  </pageFields>
  <dataFields count="2">
    <dataField name="Count of B Total Net" fld="81" subtotal="count" baseField="0" baseItem="0"/>
    <dataField name="Sum of B Total Net2" fld="81" baseField="0" baseItem="1"/>
  </dataFields>
  <formats count="1">
    <format dxfId="10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39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25"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17">
    <i>
      <x v="1"/>
    </i>
    <i r="1">
      <x v="1"/>
    </i>
    <i r="1">
      <x v="3"/>
    </i>
    <i r="1">
      <x v="4"/>
    </i>
    <i>
      <x v="2"/>
    </i>
    <i r="1">
      <x v="1"/>
    </i>
    <i r="1">
      <x v="2"/>
    </i>
    <i r="1">
      <x v="3"/>
    </i>
    <i r="1">
      <x v="4"/>
    </i>
    <i>
      <x v="3"/>
    </i>
    <i r="1">
      <x/>
    </i>
    <i r="1">
      <x v="1"/>
    </i>
    <i r="1">
      <x v="2"/>
    </i>
    <i r="1">
      <x v="3"/>
    </i>
    <i r="1">
      <x v="4"/>
    </i>
    <i r="1">
      <x v="5"/>
    </i>
    <i t="grand">
      <x/>
    </i>
  </rowItems>
  <colFields count="1">
    <field x="-2"/>
  </colFields>
  <colItems count="2">
    <i>
      <x/>
    </i>
    <i i="1">
      <x v="1"/>
    </i>
  </colItems>
  <pageFields count="6">
    <pageField fld="117" item="1" hier="-1"/>
    <pageField fld="118" item="1" hier="-1"/>
    <pageField fld="125" item="1" hier="-1"/>
    <pageField fld="120" item="1" hier="-1"/>
    <pageField fld="124" item="1" hier="-1"/>
    <pageField fld="122" item="1" hier="-1"/>
  </pageFields>
  <dataFields count="2">
    <dataField name="Count of B Total Net" fld="81" subtotal="count" baseField="0" baseItem="0"/>
    <dataField name="Sum of B Total Net2" fld="81" baseField="0" baseItem="1"/>
  </dataFields>
  <formats count="1">
    <format dxfId="10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3A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8:D25" firstHeaderRow="0" firstDataRow="1" firstDataCol="2" rowPageCount="6" colPageCount="1"/>
  <pivotFields count="134">
    <pivotField axis="axisRow" compact="0" multipleItemSelectionAllowed="1" showAll="0">
      <items count="5">
        <item h="1" x="0"/>
        <item x="3"/>
        <item x="2"/>
        <item x="1"/>
        <item t="default"/>
      </items>
      <extLst>
        <ext xmlns:x14="http://schemas.microsoft.com/office/spreadsheetml/2009/9/main" uri="{2946ED86-A175-432a-8AC1-64E0C546D7DE}">
          <x14:pivotField fillDownLabels="1"/>
        </ext>
      </extLst>
    </pivotField>
    <pivotField axis="axisRow" compact="0" showAll="0">
      <items count="7">
        <item x="4"/>
        <item x="0"/>
        <item x="5"/>
        <item x="2"/>
        <item x="3"/>
        <item x="1"/>
        <item t="default"/>
      </items>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Fields count="2">
    <field x="0"/>
    <field x="1"/>
  </rowFields>
  <rowItems count="17">
    <i>
      <x v="1"/>
    </i>
    <i r="1">
      <x v="1"/>
    </i>
    <i r="1">
      <x v="3"/>
    </i>
    <i r="1">
      <x v="4"/>
    </i>
    <i>
      <x v="2"/>
    </i>
    <i r="1">
      <x v="1"/>
    </i>
    <i r="1">
      <x v="2"/>
    </i>
    <i r="1">
      <x v="3"/>
    </i>
    <i r="1">
      <x v="4"/>
    </i>
    <i>
      <x v="3"/>
    </i>
    <i r="1">
      <x/>
    </i>
    <i r="1">
      <x v="1"/>
    </i>
    <i r="1">
      <x v="2"/>
    </i>
    <i r="1">
      <x v="3"/>
    </i>
    <i r="1">
      <x v="4"/>
    </i>
    <i r="1">
      <x v="5"/>
    </i>
    <i t="grand">
      <x/>
    </i>
  </rowItems>
  <colFields count="1">
    <field x="-2"/>
  </colFields>
  <colItems count="2">
    <i>
      <x/>
    </i>
    <i i="1">
      <x v="1"/>
    </i>
  </colItems>
  <pageFields count="6">
    <pageField fld="117" hier="-1"/>
    <pageField fld="118" hier="-1"/>
    <pageField fld="125" hier="-1"/>
    <pageField fld="120" hier="-1"/>
    <pageField fld="124" hier="-1"/>
    <pageField fld="122" hier="-1"/>
  </pageFields>
  <dataFields count="2">
    <dataField name="Count of B Total Net" fld="81" subtotal="count" baseField="0" baseItem="0"/>
    <dataField name="Sum of B Total Net2" fld="81" baseField="0" baseItem="1"/>
  </dataFields>
  <formats count="1">
    <format dxfId="10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3C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H16" firstHeaderRow="0" firstDataRow="1" firstDataCol="2"/>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1">
    <field x="-2"/>
  </colFields>
  <colItems count="6">
    <i>
      <x/>
    </i>
    <i i="1">
      <x v="1"/>
    </i>
    <i i="2">
      <x v="2"/>
    </i>
    <i i="3">
      <x v="3"/>
    </i>
    <i i="4">
      <x v="4"/>
    </i>
    <i i="5">
      <x v="5"/>
    </i>
  </colItems>
  <dataFields count="6">
    <dataField name="Count of A Total Gain" fld="40" subtotal="count" baseField="0" baseItem="0"/>
    <dataField name="Count of A Total Loss" fld="56" subtotal="count" baseField="0" baseItem="0"/>
    <dataField name="Count of A Total Net" fld="74" subtotal="count" baseField="0" baseItem="0"/>
    <dataField name="Sum of A Total Gain2" fld="40" baseField="1" baseItem="1"/>
    <dataField name="Sum of A Total Loss2" fld="56" baseField="1" baseItem="1"/>
    <dataField name="Sum of A Total Net2" fld="74" baseField="1" baseItem="1"/>
  </dataFields>
  <formats count="1">
    <format dxfId="9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3E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N17" firstHeaderRow="0" firstDataRow="1" firstDataCol="2" rowPageCount="2" colPageCount="1"/>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3">
    <i>
      <x/>
    </i>
    <i>
      <x v="1"/>
    </i>
    <i>
      <x v="2"/>
      <x v="1"/>
    </i>
    <i r="1">
      <x v="2"/>
    </i>
    <i r="1">
      <x v="3"/>
    </i>
    <i r="1">
      <x v="4"/>
    </i>
    <i t="default">
      <x v="2"/>
    </i>
    <i>
      <x v="3"/>
      <x/>
    </i>
    <i r="1">
      <x v="1"/>
    </i>
    <i r="1">
      <x v="3"/>
    </i>
    <i r="1">
      <x v="5"/>
    </i>
    <i t="default">
      <x v="3"/>
    </i>
    <i t="grand">
      <x/>
    </i>
  </rowItems>
  <colFields count="1">
    <field x="-2"/>
  </colFields>
  <colItems count="12">
    <i>
      <x/>
    </i>
    <i i="1">
      <x v="1"/>
    </i>
    <i i="2">
      <x v="2"/>
    </i>
    <i i="3">
      <x v="3"/>
    </i>
    <i i="4">
      <x v="4"/>
    </i>
    <i i="5">
      <x v="5"/>
    </i>
    <i i="6">
      <x v="6"/>
    </i>
    <i i="7">
      <x v="7"/>
    </i>
    <i i="8">
      <x v="8"/>
    </i>
    <i i="9">
      <x v="9"/>
    </i>
    <i i="10">
      <x v="10"/>
    </i>
    <i i="11">
      <x v="11"/>
    </i>
  </colItems>
  <pageFields count="2">
    <pageField fld="125" item="0" hier="-1"/>
    <pageField fld="127" hier="-1"/>
  </pageFields>
  <dataFields count="12">
    <dataField name="Count of A1 Net" fld="69" subtotal="count" baseField="0" baseItem="0"/>
    <dataField name="Sum of A1 Net2" fld="69" baseField="0" baseItem="0"/>
    <dataField name="Count of A2 Net" fld="70" subtotal="count" baseField="0" baseItem="0"/>
    <dataField name="Sum of A2 Net2" fld="70" baseField="0" baseItem="0"/>
    <dataField name="Count of A3 Net" fld="71" subtotal="count" baseField="0" baseItem="0"/>
    <dataField name="Sum of A3 Net2" fld="71" baseField="0" baseItem="0"/>
    <dataField name="Count of A4 Net" fld="72" subtotal="count" baseField="0" baseItem="0"/>
    <dataField name="Sum of A4 Net2" fld="72" baseField="0" baseItem="0"/>
    <dataField name="Count of A5 Net" fld="73" subtotal="count" baseField="0" baseItem="0"/>
    <dataField name="Sum of A5 Net2" fld="73" baseField="0" baseItem="0"/>
    <dataField name="Count of A Total Net" fld="74" subtotal="count" baseField="0" baseItem="0"/>
    <dataField name="Sum of A Total Net2" fld="74" baseField="1" baseItem="1"/>
  </dataFields>
  <formats count="1">
    <format dxfId="9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3F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N14" firstHeaderRow="0" firstDataRow="1" firstDataCol="2" rowPageCount="2" colPageCount="1"/>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0">
    <i>
      <x/>
    </i>
    <i>
      <x v="1"/>
    </i>
    <i>
      <x v="2"/>
      <x v="1"/>
    </i>
    <i r="1">
      <x v="3"/>
    </i>
    <i r="1">
      <x v="4"/>
    </i>
    <i t="default">
      <x v="2"/>
    </i>
    <i>
      <x v="3"/>
      <x v="1"/>
    </i>
    <i r="1">
      <x v="3"/>
    </i>
    <i t="default">
      <x v="3"/>
    </i>
    <i t="grand">
      <x/>
    </i>
  </rowItems>
  <colFields count="1">
    <field x="-2"/>
  </colFields>
  <colItems count="12">
    <i>
      <x/>
    </i>
    <i i="1">
      <x v="1"/>
    </i>
    <i i="2">
      <x v="2"/>
    </i>
    <i i="3">
      <x v="3"/>
    </i>
    <i i="4">
      <x v="4"/>
    </i>
    <i i="5">
      <x v="5"/>
    </i>
    <i i="6">
      <x v="6"/>
    </i>
    <i i="7">
      <x v="7"/>
    </i>
    <i i="8">
      <x v="8"/>
    </i>
    <i i="9">
      <x v="9"/>
    </i>
    <i i="10">
      <x v="10"/>
    </i>
    <i i="11">
      <x v="11"/>
    </i>
  </colItems>
  <pageFields count="2">
    <pageField fld="125" hier="-1"/>
    <pageField fld="127" item="0" hier="-1"/>
  </pageFields>
  <dataFields count="12">
    <dataField name="Count of A1 Net" fld="69" subtotal="count" baseField="0" baseItem="0"/>
    <dataField name="Sum of A1 Net2" fld="69" baseField="0" baseItem="0"/>
    <dataField name="Count of A2 Net" fld="70" subtotal="count" baseField="0" baseItem="0"/>
    <dataField name="Sum of A2 Net2" fld="70" baseField="0" baseItem="0"/>
    <dataField name="Count of A3 Net" fld="71" subtotal="count" baseField="0" baseItem="0"/>
    <dataField name="Sum of A3 Net2" fld="71" baseField="0" baseItem="0"/>
    <dataField name="Count of A4 Net" fld="72" subtotal="count" baseField="0" baseItem="0"/>
    <dataField name="Sum of A4 Net2" fld="72" baseField="0" baseItem="0"/>
    <dataField name="Count of A5 Net" fld="73" subtotal="count" baseField="0" baseItem="0"/>
    <dataField name="Sum of A5 Net2" fld="73" baseField="0" baseItem="0"/>
    <dataField name="Count of A Total Net" fld="74" subtotal="count" baseField="0" baseItem="0"/>
    <dataField name="Sum of A Total Net2" fld="74" baseField="1" baseItem="1"/>
  </dataFields>
  <formats count="1">
    <format dxfId="9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40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N19" firstHeaderRow="0" firstDataRow="1" firstDataCol="2" rowPageCount="2" colPageCount="1"/>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1">
    <field x="-2"/>
  </colFields>
  <colItems count="12">
    <i>
      <x/>
    </i>
    <i i="1">
      <x v="1"/>
    </i>
    <i i="2">
      <x v="2"/>
    </i>
    <i i="3">
      <x v="3"/>
    </i>
    <i i="4">
      <x v="4"/>
    </i>
    <i i="5">
      <x v="5"/>
    </i>
    <i i="6">
      <x v="6"/>
    </i>
    <i i="7">
      <x v="7"/>
    </i>
    <i i="8">
      <x v="8"/>
    </i>
    <i i="9">
      <x v="9"/>
    </i>
    <i i="10">
      <x v="10"/>
    </i>
    <i i="11">
      <x v="11"/>
    </i>
  </colItems>
  <pageFields count="2">
    <pageField fld="125" item="1" hier="-1"/>
    <pageField fld="127" item="1" hier="-1"/>
  </pageFields>
  <dataFields count="12">
    <dataField name="Count of A1 Net" fld="69" subtotal="count" baseField="0" baseItem="0"/>
    <dataField name="Sum of A1 Net2" fld="69" baseField="0" baseItem="0"/>
    <dataField name="Count of A2 Net" fld="70" subtotal="count" baseField="0" baseItem="0"/>
    <dataField name="Sum of A2 Net2" fld="70" baseField="0" baseItem="0"/>
    <dataField name="Count of A3 Net" fld="71" subtotal="count" baseField="0" baseItem="0"/>
    <dataField name="Sum of A3 Net2" fld="71" baseField="0" baseItem="0"/>
    <dataField name="Count of A4 Net" fld="72" subtotal="count" baseField="0" baseItem="0"/>
    <dataField name="Sum of A4 Net2" fld="72" baseField="0" baseItem="0"/>
    <dataField name="Count of A5 Net" fld="73" subtotal="count" baseField="0" baseItem="0"/>
    <dataField name="Sum of A5 Net2" fld="73" baseField="0" baseItem="0"/>
    <dataField name="Count of A Total Net" fld="74" subtotal="count" baseField="0" baseItem="0"/>
    <dataField name="Sum of A Total Net2" fld="74" baseField="1" baseItem="1"/>
  </dataFields>
  <formats count="1">
    <format dxfId="9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4:L5" firstHeaderRow="0" firstDataRow="1" firstDataCol="0" rowPageCount="2"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2">
    <pageField fld="0" item="0" hier="-1"/>
    <pageField fld="117" item="0"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4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42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M10" firstHeaderRow="0" firstDataRow="1" firstDataCol="1" rowPageCount="1"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8">
        <item x="5"/>
        <item x="6"/>
        <item x="1"/>
        <item x="2"/>
        <item x="3"/>
        <item x="4"/>
        <item h="1" x="0"/>
        <item t="default"/>
      </items>
    </pivotField>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1">
    <field x="126"/>
  </rowFields>
  <rowItems count="7">
    <i>
      <x/>
    </i>
    <i>
      <x v="1"/>
    </i>
    <i>
      <x v="2"/>
    </i>
    <i>
      <x v="3"/>
    </i>
    <i>
      <x v="4"/>
    </i>
    <i>
      <x v="5"/>
    </i>
    <i t="grand">
      <x/>
    </i>
  </rowItems>
  <colFields count="1">
    <field x="-2"/>
  </colFields>
  <colItems count="12">
    <i>
      <x/>
    </i>
    <i i="1">
      <x v="1"/>
    </i>
    <i i="2">
      <x v="2"/>
    </i>
    <i i="3">
      <x v="3"/>
    </i>
    <i i="4">
      <x v="4"/>
    </i>
    <i i="5">
      <x v="5"/>
    </i>
    <i i="6">
      <x v="6"/>
    </i>
    <i i="7">
      <x v="7"/>
    </i>
    <i i="8">
      <x v="8"/>
    </i>
    <i i="9">
      <x v="9"/>
    </i>
    <i i="10">
      <x v="10"/>
    </i>
    <i i="11">
      <x v="11"/>
    </i>
  </colItems>
  <pageFields count="1">
    <pageField fld="0" item="0" hier="-1"/>
  </pageFields>
  <dataFields count="12">
    <dataField name="Count of A1 Net" fld="69" subtotal="count" baseField="0" baseItem="0"/>
    <dataField name="Sum of A1 Net2" fld="69" baseField="0" baseItem="0"/>
    <dataField name="Count of A2 Net" fld="70" subtotal="count" baseField="0" baseItem="0"/>
    <dataField name="Sum of A2 Net2" fld="70" baseField="0" baseItem="0"/>
    <dataField name="Count of A3 Net" fld="71" subtotal="count" baseField="0" baseItem="0"/>
    <dataField name="Sum of A3 Net2" fld="71" baseField="0" baseItem="0"/>
    <dataField name="Count of A4 Net" fld="72" subtotal="count" baseField="0" baseItem="0"/>
    <dataField name="Sum of A4 Net2" fld="72" baseField="0" baseItem="0"/>
    <dataField name="Count of A5 Net" fld="73" subtotal="count" baseField="0" baseItem="0"/>
    <dataField name="Sum of A5 Net2" fld="73" baseField="0" baseItem="0"/>
    <dataField name="Count of A Total Net" fld="74" subtotal="count" baseField="0" baseItem="0"/>
    <dataField name="Sum of A Total Net2" fld="74" baseField="1" baseItem="1"/>
  </dataFields>
  <formats count="1">
    <format dxfId="9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43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L5" firstHeaderRow="0" firstDataRow="1" firstDataCol="0" rowPageCount="2"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Items count="1">
    <i/>
  </rowItems>
  <colFields count="1">
    <field x="-2"/>
  </colFields>
  <colItems count="12">
    <i>
      <x/>
    </i>
    <i i="1">
      <x v="1"/>
    </i>
    <i i="2">
      <x v="2"/>
    </i>
    <i i="3">
      <x v="3"/>
    </i>
    <i i="4">
      <x v="4"/>
    </i>
    <i i="5">
      <x v="5"/>
    </i>
    <i i="6">
      <x v="6"/>
    </i>
    <i i="7">
      <x v="7"/>
    </i>
    <i i="8">
      <x v="8"/>
    </i>
    <i i="9">
      <x v="9"/>
    </i>
    <i i="10">
      <x v="10"/>
    </i>
    <i i="11">
      <x v="11"/>
    </i>
  </colItems>
  <pageFields count="2">
    <pageField fld="0" item="0" hier="-1"/>
    <pageField fld="127" item="0" hier="-1"/>
  </pageFields>
  <dataFields count="12">
    <dataField name="Count of A1 Net" fld="69" subtotal="count" baseField="0" baseItem="0"/>
    <dataField name="Sum of A1 Net2" fld="69" baseField="0" baseItem="0"/>
    <dataField name="Count of A2 Net" fld="70" subtotal="count" baseField="0" baseItem="0"/>
    <dataField name="Sum of A2 Net2" fld="70" baseField="0" baseItem="0"/>
    <dataField name="Count of A3 Net" fld="71" subtotal="count" baseField="0" baseItem="0"/>
    <dataField name="Sum of A3 Net2" fld="71" baseField="0" baseItem="0"/>
    <dataField name="Count of A4 Net" fld="72" subtotal="count" baseField="0" baseItem="0"/>
    <dataField name="Sum of A4 Net2" fld="72" baseField="0" baseItem="0"/>
    <dataField name="Count of A5 Net" fld="73" subtotal="count" baseField="0" baseItem="0"/>
    <dataField name="Sum of A5 Net2" fld="73" baseField="0" baseItem="0"/>
    <dataField name="Count of A Total Net" fld="74" subtotal="count" baseField="0" baseItem="0"/>
    <dataField name="Sum of A Total Net2" fld="74" baseField="1" baseItem="1"/>
  </dataFields>
  <formats count="1">
    <format dxfId="9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45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G7" firstHeaderRow="0" firstDataRow="1" firstDataCol="1" rowPageCount="1"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3">
        <item x="1"/>
        <item x="0"/>
        <item t="default"/>
      </items>
    </pivotField>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1">
    <field x="125"/>
  </rowFields>
  <rowItems count="3">
    <i>
      <x/>
    </i>
    <i>
      <x v="1"/>
    </i>
    <i t="grand">
      <x/>
    </i>
  </rowItems>
  <colFields count="1">
    <field x="-2"/>
  </colFields>
  <colItems count="6">
    <i>
      <x/>
    </i>
    <i i="1">
      <x v="1"/>
    </i>
    <i i="2">
      <x v="2"/>
    </i>
    <i i="3">
      <x v="3"/>
    </i>
    <i i="4">
      <x v="4"/>
    </i>
    <i i="5">
      <x v="5"/>
    </i>
  </colItems>
  <pageFields count="1">
    <pageField fld="0" item="0" hier="-1"/>
  </pageFields>
  <dataFields count="6">
    <dataField name="Sum of A1 Gain" fld="35" baseField="129" baseItem="0"/>
    <dataField name="Sum of A2 Gain" fld="36" baseField="129" baseItem="0"/>
    <dataField name="Sum of A3 Gain" fld="37" baseField="129" baseItem="0"/>
    <dataField name="Sum of A4 Gain" fld="38" baseField="129" baseItem="0"/>
    <dataField name="Sum of A5 Gain" fld="39" baseField="129" baseItem="0"/>
    <dataField name="Sum of A Total Gain" fld="40" baseField="129" baseItem="0"/>
  </dataFields>
  <formats count="1">
    <format dxfId="9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47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C10" firstHeaderRow="0" firstDataRow="1" firstDataCol="1" rowPageCount="1"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8">
        <item x="5"/>
        <item x="6"/>
        <item x="1"/>
        <item x="2"/>
        <item x="3"/>
        <item x="4"/>
        <item h="1" x="0"/>
        <item t="default"/>
      </items>
    </pivotField>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1">
    <field x="126"/>
  </rowFields>
  <rowItems count="7">
    <i>
      <x/>
    </i>
    <i>
      <x v="1"/>
    </i>
    <i>
      <x v="2"/>
    </i>
    <i>
      <x v="3"/>
    </i>
    <i>
      <x v="4"/>
    </i>
    <i>
      <x v="5"/>
    </i>
    <i t="grand">
      <x/>
    </i>
  </rowItems>
  <colFields count="1">
    <field x="-2"/>
  </colFields>
  <colItems count="2">
    <i>
      <x/>
    </i>
    <i i="1">
      <x v="1"/>
    </i>
  </colItems>
  <pageFields count="1">
    <pageField fld="0" item="0" hier="-1"/>
  </pageFields>
  <dataFields count="2">
    <dataField name="Count of A Total Gain" fld="40" subtotal="count" baseField="0" baseItem="0"/>
    <dataField name="Sum of A Total Gain" fld="40" baseField="129" baseItem="0"/>
  </dataFields>
  <formats count="1">
    <format dxfId="9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49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E54" firstHeaderRow="0" firstDataRow="1" firstDataCol="3"/>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8">
        <item x="5"/>
        <item x="6"/>
        <item x="1"/>
        <item x="2"/>
        <item x="3"/>
        <item x="4"/>
        <item h="1" x="0"/>
        <item t="default"/>
      </items>
    </pivotField>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3">
    <field x="126"/>
    <field x="0"/>
    <field x="1"/>
  </rowFields>
  <rowItems count="51">
    <i>
      <x/>
      <x/>
    </i>
    <i r="1">
      <x v="1"/>
    </i>
    <i r="1">
      <x v="2"/>
      <x v="1"/>
    </i>
    <i r="2">
      <x v="3"/>
    </i>
    <i t="default" r="1">
      <x v="2"/>
    </i>
    <i r="1">
      <x v="3"/>
      <x v="1"/>
    </i>
    <i t="default" r="1">
      <x v="3"/>
    </i>
    <i t="default">
      <x/>
    </i>
    <i>
      <x v="1"/>
      <x/>
    </i>
    <i r="1">
      <x v="1"/>
    </i>
    <i r="1">
      <x v="2"/>
      <x v="1"/>
    </i>
    <i r="2">
      <x v="2"/>
    </i>
    <i t="default" r="1">
      <x v="2"/>
    </i>
    <i t="default">
      <x v="1"/>
    </i>
    <i>
      <x v="2"/>
      <x/>
    </i>
    <i r="1">
      <x v="1"/>
    </i>
    <i r="1">
      <x v="2"/>
      <x v="1"/>
    </i>
    <i r="2">
      <x v="3"/>
    </i>
    <i t="default" r="1">
      <x v="2"/>
    </i>
    <i r="1">
      <x v="3"/>
      <x/>
    </i>
    <i r="2">
      <x v="1"/>
    </i>
    <i r="2">
      <x v="5"/>
    </i>
    <i t="default" r="1">
      <x v="3"/>
    </i>
    <i t="default">
      <x v="2"/>
    </i>
    <i>
      <x v="3"/>
      <x/>
    </i>
    <i r="1">
      <x v="1"/>
    </i>
    <i r="1">
      <x v="2"/>
      <x v="1"/>
    </i>
    <i r="2">
      <x v="3"/>
    </i>
    <i t="default" r="1">
      <x v="2"/>
    </i>
    <i r="1">
      <x v="3"/>
      <x v="1"/>
    </i>
    <i r="2">
      <x v="3"/>
    </i>
    <i t="default" r="1">
      <x v="3"/>
    </i>
    <i t="default">
      <x v="3"/>
    </i>
    <i>
      <x v="4"/>
      <x/>
    </i>
    <i r="1">
      <x v="1"/>
    </i>
    <i r="1">
      <x v="2"/>
      <x v="1"/>
    </i>
    <i r="2">
      <x v="3"/>
    </i>
    <i r="2">
      <x v="4"/>
    </i>
    <i t="default" r="1">
      <x v="2"/>
    </i>
    <i r="1">
      <x v="3"/>
      <x v="1"/>
    </i>
    <i t="default" r="1">
      <x v="3"/>
    </i>
    <i t="default">
      <x v="4"/>
    </i>
    <i>
      <x v="5"/>
      <x/>
    </i>
    <i r="1">
      <x v="1"/>
    </i>
    <i r="1">
      <x v="2"/>
      <x v="1"/>
    </i>
    <i r="2">
      <x v="3"/>
    </i>
    <i t="default" r="1">
      <x v="2"/>
    </i>
    <i r="1">
      <x v="3"/>
      <x v="1"/>
    </i>
    <i t="default" r="1">
      <x v="3"/>
    </i>
    <i t="default">
      <x v="5"/>
    </i>
    <i t="grand">
      <x/>
    </i>
  </rowItems>
  <colFields count="1">
    <field x="-2"/>
  </colFields>
  <colItems count="2">
    <i>
      <x/>
    </i>
    <i i="1">
      <x v="1"/>
    </i>
  </colItems>
  <dataFields count="2">
    <dataField name="Count of A Total Net" fld="74" subtotal="count" baseField="0" baseItem="0"/>
    <dataField name="Sum of A Total Net2" fld="74" baseField="0" baseItem="0"/>
  </dataFields>
  <formats count="1">
    <format dxfId="9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4B00-000000000000}" name="PivotTable1"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H16" firstHeaderRow="0" firstDataRow="1" firstDataCol="2"/>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dataField="1"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dataField="1"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1">
    <field x="-2"/>
  </colFields>
  <colItems count="6">
    <i>
      <x/>
    </i>
    <i i="1">
      <x v="1"/>
    </i>
    <i i="2">
      <x v="2"/>
    </i>
    <i i="3">
      <x v="3"/>
    </i>
    <i i="4">
      <x v="4"/>
    </i>
    <i i="5">
      <x v="5"/>
    </i>
  </colItems>
  <dataFields count="6">
    <dataField name="Count of D Total Gain" fld="50" subtotal="count" baseField="0" baseItem="0"/>
    <dataField name="Count of D Total Loss" fld="65" subtotal="count" baseField="0" baseItem="0"/>
    <dataField name="Count of D Total Net" fld="86" subtotal="count" baseField="0" baseItem="0"/>
    <dataField name="Sum of D Total Gain2" fld="50" baseField="0" baseItem="0"/>
    <dataField name="Sum of D Total Loss2" fld="65" baseField="0" baseItem="0"/>
    <dataField name="Sum of D Total Net2" fld="86" baseField="0" baseItem="0"/>
  </dataFields>
  <formats count="1">
    <format dxfId="9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4D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H17" firstHeaderRow="0" firstDataRow="1" firstDataCol="2" rowPageCount="2" colPageCount="1"/>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3">
    <i>
      <x/>
    </i>
    <i>
      <x v="1"/>
    </i>
    <i>
      <x v="2"/>
      <x v="1"/>
    </i>
    <i r="1">
      <x v="2"/>
    </i>
    <i r="1">
      <x v="3"/>
    </i>
    <i r="1">
      <x v="4"/>
    </i>
    <i t="default">
      <x v="2"/>
    </i>
    <i>
      <x v="3"/>
      <x/>
    </i>
    <i r="1">
      <x v="1"/>
    </i>
    <i r="1">
      <x v="3"/>
    </i>
    <i r="1">
      <x v="5"/>
    </i>
    <i t="default">
      <x v="3"/>
    </i>
    <i t="grand">
      <x/>
    </i>
  </rowItems>
  <colFields count="1">
    <field x="-2"/>
  </colFields>
  <colItems count="6">
    <i>
      <x/>
    </i>
    <i i="1">
      <x v="1"/>
    </i>
    <i i="2">
      <x v="2"/>
    </i>
    <i i="3">
      <x v="3"/>
    </i>
    <i i="4">
      <x v="4"/>
    </i>
    <i i="5">
      <x v="5"/>
    </i>
  </colItems>
  <pageFields count="2">
    <pageField fld="125" item="0" hier="-1"/>
    <pageField fld="127" hier="-1"/>
  </pageFields>
  <dataFields count="6">
    <dataField name="Count of D1 Net" fld="84" subtotal="count" baseField="0" baseItem="0"/>
    <dataField name="Sum of D1 Net2" fld="84" baseField="0" baseItem="0"/>
    <dataField name="Count of D2 Net" fld="85" subtotal="count" baseField="0" baseItem="0"/>
    <dataField name="Sum of D2 Net2" fld="85" baseField="0" baseItem="0"/>
    <dataField name="Count of D Total Net" fld="86" subtotal="count" baseField="0" baseItem="0"/>
    <dataField name="Sum of D Total Net2" fld="86" baseField="0" baseItem="0"/>
  </dataFields>
  <formats count="1">
    <format dxfId="8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4E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H14" firstHeaderRow="0" firstDataRow="1" firstDataCol="2" rowPageCount="2" colPageCount="1"/>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0">
    <i>
      <x/>
    </i>
    <i>
      <x v="1"/>
    </i>
    <i>
      <x v="2"/>
      <x v="1"/>
    </i>
    <i r="1">
      <x v="3"/>
    </i>
    <i r="1">
      <x v="4"/>
    </i>
    <i t="default">
      <x v="2"/>
    </i>
    <i>
      <x v="3"/>
      <x v="1"/>
    </i>
    <i r="1">
      <x v="3"/>
    </i>
    <i t="default">
      <x v="3"/>
    </i>
    <i t="grand">
      <x/>
    </i>
  </rowItems>
  <colFields count="1">
    <field x="-2"/>
  </colFields>
  <colItems count="6">
    <i>
      <x/>
    </i>
    <i i="1">
      <x v="1"/>
    </i>
    <i i="2">
      <x v="2"/>
    </i>
    <i i="3">
      <x v="3"/>
    </i>
    <i i="4">
      <x v="4"/>
    </i>
    <i i="5">
      <x v="5"/>
    </i>
  </colItems>
  <pageFields count="2">
    <pageField fld="125" hier="-1"/>
    <pageField fld="127" item="0" hier="-1"/>
  </pageFields>
  <dataFields count="6">
    <dataField name="Count of D1 Net" fld="84" subtotal="count" baseField="0" baseItem="0"/>
    <dataField name="Sum of D1 Net2" fld="84" baseField="0" baseItem="0"/>
    <dataField name="Count of D2 Net" fld="85" subtotal="count" baseField="0" baseItem="0"/>
    <dataField name="Sum of D2 Net2" fld="85" baseField="0" baseItem="0"/>
    <dataField name="Count of D Total Net" fld="86" subtotal="count" baseField="0" baseItem="0"/>
    <dataField name="Sum of D Total Net2" fld="86" baseField="0" baseItem="0"/>
  </dataFields>
  <formats count="1">
    <format dxfId="8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4F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4:H19" firstHeaderRow="0" firstDataRow="1" firstDataCol="2" rowPageCount="2" colPageCount="1"/>
  <pivotFields count="134">
    <pivotField axis="axisRow" compact="0" outline="0" subtotalTop="0" showAll="0">
      <items count="5">
        <item sd="0" x="0"/>
        <item sd="0" x="3"/>
        <item x="2"/>
        <item x="1"/>
        <item t="default"/>
      </items>
    </pivotField>
    <pivotField axis="axisRow" compact="0" outline="0" subtotalTop="0" showAll="0">
      <items count="7">
        <item x="4"/>
        <item x="0"/>
        <item x="5"/>
        <item x="2"/>
        <item x="3"/>
        <item x="1"/>
        <item t="default"/>
      </items>
    </pivotField>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dataField="1" compact="0" numFmtId="3" outline="0" subtotalTop="0" showAll="0"/>
    <pivotField dataField="1" compact="0" numFmtId="3" outline="0" subtotalTop="0" showAll="0"/>
    <pivotField dataField="1"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3">
        <item x="1"/>
        <item x="0"/>
        <item t="default"/>
      </items>
    </pivotField>
    <pivotField compact="0" outline="0" subtotalTop="0" showAll="0"/>
    <pivotField axis="axisPage"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1">
    <field x="-2"/>
  </colFields>
  <colItems count="6">
    <i>
      <x/>
    </i>
    <i i="1">
      <x v="1"/>
    </i>
    <i i="2">
      <x v="2"/>
    </i>
    <i i="3">
      <x v="3"/>
    </i>
    <i i="4">
      <x v="4"/>
    </i>
    <i i="5">
      <x v="5"/>
    </i>
  </colItems>
  <pageFields count="2">
    <pageField fld="125" item="1" hier="-1"/>
    <pageField fld="127" item="1" hier="-1"/>
  </pageFields>
  <dataFields count="6">
    <dataField name="Count of D1 Net" fld="84" subtotal="count" baseField="0" baseItem="0"/>
    <dataField name="Sum of D1 Net2" fld="84" baseField="0" baseItem="0"/>
    <dataField name="Count of D2 Net" fld="85" subtotal="count" baseField="0" baseItem="0"/>
    <dataField name="Sum of D2 Net2" fld="85" baseField="0" baseItem="0"/>
    <dataField name="Count of D Total Net" fld="86" subtotal="count" baseField="0" baseItem="0"/>
    <dataField name="Sum of D Total Net2" fld="86" baseField="0" baseItem="0"/>
  </dataFields>
  <formats count="1">
    <format dxfId="8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51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H14" firstHeaderRow="0" firstDataRow="1" firstDataCol="2" rowPageCount="1"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dataField="1" compact="0" numFmtId="3" outline="0" subtotalTop="0" showAll="0"/>
    <pivotField dataField="1"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8">
        <item x="5"/>
        <item x="6"/>
        <item x="1"/>
        <item x="2"/>
        <item x="3"/>
        <item x="4"/>
        <item x="0"/>
        <item t="default"/>
      </items>
    </pivotField>
    <pivotField axis="axisRow" compact="0" outline="0" subtotalTop="0" showAll="0">
      <items count="3">
        <item x="1"/>
        <item x="0"/>
        <item t="default"/>
      </items>
    </pivotField>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2">
    <field x="127"/>
    <field x="126"/>
  </rowFields>
  <rowItems count="11">
    <i>
      <x/>
      <x v="6"/>
    </i>
    <i t="default">
      <x/>
    </i>
    <i>
      <x v="1"/>
      <x/>
    </i>
    <i r="1">
      <x v="1"/>
    </i>
    <i r="1">
      <x v="2"/>
    </i>
    <i r="1">
      <x v="3"/>
    </i>
    <i r="1">
      <x v="4"/>
    </i>
    <i r="1">
      <x v="5"/>
    </i>
    <i r="1">
      <x v="6"/>
    </i>
    <i t="default">
      <x v="1"/>
    </i>
    <i t="grand">
      <x/>
    </i>
  </rowItems>
  <colFields count="1">
    <field x="-2"/>
  </colFields>
  <colItems count="6">
    <i>
      <x/>
    </i>
    <i i="1">
      <x v="1"/>
    </i>
    <i i="2">
      <x v="2"/>
    </i>
    <i i="3">
      <x v="3"/>
    </i>
    <i i="4">
      <x v="4"/>
    </i>
    <i i="5">
      <x v="5"/>
    </i>
  </colItems>
  <pageFields count="1">
    <pageField fld="0" item="0" hier="-1"/>
  </pageFields>
  <dataFields count="6">
    <dataField name="Count of D1 Gain" fld="48" subtotal="count" baseField="0" baseItem="0"/>
    <dataField name="Sum of D1 Gain2" fld="48" baseField="0" baseItem="1"/>
    <dataField name="Count of D2 Gain" fld="49" subtotal="count" baseField="0" baseItem="0"/>
    <dataField name="Sum of D2 Gain" fld="49" baseField="0" baseItem="1"/>
    <dataField name="Count of D Total Gain" fld="50" subtotal="count" baseField="0" baseItem="0"/>
    <dataField name="Sum of D Total Gain2" fld="50" baseField="0" baseItem="1"/>
  </dataFields>
  <formats count="1">
    <format dxfId="8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9:L10" firstHeaderRow="0" firstDataRow="1" firstDataCol="0" rowPageCount="7"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7">
    <pageField fld="0" item="0" hier="-1"/>
    <pageField fld="117" hier="-1"/>
    <pageField fld="118" item="0" hier="-1"/>
    <pageField fld="120" hier="-1"/>
    <pageField fld="122" hier="-1"/>
    <pageField fld="124" hier="-1"/>
    <pageField fld="125"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53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D6" firstHeaderRow="0" firstDataRow="1" firstDataCol="1" rowPageCount="1"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dataField="1" compact="0" numFmtId="3" outline="0" subtotalTop="0" showAll="0"/>
    <pivotField dataField="1"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3">
        <item x="1"/>
        <item x="0"/>
        <item t="default"/>
      </items>
    </pivotField>
    <pivotField compact="0" outline="0" subtotalTop="0" showAll="0"/>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1">
    <field x="125"/>
  </rowFields>
  <rowItems count="3">
    <i>
      <x/>
    </i>
    <i>
      <x v="1"/>
    </i>
    <i t="grand">
      <x/>
    </i>
  </rowItems>
  <colFields count="1">
    <field x="-2"/>
  </colFields>
  <colItems count="3">
    <i>
      <x/>
    </i>
    <i i="1">
      <x v="1"/>
    </i>
    <i i="2">
      <x v="2"/>
    </i>
  </colItems>
  <pageFields count="1">
    <pageField fld="0" item="0" hier="-1"/>
  </pageFields>
  <dataFields count="3">
    <dataField name="Sum of D1 Gain2" fld="48" baseField="0" baseItem="1"/>
    <dataField name="Sum of D2 Gain" fld="49" baseField="0" baseItem="1"/>
    <dataField name="Sum of D Total Gain2" fld="50" baseField="0" baseItem="1"/>
  </dataFields>
  <formats count="1">
    <format dxfId="8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55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3:C10" firstHeaderRow="0" firstDataRow="1" firstDataCol="1" rowPageCount="1" colPageCount="1"/>
  <pivotFields count="134">
    <pivotField axis="axisPage" compact="0" outline="0" subtotalTop="0" showAll="0">
      <items count="5">
        <item sd="0" x="0"/>
        <item sd="0" x="3"/>
        <item x="2"/>
        <item x="1"/>
        <item t="default"/>
      </items>
    </pivotField>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compact="0" outline="0" showAll="0" defaultSubtotal="0"/>
    <pivotField compact="0" numFmtId="3" outline="0" subtotalTop="0" showAll="0"/>
    <pivotField compact="0" numFmtId="3" outline="0" subtotalTop="0" showAll="0"/>
    <pivotField compact="0" outline="0" subtotalTop="0" showAll="0"/>
    <pivotField compact="0" numFmtId="3" outline="0" subtotalTop="0" showAll="0"/>
    <pivotField compact="0" numFmtId="3" outline="0" subtotalTop="0" showAll="0"/>
    <pivotField dataField="1"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howAll="0" defaultSubtotal="0"/>
    <pivotField compact="0" outline="0" showAll="0" defaultSubtota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howAll="0" defaultSubtotal="0"/>
    <pivotField compact="0" numFmtId="3"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numFmtId="3" outline="0" subtotalTop="0" showAll="0"/>
    <pivotField compact="0" numFmtId="3" outline="0" subtotalTop="0" showAll="0"/>
    <pivotField compact="0" numFmtId="3"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65"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8">
        <item x="5"/>
        <item x="6"/>
        <item x="1"/>
        <item x="2"/>
        <item x="3"/>
        <item x="4"/>
        <item h="1" x="0"/>
        <item t="default"/>
      </items>
    </pivotField>
    <pivotField compact="0" outline="0" subtotalTop="0" showAll="0"/>
    <pivotField compact="0" outline="0" subtotalTop="0" showAll="0"/>
    <pivotField compact="0" numFmtId="3" outline="0" subtotalTop="0" showAll="0"/>
    <pivotField compact="0" outline="0" subtotalTop="0" showAll="0"/>
    <pivotField compact="0" outline="0" subtotalTop="0" showAll="0"/>
    <pivotField compact="0" outline="0" subtotalTop="0" showAll="0"/>
    <pivotField compact="0" outline="0" showAll="0" defaultSubtotal="0"/>
  </pivotFields>
  <rowFields count="1">
    <field x="126"/>
  </rowFields>
  <rowItems count="7">
    <i>
      <x/>
    </i>
    <i>
      <x v="1"/>
    </i>
    <i>
      <x v="2"/>
    </i>
    <i>
      <x v="3"/>
    </i>
    <i>
      <x v="4"/>
    </i>
    <i>
      <x v="5"/>
    </i>
    <i t="grand">
      <x/>
    </i>
  </rowItems>
  <colFields count="1">
    <field x="-2"/>
  </colFields>
  <colItems count="2">
    <i>
      <x/>
    </i>
    <i i="1">
      <x v="1"/>
    </i>
  </colItems>
  <pageFields count="1">
    <pageField fld="0" item="0" hier="-1"/>
  </pageFields>
  <dataFields count="2">
    <dataField name="Count of D Total Gain" fld="50" subtotal="count" baseField="0" baseItem="0"/>
    <dataField name="Sum of D Total Gain2" fld="50" baseField="0" baseItem="1"/>
  </dataFields>
  <formats count="1">
    <format dxfId="8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57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E35" firstHeaderRow="0" firstDataRow="1" firstDataCol="3"/>
  <pivotFields count="134">
    <pivotField axis="axisRow" compact="0" outline="0" subtotalTop="0" showAll="0" defaultSubtotal="0">
      <items count="4">
        <item sd="0" x="0"/>
        <item sd="0" x="3"/>
        <item x="2"/>
        <item x="1"/>
      </items>
    </pivotField>
    <pivotField axis="axisRow" compact="0" outline="0" subtotalTop="0" showAll="0" defaultSubtotal="0">
      <items count="6">
        <item x="4"/>
        <item x="0"/>
        <item x="5"/>
        <item x="2"/>
        <item x="3"/>
        <item x="1"/>
      </items>
    </pivotField>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outline="0" subtotalTop="0" showAll="0" defaultSubtotal="0"/>
    <pivotField compact="0" numFmtId="3" outline="0" subtotalTop="0" showAll="0" defaultSubtotal="0"/>
    <pivotField compact="0" numFmtId="3" outline="0" subtotalTop="0" showAll="0" defaultSubtotal="0"/>
    <pivotField compact="0" outline="0" showAll="0" defaultSubtotal="0"/>
    <pivotField compact="0" numFmtId="3" outline="0" subtotalTop="0" showAll="0" defaultSubtotal="0"/>
    <pivotField compact="0" numFmtId="3" outline="0" subtotalTop="0" showAll="0" defaultSubtotal="0"/>
    <pivotField compact="0"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outline="0" showAll="0" defaultSubtotal="0"/>
    <pivotField compact="0" outline="0" showAll="0" defaultSubtotal="0"/>
    <pivotField compact="0" outline="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outline="0" subtotalTop="0" showAll="0" defaultSubtotal="0"/>
    <pivotField compact="0" outline="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numFmtId="3"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3" outline="0" subtotalTop="0" showAll="0" defaultSubtotal="0"/>
    <pivotField compact="0" numFmtId="3" outline="0" subtotalTop="0" showAll="0" defaultSubtotal="0"/>
    <pivotField dataField="1" compact="0" numFmtId="3"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65"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7">
        <item x="5"/>
        <item x="6"/>
        <item x="1"/>
        <item x="2"/>
        <item x="3"/>
        <item x="4"/>
        <item h="1" x="0"/>
      </items>
    </pivotField>
    <pivotField compact="0" outline="0" subtotalTop="0" showAll="0" defaultSubtotal="0"/>
    <pivotField compact="0" outline="0" subtotalTop="0" showAll="0" defaultSubtotal="0"/>
    <pivotField compact="0" numFmtId="3"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s>
  <rowFields count="3">
    <field x="126"/>
    <field x="0"/>
    <field x="1"/>
  </rowFields>
  <rowItems count="34">
    <i>
      <x/>
      <x/>
    </i>
    <i r="1">
      <x v="1"/>
    </i>
    <i r="1">
      <x v="2"/>
      <x v="1"/>
    </i>
    <i r="2">
      <x v="3"/>
    </i>
    <i r="1">
      <x v="3"/>
      <x v="1"/>
    </i>
    <i>
      <x v="1"/>
      <x/>
    </i>
    <i r="1">
      <x v="1"/>
    </i>
    <i r="1">
      <x v="2"/>
      <x v="1"/>
    </i>
    <i r="2">
      <x v="2"/>
    </i>
    <i>
      <x v="2"/>
      <x/>
    </i>
    <i r="1">
      <x v="1"/>
    </i>
    <i r="1">
      <x v="2"/>
      <x v="1"/>
    </i>
    <i r="2">
      <x v="3"/>
    </i>
    <i r="1">
      <x v="3"/>
      <x/>
    </i>
    <i r="2">
      <x v="1"/>
    </i>
    <i r="2">
      <x v="5"/>
    </i>
    <i>
      <x v="3"/>
      <x/>
    </i>
    <i r="1">
      <x v="1"/>
    </i>
    <i r="1">
      <x v="2"/>
      <x v="1"/>
    </i>
    <i r="2">
      <x v="3"/>
    </i>
    <i r="1">
      <x v="3"/>
      <x v="1"/>
    </i>
    <i r="2">
      <x v="3"/>
    </i>
    <i>
      <x v="4"/>
      <x/>
    </i>
    <i r="1">
      <x v="1"/>
    </i>
    <i r="1">
      <x v="2"/>
      <x v="1"/>
    </i>
    <i r="2">
      <x v="3"/>
    </i>
    <i r="2">
      <x v="4"/>
    </i>
    <i r="1">
      <x v="3"/>
      <x v="1"/>
    </i>
    <i>
      <x v="5"/>
      <x/>
    </i>
    <i r="1">
      <x v="1"/>
    </i>
    <i r="1">
      <x v="2"/>
      <x v="1"/>
    </i>
    <i r="2">
      <x v="3"/>
    </i>
    <i r="1">
      <x v="3"/>
      <x v="1"/>
    </i>
    <i t="grand">
      <x/>
    </i>
  </rowItems>
  <colFields count="1">
    <field x="-2"/>
  </colFields>
  <colItems count="2">
    <i>
      <x/>
    </i>
    <i i="1">
      <x v="1"/>
    </i>
  </colItems>
  <dataFields count="2">
    <dataField name="Count of D Total Net" fld="86" subtotal="count" baseField="0" baseItem="0"/>
    <dataField name="Sum of D Total Net2" fld="86" baseField="0" baseItem="1"/>
  </dataFields>
  <formats count="1">
    <format dxfId="8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59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X18" firstHeaderRow="1" firstDataRow="3" firstDataCol="2"/>
  <pivotFields count="134">
    <pivotField axis="axisRow" compact="0" outline="0" showAll="0">
      <items count="5">
        <item sd="0" x="0"/>
        <item sd="0" x="3"/>
        <item x="2"/>
        <item x="1"/>
        <item t="default"/>
      </items>
    </pivotField>
    <pivotField axis="axisRow" compact="0" outline="0" showAll="0">
      <items count="7">
        <item x="4"/>
        <item x="0"/>
        <item x="5"/>
        <item x="2"/>
        <item x="3"/>
        <item x="1"/>
        <item t="default"/>
      </items>
    </pivotField>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dataField="1"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defaultSubtotal="0"/>
    <pivotField compact="0" outline="0" showAll="0" defaultSubtotal="0"/>
    <pivotField compact="0" outline="0" showAll="0" defaultSubtota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11">
        <item x="4"/>
        <item x="6"/>
        <item x="0"/>
        <item x="8"/>
        <item x="3"/>
        <item x="7"/>
        <item x="2"/>
        <item x="1"/>
        <item x="5"/>
        <item x="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2">
    <field x="98"/>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Count of D1 Gain" fld="48" subtotal="count" baseField="0" baseItem="0"/>
    <dataField name="Sum of D1 Gain2" fld="48" baseField="0" baseItem="0"/>
  </dataFields>
  <formats count="1">
    <format dxfId="8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5B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V18" firstHeaderRow="1" firstDataRow="3" firstDataCol="2"/>
  <pivotFields count="134">
    <pivotField axis="axisRow" compact="0" outline="0" showAll="0">
      <items count="5">
        <item sd="0" x="0"/>
        <item sd="0" x="3"/>
        <item x="2"/>
        <item x="1"/>
        <item t="default"/>
      </items>
    </pivotField>
    <pivotField axis="axisRow" compact="0" outline="0" showAll="0">
      <items count="7">
        <item x="4"/>
        <item x="0"/>
        <item x="5"/>
        <item x="2"/>
        <item x="3"/>
        <item x="1"/>
        <item t="default"/>
      </items>
    </pivotField>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numFmtId="3" outline="0" showAll="0"/>
    <pivotField compact="0" numFmtId="3" outline="0" showAll="0"/>
    <pivotField compact="0" outline="0" showAll="0" defaultSubtotal="0"/>
    <pivotField compact="0" outline="0" showAll="0" defaultSubtotal="0"/>
    <pivotField compact="0" outline="0" showAll="0" defaultSubtota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10">
        <item x="0"/>
        <item x="3"/>
        <item x="6"/>
        <item x="1"/>
        <item x="7"/>
        <item x="2"/>
        <item x="4"/>
        <item x="5"/>
        <item x="8"/>
        <item t="default"/>
      </items>
    </pivotField>
    <pivotField compact="0" outline="0" showAll="0"/>
    <pivotField compact="0" numFmtId="16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2">
    <field x="111"/>
    <field x="-2"/>
  </colFields>
  <colItems count="20">
    <i>
      <x/>
      <x/>
    </i>
    <i r="1" i="1">
      <x v="1"/>
    </i>
    <i>
      <x v="1"/>
      <x/>
    </i>
    <i r="1" i="1">
      <x v="1"/>
    </i>
    <i>
      <x v="2"/>
      <x/>
    </i>
    <i r="1" i="1">
      <x v="1"/>
    </i>
    <i>
      <x v="3"/>
      <x/>
    </i>
    <i r="1" i="1">
      <x v="1"/>
    </i>
    <i>
      <x v="4"/>
      <x/>
    </i>
    <i r="1" i="1">
      <x v="1"/>
    </i>
    <i>
      <x v="5"/>
      <x/>
    </i>
    <i r="1" i="1">
      <x v="1"/>
    </i>
    <i>
      <x v="6"/>
      <x/>
    </i>
    <i r="1" i="1">
      <x v="1"/>
    </i>
    <i>
      <x v="7"/>
      <x/>
    </i>
    <i r="1" i="1">
      <x v="1"/>
    </i>
    <i>
      <x v="8"/>
      <x/>
    </i>
    <i r="1" i="1">
      <x v="1"/>
    </i>
    <i t="grand">
      <x/>
    </i>
    <i t="grand" i="1">
      <x/>
    </i>
  </colItems>
  <dataFields count="2">
    <dataField name="Count of D1 Loss" fld="63" subtotal="count" baseField="0" baseItem="0"/>
    <dataField name="Sum of D1 Loss2" fld="63" baseField="1" baseItem="5"/>
  </dataFields>
  <formats count="1">
    <format dxfId="8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5D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N17" firstHeaderRow="1" firstDataRow="3" firstDataCol="2"/>
  <pivotFields count="134">
    <pivotField axis="axisRow" compact="0" outline="0" showAll="0">
      <items count="5">
        <item sd="0" x="0"/>
        <item sd="0" x="3"/>
        <item x="2"/>
        <item x="1"/>
        <item t="default"/>
      </items>
    </pivotField>
    <pivotField axis="axisRow" compact="0" outline="0" showAll="0">
      <items count="7">
        <item x="4"/>
        <item x="0"/>
        <item x="5"/>
        <item x="2"/>
        <item x="3"/>
        <item x="1"/>
        <item t="default"/>
      </items>
    </pivotField>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dataField="1"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defaultSubtotal="0"/>
    <pivotField compact="0" outline="0" showAll="0" defaultSubtotal="0"/>
    <pivotField compact="0" outline="0" showAll="0" defaultSubtota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4"/>
        <item x="1"/>
        <item x="2"/>
        <item x="0"/>
        <item x="3"/>
        <item h="1"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defaultSubtotal="0"/>
  </pivotFields>
  <rowFields count="2">
    <field x="0"/>
    <field x="1"/>
  </rowFields>
  <rowItems count="14">
    <i>
      <x/>
    </i>
    <i>
      <x v="1"/>
    </i>
    <i>
      <x v="2"/>
      <x v="1"/>
    </i>
    <i r="1">
      <x v="2"/>
    </i>
    <i r="1">
      <x v="3"/>
    </i>
    <i r="1">
      <x v="4"/>
    </i>
    <i t="default">
      <x v="2"/>
    </i>
    <i>
      <x v="3"/>
      <x/>
    </i>
    <i r="1">
      <x v="1"/>
    </i>
    <i r="1">
      <x v="3"/>
    </i>
    <i r="1">
      <x v="4"/>
    </i>
    <i r="1">
      <x v="5"/>
    </i>
    <i t="default">
      <x v="3"/>
    </i>
    <i t="grand">
      <x/>
    </i>
  </rowItems>
  <colFields count="2">
    <field x="99"/>
    <field x="-2"/>
  </colFields>
  <colItems count="12">
    <i>
      <x/>
      <x/>
    </i>
    <i r="1" i="1">
      <x v="1"/>
    </i>
    <i>
      <x v="1"/>
      <x/>
    </i>
    <i r="1" i="1">
      <x v="1"/>
    </i>
    <i>
      <x v="2"/>
      <x/>
    </i>
    <i r="1" i="1">
      <x v="1"/>
    </i>
    <i>
      <x v="3"/>
      <x/>
    </i>
    <i r="1" i="1">
      <x v="1"/>
    </i>
    <i>
      <x v="4"/>
      <x/>
    </i>
    <i r="1" i="1">
      <x v="1"/>
    </i>
    <i t="grand">
      <x/>
    </i>
    <i t="grand" i="1">
      <x/>
    </i>
  </colItems>
  <dataFields count="2">
    <dataField name="Count of D2 Gain" fld="49" subtotal="count" baseField="0" baseItem="0"/>
    <dataField name="Sum of D2 Gain2" fld="49" baseField="0" baseItem="0"/>
  </dataFields>
  <formats count="1">
    <format dxfId="8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5F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P18" firstHeaderRow="1" firstDataRow="3" firstDataCol="2"/>
  <pivotFields count="134">
    <pivotField axis="axisRow" compact="0" outline="0" showAll="0">
      <items count="5">
        <item sd="0" x="0"/>
        <item sd="0" x="3"/>
        <item x="2"/>
        <item x="1"/>
        <item t="default"/>
      </items>
    </pivotField>
    <pivotField axis="axisRow" compact="0" outline="0" showAll="0">
      <items count="7">
        <item x="4"/>
        <item x="0"/>
        <item x="5"/>
        <item x="2"/>
        <item x="3"/>
        <item x="1"/>
        <item t="default"/>
      </items>
    </pivotField>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numFmtId="3" outline="0" showAll="0"/>
    <pivotField compact="0" outline="0" showAll="0" defaultSubtotal="0"/>
    <pivotField compact="0" outline="0" showAll="0" defaultSubtotal="0"/>
    <pivotField compact="0" outline="0" showAll="0" defaultSubtota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0"/>
        <item x="3"/>
        <item x="4"/>
        <item x="2"/>
        <item x="1"/>
        <item x="5"/>
        <item t="default"/>
      </items>
    </pivotField>
    <pivotField compact="0" numFmtId="16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2">
    <field x="112"/>
    <field x="-2"/>
  </colFields>
  <colItems count="14">
    <i>
      <x/>
      <x/>
    </i>
    <i r="1" i="1">
      <x v="1"/>
    </i>
    <i>
      <x v="1"/>
      <x/>
    </i>
    <i r="1" i="1">
      <x v="1"/>
    </i>
    <i>
      <x v="2"/>
      <x/>
    </i>
    <i r="1" i="1">
      <x v="1"/>
    </i>
    <i>
      <x v="3"/>
      <x/>
    </i>
    <i r="1" i="1">
      <x v="1"/>
    </i>
    <i>
      <x v="4"/>
      <x/>
    </i>
    <i r="1" i="1">
      <x v="1"/>
    </i>
    <i>
      <x v="5"/>
      <x/>
    </i>
    <i r="1" i="1">
      <x v="1"/>
    </i>
    <i t="grand">
      <x/>
    </i>
    <i t="grand" i="1">
      <x/>
    </i>
  </colItems>
  <dataFields count="2">
    <dataField name="Count of D2 Loss" fld="64" subtotal="count" baseField="0" baseItem="0"/>
    <dataField name="Sum of D2 Loss2" fld="64" baseField="0" baseItem="0"/>
  </dataFields>
  <formats count="1">
    <format dxfId="7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6100-000000000000}" name="PivotTable2" cacheId="51" applyNumberFormats="0" applyBorderFormats="0" applyFontFormats="0" applyPatternFormats="0" applyAlignmentFormats="0" applyWidthHeightFormats="1" dataCaption="Values" missingCaption="0" updatedVersion="6" minRefreshableVersion="3" useAutoFormatting="1" itemPrintTitles="1" createdVersion="4" indent="0" compact="0" compactData="0" multipleFieldFilters="0">
  <location ref="A1:N16" firstHeaderRow="0" firstDataRow="1" firstDataCol="2"/>
  <pivotFields count="134">
    <pivotField axis="axisRow" compact="0" outline="0" showAll="0">
      <items count="5">
        <item sd="0" x="0"/>
        <item sd="0" x="3"/>
        <item x="2"/>
        <item x="1"/>
        <item t="default"/>
      </items>
    </pivotField>
    <pivotField axis="axisRow" compact="0" outline="0" showAll="0">
      <items count="7">
        <item x="4"/>
        <item x="0"/>
        <item x="5"/>
        <item x="2"/>
        <item x="3"/>
        <item x="1"/>
        <item t="default"/>
      </items>
    </pivotField>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defaultSubtotal="0"/>
    <pivotField compact="0" outline="0" showAll="0" defaultSubtotal="0"/>
    <pivotField compact="0" outline="0" showAll="0" defaultSubtota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compact="0" numFmtId="3" outline="0" showAll="0"/>
    <pivotField dataField="1" compact="0" outline="0" showAll="0"/>
    <pivotField compact="0" outline="0" showAll="0"/>
    <pivotField dataField="1" compact="0" numFmtId="3" outline="0" showAll="0"/>
    <pivotField dataField="1" compact="0" numFmtId="3" outline="0" showAll="0"/>
    <pivotField dataField="1" compact="0" numFmtId="3" outline="0" showAll="0"/>
    <pivotField dataField="1" compact="0" numFmtId="3" outline="0" showAll="0"/>
    <pivotField compact="0" outline="0" showAll="0"/>
    <pivotField compact="0" outline="0" showAll="0"/>
    <pivotField compact="0" outline="0" showAll="0"/>
    <pivotField dataField="1" compact="0" numFmtId="3" outline="0" showAll="0"/>
    <pivotField dataField="1"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defaultSubtotal="0"/>
  </pivotFields>
  <rowFields count="2">
    <field x="0"/>
    <field x="1"/>
  </rowFields>
  <rowItems count="15">
    <i>
      <x/>
    </i>
    <i>
      <x v="1"/>
    </i>
    <i>
      <x v="2"/>
      <x v="1"/>
    </i>
    <i r="1">
      <x v="2"/>
    </i>
    <i r="1">
      <x v="3"/>
    </i>
    <i r="1">
      <x v="4"/>
    </i>
    <i t="default">
      <x v="2"/>
    </i>
    <i>
      <x v="3"/>
      <x/>
    </i>
    <i r="1">
      <x v="1"/>
    </i>
    <i r="1">
      <x v="2"/>
    </i>
    <i r="1">
      <x v="3"/>
    </i>
    <i r="1">
      <x v="4"/>
    </i>
    <i r="1">
      <x v="5"/>
    </i>
    <i t="default">
      <x v="3"/>
    </i>
    <i t="grand">
      <x/>
    </i>
  </rowItems>
  <colFields count="1">
    <field x="-2"/>
  </colFields>
  <colItems count="12">
    <i>
      <x/>
    </i>
    <i i="1">
      <x v="1"/>
    </i>
    <i i="2">
      <x v="2"/>
    </i>
    <i i="3">
      <x v="3"/>
    </i>
    <i i="4">
      <x v="4"/>
    </i>
    <i i="5">
      <x v="5"/>
    </i>
    <i i="6">
      <x v="6"/>
    </i>
    <i i="7">
      <x v="7"/>
    </i>
    <i i="8">
      <x v="8"/>
    </i>
    <i i="9">
      <x v="9"/>
    </i>
    <i i="10">
      <x v="10"/>
    </i>
    <i i="11">
      <x v="11"/>
    </i>
  </colItems>
  <dataFields count="12">
    <dataField name="Sum of A1 Net" fld="69" baseField="1" baseItem="3"/>
    <dataField name="Sum of A2 Net" fld="70" baseField="1" baseItem="3"/>
    <dataField name="Sum of A3 Net" fld="71" baseField="1" baseItem="3"/>
    <dataField name="Sum of A4 Net" fld="72" baseField="1" baseItem="3"/>
    <dataField name="Sum of A5 Net" fld="73" baseField="1" baseItem="3"/>
    <dataField name="Sum of B1a Net" fld="75" baseField="1" baseItem="3"/>
    <dataField name="Sum of B1b Net" fld="77" baseField="1" baseItem="3"/>
    <dataField name="Sum of B1c Net" fld="78" baseField="1" baseItem="3"/>
    <dataField name="Sum of B2 Net" fld="79" baseField="1" baseItem="3"/>
    <dataField name="Sum of B8 Net" fld="80" baseField="1" baseItem="3"/>
    <dataField name="Sum of D1 Net" fld="84" baseField="1" baseItem="3"/>
    <dataField name="Sum of D2 Net" fld="85" baseField="1" baseItem="3"/>
  </dataFields>
  <formats count="1">
    <format dxfId="7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00000000-0007-0000-63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5:S68" firstHeaderRow="0" firstDataRow="1" firstDataCol="6" rowPageCount="3" colPageCount="1"/>
  <pivotFields count="134">
    <pivotField axis="axisPage" compact="0" outline="0" showAll="0" defaultSubtotal="0">
      <items count="4">
        <item sd="0" x="0"/>
        <item sd="0" x="3"/>
        <item x="2"/>
        <item x="1"/>
      </items>
    </pivotField>
    <pivotField compact="0" outline="0" showAll="0" defaultSubtotal="0"/>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63">
    <i>
      <x v="3"/>
      <x v="16"/>
      <x v="107"/>
      <x v="52"/>
      <x v="5"/>
      <x v="75"/>
    </i>
    <i>
      <x v="22"/>
      <x v="7"/>
      <x v="558"/>
      <x v="52"/>
      <x v="2"/>
      <x v="332"/>
    </i>
    <i>
      <x v="32"/>
      <x v="14"/>
      <x v="106"/>
      <x v="52"/>
      <x v="2"/>
      <x v="99"/>
    </i>
    <i>
      <x v="44"/>
      <x v="4"/>
      <x v="222"/>
      <x v="52"/>
      <x v="2"/>
      <x v="155"/>
    </i>
    <i>
      <x v="45"/>
      <x v="4"/>
      <x v="496"/>
      <x v="52"/>
      <x v="2"/>
      <x v="311"/>
    </i>
    <i>
      <x v="51"/>
      <x v="3"/>
      <x v="202"/>
      <x v="52"/>
      <x v="2"/>
      <x v="145"/>
    </i>
    <i>
      <x v="66"/>
      <x v="15"/>
      <x v="72"/>
      <x v="52"/>
      <x v="5"/>
      <x v="54"/>
    </i>
    <i>
      <x v="116"/>
      <x v="16"/>
      <x v="16"/>
      <x v="52"/>
      <x v="2"/>
      <x v="14"/>
    </i>
    <i>
      <x v="121"/>
      <x v="19"/>
      <x v="102"/>
      <x v="52"/>
      <x v="2"/>
      <x v="79"/>
    </i>
    <i>
      <x v="138"/>
      <x v="2"/>
      <x v="282"/>
      <x v="52"/>
      <x v="2"/>
      <x v="192"/>
    </i>
    <i>
      <x v="149"/>
      <x v="2"/>
      <x v="254"/>
      <x v="52"/>
      <x v="2"/>
      <x v="173"/>
    </i>
    <i>
      <x v="156"/>
      <x v="10"/>
      <x v="40"/>
      <x v="52"/>
      <x v="2"/>
      <x v="31"/>
    </i>
    <i>
      <x v="165"/>
      <x v="4"/>
      <x v="81"/>
      <x v="52"/>
      <x v="2"/>
      <x v="70"/>
    </i>
    <i>
      <x v="181"/>
      <x v="12"/>
      <x v="109"/>
      <x v="52"/>
      <x v="2"/>
      <x v="84"/>
    </i>
    <i>
      <x v="200"/>
      <x v="13"/>
      <x v="459"/>
      <x v="52"/>
      <x v="2"/>
      <x v="286"/>
    </i>
    <i>
      <x v="210"/>
      <x v="13"/>
      <x v="118"/>
      <x v="52"/>
      <x v="2"/>
      <x v="91"/>
    </i>
    <i>
      <x v="212"/>
      <x/>
      <x v="516"/>
      <x v="52"/>
      <x v="2"/>
      <x v="359"/>
    </i>
    <i>
      <x v="213"/>
      <x v="16"/>
      <x v="110"/>
      <x v="52"/>
      <x v="2"/>
      <x v="75"/>
    </i>
    <i>
      <x v="218"/>
      <x v="9"/>
      <x v="149"/>
      <x v="52"/>
      <x v="5"/>
      <x v="100"/>
    </i>
    <i>
      <x v="239"/>
      <x v="4"/>
      <x v="10"/>
      <x v="52"/>
      <x v="2"/>
      <x v="9"/>
    </i>
    <i>
      <x v="246"/>
      <x v="7"/>
      <x v="298"/>
      <x v="52"/>
      <x v="5"/>
      <x v="200"/>
    </i>
    <i>
      <x v="247"/>
      <x v="10"/>
      <x v="591"/>
      <x v="52"/>
      <x v="1"/>
      <x v="363"/>
    </i>
    <i>
      <x v="254"/>
      <x v="14"/>
      <x v="427"/>
      <x v="52"/>
      <x v="2"/>
      <x v="277"/>
    </i>
    <i>
      <x v="277"/>
      <x v="2"/>
      <x v="372"/>
      <x v="52"/>
      <x v="2"/>
      <x v="247"/>
    </i>
    <i>
      <x v="281"/>
      <x v="13"/>
      <x v="705"/>
      <x v="52"/>
      <x v="2"/>
      <x v="441"/>
    </i>
    <i>
      <x v="282"/>
      <x v="4"/>
      <x v="322"/>
      <x v="52"/>
      <x v="2"/>
      <x v="261"/>
    </i>
    <i>
      <x v="292"/>
      <x v="13"/>
      <x v="249"/>
      <x v="52"/>
      <x v="2"/>
      <x v="174"/>
    </i>
    <i>
      <x v="321"/>
      <x v="2"/>
      <x v="636"/>
      <x v="52"/>
      <x v="1"/>
      <x v="404"/>
    </i>
    <i>
      <x v="364"/>
      <x v="13"/>
      <x v="60"/>
      <x v="52"/>
      <x v="5"/>
      <x v="44"/>
    </i>
    <i r="2">
      <x v="96"/>
      <x v="52"/>
      <x v="5"/>
      <x v="72"/>
    </i>
    <i>
      <x v="374"/>
      <x v="13"/>
      <x v="83"/>
      <x v="52"/>
      <x v="5"/>
      <x v="58"/>
    </i>
    <i>
      <x v="403"/>
      <x v="4"/>
      <x v="514"/>
      <x v="52"/>
      <x v="2"/>
      <x v="315"/>
    </i>
    <i>
      <x v="404"/>
      <x v="7"/>
      <x v="567"/>
      <x v="52"/>
      <x v="2"/>
      <x v="339"/>
    </i>
    <i>
      <x v="424"/>
      <x v="2"/>
      <x v="343"/>
      <x v="52"/>
      <x v="2"/>
      <x v="282"/>
    </i>
    <i>
      <x v="438"/>
      <x v="10"/>
      <x v="152"/>
      <x v="52"/>
      <x v="2"/>
      <x v="113"/>
    </i>
    <i>
      <x v="447"/>
      <x v="16"/>
      <x v="752"/>
      <x v="52"/>
      <x v="2"/>
      <x v="456"/>
    </i>
    <i>
      <x v="462"/>
      <x v="4"/>
      <x v="491"/>
      <x v="52"/>
      <x v="2"/>
      <x v="306"/>
    </i>
    <i>
      <x v="464"/>
      <x v="13"/>
      <x v="586"/>
      <x v="52"/>
      <x v="2"/>
      <x v="364"/>
    </i>
    <i>
      <x v="472"/>
      <x v="6"/>
      <x v="66"/>
      <x v="52"/>
      <x v="2"/>
      <x v="55"/>
    </i>
    <i>
      <x v="490"/>
      <x v="18"/>
      <x v="169"/>
      <x v="52"/>
      <x v="2"/>
      <x v="122"/>
    </i>
    <i>
      <x v="529"/>
      <x v="14"/>
      <x v="352"/>
      <x v="52"/>
      <x v="5"/>
      <x v="233"/>
    </i>
    <i>
      <x v="537"/>
      <x v="6"/>
      <x v="201"/>
      <x v="52"/>
      <x v="2"/>
      <x v="135"/>
    </i>
    <i>
      <x v="567"/>
      <x v="5"/>
      <x v="664"/>
      <x v="52"/>
      <x v="1"/>
      <x v="406"/>
    </i>
    <i>
      <x v="574"/>
      <x v="10"/>
      <x v="2"/>
      <x v="52"/>
      <x v="2"/>
      <x v="2"/>
    </i>
    <i>
      <x v="594"/>
      <x v="15"/>
      <x v="301"/>
      <x v="52"/>
      <x v="2"/>
      <x v="211"/>
    </i>
    <i>
      <x v="595"/>
      <x v="14"/>
      <x v="41"/>
      <x v="52"/>
      <x v="2"/>
      <x v="36"/>
    </i>
    <i>
      <x v="615"/>
      <x v="3"/>
      <x v="536"/>
      <x v="52"/>
      <x v="2"/>
      <x v="310"/>
    </i>
    <i>
      <x v="617"/>
      <x v="10"/>
      <x v="497"/>
      <x v="52"/>
      <x v="2"/>
      <x v="358"/>
    </i>
    <i>
      <x v="648"/>
      <x/>
      <x v="153"/>
      <x v="52"/>
      <x v="2"/>
      <x v="111"/>
    </i>
    <i>
      <x v="683"/>
      <x/>
      <x v="184"/>
      <x v="52"/>
      <x v="2"/>
      <x v="134"/>
    </i>
    <i>
      <x v="686"/>
      <x v="10"/>
      <x v="8"/>
      <x v="52"/>
      <x v="2"/>
      <x v="7"/>
    </i>
    <i r="2">
      <x v="604"/>
      <x v="52"/>
      <x v="2"/>
      <x v="360"/>
    </i>
    <i r="2">
      <x v="760"/>
      <x v="52"/>
      <x v="2"/>
      <x v="465"/>
    </i>
    <i>
      <x v="690"/>
      <x v="6"/>
      <x v="706"/>
      <x v="52"/>
      <x v="2"/>
      <x v="430"/>
    </i>
    <i>
      <x v="693"/>
      <x v="11"/>
      <x v="676"/>
      <x v="52"/>
      <x v="2"/>
      <x v="420"/>
    </i>
    <i>
      <x v="697"/>
      <x v="10"/>
      <x v="349"/>
      <x v="52"/>
      <x v="5"/>
      <x v="229"/>
    </i>
    <i>
      <x v="700"/>
      <x v="10"/>
      <x v="388"/>
      <x v="52"/>
      <x v="5"/>
      <x v="251"/>
    </i>
    <i>
      <x v="707"/>
      <x v="15"/>
      <x v="155"/>
      <x v="52"/>
      <x v="5"/>
      <x v="108"/>
    </i>
    <i>
      <x v="716"/>
      <x v="14"/>
      <x v="521"/>
      <x v="52"/>
      <x v="2"/>
      <x v="322"/>
    </i>
    <i>
      <x v="719"/>
      <x v="4"/>
      <x v="332"/>
      <x v="52"/>
      <x v="2"/>
      <x v="248"/>
    </i>
    <i>
      <x v="724"/>
      <x v="10"/>
      <x v="353"/>
      <x v="52"/>
      <x v="5"/>
      <x v="234"/>
    </i>
    <i>
      <x v="725"/>
      <x v="8"/>
      <x v="88"/>
      <x v="52"/>
      <x v="2"/>
      <x v="90"/>
    </i>
    <i t="grand">
      <x/>
    </i>
  </rowItems>
  <colFields count="1">
    <field x="-2"/>
  </colFields>
  <colItems count="13">
    <i>
      <x/>
    </i>
    <i i="1">
      <x v="1"/>
    </i>
    <i i="2">
      <x v="2"/>
    </i>
    <i i="3">
      <x v="3"/>
    </i>
    <i i="4">
      <x v="4"/>
    </i>
    <i i="5">
      <x v="5"/>
    </i>
    <i i="6">
      <x v="6"/>
    </i>
    <i i="7">
      <x v="7"/>
    </i>
    <i i="8">
      <x v="8"/>
    </i>
    <i i="9">
      <x v="9"/>
    </i>
    <i i="10">
      <x v="10"/>
    </i>
    <i i="11">
      <x v="11"/>
    </i>
    <i i="12">
      <x v="12"/>
    </i>
  </colItems>
  <pageFields count="3">
    <pageField fld="0" item="0" hier="-1"/>
    <pageField fld="3" item="1"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7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65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5:S24" firstHeaderRow="0" firstDataRow="1" firstDataCol="6" rowPageCount="3" colPageCount="1"/>
  <pivotFields count="134">
    <pivotField axis="axisPage" compact="0" outline="0" showAll="0" defaultSubtotal="0">
      <items count="4">
        <item sd="0" x="0"/>
        <item sd="0" x="3"/>
        <item x="2"/>
        <item x="1"/>
      </items>
    </pivotField>
    <pivotField compact="0" outline="0" showAll="0" defaultSubtotal="0"/>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19">
    <i>
      <x v="64"/>
      <x v="6"/>
      <x v="178"/>
      <x v="52"/>
      <x v="2"/>
      <x v="157"/>
    </i>
    <i>
      <x v="144"/>
      <x v="15"/>
      <x v="455"/>
      <x v="52"/>
      <x v="2"/>
      <x v="334"/>
    </i>
    <i>
      <x v="260"/>
      <x/>
      <x v="559"/>
      <x v="52"/>
      <x v="2"/>
      <x v="346"/>
    </i>
    <i>
      <x v="287"/>
      <x v="3"/>
      <x v="230"/>
      <x v="52"/>
      <x v="2"/>
      <x v="182"/>
    </i>
    <i>
      <x v="291"/>
      <x v="7"/>
      <x v="623"/>
      <x v="52"/>
      <x v="2"/>
      <x v="413"/>
    </i>
    <i>
      <x v="292"/>
      <x v="13"/>
      <x v="505"/>
      <x v="52"/>
      <x v="2"/>
      <x v="306"/>
    </i>
    <i>
      <x v="348"/>
      <x v="8"/>
      <x v="146"/>
      <x v="52"/>
      <x v="2"/>
      <x v="112"/>
    </i>
    <i>
      <x v="432"/>
      <x v="16"/>
      <x v="34"/>
      <x v="52"/>
      <x v="2"/>
      <x v="53"/>
    </i>
    <i>
      <x v="452"/>
      <x v="2"/>
      <x v="142"/>
      <x v="52"/>
      <x v="2"/>
      <x v="110"/>
    </i>
    <i>
      <x v="565"/>
      <x v="5"/>
      <x v="145"/>
      <x v="52"/>
      <x v="2"/>
      <x v="116"/>
    </i>
    <i>
      <x v="587"/>
      <x v="10"/>
      <x v="251"/>
      <x v="52"/>
      <x v="2"/>
      <x v="211"/>
    </i>
    <i>
      <x v="605"/>
      <x v="13"/>
      <x v="33"/>
      <x v="52"/>
      <x v="2"/>
      <x v="49"/>
    </i>
    <i>
      <x v="606"/>
      <x v="15"/>
      <x v="3"/>
      <x v="52"/>
      <x v="2"/>
      <x v="1"/>
    </i>
    <i>
      <x v="616"/>
      <x v="6"/>
      <x v="28"/>
      <x v="52"/>
      <x v="2"/>
      <x v="19"/>
    </i>
    <i>
      <x v="623"/>
      <x v="6"/>
      <x v="433"/>
      <x v="52"/>
      <x v="2"/>
      <x v="320"/>
    </i>
    <i>
      <x v="647"/>
      <x v="10"/>
      <x v="414"/>
      <x v="38"/>
      <x v="2"/>
      <x v="270"/>
    </i>
    <i>
      <x v="734"/>
      <x v="6"/>
      <x v="568"/>
      <x v="52"/>
      <x v="2"/>
      <x v="342"/>
    </i>
    <i>
      <x v="741"/>
      <x v="13"/>
      <x v="279"/>
      <x v="52"/>
      <x v="2"/>
      <x v="189"/>
    </i>
    <i t="grand">
      <x/>
    </i>
  </rowItems>
  <colFields count="1">
    <field x="-2"/>
  </colFields>
  <colItems count="13">
    <i>
      <x/>
    </i>
    <i i="1">
      <x v="1"/>
    </i>
    <i i="2">
      <x v="2"/>
    </i>
    <i i="3">
      <x v="3"/>
    </i>
    <i i="4">
      <x v="4"/>
    </i>
    <i i="5">
      <x v="5"/>
    </i>
    <i i="6">
      <x v="6"/>
    </i>
    <i i="7">
      <x v="7"/>
    </i>
    <i i="8">
      <x v="8"/>
    </i>
    <i i="9">
      <x v="9"/>
    </i>
    <i i="10">
      <x v="10"/>
    </i>
    <i i="11">
      <x v="11"/>
    </i>
    <i i="12">
      <x v="12"/>
    </i>
  </colItems>
  <pageFields count="3">
    <pageField fld="0" item="0" hier="-1"/>
    <pageField fld="3" item="0"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7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9:L10" firstHeaderRow="0" firstDataRow="1" firstDataCol="0" rowPageCount="7"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7">
    <pageField fld="0" item="0" hier="-1"/>
    <pageField fld="117" hier="-1"/>
    <pageField fld="118" hier="-1"/>
    <pageField fld="120" item="0" hier="-1"/>
    <pageField fld="122" hier="-1"/>
    <pageField fld="124" hier="-1"/>
    <pageField fld="125"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00000000-0007-0000-67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5:S90" firstHeaderRow="0" firstDataRow="1" firstDataCol="6" rowPageCount="3" colPageCount="1"/>
  <pivotFields count="134">
    <pivotField axis="axisPage" compact="0" outline="0" showAll="0" defaultSubtotal="0">
      <items count="4">
        <item sd="0" x="0"/>
        <item sd="0" x="3"/>
        <item x="2"/>
        <item x="1"/>
      </items>
    </pivotField>
    <pivotField compact="0" outline="0" showAll="0" defaultSubtotal="0"/>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85">
    <i>
      <x v="18"/>
      <x v="14"/>
      <x v="719"/>
      <x v="52"/>
      <x v="2"/>
      <x v="473"/>
    </i>
    <i>
      <x v="56"/>
      <x/>
      <x v="150"/>
      <x v="52"/>
      <x v="5"/>
      <x v="102"/>
    </i>
    <i r="2">
      <x v="165"/>
      <x v="52"/>
      <x v="2"/>
      <x v="113"/>
    </i>
    <i>
      <x v="77"/>
      <x v="6"/>
      <x v="413"/>
      <x v="52"/>
      <x v="2"/>
      <x v="263"/>
    </i>
    <i>
      <x v="107"/>
      <x v="13"/>
      <x v="327"/>
      <x v="52"/>
      <x v="5"/>
      <x v="219"/>
    </i>
    <i>
      <x v="109"/>
      <x v="15"/>
      <x v="15"/>
      <x v="52"/>
      <x v="2"/>
      <x v="15"/>
    </i>
    <i>
      <x v="110"/>
      <x v="7"/>
      <x v="114"/>
      <x v="52"/>
      <x v="2"/>
      <x v="115"/>
    </i>
    <i>
      <x v="120"/>
      <x v="9"/>
      <x v="693"/>
      <x v="52"/>
      <x v="2"/>
      <x v="474"/>
    </i>
    <i>
      <x v="139"/>
      <x v="14"/>
      <x v="80"/>
      <x v="52"/>
      <x v="2"/>
      <x v="103"/>
    </i>
    <i>
      <x v="140"/>
      <x v="8"/>
      <x v="528"/>
      <x v="52"/>
      <x v="2"/>
      <x v="386"/>
    </i>
    <i>
      <x v="166"/>
      <x v="9"/>
      <x v="205"/>
      <x v="52"/>
      <x v="2"/>
      <x v="194"/>
    </i>
    <i>
      <x v="172"/>
      <x v="12"/>
      <x v="187"/>
      <x v="52"/>
      <x v="2"/>
      <x v="137"/>
    </i>
    <i r="2">
      <x v="378"/>
      <x v="52"/>
      <x v="5"/>
      <x v="243"/>
    </i>
    <i>
      <x v="175"/>
      <x v="15"/>
      <x v="618"/>
      <x v="52"/>
      <x v="2"/>
      <x v="403"/>
    </i>
    <i>
      <x v="178"/>
      <x v="10"/>
      <x v="469"/>
      <x v="52"/>
      <x v="2"/>
      <x v="293"/>
    </i>
    <i>
      <x v="180"/>
      <x v="15"/>
      <x v="667"/>
      <x v="52"/>
      <x v="2"/>
      <x v="412"/>
    </i>
    <i>
      <x v="198"/>
      <x v="15"/>
      <x v="111"/>
      <x v="52"/>
      <x v="2"/>
      <x v="116"/>
    </i>
    <i>
      <x v="207"/>
      <x v="6"/>
      <x v="477"/>
      <x v="52"/>
      <x v="2"/>
      <x v="323"/>
    </i>
    <i>
      <x v="224"/>
      <x v="9"/>
      <x v="589"/>
      <x v="52"/>
      <x v="5"/>
      <x v="360"/>
    </i>
    <i>
      <x v="228"/>
      <x v="7"/>
      <x v="252"/>
      <x v="52"/>
      <x v="2"/>
      <x v="216"/>
    </i>
    <i>
      <x v="247"/>
      <x v="10"/>
      <x v="626"/>
      <x v="52"/>
      <x v="2"/>
      <x v="419"/>
    </i>
    <i>
      <x v="259"/>
      <x v="10"/>
      <x v="189"/>
      <x v="52"/>
      <x v="2"/>
      <x v="256"/>
    </i>
    <i>
      <x v="269"/>
      <x v="10"/>
      <x v="90"/>
      <x v="52"/>
      <x v="2"/>
      <x v="61"/>
    </i>
    <i>
      <x v="279"/>
      <x v="4"/>
      <x v="466"/>
      <x v="52"/>
      <x v="2"/>
      <x v="351"/>
    </i>
    <i>
      <x v="280"/>
      <x v="4"/>
      <x v="470"/>
      <x v="52"/>
      <x v="2"/>
      <x v="321"/>
    </i>
    <i r="2">
      <x v="472"/>
      <x v="52"/>
      <x v="5"/>
      <x v="288"/>
    </i>
    <i>
      <x v="283"/>
      <x v="2"/>
      <x v="170"/>
      <x v="52"/>
      <x v="2"/>
      <x v="125"/>
    </i>
    <i>
      <x v="298"/>
      <x v="14"/>
      <x v="86"/>
      <x v="52"/>
      <x v="2"/>
      <x v="158"/>
    </i>
    <i>
      <x v="319"/>
      <x v="9"/>
      <x v="649"/>
      <x v="52"/>
      <x v="5"/>
      <x v="393"/>
    </i>
    <i>
      <x v="335"/>
      <x v="13"/>
      <x v="32"/>
      <x v="52"/>
      <x v="2"/>
      <x v="27"/>
    </i>
    <i>
      <x v="349"/>
      <x v="15"/>
      <x v="17"/>
      <x v="52"/>
      <x v="2"/>
      <x v="15"/>
    </i>
    <i>
      <x v="369"/>
      <x v="15"/>
      <x v="160"/>
      <x v="52"/>
      <x v="2"/>
      <x v="196"/>
    </i>
    <i>
      <x v="402"/>
      <x v="16"/>
      <x v="135"/>
      <x v="52"/>
      <x v="2"/>
      <x v="121"/>
    </i>
    <i>
      <x v="405"/>
      <x v="10"/>
      <x v="487"/>
      <x v="10"/>
      <x v="2"/>
      <x v="303"/>
    </i>
    <i r="3">
      <x v="11"/>
      <x v="2"/>
      <x v="303"/>
    </i>
    <i r="3">
      <x v="23"/>
      <x v="2"/>
      <x v="303"/>
    </i>
    <i r="3">
      <x v="28"/>
      <x v="2"/>
      <x v="303"/>
    </i>
    <i>
      <x v="407"/>
      <x/>
      <x v="246"/>
      <x v="52"/>
      <x v="2"/>
      <x v="184"/>
    </i>
    <i>
      <x v="419"/>
      <x v="10"/>
      <x v="126"/>
      <x v="52"/>
      <x v="2"/>
      <x v="126"/>
    </i>
    <i r="2">
      <x v="291"/>
      <x v="52"/>
      <x v="2"/>
      <x v="264"/>
    </i>
    <i r="2">
      <x v="464"/>
      <x v="52"/>
      <x v="2"/>
      <x v="336"/>
    </i>
    <i>
      <x v="420"/>
      <x v="10"/>
      <x v="82"/>
      <x v="52"/>
      <x v="2"/>
      <x v="85"/>
    </i>
    <i>
      <x v="423"/>
      <x v="1"/>
      <x v="46"/>
      <x v="52"/>
      <x v="2"/>
      <x v="43"/>
    </i>
    <i>
      <x v="435"/>
      <x v="15"/>
      <x v="101"/>
      <x v="52"/>
      <x v="2"/>
      <x v="125"/>
    </i>
    <i>
      <x v="440"/>
      <x v="3"/>
      <x v="175"/>
      <x v="52"/>
      <x v="2"/>
      <x v="144"/>
    </i>
    <i>
      <x v="442"/>
      <x v="13"/>
      <x v="168"/>
      <x v="52"/>
      <x v="5"/>
      <x v="124"/>
    </i>
    <i>
      <x v="445"/>
      <x v="10"/>
      <x v="399"/>
      <x v="52"/>
      <x v="2"/>
      <x v="316"/>
    </i>
    <i>
      <x v="449"/>
      <x v="12"/>
      <x v="180"/>
      <x v="52"/>
      <x v="5"/>
      <x v="121"/>
    </i>
    <i>
      <x v="467"/>
      <x v="14"/>
      <x v="73"/>
      <x v="52"/>
      <x v="2"/>
      <x v="105"/>
    </i>
    <i>
      <x v="468"/>
      <x v="4"/>
      <x v="465"/>
      <x v="52"/>
      <x v="2"/>
      <x v="327"/>
    </i>
    <i>
      <x v="491"/>
      <x v="14"/>
      <x v="7"/>
      <x v="52"/>
      <x v="2"/>
      <x v="5"/>
    </i>
    <i>
      <x v="503"/>
      <x v="16"/>
      <x v="616"/>
      <x v="52"/>
      <x v="2"/>
      <x v="379"/>
    </i>
    <i>
      <x v="527"/>
      <x v="15"/>
      <x v="4"/>
      <x v="52"/>
      <x v="2"/>
      <x v="6"/>
    </i>
    <i>
      <x v="531"/>
      <x v="13"/>
      <x v="309"/>
      <x v="52"/>
      <x v="5"/>
      <x v="213"/>
    </i>
    <i>
      <x v="536"/>
      <x v="6"/>
      <x v="177"/>
      <x v="52"/>
      <x v="2"/>
      <x v="129"/>
    </i>
    <i>
      <x v="539"/>
      <x v="13"/>
      <x v="133"/>
      <x v="52"/>
      <x v="2"/>
      <x v="141"/>
    </i>
    <i>
      <x v="547"/>
      <x v="15"/>
      <x v="509"/>
      <x v="52"/>
      <x v="2"/>
      <x v="441"/>
    </i>
    <i>
      <x v="548"/>
      <x v="12"/>
      <x v="122"/>
      <x v="52"/>
      <x v="2"/>
      <x v="91"/>
    </i>
    <i>
      <x v="557"/>
      <x v="6"/>
      <x v="117"/>
      <x v="52"/>
      <x v="2"/>
      <x v="87"/>
    </i>
    <i>
      <x v="562"/>
      <x v="13"/>
      <x v="412"/>
      <x v="52"/>
      <x v="2"/>
      <x v="266"/>
    </i>
    <i>
      <x v="563"/>
      <x v="5"/>
      <x v="245"/>
      <x v="52"/>
      <x v="2"/>
      <x v="201"/>
    </i>
    <i>
      <x v="582"/>
      <x v="15"/>
      <x v="454"/>
      <x v="52"/>
      <x v="2"/>
      <x v="390"/>
    </i>
    <i>
      <x v="586"/>
      <x v="10"/>
      <x v="49"/>
      <x v="26"/>
      <x v="2"/>
      <x v="56"/>
    </i>
    <i r="2">
      <x v="188"/>
      <x v="2"/>
      <x v="2"/>
      <x v="349"/>
    </i>
    <i r="3">
      <x v="3"/>
      <x v="2"/>
      <x v="349"/>
    </i>
    <i r="3">
      <x v="4"/>
      <x v="2"/>
      <x v="349"/>
    </i>
    <i r="2">
      <x v="218"/>
      <x/>
      <x v="2"/>
      <x v="342"/>
    </i>
    <i>
      <x v="588"/>
      <x v="10"/>
      <x v="48"/>
      <x v="52"/>
      <x v="2"/>
      <x v="52"/>
    </i>
    <i>
      <x v="601"/>
      <x v="11"/>
      <x v="461"/>
      <x v="52"/>
      <x v="5"/>
      <x v="284"/>
    </i>
    <i>
      <x v="603"/>
      <x v="9"/>
      <x v="9"/>
      <x v="52"/>
      <x v="2"/>
      <x v="11"/>
    </i>
    <i>
      <x v="619"/>
      <x v="4"/>
      <x v="14"/>
      <x v="52"/>
      <x v="2"/>
      <x v="30"/>
    </i>
    <i r="2">
      <x v="710"/>
      <x v="52"/>
      <x v="2"/>
      <x v="433"/>
    </i>
    <i>
      <x v="636"/>
      <x v="10"/>
      <x v="318"/>
      <x v="26"/>
      <x v="2"/>
      <x v="295"/>
    </i>
    <i>
      <x v="639"/>
      <x/>
      <x v="157"/>
      <x v="52"/>
      <x v="2"/>
      <x v="156"/>
    </i>
    <i>
      <x v="645"/>
      <x v="9"/>
      <x v="68"/>
      <x v="52"/>
      <x v="2"/>
      <x v="58"/>
    </i>
    <i>
      <x v="646"/>
      <x v="2"/>
      <x v="583"/>
      <x v="52"/>
      <x v="2"/>
      <x v="378"/>
    </i>
    <i>
      <x v="647"/>
      <x v="10"/>
      <x v="560"/>
      <x v="39"/>
      <x v="2"/>
      <x v="345"/>
    </i>
    <i>
      <x v="649"/>
      <x v="4"/>
      <x v="84"/>
      <x v="52"/>
      <x v="2"/>
      <x v="107"/>
    </i>
    <i r="2">
      <x v="320"/>
      <x v="52"/>
      <x v="2"/>
      <x v="218"/>
    </i>
    <i>
      <x v="653"/>
      <x v="17"/>
      <x v="6"/>
      <x v="52"/>
      <x v="2"/>
      <x v="4"/>
    </i>
    <i>
      <x v="676"/>
      <x v="10"/>
      <x v="39"/>
      <x v="52"/>
      <x v="2"/>
      <x v="71"/>
    </i>
    <i>
      <x v="678"/>
      <x v="15"/>
      <x v="336"/>
      <x v="52"/>
      <x v="2"/>
      <x v="249"/>
    </i>
    <i>
      <x v="704"/>
      <x v="14"/>
      <x v="91"/>
      <x v="52"/>
      <x v="5"/>
      <x v="80"/>
    </i>
    <i>
      <x v="710"/>
      <x v="14"/>
      <x v="255"/>
      <x v="52"/>
      <x v="5"/>
      <x v="177"/>
    </i>
    <i t="grand">
      <x/>
    </i>
  </rowItems>
  <colFields count="1">
    <field x="-2"/>
  </colFields>
  <colItems count="13">
    <i>
      <x/>
    </i>
    <i i="1">
      <x v="1"/>
    </i>
    <i i="2">
      <x v="2"/>
    </i>
    <i i="3">
      <x v="3"/>
    </i>
    <i i="4">
      <x v="4"/>
    </i>
    <i i="5">
      <x v="5"/>
    </i>
    <i i="6">
      <x v="6"/>
    </i>
    <i i="7">
      <x v="7"/>
    </i>
    <i i="8">
      <x v="8"/>
    </i>
    <i i="9">
      <x v="9"/>
    </i>
    <i i="10">
      <x v="10"/>
    </i>
    <i i="11">
      <x v="11"/>
    </i>
    <i i="12">
      <x v="12"/>
    </i>
  </colItems>
  <pageFields count="3">
    <pageField fld="0" item="1" hier="-1"/>
    <pageField fld="3"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6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69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103"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x="0"/>
        <item x="5"/>
        <item h="1" x="2"/>
        <item h="1"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97">
    <i>
      <x/>
      <x v="2"/>
      <x v="578"/>
      <x v="52"/>
      <x v="2"/>
      <x v="368"/>
    </i>
    <i>
      <x v="1"/>
      <x v="5"/>
      <x v="605"/>
      <x v="52"/>
      <x v="2"/>
      <x v="410"/>
    </i>
    <i>
      <x v="4"/>
      <x/>
      <x v="533"/>
      <x v="52"/>
      <x v="2"/>
      <x v="326"/>
    </i>
    <i>
      <x v="13"/>
      <x v="16"/>
      <x v="417"/>
      <x v="52"/>
      <x v="2"/>
      <x v="420"/>
    </i>
    <i>
      <x v="19"/>
      <x v="4"/>
      <x v="787"/>
      <x v="52"/>
      <x v="2"/>
      <x v="471"/>
    </i>
    <i>
      <x v="27"/>
      <x v="15"/>
      <x v="709"/>
      <x v="52"/>
      <x v="2"/>
      <x v="475"/>
    </i>
    <i>
      <x v="32"/>
      <x v="14"/>
      <x v="592"/>
      <x v="52"/>
      <x v="2"/>
      <x v="412"/>
    </i>
    <i>
      <x v="54"/>
      <x v="9"/>
      <x v="125"/>
      <x v="52"/>
      <x v="2"/>
      <x v="93"/>
    </i>
    <i>
      <x v="61"/>
      <x v="7"/>
      <x v="303"/>
      <x v="52"/>
      <x v="2"/>
      <x v="308"/>
    </i>
    <i>
      <x v="67"/>
      <x v="16"/>
      <x v="625"/>
      <x v="52"/>
      <x v="2"/>
      <x v="460"/>
    </i>
    <i>
      <x v="68"/>
      <x v="14"/>
      <x v="721"/>
      <x v="52"/>
      <x v="2"/>
      <x v="457"/>
    </i>
    <i>
      <x v="81"/>
      <x v="15"/>
      <x v="579"/>
      <x v="52"/>
      <x v="2"/>
      <x v="356"/>
    </i>
    <i>
      <x v="82"/>
      <x v="4"/>
      <x v="24"/>
      <x v="52"/>
      <x v="2"/>
      <x v="23"/>
    </i>
    <i>
      <x v="89"/>
      <x v="13"/>
      <x v="440"/>
      <x v="52"/>
      <x v="2"/>
      <x v="281"/>
    </i>
    <i>
      <x v="93"/>
      <x v="10"/>
      <x v="627"/>
      <x v="52"/>
      <x v="2"/>
      <x v="389"/>
    </i>
    <i>
      <x v="95"/>
      <x v="5"/>
      <x v="308"/>
      <x v="52"/>
      <x v="2"/>
      <x v="264"/>
    </i>
    <i>
      <x v="96"/>
      <x v="9"/>
      <x v="100"/>
      <x v="52"/>
      <x v="2"/>
      <x v="88"/>
    </i>
    <i>
      <x v="102"/>
      <x v="1"/>
      <x v="451"/>
      <x v="52"/>
      <x v="2"/>
      <x v="348"/>
    </i>
    <i>
      <x v="103"/>
      <x v="1"/>
      <x v="442"/>
      <x v="52"/>
      <x v="2"/>
      <x v="279"/>
    </i>
    <i>
      <x v="105"/>
      <x v="4"/>
      <x v="565"/>
      <x v="52"/>
      <x v="2"/>
      <x v="429"/>
    </i>
    <i>
      <x v="132"/>
      <x v="11"/>
      <x v="707"/>
      <x v="52"/>
      <x v="2"/>
      <x v="428"/>
    </i>
    <i>
      <x v="137"/>
      <x v="6"/>
      <x v="324"/>
      <x v="52"/>
      <x v="2"/>
      <x v="252"/>
    </i>
    <i>
      <x v="167"/>
      <x v="10"/>
      <x v="265"/>
      <x v="52"/>
      <x v="2"/>
      <x v="181"/>
    </i>
    <i>
      <x v="171"/>
      <x v="6"/>
      <x v="94"/>
      <x v="52"/>
      <x v="2"/>
      <x v="193"/>
    </i>
    <i>
      <x v="182"/>
      <x v="10"/>
      <x v="411"/>
      <x v="52"/>
      <x v="2"/>
      <x v="267"/>
    </i>
    <i>
      <x v="193"/>
      <x v="5"/>
      <x v="432"/>
      <x v="52"/>
      <x v="2"/>
      <x v="285"/>
    </i>
    <i>
      <x v="204"/>
      <x v="1"/>
      <x v="317"/>
      <x v="52"/>
      <x v="2"/>
      <x v="255"/>
    </i>
    <i>
      <x v="217"/>
      <x v="15"/>
      <x v="504"/>
      <x v="52"/>
      <x v="2"/>
      <x v="355"/>
    </i>
    <i>
      <x v="221"/>
      <x v="7"/>
      <x v="52"/>
      <x v="52"/>
      <x v="2"/>
      <x v="37"/>
    </i>
    <i>
      <x v="226"/>
      <x v="4"/>
      <x v="195"/>
      <x v="52"/>
      <x v="2"/>
      <x v="164"/>
    </i>
    <i>
      <x v="237"/>
      <x/>
      <x v="614"/>
      <x v="52"/>
      <x v="2"/>
      <x v="410"/>
    </i>
    <i>
      <x v="248"/>
      <x/>
      <x v="654"/>
      <x v="52"/>
      <x v="2"/>
      <x v="425"/>
    </i>
    <i>
      <x v="258"/>
      <x v="1"/>
      <x v="640"/>
      <x v="52"/>
      <x v="2"/>
      <x v="392"/>
    </i>
    <i>
      <x v="267"/>
      <x v="15"/>
      <x v="321"/>
      <x v="52"/>
      <x v="2"/>
      <x v="213"/>
    </i>
    <i>
      <x v="286"/>
      <x v="2"/>
      <x v="486"/>
      <x v="52"/>
      <x v="2"/>
      <x v="348"/>
    </i>
    <i>
      <x v="299"/>
      <x v="15"/>
      <x v="119"/>
      <x v="52"/>
      <x v="2"/>
      <x v="195"/>
    </i>
    <i>
      <x v="304"/>
      <x v="16"/>
      <x v="402"/>
      <x v="52"/>
      <x v="2"/>
      <x v="345"/>
    </i>
    <i>
      <x v="324"/>
      <x v="9"/>
      <x v="680"/>
      <x v="52"/>
      <x v="2"/>
      <x v="414"/>
    </i>
    <i>
      <x v="325"/>
      <x v="4"/>
      <x v="260"/>
      <x v="52"/>
      <x v="2"/>
      <x v="179"/>
    </i>
    <i>
      <x v="328"/>
      <x v="9"/>
      <x v="273"/>
      <x v="52"/>
      <x v="2"/>
      <x v="205"/>
    </i>
    <i>
      <x v="329"/>
      <x v="6"/>
      <x v="671"/>
      <x v="52"/>
      <x v="2"/>
      <x v="458"/>
    </i>
    <i>
      <x v="331"/>
      <x v="3"/>
      <x v="276"/>
      <x v="52"/>
      <x v="2"/>
      <x v="210"/>
    </i>
    <i>
      <x v="332"/>
      <x v="1"/>
      <x v="211"/>
      <x v="52"/>
      <x v="2"/>
      <x v="160"/>
    </i>
    <i>
      <x v="345"/>
      <x v="10"/>
      <x v="277"/>
      <x v="52"/>
      <x v="2"/>
      <x v="246"/>
    </i>
    <i>
      <x v="346"/>
      <x/>
      <x v="167"/>
      <x v="52"/>
      <x v="2"/>
      <x v="114"/>
    </i>
    <i>
      <x v="376"/>
      <x v="14"/>
      <x v="131"/>
      <x v="52"/>
      <x v="2"/>
      <x v="147"/>
    </i>
    <i r="2">
      <x v="241"/>
      <x v="52"/>
      <x v="2"/>
      <x v="169"/>
    </i>
    <i r="2">
      <x v="271"/>
      <x v="52"/>
      <x v="2"/>
      <x v="201"/>
    </i>
    <i>
      <x v="381"/>
      <x v="6"/>
      <x v="638"/>
      <x v="52"/>
      <x v="2"/>
      <x v="425"/>
    </i>
    <i>
      <x v="395"/>
      <x v="13"/>
      <x v="663"/>
      <x v="52"/>
      <x v="2"/>
      <x v="400"/>
    </i>
    <i>
      <x v="397"/>
      <x v="6"/>
      <x v="346"/>
      <x v="52"/>
      <x v="2"/>
      <x v="237"/>
    </i>
    <i>
      <x v="400"/>
      <x v="15"/>
      <x v="499"/>
      <x v="52"/>
      <x v="2"/>
      <x v="308"/>
    </i>
    <i>
      <x v="418"/>
      <x v="10"/>
      <x v="500"/>
      <x v="52"/>
      <x v="2"/>
      <x v="304"/>
    </i>
    <i>
      <x v="422"/>
      <x v="7"/>
      <x v="384"/>
      <x v="52"/>
      <x v="2"/>
      <x v="392"/>
    </i>
    <i>
      <x v="428"/>
      <x v="10"/>
      <x v="373"/>
      <x v="52"/>
      <x v="2"/>
      <x v="274"/>
    </i>
    <i>
      <x v="439"/>
      <x v="15"/>
      <x v="121"/>
      <x v="52"/>
      <x v="2"/>
      <x v="131"/>
    </i>
    <i r="2">
      <x v="379"/>
      <x v="52"/>
      <x v="2"/>
      <x v="249"/>
    </i>
    <i>
      <x v="442"/>
      <x v="13"/>
      <x v="553"/>
      <x v="52"/>
      <x v="2"/>
      <x v="353"/>
    </i>
    <i>
      <x v="448"/>
      <x v="13"/>
      <x v="108"/>
      <x v="52"/>
      <x v="2"/>
      <x v="86"/>
    </i>
    <i>
      <x v="456"/>
      <x v="2"/>
      <x v="656"/>
      <x v="52"/>
      <x v="2"/>
      <x v="408"/>
    </i>
    <i>
      <x v="459"/>
      <x v="3"/>
      <x v="572"/>
      <x v="52"/>
      <x v="2"/>
      <x v="365"/>
    </i>
    <i>
      <x v="497"/>
      <x v="11"/>
      <x v="599"/>
      <x v="52"/>
      <x v="2"/>
      <x v="372"/>
    </i>
    <i>
      <x v="533"/>
      <x v="1"/>
      <x v="85"/>
      <x v="52"/>
      <x v="2"/>
      <x v="65"/>
    </i>
    <i>
      <x v="556"/>
      <x/>
      <x v="555"/>
      <x v="52"/>
      <x v="2"/>
      <x v="331"/>
    </i>
    <i>
      <x v="560"/>
      <x v="13"/>
      <x v="740"/>
      <x v="52"/>
      <x v="2"/>
      <x v="449"/>
    </i>
    <i>
      <x v="561"/>
      <x v="6"/>
      <x v="525"/>
      <x v="52"/>
      <x v="2"/>
      <x v="325"/>
    </i>
    <i>
      <x v="566"/>
      <x v="1"/>
      <x v="570"/>
      <x v="52"/>
      <x v="2"/>
      <x v="360"/>
    </i>
    <i>
      <x v="578"/>
      <x v="14"/>
      <x v="123"/>
      <x v="52"/>
      <x v="2"/>
      <x v="96"/>
    </i>
    <i>
      <x v="583"/>
      <x v="2"/>
      <x v="581"/>
      <x v="52"/>
      <x v="2"/>
      <x v="438"/>
    </i>
    <i>
      <x v="586"/>
      <x v="10"/>
      <x v="217"/>
      <x v="5"/>
      <x v="3"/>
      <x v="341"/>
    </i>
    <i r="2">
      <x v="478"/>
      <x v="1"/>
      <x v="2"/>
      <x v="362"/>
    </i>
    <i>
      <x v="591"/>
      <x v="10"/>
      <x v="63"/>
      <x v="9"/>
      <x v="3"/>
      <x v="77"/>
    </i>
    <i r="3">
      <x v="27"/>
      <x v="3"/>
      <x v="77"/>
    </i>
    <i r="3">
      <x v="37"/>
      <x v="3"/>
      <x v="77"/>
    </i>
    <i>
      <x v="592"/>
      <x v="10"/>
      <x v="136"/>
      <x v="52"/>
      <x v="2"/>
      <x v="116"/>
    </i>
    <i>
      <x v="620"/>
      <x v="14"/>
      <x v="510"/>
      <x v="52"/>
      <x v="2"/>
      <x v="439"/>
    </i>
    <i>
      <x v="622"/>
      <x v="4"/>
      <x v="401"/>
      <x v="52"/>
      <x v="2"/>
      <x v="273"/>
    </i>
    <i>
      <x v="624"/>
      <x v="2"/>
      <x v="20"/>
      <x v="52"/>
      <x v="2"/>
      <x v="17"/>
    </i>
    <i>
      <x v="628"/>
      <x v="6"/>
      <x v="524"/>
      <x v="52"/>
      <x v="2"/>
      <x v="352"/>
    </i>
    <i>
      <x v="633"/>
      <x v="4"/>
      <x v="203"/>
      <x v="52"/>
      <x v="2"/>
      <x v="163"/>
    </i>
    <i>
      <x v="640"/>
      <x v="14"/>
      <x v="425"/>
      <x v="52"/>
      <x v="2"/>
      <x v="377"/>
    </i>
    <i>
      <x v="641"/>
      <x v="5"/>
      <x v="535"/>
      <x v="52"/>
      <x v="2"/>
      <x v="324"/>
    </i>
    <i>
      <x v="647"/>
      <x v="10"/>
      <x v="283"/>
      <x v="42"/>
      <x v="3"/>
      <x v="270"/>
    </i>
    <i r="3">
      <x v="44"/>
      <x v="3"/>
      <x v="270"/>
    </i>
    <i>
      <x v="669"/>
      <x v="10"/>
      <x v="473"/>
      <x v="52"/>
      <x v="2"/>
      <x v="290"/>
    </i>
    <i>
      <x v="689"/>
      <x v="6"/>
      <x v="428"/>
      <x v="52"/>
      <x v="2"/>
      <x v="322"/>
    </i>
    <i>
      <x v="694"/>
      <x v="14"/>
      <x v="634"/>
      <x v="52"/>
      <x v="2"/>
      <x v="383"/>
    </i>
    <i>
      <x v="696"/>
      <x v="17"/>
      <x v="666"/>
      <x v="52"/>
      <x v="2"/>
      <x v="401"/>
    </i>
    <i>
      <x v="711"/>
      <x v="14"/>
      <x v="194"/>
      <x v="52"/>
      <x v="2"/>
      <x v="140"/>
    </i>
    <i>
      <x v="712"/>
      <x/>
      <x v="537"/>
      <x v="52"/>
      <x v="2"/>
      <x v="386"/>
    </i>
    <i>
      <x v="715"/>
      <x v="14"/>
      <x v="563"/>
      <x v="52"/>
      <x v="2"/>
      <x v="348"/>
    </i>
    <i>
      <x v="721"/>
      <x v="15"/>
      <x v="335"/>
      <x v="52"/>
      <x v="2"/>
      <x v="224"/>
    </i>
    <i>
      <x v="722"/>
      <x v="2"/>
      <x v="683"/>
      <x v="52"/>
      <x v="2"/>
      <x v="447"/>
    </i>
    <i>
      <x v="728"/>
      <x v="14"/>
      <x v="285"/>
      <x v="52"/>
      <x v="2"/>
      <x v="191"/>
    </i>
    <i>
      <x v="729"/>
      <x v="14"/>
      <x v="284"/>
      <x v="52"/>
      <x v="2"/>
      <x v="254"/>
    </i>
    <i>
      <x v="735"/>
      <x v="7"/>
      <x v="725"/>
      <x v="52"/>
      <x v="2"/>
      <x v="455"/>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2" hier="-1"/>
    <pageField fld="1" hier="-1"/>
    <pageField fld="3"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6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00000000-0007-0000-6B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66"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h="1" x="0"/>
        <item h="1" x="5"/>
        <item x="2"/>
        <item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60">
    <i>
      <x v="5"/>
      <x v="12"/>
      <x v="713"/>
      <x v="52"/>
      <x v="5"/>
      <x v="432"/>
    </i>
    <i>
      <x v="6"/>
      <x v="14"/>
      <x v="358"/>
      <x v="52"/>
      <x v="5"/>
      <x v="241"/>
    </i>
    <i>
      <x v="7"/>
      <x v="15"/>
      <x v="103"/>
      <x v="52"/>
      <x v="5"/>
      <x v="74"/>
    </i>
    <i>
      <x v="55"/>
      <x v="2"/>
      <x v="608"/>
      <x v="52"/>
      <x v="5"/>
      <x v="371"/>
    </i>
    <i>
      <x v="65"/>
      <x/>
      <x v="697"/>
      <x v="52"/>
      <x v="5"/>
      <x v="423"/>
    </i>
    <i>
      <x v="86"/>
      <x v="7"/>
      <x v="59"/>
      <x v="52"/>
      <x v="5"/>
      <x v="42"/>
    </i>
    <i>
      <x v="124"/>
      <x v="14"/>
      <x v="274"/>
      <x v="52"/>
      <x v="5"/>
      <x v="184"/>
    </i>
    <i>
      <x v="151"/>
      <x v="10"/>
      <x v="141"/>
      <x v="52"/>
      <x v="5"/>
      <x v="98"/>
    </i>
    <i>
      <x v="190"/>
      <x v="13"/>
      <x v="700"/>
      <x v="52"/>
      <x v="5"/>
      <x v="427"/>
    </i>
    <i>
      <x v="267"/>
      <x v="15"/>
      <x v="519"/>
      <x v="52"/>
      <x v="5"/>
      <x v="315"/>
    </i>
    <i>
      <x v="306"/>
      <x v="14"/>
      <x v="334"/>
      <x v="52"/>
      <x v="5"/>
      <x v="228"/>
    </i>
    <i>
      <x v="318"/>
      <x v="14"/>
      <x v="219"/>
      <x v="52"/>
      <x v="5"/>
      <x v="146"/>
    </i>
    <i>
      <x v="338"/>
      <x v="9"/>
      <x v="488"/>
      <x v="52"/>
      <x v="5"/>
      <x v="302"/>
    </i>
    <i>
      <x v="342"/>
      <x v="15"/>
      <x v="262"/>
      <x v="52"/>
      <x v="5"/>
      <x v="180"/>
    </i>
    <i>
      <x v="352"/>
      <x v="14"/>
      <x v="299"/>
      <x v="52"/>
      <x v="5"/>
      <x v="225"/>
    </i>
    <i>
      <x v="373"/>
      <x v="15"/>
      <x v="480"/>
      <x v="52"/>
      <x v="5"/>
      <x v="287"/>
    </i>
    <i>
      <x v="406"/>
      <x v="4"/>
      <x v="370"/>
      <x v="52"/>
      <x v="5"/>
      <x v="240"/>
    </i>
    <i>
      <x v="431"/>
      <x v="3"/>
      <x v="143"/>
      <x v="52"/>
      <x v="5"/>
      <x v="101"/>
    </i>
    <i>
      <x v="443"/>
      <x v="14"/>
      <x v="239"/>
      <x v="52"/>
      <x v="5"/>
      <x v="165"/>
    </i>
    <i>
      <x v="457"/>
      <x v="14"/>
      <x v="368"/>
      <x v="52"/>
      <x v="5"/>
      <x v="235"/>
    </i>
    <i>
      <x v="520"/>
      <x v="14"/>
      <x v="507"/>
      <x v="52"/>
      <x v="5"/>
      <x v="313"/>
    </i>
    <i>
      <x v="528"/>
      <x v="8"/>
      <x v="728"/>
      <x v="52"/>
      <x v="5"/>
      <x v="440"/>
    </i>
    <i>
      <x v="608"/>
      <x v="14"/>
      <x v="350"/>
      <x v="52"/>
      <x v="5"/>
      <x v="233"/>
    </i>
    <i r="2">
      <x v="351"/>
      <x v="52"/>
      <x v="5"/>
      <x v="233"/>
    </i>
    <i r="2">
      <x v="359"/>
      <x v="52"/>
      <x v="5"/>
      <x v="241"/>
    </i>
    <i>
      <x v="625"/>
      <x v="9"/>
      <x v="326"/>
      <x v="52"/>
      <x v="5"/>
      <x v="220"/>
    </i>
    <i>
      <x v="630"/>
      <x v="14"/>
      <x v="319"/>
      <x v="52"/>
      <x v="5"/>
      <x v="215"/>
    </i>
    <i r="2">
      <x v="354"/>
      <x v="52"/>
      <x v="5"/>
      <x v="233"/>
    </i>
    <i r="2">
      <x v="377"/>
      <x v="52"/>
      <x v="5"/>
      <x v="244"/>
    </i>
    <i>
      <x v="638"/>
      <x v="14"/>
      <x v="632"/>
      <x v="52"/>
      <x v="5"/>
      <x v="382"/>
    </i>
    <i>
      <x v="642"/>
      <x v="14"/>
      <x v="228"/>
      <x v="52"/>
      <x v="5"/>
      <x v="149"/>
    </i>
    <i>
      <x v="652"/>
      <x v="14"/>
      <x v="310"/>
      <x v="52"/>
      <x v="5"/>
      <x v="213"/>
    </i>
    <i r="2">
      <x v="316"/>
      <x v="52"/>
      <x v="5"/>
      <x v="213"/>
    </i>
    <i r="2">
      <x v="356"/>
      <x v="52"/>
      <x v="5"/>
      <x v="241"/>
    </i>
    <i r="2">
      <x v="357"/>
      <x v="52"/>
      <x v="5"/>
      <x v="233"/>
    </i>
    <i r="2">
      <x v="376"/>
      <x v="52"/>
      <x v="5"/>
      <x v="244"/>
    </i>
    <i r="2">
      <x v="436"/>
      <x v="52"/>
      <x v="5"/>
      <x v="276"/>
    </i>
    <i>
      <x v="661"/>
      <x v="9"/>
      <x v="795"/>
      <x v="52"/>
      <x v="5"/>
      <x v="473"/>
    </i>
    <i>
      <x v="663"/>
      <x v="7"/>
      <x v="418"/>
      <x v="52"/>
      <x v="5"/>
      <x v="270"/>
    </i>
    <i>
      <x v="664"/>
      <x v="7"/>
      <x v="419"/>
      <x v="52"/>
      <x v="5"/>
      <x v="271"/>
    </i>
    <i>
      <x v="665"/>
      <x v="7"/>
      <x v="420"/>
      <x v="52"/>
      <x v="5"/>
      <x v="271"/>
    </i>
    <i>
      <x v="666"/>
      <x v="7"/>
      <x v="421"/>
      <x v="52"/>
      <x v="5"/>
      <x v="271"/>
    </i>
    <i>
      <x v="691"/>
      <x v="14"/>
      <x v="360"/>
      <x v="52"/>
      <x v="5"/>
      <x v="241"/>
    </i>
    <i>
      <x v="699"/>
      <x v="15"/>
      <x v="569"/>
      <x v="52"/>
      <x v="5"/>
      <x v="333"/>
    </i>
    <i>
      <x v="702"/>
      <x v="10"/>
      <x v="185"/>
      <x v="52"/>
      <x v="5"/>
      <x v="130"/>
    </i>
    <i>
      <x v="706"/>
      <x v="14"/>
      <x v="355"/>
      <x v="52"/>
      <x v="5"/>
      <x v="241"/>
    </i>
    <i>
      <x v="717"/>
      <x v="13"/>
      <x v="621"/>
      <x v="52"/>
      <x v="5"/>
      <x v="373"/>
    </i>
    <i>
      <x v="718"/>
      <x v="14"/>
      <x v="382"/>
      <x v="52"/>
      <x v="5"/>
      <x v="247"/>
    </i>
    <i>
      <x v="727"/>
      <x v="15"/>
      <x v="171"/>
      <x v="52"/>
      <x v="5"/>
      <x v="120"/>
    </i>
    <i>
      <x v="730"/>
      <x v="15"/>
      <x v="181"/>
      <x v="52"/>
      <x v="5"/>
      <x v="141"/>
    </i>
    <i>
      <x v="731"/>
      <x v="15"/>
      <x v="151"/>
      <x v="52"/>
      <x v="5"/>
      <x v="101"/>
    </i>
    <i>
      <x v="732"/>
      <x v="15"/>
      <x v="215"/>
      <x v="52"/>
      <x v="5"/>
      <x v="154"/>
    </i>
    <i>
      <x v="733"/>
      <x v="15"/>
      <x v="92"/>
      <x v="52"/>
      <x v="5"/>
      <x v="66"/>
    </i>
    <i>
      <x v="736"/>
      <x v="15"/>
      <x v="661"/>
      <x v="52"/>
      <x v="5"/>
      <x v="398"/>
    </i>
    <i>
      <x v="737"/>
      <x v="15"/>
      <x v="386"/>
      <x v="52"/>
      <x v="5"/>
      <x v="250"/>
    </i>
    <i>
      <x v="738"/>
      <x v="14"/>
      <x v="311"/>
      <x v="52"/>
      <x v="5"/>
      <x v="214"/>
    </i>
    <i>
      <x v="739"/>
      <x v="14"/>
      <x v="611"/>
      <x v="52"/>
      <x v="5"/>
      <x v="366"/>
    </i>
    <i>
      <x v="740"/>
      <x v="14"/>
      <x v="315"/>
      <x v="52"/>
      <x v="5"/>
      <x v="213"/>
    </i>
    <i>
      <x v="742"/>
      <x v="14"/>
      <x v="404"/>
      <x v="52"/>
      <x v="5"/>
      <x v="260"/>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2" hier="-1"/>
    <pageField fld="1" hier="-1"/>
    <pageField fld="3"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6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0000000-0007-0000-6D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19"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h="1" x="0"/>
        <item h="1" x="5"/>
        <item h="1" x="2"/>
        <item h="1"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13">
    <i>
      <x v="241"/>
      <x v="10"/>
      <x v="763"/>
      <x v="52"/>
      <x v="4"/>
      <x v="476"/>
    </i>
    <i>
      <x v="251"/>
      <x v="10"/>
      <x v="238"/>
      <x v="52"/>
      <x v="4"/>
      <x v="476"/>
    </i>
    <i>
      <x v="311"/>
      <x v="10"/>
      <x v="792"/>
      <x v="52"/>
      <x v="4"/>
      <x v="476"/>
    </i>
    <i>
      <x v="353"/>
      <x v="13"/>
      <x v="416"/>
      <x v="52"/>
      <x v="4"/>
      <x v="476"/>
    </i>
    <i>
      <x v="394"/>
      <x v="10"/>
      <x v="447"/>
      <x v="52"/>
      <x v="4"/>
      <x v="476"/>
    </i>
    <i>
      <x v="408"/>
      <x v="4"/>
      <x v="532"/>
      <x v="52"/>
      <x v="4"/>
      <x v="476"/>
    </i>
    <i>
      <x v="469"/>
      <x v="14"/>
      <x v="539"/>
      <x v="52"/>
      <x v="4"/>
      <x v="476"/>
    </i>
    <i>
      <x v="523"/>
      <x v="4"/>
      <x v="503"/>
      <x v="52"/>
      <x v="4"/>
      <x v="476"/>
    </i>
    <i>
      <x v="554"/>
      <x v="7"/>
      <x v="755"/>
      <x v="52"/>
      <x v="4"/>
      <x v="476"/>
    </i>
    <i>
      <x v="600"/>
      <x v="10"/>
      <x v="430"/>
      <x v="52"/>
      <x v="4"/>
      <x v="476"/>
    </i>
    <i>
      <x v="602"/>
      <x v="14"/>
      <x v="435"/>
      <x v="52"/>
      <x v="4"/>
      <x v="476"/>
    </i>
    <i>
      <x v="677"/>
      <x v="3"/>
      <x v="237"/>
      <x v="52"/>
      <x v="4"/>
      <x v="476"/>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3" hier="-1"/>
    <pageField fld="1" hier="-1"/>
    <pageField fld="3"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5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0000000-0007-0000-6F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9"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h="1" x="0"/>
        <item h="1" x="5"/>
        <item h="1" x="2"/>
        <item h="1"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3">
    <i>
      <x v="59"/>
      <x v="9"/>
      <x v="484"/>
      <x v="52"/>
      <x/>
      <x v="414"/>
    </i>
    <i>
      <x v="104"/>
      <x v="1"/>
      <x v="678"/>
      <x v="52"/>
      <x/>
      <x v="425"/>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3" hier="-1"/>
    <pageField fld="1" hier="-1"/>
    <pageField fld="3"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5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00000000-0007-0000-71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45"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x="0"/>
        <item x="5"/>
        <item x="2"/>
        <item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dataField="1" compact="0" numFmtId="3" outline="0" showAll="0" defaultSubtotal="0"/>
    <pivotField dataField="1"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0"/>
        <item x="1"/>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39">
    <i>
      <x v="2"/>
      <x v="4"/>
      <x v="729"/>
      <x v="52"/>
      <x v="2"/>
      <x v="476"/>
    </i>
    <i>
      <x v="9"/>
      <x v="12"/>
      <x v="790"/>
      <x v="52"/>
      <x v="2"/>
      <x v="476"/>
    </i>
    <i>
      <x v="28"/>
      <x v="15"/>
      <x v="803"/>
      <x v="52"/>
      <x v="5"/>
      <x v="476"/>
    </i>
    <i>
      <x v="35"/>
      <x v="15"/>
      <x v="784"/>
      <x v="52"/>
      <x v="2"/>
      <x v="476"/>
    </i>
    <i>
      <x v="52"/>
      <x v="1"/>
      <x v="758"/>
      <x v="52"/>
      <x v="2"/>
      <x v="476"/>
    </i>
    <i>
      <x v="109"/>
      <x v="15"/>
      <x v="778"/>
      <x v="52"/>
      <x v="2"/>
      <x v="476"/>
    </i>
    <i>
      <x v="127"/>
      <x v="14"/>
      <x v="800"/>
      <x v="52"/>
      <x v="2"/>
      <x v="476"/>
    </i>
    <i>
      <x v="173"/>
      <x v="15"/>
      <x v="786"/>
      <x v="52"/>
      <x v="2"/>
      <x v="476"/>
    </i>
    <i>
      <x v="206"/>
      <x/>
      <x v="781"/>
      <x v="52"/>
      <x v="2"/>
      <x v="476"/>
    </i>
    <i>
      <x v="208"/>
      <x v="2"/>
      <x v="773"/>
      <x v="52"/>
      <x v="2"/>
      <x v="476"/>
    </i>
    <i>
      <x v="219"/>
      <x v="15"/>
      <x v="711"/>
      <x v="52"/>
      <x v="2"/>
      <x v="476"/>
    </i>
    <i>
      <x v="313"/>
      <x v="15"/>
      <x v="759"/>
      <x v="52"/>
      <x v="2"/>
      <x v="476"/>
    </i>
    <i>
      <x v="316"/>
      <x v="4"/>
      <x v="801"/>
      <x v="52"/>
      <x v="2"/>
      <x v="476"/>
    </i>
    <i>
      <x v="353"/>
      <x v="13"/>
      <x v="794"/>
      <x v="52"/>
      <x v="2"/>
      <x v="476"/>
    </i>
    <i>
      <x v="378"/>
      <x v="4"/>
      <x v="747"/>
      <x v="52"/>
      <x v="2"/>
      <x v="476"/>
    </i>
    <i>
      <x v="406"/>
      <x v="4"/>
      <x v="498"/>
      <x v="52"/>
      <x v="2"/>
      <x v="476"/>
    </i>
    <i>
      <x v="426"/>
      <x v="14"/>
      <x v="779"/>
      <x v="52"/>
      <x v="2"/>
      <x v="476"/>
    </i>
    <i>
      <x v="433"/>
      <x v="2"/>
      <x v="648"/>
      <x v="52"/>
      <x v="2"/>
      <x v="476"/>
    </i>
    <i>
      <x v="437"/>
      <x v="16"/>
      <x v="603"/>
      <x v="52"/>
      <x v="2"/>
      <x v="476"/>
    </i>
    <i r="2">
      <x v="822"/>
      <x v="52"/>
      <x v="2"/>
      <x v="476"/>
    </i>
    <i>
      <x v="473"/>
      <x v="13"/>
      <x v="734"/>
      <x v="52"/>
      <x v="2"/>
      <x v="476"/>
    </i>
    <i>
      <x v="492"/>
      <x v="14"/>
      <x v="824"/>
      <x v="52"/>
      <x v="5"/>
      <x v="476"/>
    </i>
    <i>
      <x v="504"/>
      <x v="2"/>
      <x v="689"/>
      <x v="52"/>
      <x v="2"/>
      <x v="476"/>
    </i>
    <i>
      <x v="564"/>
      <x v="8"/>
      <x v="817"/>
      <x v="52"/>
      <x v="2"/>
      <x v="476"/>
    </i>
    <i>
      <x v="579"/>
      <x v="14"/>
      <x v="813"/>
      <x v="52"/>
      <x v="2"/>
      <x v="476"/>
    </i>
    <i>
      <x v="618"/>
      <x v="14"/>
      <x v="788"/>
      <x v="52"/>
      <x v="2"/>
      <x v="476"/>
    </i>
    <i>
      <x v="654"/>
      <x v="6"/>
      <x v="739"/>
      <x v="52"/>
      <x v="2"/>
      <x v="476"/>
    </i>
    <i>
      <x v="698"/>
      <x v="14"/>
      <x v="810"/>
      <x v="52"/>
      <x v="5"/>
      <x v="476"/>
    </i>
    <i>
      <x v="701"/>
      <x v="14"/>
      <x v="809"/>
      <x v="52"/>
      <x v="5"/>
      <x v="476"/>
    </i>
    <i>
      <x v="703"/>
      <x v="14"/>
      <x v="829"/>
      <x v="52"/>
      <x v="5"/>
      <x v="476"/>
    </i>
    <i>
      <x v="705"/>
      <x v="14"/>
      <x v="808"/>
      <x v="52"/>
      <x v="5"/>
      <x v="476"/>
    </i>
    <i>
      <x v="708"/>
      <x v="14"/>
      <x v="807"/>
      <x v="52"/>
      <x v="5"/>
      <x v="476"/>
    </i>
    <i>
      <x v="709"/>
      <x v="14"/>
      <x v="806"/>
      <x v="52"/>
      <x v="5"/>
      <x v="476"/>
    </i>
    <i>
      <x v="713"/>
      <x v="14"/>
      <x v="805"/>
      <x v="52"/>
      <x v="5"/>
      <x v="476"/>
    </i>
    <i>
      <x v="714"/>
      <x v="14"/>
      <x v="804"/>
      <x v="52"/>
      <x v="5"/>
      <x v="476"/>
    </i>
    <i>
      <x v="720"/>
      <x v="13"/>
      <x v="266"/>
      <x v="52"/>
      <x v="2"/>
      <x v="476"/>
    </i>
    <i>
      <x v="723"/>
      <x v="14"/>
      <x v="811"/>
      <x v="52"/>
      <x v="5"/>
      <x v="476"/>
    </i>
    <i>
      <x v="751"/>
      <x v="4"/>
      <x v="387"/>
      <x v="52"/>
      <x v="2"/>
      <x v="476"/>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3" hier="-1"/>
    <pageField fld="1" hier="-1"/>
    <pageField fld="3" hier="-1"/>
    <pageField fld="67" item="1" hier="-1"/>
  </pageFields>
  <dataFields count="13">
    <dataField name="Sum of B1a Gain" fld="41" baseField="1" baseItem="3"/>
    <dataField name="Sum of B1b Gain" fld="42" baseField="1" baseItem="3"/>
    <dataField name="Sum of B1c Gain" fld="43" baseField="1" baseItem="3"/>
    <dataField name="Sum of B2 Gain" fld="45" baseField="1" baseItem="3"/>
    <dataField name="Sum of B8 Gain" fld="46" baseField="1" baseItem="3"/>
    <dataField name="Sum of B Total Gain" fld="47" baseField="1" baseItem="3"/>
    <dataField name="Sum of B1a Loss" fld="57" baseField="1" baseItem="3"/>
    <dataField name="Sum of B1b Loss" fld="58" baseField="1" baseItem="3"/>
    <dataField name="Sum of B1c Loss" fld="59" baseField="1" baseItem="3"/>
    <dataField name="Sum of B2 Loss" fld="60" baseField="1" baseItem="3"/>
    <dataField name="Sum of B8 Loss" fld="61" baseField="1" baseItem="3"/>
    <dataField name="Sum of B Total Loss" fld="62" baseField="1" baseItem="3"/>
    <dataField name="Sum of B Total Net" fld="81" baseField="1" baseItem="3"/>
  </dataFields>
  <formats count="1">
    <format dxfId="5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00000000-0007-0000-7300-000000000000}" name="PivotTable1" cacheId="20" applyNumberFormats="0" applyBorderFormats="0" applyFontFormats="0" applyPatternFormats="0" applyAlignmentFormats="0" applyWidthHeightFormats="1" dataCaption="Values" grandTotalCaption="Total" updatedVersion="6" minRefreshableVersion="3" useAutoFormatting="1" itemPrintTitles="1" createdVersion="4" indent="0" compact="0" compactData="0" multipleFieldFilters="0">
  <location ref="A5:S15" firstHeaderRow="0" firstDataRow="1" firstDataCol="6" rowPageCount="3" colPageCount="1"/>
  <pivotFields count="132">
    <pivotField axis="axisPage" compact="0" outline="0" showAll="0" defaultSubtotal="0">
      <items count="4">
        <item x="0"/>
        <item x="2"/>
        <item x="1"/>
        <item x="3"/>
      </items>
    </pivotField>
    <pivotField axis="axisPage" compact="0" outline="0" showAll="0" defaultSubtotal="0">
      <items count="3">
        <item x="0"/>
        <item x="1"/>
        <item x="2"/>
      </items>
    </pivotField>
    <pivotField axis="axisRow" compact="0" outline="0" showAll="0" defaultSubtotal="0">
      <items count="3">
        <item x="0"/>
        <item x="1"/>
        <item x="2"/>
      </items>
    </pivotField>
    <pivotField compact="0" outline="0" showAll="0" defaultSubtotal="0"/>
    <pivotField axis="axisRow" compact="0" outline="0" showAll="0" defaultSubtotal="0">
      <items count="25">
        <item x="6"/>
        <item x="16"/>
        <item x="21"/>
        <item x="15"/>
        <item x="19"/>
        <item x="13"/>
        <item x="1"/>
        <item x="12"/>
        <item x="0"/>
        <item x="24"/>
        <item x="9"/>
        <item x="10"/>
        <item x="4"/>
        <item x="23"/>
        <item x="14"/>
        <item x="5"/>
        <item x="7"/>
        <item x="2"/>
        <item x="3"/>
        <item x="11"/>
        <item x="20"/>
        <item x="17"/>
        <item x="22"/>
        <item x="8"/>
        <item x="18"/>
      </items>
    </pivotField>
    <pivotField axis="axisRow" compact="0" outline="0" showAll="0" defaultSubtotal="0">
      <items count="12">
        <item x="0"/>
        <item x="4"/>
        <item x="6"/>
        <item x="11"/>
        <item x="8"/>
        <item x="1"/>
        <item x="3"/>
        <item x="9"/>
        <item x="7"/>
        <item x="10"/>
        <item x="5"/>
        <item x="2"/>
      </items>
    </pivotField>
    <pivotField compact="0" numFmtId="166"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8">
        <item x="3"/>
        <item x="16"/>
        <item x="10"/>
        <item x="1"/>
        <item x="14"/>
        <item x="20"/>
        <item x="21"/>
        <item x="26"/>
        <item x="6"/>
        <item x="15"/>
        <item x="0"/>
        <item x="8"/>
        <item x="17"/>
        <item x="22"/>
        <item x="12"/>
        <item x="23"/>
        <item x="24"/>
        <item x="7"/>
        <item x="18"/>
        <item x="27"/>
        <item x="2"/>
        <item x="13"/>
        <item x="9"/>
        <item x="25"/>
        <item x="19"/>
        <item x="4"/>
        <item x="5"/>
        <item x="11"/>
      </items>
    </pivotField>
    <pivotField compact="0" outline="0" showAll="0" defaultSubtotal="0"/>
    <pivotField compact="0" numFmtId="14" outline="0" showAll="0" defaultSubtotal="0"/>
    <pivotField axis="axisRow" compact="0" outline="0" showAll="0" defaultSubtotal="0">
      <items count="20">
        <item x="12"/>
        <item x="3"/>
        <item x="1"/>
        <item x="15"/>
        <item x="10"/>
        <item x="18"/>
        <item x="8"/>
        <item x="5"/>
        <item x="11"/>
        <item x="0"/>
        <item x="16"/>
        <item x="13"/>
        <item x="7"/>
        <item x="9"/>
        <item x="17"/>
        <item x="19"/>
        <item x="14"/>
        <item x="2"/>
        <item x="6"/>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1"/>
        <item x="2"/>
        <item x="6"/>
        <item x="3"/>
        <item x="4"/>
        <item x="5"/>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axis="axisPage" compact="0" outline="0" showAll="0" defaultSubtotal="0">
      <items count="2">
        <item x="1"/>
        <item x="0"/>
      </items>
    </pivotField>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s>
  <rowFields count="6">
    <field x="4"/>
    <field x="5"/>
    <field x="10"/>
    <field x="29"/>
    <field x="2"/>
    <field x="13"/>
  </rowFields>
  <rowItems count="10">
    <i>
      <x v="6"/>
      <x v="5"/>
      <x v="20"/>
      <x v="6"/>
      <x/>
      <x v="17"/>
    </i>
    <i>
      <x v="8"/>
      <x/>
      <x v="10"/>
      <x v="6"/>
      <x/>
      <x v="9"/>
    </i>
    <i>
      <x v="9"/>
      <x v="8"/>
      <x v="7"/>
      <x/>
      <x/>
      <x v="5"/>
    </i>
    <i r="3">
      <x v="3"/>
      <x/>
      <x v="5"/>
    </i>
    <i>
      <x v="14"/>
      <x v="6"/>
      <x v="1"/>
      <x v="6"/>
      <x/>
      <x/>
    </i>
    <i>
      <x v="16"/>
      <x v="6"/>
      <x v="22"/>
      <x v="6"/>
      <x/>
      <x v="19"/>
    </i>
    <i>
      <x v="20"/>
      <x v="8"/>
      <x v="13"/>
      <x v="6"/>
      <x v="2"/>
      <x v="10"/>
    </i>
    <i>
      <x v="21"/>
      <x v="9"/>
      <x v="24"/>
      <x v="6"/>
      <x/>
      <x v="19"/>
    </i>
    <i>
      <x v="23"/>
      <x v="2"/>
      <x v="2"/>
      <x v="6"/>
      <x/>
      <x v="6"/>
    </i>
    <i t="grand">
      <x/>
    </i>
  </rowItems>
  <colFields count="1">
    <field x="-2"/>
  </colFields>
  <colItems count="13">
    <i>
      <x/>
    </i>
    <i i="1">
      <x v="1"/>
    </i>
    <i i="2">
      <x v="2"/>
    </i>
    <i i="3">
      <x v="3"/>
    </i>
    <i i="4">
      <x v="4"/>
    </i>
    <i i="5">
      <x v="5"/>
    </i>
    <i i="6">
      <x v="6"/>
    </i>
    <i i="7">
      <x v="7"/>
    </i>
    <i i="8">
      <x v="8"/>
    </i>
    <i i="9">
      <x v="9"/>
    </i>
    <i i="10">
      <x v="10"/>
    </i>
    <i i="11">
      <x v="11"/>
    </i>
    <i i="12">
      <x v="12"/>
    </i>
  </colItems>
  <pageFields count="3">
    <pageField fld="0" hier="-1"/>
    <pageField fld="1" hier="-1"/>
    <pageField fld="66" item="1" hier="-1"/>
  </pageFields>
  <dataFields count="13">
    <dataField name="Sum of B1a Gain" fld="39" baseField="0" baseItem="0"/>
    <dataField name="Sum of B1b Gain" fld="40" baseField="0" baseItem="0"/>
    <dataField name="Sum of B1c Gain" fld="41" baseField="0" baseItem="0"/>
    <dataField name="Sum of B2 Gain" fld="42" baseField="0" baseItem="0"/>
    <dataField name="Sum of B8 Gain" fld="43" baseField="0" baseItem="0"/>
    <dataField name="Sum of B Total Gain" fld="44" baseField="0" baseItem="0"/>
    <dataField name="Sum of B1a Loss" fld="55" baseField="0" baseItem="0"/>
    <dataField name="Sum of B1b Loss" fld="56" baseField="0" baseItem="0"/>
    <dataField name="Sum of B1c Loss" fld="57" baseField="0" baseItem="0"/>
    <dataField name="Sum of B2 Loss" fld="58" baseField="0" baseItem="0"/>
    <dataField name="Sum of B8 Loss" fld="59" baseField="0" baseItem="0"/>
    <dataField name="Sum of B Total Loss" fld="60" baseField="0" baseItem="0"/>
    <dataField name="Sum of B Total Net" fld="7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0000000-0007-0000-75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96"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x="0"/>
        <item x="5"/>
        <item x="2"/>
        <item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90">
    <i>
      <x v="10"/>
      <x v="18"/>
      <x v="549"/>
      <x v="52"/>
      <x v="2"/>
      <x v="345"/>
    </i>
    <i>
      <x v="21"/>
      <x v="6"/>
      <x v="566"/>
      <x v="52"/>
      <x v="2"/>
      <x v="338"/>
    </i>
    <i>
      <x v="23"/>
      <x v="16"/>
      <x v="651"/>
      <x v="52"/>
      <x v="2"/>
      <x v="406"/>
    </i>
    <i>
      <x v="24"/>
      <x v="15"/>
      <x v="297"/>
      <x v="52"/>
      <x v="2"/>
      <x v="201"/>
    </i>
    <i>
      <x v="32"/>
      <x v="14"/>
      <x v="106"/>
      <x v="52"/>
      <x v="2"/>
      <x v="99"/>
    </i>
    <i>
      <x v="33"/>
      <x v="4"/>
      <x v="597"/>
      <x v="52"/>
      <x v="1"/>
      <x v="380"/>
    </i>
    <i>
      <x v="34"/>
      <x v="12"/>
      <x v="658"/>
      <x v="52"/>
      <x v="2"/>
      <x v="397"/>
    </i>
    <i>
      <x v="43"/>
      <x v="15"/>
      <x v="457"/>
      <x v="52"/>
      <x v="5"/>
      <x v="286"/>
    </i>
    <i>
      <x v="44"/>
      <x v="4"/>
      <x v="222"/>
      <x v="52"/>
      <x v="2"/>
      <x v="155"/>
    </i>
    <i>
      <x v="50"/>
      <x/>
      <x v="736"/>
      <x v="52"/>
      <x v="2"/>
      <x v="446"/>
    </i>
    <i>
      <x v="53"/>
      <x v="13"/>
      <x v="364"/>
      <x v="52"/>
      <x v="2"/>
      <x v="236"/>
    </i>
    <i>
      <x v="71"/>
      <x v="1"/>
      <x v="624"/>
      <x v="52"/>
      <x v="2"/>
      <x v="385"/>
    </i>
    <i>
      <x v="88"/>
      <x v="13"/>
      <x v="192"/>
      <x v="52"/>
      <x v="2"/>
      <x v="160"/>
    </i>
    <i>
      <x v="91"/>
      <x v="8"/>
      <x v="546"/>
      <x v="52"/>
      <x v="2"/>
      <x v="332"/>
    </i>
    <i>
      <x v="92"/>
      <x v="10"/>
      <x v="272"/>
      <x v="52"/>
      <x v="2"/>
      <x v="176"/>
    </i>
    <i>
      <x v="94"/>
      <x v="9"/>
      <x v="571"/>
      <x v="52"/>
      <x v="2"/>
      <x v="342"/>
    </i>
    <i>
      <x v="97"/>
      <x v="6"/>
      <x v="278"/>
      <x v="52"/>
      <x v="2"/>
      <x v="188"/>
    </i>
    <i>
      <x v="99"/>
      <x v="9"/>
      <x v="513"/>
      <x v="52"/>
      <x v="5"/>
      <x v="327"/>
    </i>
    <i>
      <x v="106"/>
      <x v="5"/>
      <x v="62"/>
      <x v="52"/>
      <x v="2"/>
      <x v="45"/>
    </i>
    <i r="2">
      <x v="607"/>
      <x v="52"/>
      <x v="2"/>
      <x v="369"/>
    </i>
    <i>
      <x v="113"/>
      <x v="2"/>
      <x v="635"/>
      <x v="52"/>
      <x v="2"/>
      <x v="384"/>
    </i>
    <i>
      <x v="115"/>
      <x v="12"/>
      <x v="105"/>
      <x v="52"/>
      <x v="2"/>
      <x v="76"/>
    </i>
    <i>
      <x v="117"/>
      <x v="13"/>
      <x v="235"/>
      <x v="52"/>
      <x v="2"/>
      <x v="199"/>
    </i>
    <i>
      <x v="118"/>
      <x v="2"/>
      <x v="342"/>
      <x v="52"/>
      <x v="2"/>
      <x v="232"/>
    </i>
    <i>
      <x v="129"/>
      <x/>
      <x v="113"/>
      <x v="52"/>
      <x v="5"/>
      <x v="76"/>
    </i>
    <i>
      <x v="131"/>
      <x v="1"/>
      <x v="615"/>
      <x v="52"/>
      <x v="2"/>
      <x v="391"/>
    </i>
    <i>
      <x v="135"/>
      <x v="15"/>
      <x v="702"/>
      <x v="52"/>
      <x v="2"/>
      <x v="435"/>
    </i>
    <i>
      <x v="138"/>
      <x v="2"/>
      <x v="282"/>
      <x v="52"/>
      <x v="2"/>
      <x v="192"/>
    </i>
    <i>
      <x v="163"/>
      <x v="12"/>
      <x v="467"/>
      <x v="52"/>
      <x v="2"/>
      <x v="323"/>
    </i>
    <i>
      <x v="164"/>
      <x v="5"/>
      <x v="434"/>
      <x v="52"/>
      <x v="2"/>
      <x v="275"/>
    </i>
    <i>
      <x v="168"/>
      <x v="14"/>
      <x v="672"/>
      <x v="52"/>
      <x v="2"/>
      <x v="416"/>
    </i>
    <i>
      <x v="179"/>
      <x v="16"/>
      <x v="196"/>
      <x v="52"/>
      <x v="2"/>
      <x v="162"/>
    </i>
    <i>
      <x v="188"/>
      <x v="19"/>
      <x v="70"/>
      <x v="52"/>
      <x v="2"/>
      <x v="59"/>
    </i>
    <i>
      <x v="200"/>
      <x v="13"/>
      <x v="459"/>
      <x v="52"/>
      <x v="2"/>
      <x v="286"/>
    </i>
    <i>
      <x v="202"/>
      <x v="13"/>
      <x v="422"/>
      <x v="52"/>
      <x v="2"/>
      <x v="268"/>
    </i>
    <i>
      <x v="218"/>
      <x v="9"/>
      <x v="287"/>
      <x v="52"/>
      <x v="2"/>
      <x v="207"/>
    </i>
    <i>
      <x v="229"/>
      <x v="10"/>
      <x v="742"/>
      <x v="52"/>
      <x v="2"/>
      <x v="454"/>
    </i>
    <i>
      <x v="236"/>
      <x v="2"/>
      <x v="691"/>
      <x v="52"/>
      <x v="2"/>
      <x v="419"/>
    </i>
    <i>
      <x v="238"/>
      <x v="2"/>
      <x v="50"/>
      <x v="52"/>
      <x v="2"/>
      <x v="35"/>
    </i>
    <i>
      <x v="239"/>
      <x v="4"/>
      <x v="10"/>
      <x v="52"/>
      <x v="2"/>
      <x v="9"/>
    </i>
    <i r="2">
      <x v="483"/>
      <x v="52"/>
      <x v="2"/>
      <x v="305"/>
    </i>
    <i>
      <x v="240"/>
      <x/>
      <x v="645"/>
      <x v="52"/>
      <x v="5"/>
      <x v="387"/>
    </i>
    <i>
      <x v="243"/>
      <x v="15"/>
      <x v="641"/>
      <x v="52"/>
      <x v="2"/>
      <x v="388"/>
    </i>
    <i>
      <x v="245"/>
      <x v="2"/>
      <x v="325"/>
      <x v="52"/>
      <x v="2"/>
      <x v="254"/>
    </i>
    <i>
      <x v="254"/>
      <x v="14"/>
      <x v="427"/>
      <x v="52"/>
      <x v="2"/>
      <x v="277"/>
    </i>
    <i>
      <x v="256"/>
      <x v="7"/>
      <x v="74"/>
      <x v="52"/>
      <x v="2"/>
      <x v="146"/>
    </i>
    <i>
      <x v="257"/>
      <x v="8"/>
      <x v="116"/>
      <x v="52"/>
      <x v="2"/>
      <x v="82"/>
    </i>
    <i>
      <x v="263"/>
      <x v="15"/>
      <x v="158"/>
      <x v="52"/>
      <x v="2"/>
      <x v="135"/>
    </i>
    <i>
      <x v="268"/>
      <x v="9"/>
      <x v="452"/>
      <x v="52"/>
      <x v="2"/>
      <x v="288"/>
    </i>
    <i>
      <x v="273"/>
      <x v="2"/>
      <x v="293"/>
      <x v="52"/>
      <x v="2"/>
      <x v="209"/>
    </i>
    <i r="2">
      <x v="561"/>
      <x v="52"/>
      <x v="2"/>
      <x v="333"/>
    </i>
    <i>
      <x v="276"/>
      <x v="7"/>
      <x v="393"/>
      <x v="52"/>
      <x v="2"/>
      <x v="277"/>
    </i>
    <i>
      <x v="277"/>
      <x v="2"/>
      <x v="372"/>
      <x v="52"/>
      <x v="2"/>
      <x v="247"/>
    </i>
    <i>
      <x v="284"/>
      <x v="2"/>
      <x v="622"/>
      <x v="52"/>
      <x v="2"/>
      <x v="375"/>
    </i>
    <i>
      <x v="288"/>
      <x v="2"/>
      <x v="307"/>
      <x v="52"/>
      <x v="2"/>
      <x v="210"/>
    </i>
    <i>
      <x v="289"/>
      <x v="7"/>
      <x v="644"/>
      <x v="52"/>
      <x v="2"/>
      <x v="393"/>
    </i>
    <i>
      <x v="290"/>
      <x v="6"/>
      <x v="162"/>
      <x v="52"/>
      <x v="2"/>
      <x v="148"/>
    </i>
    <i>
      <x v="303"/>
      <x v="2"/>
      <x v="236"/>
      <x v="52"/>
      <x v="2"/>
      <x v="190"/>
    </i>
    <i>
      <x v="317"/>
      <x v="2"/>
      <x v="130"/>
      <x v="52"/>
      <x v="2"/>
      <x v="106"/>
    </i>
    <i>
      <x v="323"/>
      <x v="14"/>
      <x v="665"/>
      <x v="52"/>
      <x v="2"/>
      <x v="407"/>
    </i>
    <i>
      <x v="326"/>
      <x v="4"/>
      <x v="481"/>
      <x v="52"/>
      <x v="5"/>
      <x v="292"/>
    </i>
    <i>
      <x v="333"/>
      <x v="16"/>
      <x v="619"/>
      <x v="52"/>
      <x v="2"/>
      <x v="384"/>
    </i>
    <i>
      <x v="339"/>
      <x v="16"/>
      <x v="639"/>
      <x v="52"/>
      <x v="2"/>
      <x v="418"/>
    </i>
    <i>
      <x v="350"/>
      <x/>
      <x v="609"/>
      <x v="52"/>
      <x v="5"/>
      <x v="368"/>
    </i>
    <i>
      <x v="355"/>
      <x v="14"/>
      <x v="290"/>
      <x v="52"/>
      <x v="2"/>
      <x v="202"/>
    </i>
    <i>
      <x v="361"/>
      <x v="15"/>
      <x v="523"/>
      <x v="52"/>
      <x v="2"/>
      <x v="325"/>
    </i>
    <i>
      <x v="362"/>
      <x v="15"/>
      <x v="263"/>
      <x v="52"/>
      <x v="2"/>
      <x v="185"/>
    </i>
    <i>
      <x v="366"/>
      <x v="8"/>
      <x v="331"/>
      <x v="52"/>
      <x v="2"/>
      <x v="239"/>
    </i>
    <i>
      <x v="368"/>
      <x v="6"/>
      <x v="449"/>
      <x v="52"/>
      <x v="2"/>
      <x v="298"/>
    </i>
    <i>
      <x v="372"/>
      <x v="1"/>
      <x v="289"/>
      <x v="52"/>
      <x v="2"/>
      <x v="208"/>
    </i>
    <i>
      <x v="382"/>
      <x v="15"/>
      <x v="492"/>
      <x v="52"/>
      <x v="5"/>
      <x v="302"/>
    </i>
    <i>
      <x v="389"/>
      <x v="9"/>
      <x v="692"/>
      <x v="52"/>
      <x v="2"/>
      <x v="424"/>
    </i>
    <i>
      <x v="411"/>
      <x v="6"/>
      <x v="643"/>
      <x v="52"/>
      <x v="2"/>
      <x v="415"/>
    </i>
    <i>
      <x v="415"/>
      <x v="15"/>
      <x v="761"/>
      <x v="52"/>
      <x v="2"/>
      <x v="461"/>
    </i>
    <i>
      <x v="464"/>
      <x v="13"/>
      <x v="586"/>
      <x v="52"/>
      <x v="2"/>
      <x v="364"/>
    </i>
    <i>
      <x v="465"/>
      <x v="13"/>
      <x v="534"/>
      <x v="52"/>
      <x v="1"/>
      <x v="325"/>
    </i>
    <i>
      <x v="499"/>
      <x v="6"/>
      <x v="531"/>
      <x v="52"/>
      <x v="2"/>
      <x v="329"/>
    </i>
    <i>
      <x v="500"/>
      <x v="16"/>
      <x v="138"/>
      <x v="52"/>
      <x v="2"/>
      <x v="123"/>
    </i>
    <i>
      <x v="508"/>
      <x v="9"/>
      <x v="429"/>
      <x v="52"/>
      <x v="2"/>
      <x v="335"/>
    </i>
    <i>
      <x v="510"/>
      <x v="9"/>
      <x v="573"/>
      <x v="52"/>
      <x v="2"/>
      <x v="366"/>
    </i>
    <i>
      <x v="609"/>
      <x/>
      <x v="216"/>
      <x v="52"/>
      <x v="2"/>
      <x v="153"/>
    </i>
    <i>
      <x v="621"/>
      <x v="5"/>
      <x v="765"/>
      <x v="52"/>
      <x v="1"/>
      <x v="467"/>
    </i>
    <i>
      <x v="648"/>
      <x/>
      <x v="153"/>
      <x v="52"/>
      <x v="2"/>
      <x v="111"/>
    </i>
    <i>
      <x v="673"/>
      <x v="14"/>
      <x v="552"/>
      <x v="52"/>
      <x v="2"/>
      <x v="394"/>
    </i>
    <i>
      <x v="686"/>
      <x v="10"/>
      <x v="8"/>
      <x v="52"/>
      <x v="2"/>
      <x v="7"/>
    </i>
    <i r="2">
      <x v="601"/>
      <x v="52"/>
      <x v="2"/>
      <x v="359"/>
    </i>
    <i r="2">
      <x v="760"/>
      <x v="52"/>
      <x v="2"/>
      <x v="465"/>
    </i>
    <i>
      <x v="690"/>
      <x v="6"/>
      <x v="706"/>
      <x v="52"/>
      <x v="2"/>
      <x v="430"/>
    </i>
    <i>
      <x v="719"/>
      <x v="4"/>
      <x v="332"/>
      <x v="52"/>
      <x v="2"/>
      <x v="248"/>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0" hier="-1"/>
    <pageField fld="1" hier="-1"/>
    <pageField fld="3" item="1"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4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00000000-0007-0000-77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27"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x="0"/>
        <item x="5"/>
        <item x="2"/>
        <item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21">
    <i>
      <x v="134"/>
      <x v="6"/>
      <x/>
      <x v="52"/>
      <x v="2"/>
      <x/>
    </i>
    <i>
      <x v="144"/>
      <x v="15"/>
      <x v="455"/>
      <x v="52"/>
      <x v="2"/>
      <x v="334"/>
    </i>
    <i>
      <x v="153"/>
      <x/>
      <x v="398"/>
      <x v="52"/>
      <x v="5"/>
      <x v="257"/>
    </i>
    <i>
      <x v="155"/>
      <x v="7"/>
      <x v="551"/>
      <x v="52"/>
      <x v="2"/>
      <x v="372"/>
    </i>
    <i>
      <x v="192"/>
      <x v="15"/>
      <x v="226"/>
      <x v="52"/>
      <x v="2"/>
      <x v="150"/>
    </i>
    <i>
      <x v="261"/>
      <x/>
      <x v="584"/>
      <x v="52"/>
      <x v="2"/>
      <x v="363"/>
    </i>
    <i>
      <x v="291"/>
      <x v="7"/>
      <x v="623"/>
      <x v="52"/>
      <x v="2"/>
      <x v="413"/>
    </i>
    <i>
      <x v="343"/>
      <x v="10"/>
      <x v="5"/>
      <x v="52"/>
      <x v="2"/>
      <x v="3"/>
    </i>
    <i>
      <x v="380"/>
      <x v="4"/>
      <x v="701"/>
      <x v="52"/>
      <x v="2"/>
      <x v="425"/>
    </i>
    <i>
      <x v="387"/>
      <x v="9"/>
      <x v="612"/>
      <x v="52"/>
      <x v="5"/>
      <x v="370"/>
    </i>
    <i>
      <x v="432"/>
      <x v="16"/>
      <x v="34"/>
      <x v="52"/>
      <x v="2"/>
      <x v="53"/>
    </i>
    <i>
      <x v="530"/>
      <x v="14"/>
      <x v="191"/>
      <x v="52"/>
      <x v="2"/>
      <x v="204"/>
    </i>
    <i>
      <x v="586"/>
      <x v="10"/>
      <x v="544"/>
      <x v="6"/>
      <x v="2"/>
      <x v="330"/>
    </i>
    <i r="3">
      <x v="7"/>
      <x v="2"/>
      <x v="330"/>
    </i>
    <i r="3">
      <x v="8"/>
      <x v="2"/>
      <x v="330"/>
    </i>
    <i>
      <x v="587"/>
      <x v="10"/>
      <x v="251"/>
      <x v="52"/>
      <x v="2"/>
      <x v="211"/>
    </i>
    <i>
      <x v="605"/>
      <x v="13"/>
      <x v="33"/>
      <x v="52"/>
      <x v="2"/>
      <x v="49"/>
    </i>
    <i>
      <x v="606"/>
      <x v="15"/>
      <x v="3"/>
      <x v="52"/>
      <x v="2"/>
      <x v="1"/>
    </i>
    <i>
      <x v="616"/>
      <x v="6"/>
      <x v="28"/>
      <x v="52"/>
      <x v="2"/>
      <x v="19"/>
    </i>
    <i>
      <x v="647"/>
      <x v="10"/>
      <x v="414"/>
      <x v="38"/>
      <x v="2"/>
      <x v="270"/>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0" hier="-1"/>
    <pageField fld="1" hier="-1"/>
    <pageField fld="3" item="0"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4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00000000-0007-0000-79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107"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x="0"/>
        <item x="5"/>
        <item x="2"/>
        <item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101">
    <i>
      <x v="8"/>
      <x v="8"/>
      <x v="333"/>
      <x v="52"/>
      <x v="2"/>
      <x v="230"/>
    </i>
    <i>
      <x v="12"/>
      <x v="16"/>
      <x v="58"/>
      <x v="52"/>
      <x v="2"/>
      <x v="47"/>
    </i>
    <i>
      <x v="18"/>
      <x v="14"/>
      <x v="719"/>
      <x v="52"/>
      <x v="2"/>
      <x v="473"/>
    </i>
    <i>
      <x v="36"/>
      <x v="5"/>
      <x v="587"/>
      <x v="52"/>
      <x v="2"/>
      <x v="399"/>
    </i>
    <i>
      <x v="37"/>
      <x v="9"/>
      <x v="675"/>
      <x v="52"/>
      <x v="2"/>
      <x v="406"/>
    </i>
    <i>
      <x v="39"/>
      <x v="18"/>
      <x v="580"/>
      <x v="52"/>
      <x v="2"/>
      <x v="450"/>
    </i>
    <i>
      <x v="46"/>
      <x v="9"/>
      <x v="606"/>
      <x v="52"/>
      <x v="2"/>
      <x v="410"/>
    </i>
    <i>
      <x v="47"/>
      <x v="6"/>
      <x v="305"/>
      <x v="52"/>
      <x v="2"/>
      <x v="238"/>
    </i>
    <i>
      <x v="62"/>
      <x v="2"/>
      <x v="35"/>
      <x v="52"/>
      <x v="2"/>
      <x v="28"/>
    </i>
    <i>
      <x v="74"/>
      <x v="13"/>
      <x v="159"/>
      <x v="52"/>
      <x v="5"/>
      <x v="102"/>
    </i>
    <i>
      <x v="77"/>
      <x v="6"/>
      <x v="413"/>
      <x v="52"/>
      <x v="2"/>
      <x v="263"/>
    </i>
    <i>
      <x v="84"/>
      <x v="8"/>
      <x v="43"/>
      <x v="52"/>
      <x v="2"/>
      <x v="90"/>
    </i>
    <i>
      <x v="90"/>
      <x v="16"/>
      <x v="137"/>
      <x v="52"/>
      <x v="2"/>
      <x v="98"/>
    </i>
    <i>
      <x v="100"/>
      <x v="8"/>
      <x v="300"/>
      <x v="52"/>
      <x v="2"/>
      <x v="277"/>
    </i>
    <i>
      <x v="108"/>
      <x v="1"/>
      <x v="231"/>
      <x v="52"/>
      <x v="2"/>
      <x v="174"/>
    </i>
    <i>
      <x v="109"/>
      <x v="15"/>
      <x v="15"/>
      <x v="52"/>
      <x v="2"/>
      <x v="15"/>
    </i>
    <i>
      <x v="112"/>
      <x v="16"/>
      <x v="392"/>
      <x v="52"/>
      <x v="2"/>
      <x v="309"/>
    </i>
    <i>
      <x v="126"/>
      <x v="8"/>
      <x v="502"/>
      <x v="52"/>
      <x v="2"/>
      <x v="332"/>
    </i>
    <i>
      <x v="130"/>
      <x v="1"/>
      <x v="662"/>
      <x v="52"/>
      <x v="2"/>
      <x v="412"/>
    </i>
    <i>
      <x v="139"/>
      <x v="14"/>
      <x v="80"/>
      <x v="52"/>
      <x v="2"/>
      <x v="103"/>
    </i>
    <i>
      <x v="141"/>
      <x/>
      <x v="647"/>
      <x v="52"/>
      <x v="2"/>
      <x v="396"/>
    </i>
    <i>
      <x v="175"/>
      <x v="15"/>
      <x v="618"/>
      <x v="52"/>
      <x v="2"/>
      <x v="403"/>
    </i>
    <i>
      <x v="179"/>
      <x v="16"/>
      <x v="362"/>
      <x v="52"/>
      <x v="2"/>
      <x v="269"/>
    </i>
    <i>
      <x v="185"/>
      <x v="15"/>
      <x v="751"/>
      <x v="52"/>
      <x v="2"/>
      <x v="468"/>
    </i>
    <i>
      <x v="194"/>
      <x v="10"/>
      <x v="19"/>
      <x v="52"/>
      <x v="2"/>
      <x v="26"/>
    </i>
    <i>
      <x v="195"/>
      <x v="1"/>
      <x v="389"/>
      <x v="52"/>
      <x v="2"/>
      <x v="264"/>
    </i>
    <i>
      <x v="197"/>
      <x v="10"/>
      <x v="345"/>
      <x v="52"/>
      <x v="2"/>
      <x v="252"/>
    </i>
    <i>
      <x v="198"/>
      <x v="15"/>
      <x v="111"/>
      <x v="52"/>
      <x v="2"/>
      <x v="116"/>
    </i>
    <i>
      <x v="222"/>
      <x v="2"/>
      <x v="456"/>
      <x v="52"/>
      <x v="2"/>
      <x v="353"/>
    </i>
    <i>
      <x v="228"/>
      <x v="7"/>
      <x v="252"/>
      <x v="52"/>
      <x v="2"/>
      <x v="216"/>
    </i>
    <i>
      <x v="232"/>
      <x v="2"/>
      <x v="766"/>
      <x v="52"/>
      <x v="2"/>
      <x v="470"/>
    </i>
    <i>
      <x v="256"/>
      <x v="7"/>
      <x v="501"/>
      <x v="52"/>
      <x v="2"/>
      <x v="317"/>
    </i>
    <i>
      <x v="259"/>
      <x v="10"/>
      <x v="189"/>
      <x v="52"/>
      <x v="2"/>
      <x v="256"/>
    </i>
    <i>
      <x v="297"/>
      <x v="8"/>
      <x v="45"/>
      <x v="52"/>
      <x v="2"/>
      <x v="46"/>
    </i>
    <i>
      <x v="298"/>
      <x v="14"/>
      <x v="86"/>
      <x v="52"/>
      <x v="2"/>
      <x v="158"/>
    </i>
    <i>
      <x v="308"/>
      <x v="12"/>
      <x v="206"/>
      <x v="52"/>
      <x v="2"/>
      <x v="178"/>
    </i>
    <i>
      <x v="309"/>
      <x v="12"/>
      <x v="154"/>
      <x v="52"/>
      <x v="2"/>
      <x v="133"/>
    </i>
    <i r="2">
      <x v="306"/>
      <x v="52"/>
      <x v="2"/>
      <x v="245"/>
    </i>
    <i>
      <x v="334"/>
      <x v="4"/>
      <x v="36"/>
      <x v="52"/>
      <x v="2"/>
      <x v="91"/>
    </i>
    <i>
      <x v="336"/>
      <x v="12"/>
      <x v="71"/>
      <x v="52"/>
      <x v="2"/>
      <x v="64"/>
    </i>
    <i>
      <x v="349"/>
      <x v="15"/>
      <x v="17"/>
      <x v="52"/>
      <x v="2"/>
      <x v="15"/>
    </i>
    <i>
      <x v="351"/>
      <x v="8"/>
      <x v="134"/>
      <x v="52"/>
      <x v="2"/>
      <x v="112"/>
    </i>
    <i>
      <x v="358"/>
      <x v="9"/>
      <x v="602"/>
      <x v="52"/>
      <x v="2"/>
      <x v="425"/>
    </i>
    <i>
      <x v="363"/>
      <x v="5"/>
      <x v="340"/>
      <x v="52"/>
      <x v="2"/>
      <x v="226"/>
    </i>
    <i>
      <x v="365"/>
      <x v="15"/>
      <x v="124"/>
      <x v="52"/>
      <x v="2"/>
      <x v="94"/>
    </i>
    <i>
      <x v="369"/>
      <x v="15"/>
      <x v="160"/>
      <x v="52"/>
      <x v="2"/>
      <x v="196"/>
    </i>
    <i r="2">
      <x v="409"/>
      <x v="52"/>
      <x v="2"/>
      <x v="297"/>
    </i>
    <i r="2">
      <x v="530"/>
      <x v="52"/>
      <x v="2"/>
      <x v="389"/>
    </i>
    <i>
      <x v="384"/>
      <x v="15"/>
      <x v="485"/>
      <x v="52"/>
      <x v="2"/>
      <x v="301"/>
    </i>
    <i>
      <x v="386"/>
      <x v="4"/>
      <x v="244"/>
      <x v="52"/>
      <x v="2"/>
      <x v="172"/>
    </i>
    <i>
      <x v="401"/>
      <x v="1"/>
      <x v="11"/>
      <x v="52"/>
      <x v="2"/>
      <x v="10"/>
    </i>
    <i>
      <x v="402"/>
      <x v="16"/>
      <x v="135"/>
      <x v="52"/>
      <x v="2"/>
      <x v="121"/>
    </i>
    <i>
      <x v="405"/>
      <x v="10"/>
      <x v="487"/>
      <x v="17"/>
      <x v="2"/>
      <x v="303"/>
    </i>
    <i r="3">
      <x v="18"/>
      <x v="2"/>
      <x v="303"/>
    </i>
    <i r="3">
      <x v="19"/>
      <x v="2"/>
      <x v="303"/>
    </i>
    <i r="3">
      <x v="20"/>
      <x v="2"/>
      <x v="303"/>
    </i>
    <i r="3">
      <x v="21"/>
      <x v="2"/>
      <x v="303"/>
    </i>
    <i r="3">
      <x v="23"/>
      <x v="2"/>
      <x v="303"/>
    </i>
    <i r="3">
      <x v="24"/>
      <x v="2"/>
      <x v="303"/>
    </i>
    <i r="3">
      <x v="25"/>
      <x v="2"/>
      <x v="303"/>
    </i>
    <i>
      <x v="410"/>
      <x v="10"/>
      <x v="545"/>
      <x v="52"/>
      <x v="5"/>
      <x v="337"/>
    </i>
    <i>
      <x v="419"/>
      <x v="10"/>
      <x v="126"/>
      <x v="52"/>
      <x v="2"/>
      <x v="126"/>
    </i>
    <i r="2">
      <x v="291"/>
      <x v="52"/>
      <x v="2"/>
      <x v="264"/>
    </i>
    <i r="2">
      <x v="460"/>
      <x v="52"/>
      <x v="2"/>
      <x v="277"/>
    </i>
    <i r="2">
      <x v="464"/>
      <x v="52"/>
      <x v="2"/>
      <x v="336"/>
    </i>
    <i>
      <x v="420"/>
      <x v="10"/>
      <x v="82"/>
      <x v="52"/>
      <x v="2"/>
      <x v="85"/>
    </i>
    <i>
      <x v="435"/>
      <x v="15"/>
      <x v="101"/>
      <x v="52"/>
      <x v="2"/>
      <x v="125"/>
    </i>
    <i>
      <x v="440"/>
      <x v="3"/>
      <x v="175"/>
      <x v="52"/>
      <x v="2"/>
      <x v="144"/>
    </i>
    <i>
      <x v="445"/>
      <x v="10"/>
      <x v="399"/>
      <x v="52"/>
      <x v="2"/>
      <x v="316"/>
    </i>
    <i>
      <x v="455"/>
      <x v="8"/>
      <x v="731"/>
      <x v="52"/>
      <x v="5"/>
      <x v="444"/>
    </i>
    <i>
      <x v="467"/>
      <x v="14"/>
      <x v="73"/>
      <x v="52"/>
      <x v="2"/>
      <x v="105"/>
    </i>
    <i>
      <x v="491"/>
      <x v="14"/>
      <x v="7"/>
      <x v="52"/>
      <x v="2"/>
      <x v="5"/>
    </i>
    <i>
      <x v="516"/>
      <x v="13"/>
      <x v="120"/>
      <x v="52"/>
      <x v="5"/>
      <x v="82"/>
    </i>
    <i>
      <x v="522"/>
      <x v="14"/>
      <x v="642"/>
      <x v="52"/>
      <x v="2"/>
      <x v="462"/>
    </i>
    <i>
      <x v="527"/>
      <x v="15"/>
      <x v="4"/>
      <x v="52"/>
      <x v="2"/>
      <x v="6"/>
    </i>
    <i>
      <x v="538"/>
      <x v="8"/>
      <x v="31"/>
      <x v="52"/>
      <x v="2"/>
      <x v="50"/>
    </i>
    <i>
      <x v="547"/>
      <x v="15"/>
      <x v="509"/>
      <x v="52"/>
      <x v="2"/>
      <x v="441"/>
    </i>
    <i>
      <x v="582"/>
      <x v="15"/>
      <x v="454"/>
      <x v="52"/>
      <x v="2"/>
      <x v="390"/>
    </i>
    <i>
      <x v="586"/>
      <x v="10"/>
      <x v="188"/>
      <x v="2"/>
      <x v="2"/>
      <x v="349"/>
    </i>
    <i r="3">
      <x v="3"/>
      <x v="2"/>
      <x v="349"/>
    </i>
    <i r="3">
      <x v="4"/>
      <x v="2"/>
      <x v="349"/>
    </i>
    <i r="2">
      <x v="218"/>
      <x/>
      <x v="2"/>
      <x v="342"/>
    </i>
    <i>
      <x v="588"/>
      <x v="10"/>
      <x v="48"/>
      <x v="52"/>
      <x v="2"/>
      <x v="52"/>
    </i>
    <i r="2">
      <x v="225"/>
      <x v="52"/>
      <x v="2"/>
      <x v="212"/>
    </i>
    <i>
      <x v="591"/>
      <x v="10"/>
      <x v="63"/>
      <x v="36"/>
      <x v="2"/>
      <x v="77"/>
    </i>
    <i>
      <x v="598"/>
      <x v="10"/>
      <x v="53"/>
      <x v="52"/>
      <x v="2"/>
      <x v="60"/>
    </i>
    <i>
      <x v="603"/>
      <x v="9"/>
      <x v="9"/>
      <x v="52"/>
      <x v="2"/>
      <x v="11"/>
    </i>
    <i>
      <x v="619"/>
      <x v="4"/>
      <x v="14"/>
      <x v="52"/>
      <x v="2"/>
      <x v="30"/>
    </i>
    <i r="2">
      <x v="710"/>
      <x v="52"/>
      <x v="2"/>
      <x v="433"/>
    </i>
    <i>
      <x v="647"/>
      <x v="10"/>
      <x v="223"/>
      <x v="40"/>
      <x v="2"/>
      <x v="171"/>
    </i>
    <i r="3">
      <x v="41"/>
      <x v="2"/>
      <x v="171"/>
    </i>
    <i r="2">
      <x v="560"/>
      <x v="39"/>
      <x v="2"/>
      <x v="345"/>
    </i>
    <i>
      <x v="649"/>
      <x v="4"/>
      <x v="84"/>
      <x v="52"/>
      <x v="2"/>
      <x v="107"/>
    </i>
    <i r="2">
      <x v="320"/>
      <x v="52"/>
      <x v="2"/>
      <x v="218"/>
    </i>
    <i>
      <x v="653"/>
      <x v="17"/>
      <x v="6"/>
      <x v="52"/>
      <x v="2"/>
      <x v="4"/>
    </i>
    <i>
      <x v="659"/>
      <x v="7"/>
      <x v="1"/>
      <x v="52"/>
      <x v="2"/>
      <x v="8"/>
    </i>
    <i>
      <x v="670"/>
      <x v="4"/>
      <x v="270"/>
      <x v="52"/>
      <x v="2"/>
      <x v="249"/>
    </i>
    <i>
      <x v="678"/>
      <x v="15"/>
      <x v="336"/>
      <x v="52"/>
      <x v="2"/>
      <x v="249"/>
    </i>
    <i>
      <x v="695"/>
      <x v="8"/>
      <x v="637"/>
      <x v="52"/>
      <x v="2"/>
      <x v="413"/>
    </i>
    <i>
      <x v="746"/>
      <x v="4"/>
      <x v="716"/>
      <x v="52"/>
      <x v="2"/>
      <x v="440"/>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1" hier="-1"/>
    <pageField fld="1" hier="-1"/>
    <pageField fld="3"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4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9:L10" firstHeaderRow="0" firstDataRow="1" firstDataCol="0" rowPageCount="7"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7">
    <pageField fld="0" item="0" hier="-1"/>
    <pageField fld="117" hier="-1"/>
    <pageField fld="118" hier="-1"/>
    <pageField fld="120" hier="-1"/>
    <pageField fld="122" item="0" hier="-1"/>
    <pageField fld="124" hier="-1"/>
    <pageField fld="125"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7B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143"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x="0"/>
        <item x="5"/>
        <item h="1" x="2"/>
        <item h="1"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137">
    <i>
      <x v="15"/>
      <x v="6"/>
      <x v="337"/>
      <x v="52"/>
      <x v="2"/>
      <x v="231"/>
    </i>
    <i>
      <x v="17"/>
      <x v="9"/>
      <x v="338"/>
      <x v="52"/>
      <x v="2"/>
      <x v="230"/>
    </i>
    <i>
      <x v="19"/>
      <x v="4"/>
      <x v="787"/>
      <x v="52"/>
      <x v="2"/>
      <x v="471"/>
    </i>
    <i>
      <x v="25"/>
      <x v="5"/>
      <x v="93"/>
      <x v="52"/>
      <x v="2"/>
      <x v="68"/>
    </i>
    <i>
      <x v="26"/>
      <x v="15"/>
      <x v="147"/>
      <x v="52"/>
      <x v="2"/>
      <x v="118"/>
    </i>
    <i>
      <x v="27"/>
      <x v="15"/>
      <x v="709"/>
      <x v="52"/>
      <x v="2"/>
      <x v="475"/>
    </i>
    <i>
      <x v="30"/>
      <x v="15"/>
      <x v="564"/>
      <x v="52"/>
      <x v="2"/>
      <x v="356"/>
    </i>
    <i>
      <x v="31"/>
      <x v="15"/>
      <x v="733"/>
      <x v="52"/>
      <x v="2"/>
      <x v="445"/>
    </i>
    <i>
      <x v="32"/>
      <x v="14"/>
      <x v="592"/>
      <x v="52"/>
      <x v="2"/>
      <x v="412"/>
    </i>
    <i>
      <x v="42"/>
      <x v="4"/>
      <x v="767"/>
      <x v="52"/>
      <x v="2"/>
      <x v="472"/>
    </i>
    <i>
      <x v="48"/>
      <x v="13"/>
      <x v="633"/>
      <x v="52"/>
      <x v="2"/>
      <x v="415"/>
    </i>
    <i>
      <x v="49"/>
      <x v="15"/>
      <x v="489"/>
      <x v="52"/>
      <x v="2"/>
      <x v="300"/>
    </i>
    <i>
      <x v="57"/>
      <x v="13"/>
      <x v="655"/>
      <x v="52"/>
      <x v="2"/>
      <x v="411"/>
    </i>
    <i>
      <x v="60"/>
      <x v="3"/>
      <x v="312"/>
      <x v="52"/>
      <x v="2"/>
      <x v="255"/>
    </i>
    <i>
      <x v="61"/>
      <x v="7"/>
      <x v="303"/>
      <x v="52"/>
      <x v="2"/>
      <x v="308"/>
    </i>
    <i>
      <x v="63"/>
      <x v="16"/>
      <x v="18"/>
      <x v="52"/>
      <x v="2"/>
      <x v="16"/>
    </i>
    <i>
      <x v="70"/>
      <x v="1"/>
      <x v="687"/>
      <x v="52"/>
      <x v="2"/>
      <x v="431"/>
    </i>
    <i>
      <x v="73"/>
      <x v="16"/>
      <x v="21"/>
      <x v="52"/>
      <x v="2"/>
      <x v="22"/>
    </i>
    <i>
      <x v="75"/>
      <x v="15"/>
      <x v="548"/>
      <x v="52"/>
      <x v="2"/>
      <x v="328"/>
    </i>
    <i>
      <x v="78"/>
      <x/>
      <x v="475"/>
      <x v="52"/>
      <x v="2"/>
      <x v="293"/>
    </i>
    <i>
      <x v="80"/>
      <x v="7"/>
      <x v="383"/>
      <x v="52"/>
      <x v="2"/>
      <x v="284"/>
    </i>
    <i>
      <x v="82"/>
      <x v="4"/>
      <x v="24"/>
      <x v="52"/>
      <x v="2"/>
      <x v="23"/>
    </i>
    <i>
      <x v="89"/>
      <x v="13"/>
      <x v="440"/>
      <x v="52"/>
      <x v="2"/>
      <x v="281"/>
    </i>
    <i>
      <x v="98"/>
      <x v="12"/>
      <x v="193"/>
      <x v="52"/>
      <x v="2"/>
      <x v="136"/>
    </i>
    <i>
      <x v="105"/>
      <x v="4"/>
      <x v="565"/>
      <x v="52"/>
      <x v="2"/>
      <x v="429"/>
    </i>
    <i>
      <x v="111"/>
      <x v="6"/>
      <x v="87"/>
      <x v="52"/>
      <x v="2"/>
      <x v="235"/>
    </i>
    <i>
      <x v="114"/>
      <x v="15"/>
      <x v="139"/>
      <x v="52"/>
      <x v="2"/>
      <x v="95"/>
    </i>
    <i>
      <x v="122"/>
      <x/>
      <x v="174"/>
      <x v="52"/>
      <x v="2"/>
      <x v="119"/>
    </i>
    <i>
      <x v="136"/>
      <x v="3"/>
      <x v="344"/>
      <x v="52"/>
      <x v="2"/>
      <x v="236"/>
    </i>
    <i>
      <x v="142"/>
      <x v="16"/>
      <x v="588"/>
      <x v="52"/>
      <x v="2"/>
      <x v="371"/>
    </i>
    <i>
      <x v="143"/>
      <x v="3"/>
      <x v="247"/>
      <x v="52"/>
      <x v="2"/>
      <x v="167"/>
    </i>
    <i>
      <x v="146"/>
      <x v="15"/>
      <x v="234"/>
      <x v="52"/>
      <x v="2"/>
      <x v="272"/>
    </i>
    <i>
      <x v="150"/>
      <x v="8"/>
      <x v="397"/>
      <x v="52"/>
      <x v="2"/>
      <x v="276"/>
    </i>
    <i>
      <x v="152"/>
      <x v="7"/>
      <x v="769"/>
      <x v="52"/>
      <x v="2"/>
      <x v="464"/>
    </i>
    <i>
      <x v="158"/>
      <x v="13"/>
      <x v="407"/>
      <x v="52"/>
      <x v="2"/>
      <x v="283"/>
    </i>
    <i>
      <x v="159"/>
      <x v="1"/>
      <x v="55"/>
      <x v="52"/>
      <x v="2"/>
      <x v="59"/>
    </i>
    <i>
      <x v="161"/>
      <x v="13"/>
      <x v="443"/>
      <x v="52"/>
      <x v="2"/>
      <x v="278"/>
    </i>
    <i>
      <x v="169"/>
      <x v="16"/>
      <x v="281"/>
      <x v="52"/>
      <x v="2"/>
      <x v="191"/>
    </i>
    <i>
      <x v="170"/>
      <x v="15"/>
      <x v="613"/>
      <x v="52"/>
      <x v="2"/>
      <x v="384"/>
    </i>
    <i>
      <x v="171"/>
      <x v="6"/>
      <x v="94"/>
      <x v="52"/>
      <x v="2"/>
      <x v="193"/>
    </i>
    <i>
      <x v="174"/>
      <x v="18"/>
      <x v="240"/>
      <x v="52"/>
      <x v="2"/>
      <x v="198"/>
    </i>
    <i>
      <x v="177"/>
      <x v="12"/>
      <x v="179"/>
      <x v="52"/>
      <x v="2"/>
      <x v="128"/>
    </i>
    <i>
      <x v="183"/>
      <x v="16"/>
      <x v="385"/>
      <x v="52"/>
      <x v="2"/>
      <x v="258"/>
    </i>
    <i>
      <x v="191"/>
      <x v="14"/>
      <x v="329"/>
      <x v="52"/>
      <x v="2"/>
      <x v="222"/>
    </i>
    <i>
      <x v="196"/>
      <x v="9"/>
      <x v="462"/>
      <x v="52"/>
      <x v="2"/>
      <x v="309"/>
    </i>
    <i>
      <x v="199"/>
      <x v="10"/>
      <x v="97"/>
      <x v="52"/>
      <x v="2"/>
      <x v="73"/>
    </i>
    <i>
      <x v="203"/>
      <x v="15"/>
      <x v="650"/>
      <x v="52"/>
      <x v="2"/>
      <x v="405"/>
    </i>
    <i>
      <x v="216"/>
      <x/>
      <x v="408"/>
      <x v="52"/>
      <x v="2"/>
      <x v="280"/>
    </i>
    <i>
      <x v="220"/>
      <x v="16"/>
      <x v="65"/>
      <x v="52"/>
      <x v="2"/>
      <x v="49"/>
    </i>
    <i>
      <x v="223"/>
      <x v="7"/>
      <x v="328"/>
      <x v="52"/>
      <x v="2"/>
      <x v="242"/>
    </i>
    <i r="2">
      <x v="515"/>
      <x v="52"/>
      <x v="2"/>
      <x v="309"/>
    </i>
    <i>
      <x v="234"/>
      <x v="12"/>
      <x v="391"/>
      <x v="52"/>
      <x v="2"/>
      <x v="265"/>
    </i>
    <i>
      <x v="235"/>
      <x v="9"/>
      <x v="610"/>
      <x v="52"/>
      <x v="2"/>
      <x v="376"/>
    </i>
    <i>
      <x v="244"/>
      <x v="3"/>
      <x v="463"/>
      <x v="52"/>
      <x v="2"/>
      <x v="299"/>
    </i>
    <i>
      <x v="249"/>
      <x v="2"/>
      <x v="631"/>
      <x v="52"/>
      <x v="2"/>
      <x v="381"/>
    </i>
    <i>
      <x v="271"/>
      <x v="7"/>
      <x v="550"/>
      <x v="52"/>
      <x v="2"/>
      <x v="397"/>
    </i>
    <i>
      <x v="272"/>
      <x v="4"/>
      <x v="445"/>
      <x v="52"/>
      <x v="2"/>
      <x v="286"/>
    </i>
    <i>
      <x v="274"/>
      <x v="7"/>
      <x v="479"/>
      <x v="52"/>
      <x v="2"/>
      <x v="320"/>
    </i>
    <i>
      <x v="285"/>
      <x v="2"/>
      <x v="598"/>
      <x v="52"/>
      <x v="2"/>
      <x v="425"/>
    </i>
    <i>
      <x v="295"/>
      <x v="13"/>
      <x v="679"/>
      <x v="52"/>
      <x v="2"/>
      <x v="411"/>
    </i>
    <i>
      <x v="299"/>
      <x v="15"/>
      <x v="119"/>
      <x v="52"/>
      <x v="2"/>
      <x v="195"/>
    </i>
    <i>
      <x v="301"/>
      <x v="6"/>
      <x v="166"/>
      <x v="52"/>
      <x v="2"/>
      <x v="117"/>
    </i>
    <i>
      <x v="302"/>
      <x/>
      <x v="682"/>
      <x v="52"/>
      <x v="2"/>
      <x v="452"/>
    </i>
    <i>
      <x v="307"/>
      <x v="16"/>
      <x v="594"/>
      <x v="52"/>
      <x v="2"/>
      <x v="410"/>
    </i>
    <i>
      <x v="310"/>
      <x v="6"/>
      <x v="144"/>
      <x v="52"/>
      <x v="2"/>
      <x v="134"/>
    </i>
    <i>
      <x v="312"/>
      <x v="2"/>
      <x v="286"/>
      <x v="52"/>
      <x v="2"/>
      <x v="206"/>
    </i>
    <i>
      <x v="314"/>
      <x v="9"/>
      <x v="754"/>
      <x v="52"/>
      <x v="2"/>
      <x v="475"/>
    </i>
    <i>
      <x v="315"/>
      <x v="16"/>
      <x v="296"/>
      <x v="52"/>
      <x v="2"/>
      <x v="201"/>
    </i>
    <i>
      <x v="320"/>
      <x v="9"/>
      <x v="511"/>
      <x v="52"/>
      <x v="2"/>
      <x v="335"/>
    </i>
    <i>
      <x v="325"/>
      <x v="4"/>
      <x v="260"/>
      <x v="52"/>
      <x v="2"/>
      <x v="179"/>
    </i>
    <i>
      <x v="330"/>
      <x v="12"/>
      <x v="288"/>
      <x v="52"/>
      <x v="2"/>
      <x v="215"/>
    </i>
    <i>
      <x v="332"/>
      <x v="1"/>
      <x v="211"/>
      <x v="52"/>
      <x v="2"/>
      <x v="160"/>
    </i>
    <i>
      <x v="340"/>
      <x v="15"/>
      <x v="214"/>
      <x v="52"/>
      <x v="2"/>
      <x v="154"/>
    </i>
    <i>
      <x v="341"/>
      <x v="2"/>
      <x v="369"/>
      <x v="52"/>
      <x v="2"/>
      <x v="248"/>
    </i>
    <i>
      <x v="357"/>
      <x v="16"/>
      <x v="221"/>
      <x v="52"/>
      <x v="2"/>
      <x v="154"/>
    </i>
    <i>
      <x v="367"/>
      <x v="16"/>
      <x v="547"/>
      <x v="52"/>
      <x v="2"/>
      <x v="409"/>
    </i>
    <i>
      <x v="376"/>
      <x v="14"/>
      <x v="271"/>
      <x v="52"/>
      <x v="2"/>
      <x v="201"/>
    </i>
    <i>
      <x v="377"/>
      <x v="16"/>
      <x v="690"/>
      <x v="52"/>
      <x v="2"/>
      <x v="434"/>
    </i>
    <i>
      <x v="379"/>
      <x/>
      <x v="304"/>
      <x v="52"/>
      <x v="2"/>
      <x v="294"/>
    </i>
    <i>
      <x v="385"/>
      <x v="5"/>
      <x v="698"/>
      <x v="52"/>
      <x v="2"/>
      <x v="423"/>
    </i>
    <i>
      <x v="390"/>
      <x v="5"/>
      <x v="127"/>
      <x v="52"/>
      <x v="2"/>
      <x v="134"/>
    </i>
    <i>
      <x v="392"/>
      <x v="9"/>
      <x v="720"/>
      <x v="52"/>
      <x v="2"/>
      <x v="443"/>
    </i>
    <i>
      <x v="393"/>
      <x v="15"/>
      <x v="669"/>
      <x v="52"/>
      <x v="2"/>
      <x v="402"/>
    </i>
    <i>
      <x v="400"/>
      <x v="15"/>
      <x v="499"/>
      <x v="52"/>
      <x v="2"/>
      <x v="308"/>
    </i>
    <i>
      <x v="412"/>
      <x v="8"/>
      <x v="556"/>
      <x v="52"/>
      <x v="2"/>
      <x v="339"/>
    </i>
    <i>
      <x v="414"/>
      <x v="16"/>
      <x v="538"/>
      <x v="52"/>
      <x v="2"/>
      <x v="327"/>
    </i>
    <i>
      <x v="416"/>
      <x v="14"/>
      <x v="208"/>
      <x v="52"/>
      <x v="2"/>
      <x v="282"/>
    </i>
    <i>
      <x v="418"/>
      <x v="10"/>
      <x v="500"/>
      <x v="52"/>
      <x v="2"/>
      <x v="304"/>
    </i>
    <i>
      <x v="425"/>
      <x/>
      <x v="25"/>
      <x v="52"/>
      <x v="2"/>
      <x v="18"/>
    </i>
    <i>
      <x v="428"/>
      <x v="10"/>
      <x v="373"/>
      <x v="52"/>
      <x v="2"/>
      <x v="274"/>
    </i>
    <i>
      <x v="439"/>
      <x v="15"/>
      <x v="379"/>
      <x v="52"/>
      <x v="2"/>
      <x v="249"/>
    </i>
    <i>
      <x v="442"/>
      <x v="13"/>
      <x v="553"/>
      <x v="52"/>
      <x v="2"/>
      <x v="353"/>
    </i>
    <i>
      <x v="450"/>
      <x v="10"/>
      <x v="520"/>
      <x v="52"/>
      <x v="2"/>
      <x v="354"/>
    </i>
    <i>
      <x v="461"/>
      <x v="14"/>
      <x v="415"/>
      <x v="52"/>
      <x v="2"/>
      <x v="266"/>
    </i>
    <i>
      <x v="470"/>
      <x v="15"/>
      <x v="176"/>
      <x v="52"/>
      <x v="2"/>
      <x v="143"/>
    </i>
    <i>
      <x v="473"/>
      <x v="13"/>
      <x v="526"/>
      <x v="52"/>
      <x v="2"/>
      <x v="347"/>
    </i>
    <i>
      <x v="506"/>
      <x v="13"/>
      <x v="339"/>
      <x v="52"/>
      <x v="2"/>
      <x v="236"/>
    </i>
    <i>
      <x v="507"/>
      <x v="3"/>
      <x v="269"/>
      <x v="52"/>
      <x v="2"/>
      <x v="212"/>
    </i>
    <i>
      <x v="509"/>
      <x v="3"/>
      <x v="267"/>
      <x v="52"/>
      <x v="2"/>
      <x v="212"/>
    </i>
    <i>
      <x v="511"/>
      <x v="3"/>
      <x v="268"/>
      <x v="52"/>
      <x v="2"/>
      <x v="187"/>
    </i>
    <i>
      <x v="512"/>
      <x v="16"/>
      <x v="104"/>
      <x v="52"/>
      <x v="2"/>
      <x v="83"/>
    </i>
    <i>
      <x v="514"/>
      <x v="16"/>
      <x v="242"/>
      <x v="52"/>
      <x v="2"/>
      <x v="208"/>
    </i>
    <i>
      <x v="515"/>
      <x v="5"/>
      <x v="375"/>
      <x v="52"/>
      <x v="2"/>
      <x v="243"/>
    </i>
    <i>
      <x v="517"/>
      <x v="4"/>
      <x v="371"/>
      <x v="52"/>
      <x v="2"/>
      <x v="395"/>
    </i>
    <i>
      <x v="533"/>
      <x v="1"/>
      <x v="85"/>
      <x v="52"/>
      <x v="2"/>
      <x v="65"/>
    </i>
    <i>
      <x v="569"/>
      <x v="2"/>
      <x v="129"/>
      <x v="52"/>
      <x v="2"/>
      <x v="92"/>
    </i>
    <i>
      <x v="586"/>
      <x v="10"/>
      <x v="217"/>
      <x v="5"/>
      <x v="3"/>
      <x v="341"/>
    </i>
    <i r="2">
      <x v="737"/>
      <x v="7"/>
      <x v="2"/>
      <x v="469"/>
    </i>
    <i>
      <x v="591"/>
      <x v="10"/>
      <x v="63"/>
      <x v="9"/>
      <x v="3"/>
      <x v="77"/>
    </i>
    <i r="3">
      <x v="27"/>
      <x v="3"/>
      <x v="77"/>
    </i>
    <i r="3">
      <x v="37"/>
      <x v="3"/>
      <x v="77"/>
    </i>
    <i>
      <x v="592"/>
      <x v="10"/>
      <x v="136"/>
      <x v="52"/>
      <x v="2"/>
      <x v="116"/>
    </i>
    <i>
      <x v="610"/>
      <x v="14"/>
      <x v="629"/>
      <x v="52"/>
      <x v="2"/>
      <x v="396"/>
    </i>
    <i>
      <x v="611"/>
      <x v="12"/>
      <x v="756"/>
      <x v="52"/>
      <x v="2"/>
      <x v="456"/>
    </i>
    <i>
      <x v="614"/>
      <x v="15"/>
      <x v="652"/>
      <x v="52"/>
      <x v="2"/>
      <x v="392"/>
    </i>
    <i>
      <x v="631"/>
      <x v="15"/>
      <x v="275"/>
      <x v="52"/>
      <x v="2"/>
      <x v="232"/>
    </i>
    <i>
      <x v="636"/>
      <x v="10"/>
      <x v="318"/>
      <x v="46"/>
      <x v="3"/>
      <x v="295"/>
    </i>
    <i r="3">
      <x v="47"/>
      <x v="3"/>
      <x v="295"/>
    </i>
    <i r="3">
      <x v="48"/>
      <x v="3"/>
      <x v="295"/>
    </i>
    <i r="3">
      <x v="49"/>
      <x v="3"/>
      <x v="295"/>
    </i>
    <i r="3">
      <x v="50"/>
      <x v="3"/>
      <x v="295"/>
    </i>
    <i r="3">
      <x v="51"/>
      <x v="3"/>
      <x v="295"/>
    </i>
    <i>
      <x v="640"/>
      <x v="14"/>
      <x v="425"/>
      <x v="52"/>
      <x v="2"/>
      <x v="377"/>
    </i>
    <i>
      <x v="643"/>
      <x v="9"/>
      <x v="69"/>
      <x v="52"/>
      <x v="2"/>
      <x v="51"/>
    </i>
    <i>
      <x v="647"/>
      <x v="10"/>
      <x v="64"/>
      <x v="45"/>
      <x v="3"/>
      <x v="67"/>
    </i>
    <i r="2">
      <x v="283"/>
      <x v="42"/>
      <x v="3"/>
      <x v="270"/>
    </i>
    <i r="3">
      <x v="44"/>
      <x v="3"/>
      <x v="270"/>
    </i>
    <i>
      <x v="671"/>
      <x/>
      <x v="775"/>
      <x v="52"/>
      <x v="2"/>
      <x v="469"/>
    </i>
    <i>
      <x v="672"/>
      <x v="15"/>
      <x v="199"/>
      <x v="52"/>
      <x v="2"/>
      <x v="183"/>
    </i>
    <i>
      <x v="674"/>
      <x v="12"/>
      <x v="161"/>
      <x v="52"/>
      <x v="2"/>
      <x v="142"/>
    </i>
    <i>
      <x v="694"/>
      <x v="14"/>
      <x v="634"/>
      <x v="52"/>
      <x v="2"/>
      <x v="383"/>
    </i>
    <i>
      <x v="715"/>
      <x v="14"/>
      <x v="563"/>
      <x v="52"/>
      <x v="2"/>
      <x v="348"/>
    </i>
    <i>
      <x v="726"/>
      <x v="15"/>
      <x v="714"/>
      <x v="52"/>
      <x v="2"/>
      <x v="459"/>
    </i>
    <i>
      <x v="729"/>
      <x v="14"/>
      <x v="284"/>
      <x v="52"/>
      <x v="2"/>
      <x v="254"/>
    </i>
    <i>
      <x v="735"/>
      <x v="7"/>
      <x v="725"/>
      <x v="52"/>
      <x v="2"/>
      <x v="455"/>
    </i>
    <i>
      <x v="744"/>
      <x v="8"/>
      <x v="132"/>
      <x v="52"/>
      <x v="2"/>
      <x v="108"/>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2" hier="-1"/>
    <pageField fld="1" hier="-1"/>
    <pageField fld="3"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3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0000000-0007-0000-7D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24"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h="1" x="0"/>
        <item h="1" x="5"/>
        <item x="2"/>
        <item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18">
    <i>
      <x v="14"/>
      <x v="12"/>
      <x v="562"/>
      <x v="52"/>
      <x v="5"/>
      <x v="340"/>
    </i>
    <i>
      <x v="16"/>
      <x v="2"/>
      <x v="657"/>
      <x v="52"/>
      <x v="5"/>
      <x v="421"/>
    </i>
    <i>
      <x v="17"/>
      <x v="9"/>
      <x v="508"/>
      <x v="52"/>
      <x v="5"/>
      <x v="314"/>
    </i>
    <i>
      <x v="38"/>
      <x/>
      <x v="527"/>
      <x v="52"/>
      <x v="5"/>
      <x v="318"/>
    </i>
    <i>
      <x v="133"/>
      <x v="13"/>
      <x v="506"/>
      <x v="52"/>
      <x v="5"/>
      <x v="312"/>
    </i>
    <i>
      <x v="157"/>
      <x v="13"/>
      <x v="406"/>
      <x v="52"/>
      <x v="1"/>
      <x v="272"/>
    </i>
    <i>
      <x v="160"/>
      <x v="13"/>
      <x v="347"/>
      <x v="52"/>
      <x v="5"/>
      <x v="231"/>
    </i>
    <i>
      <x v="176"/>
      <x v="15"/>
      <x v="295"/>
      <x v="52"/>
      <x v="5"/>
      <x v="201"/>
    </i>
    <i>
      <x v="211"/>
      <x v="1"/>
      <x v="183"/>
      <x v="52"/>
      <x v="5"/>
      <x v="128"/>
    </i>
    <i>
      <x v="250"/>
      <x/>
      <x v="367"/>
      <x v="52"/>
      <x v="5"/>
      <x v="236"/>
    </i>
    <i>
      <x v="264"/>
      <x v="13"/>
      <x v="590"/>
      <x v="52"/>
      <x v="5"/>
      <x v="354"/>
    </i>
    <i>
      <x v="265"/>
      <x v="6"/>
      <x v="474"/>
      <x v="52"/>
      <x v="5"/>
      <x v="289"/>
    </i>
    <i>
      <x v="414"/>
      <x v="16"/>
      <x v="620"/>
      <x v="52"/>
      <x v="5"/>
      <x v="376"/>
    </i>
    <i>
      <x v="496"/>
      <x v="3"/>
      <x v="482"/>
      <x v="52"/>
      <x v="5"/>
      <x v="296"/>
    </i>
    <i>
      <x v="502"/>
      <x v="13"/>
      <x v="646"/>
      <x v="52"/>
      <x v="1"/>
      <x v="395"/>
    </i>
    <i>
      <x v="513"/>
      <x v="10"/>
      <x v="405"/>
      <x v="52"/>
      <x v="5"/>
      <x v="259"/>
    </i>
    <i>
      <x v="743"/>
      <x v="16"/>
      <x v="302"/>
      <x v="52"/>
      <x v="1"/>
      <x v="208"/>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2" hier="-1"/>
    <pageField fld="1" hier="-1"/>
    <pageField fld="3"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3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00000000-0007-0000-7F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15"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h="1" x="0"/>
        <item h="1" x="5"/>
        <item h="1" x="2"/>
        <item h="1"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9">
    <i>
      <x v="251"/>
      <x v="10"/>
      <x v="238"/>
      <x v="52"/>
      <x v="4"/>
      <x v="476"/>
    </i>
    <i>
      <x v="408"/>
      <x v="4"/>
      <x v="532"/>
      <x v="52"/>
      <x v="4"/>
      <x v="476"/>
    </i>
    <i>
      <x v="469"/>
      <x v="14"/>
      <x v="539"/>
      <x v="52"/>
      <x v="4"/>
      <x v="476"/>
    </i>
    <i>
      <x v="523"/>
      <x v="4"/>
      <x v="503"/>
      <x v="52"/>
      <x v="4"/>
      <x v="476"/>
    </i>
    <i>
      <x v="554"/>
      <x v="7"/>
      <x v="755"/>
      <x v="52"/>
      <x v="4"/>
      <x v="476"/>
    </i>
    <i>
      <x v="580"/>
      <x v="12"/>
      <x v="600"/>
      <x v="52"/>
      <x v="4"/>
      <x v="476"/>
    </i>
    <i>
      <x v="600"/>
      <x v="10"/>
      <x v="430"/>
      <x v="52"/>
      <x v="4"/>
      <x v="476"/>
    </i>
    <i>
      <x v="602"/>
      <x v="14"/>
      <x v="435"/>
      <x v="52"/>
      <x v="4"/>
      <x v="476"/>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3" hier="-1"/>
    <pageField fld="1" hier="-1"/>
    <pageField fld="3"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3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00000000-0007-0000-81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8"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h="1" x="0"/>
        <item h="1" x="5"/>
        <item h="1" x="2"/>
        <item h="1"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2">
    <i>
      <x v="337"/>
      <x v="9"/>
      <x v="724"/>
      <x v="52"/>
      <x/>
      <x v="442"/>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3" hier="-1"/>
    <pageField fld="1" hier="-1"/>
    <pageField fld="3"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2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00000000-0007-0000-83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S52"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x="0"/>
        <item x="5"/>
        <item x="2"/>
        <item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46">
    <i>
      <x v="2"/>
      <x v="4"/>
      <x v="729"/>
      <x v="52"/>
      <x v="2"/>
      <x v="476"/>
    </i>
    <i>
      <x v="20"/>
      <x v="13"/>
      <x v="744"/>
      <x v="52"/>
      <x v="2"/>
      <x v="476"/>
    </i>
    <i>
      <x v="29"/>
      <x v="16"/>
      <x v="694"/>
      <x v="52"/>
      <x v="2"/>
      <x v="476"/>
    </i>
    <i>
      <x v="35"/>
      <x v="15"/>
      <x v="784"/>
      <x v="52"/>
      <x v="2"/>
      <x v="476"/>
    </i>
    <i>
      <x v="40"/>
      <x v="1"/>
      <x v="688"/>
      <x v="52"/>
      <x v="2"/>
      <x v="476"/>
    </i>
    <i>
      <x v="41"/>
      <x v="13"/>
      <x v="772"/>
      <x v="52"/>
      <x v="2"/>
      <x v="476"/>
    </i>
    <i>
      <x v="83"/>
      <x v="16"/>
      <x v="670"/>
      <x v="52"/>
      <x v="2"/>
      <x v="476"/>
    </i>
    <i>
      <x v="87"/>
      <x v="6"/>
      <x v="798"/>
      <x v="52"/>
      <x v="2"/>
      <x v="476"/>
    </i>
    <i>
      <x v="109"/>
      <x v="15"/>
      <x v="778"/>
      <x v="52"/>
      <x v="2"/>
      <x v="476"/>
    </i>
    <i>
      <x v="119"/>
      <x v="3"/>
      <x v="796"/>
      <x v="52"/>
      <x v="2"/>
      <x v="476"/>
    </i>
    <i>
      <x v="134"/>
      <x v="6"/>
      <x v="827"/>
      <x v="52"/>
      <x v="2"/>
      <x v="476"/>
    </i>
    <i>
      <x v="145"/>
      <x v="2"/>
      <x v="825"/>
      <x v="52"/>
      <x v="2"/>
      <x v="476"/>
    </i>
    <i>
      <x v="154"/>
      <x v="15"/>
      <x v="785"/>
      <x v="52"/>
      <x v="2"/>
      <x v="476"/>
    </i>
    <i>
      <x v="162"/>
      <x v="1"/>
      <x v="823"/>
      <x v="52"/>
      <x v="2"/>
      <x v="476"/>
    </i>
    <i>
      <x v="173"/>
      <x v="15"/>
      <x v="786"/>
      <x v="52"/>
      <x v="2"/>
      <x v="476"/>
    </i>
    <i>
      <x v="219"/>
      <x v="15"/>
      <x v="711"/>
      <x v="52"/>
      <x v="2"/>
      <x v="476"/>
    </i>
    <i>
      <x v="227"/>
      <x v="15"/>
      <x v="770"/>
      <x v="52"/>
      <x v="2"/>
      <x v="476"/>
    </i>
    <i>
      <x v="231"/>
      <x v="1"/>
      <x v="718"/>
      <x v="52"/>
      <x v="2"/>
      <x v="476"/>
    </i>
    <i>
      <x v="242"/>
      <x v="12"/>
      <x v="764"/>
      <x v="52"/>
      <x v="2"/>
      <x v="476"/>
    </i>
    <i>
      <x v="253"/>
      <x v="5"/>
      <x v="821"/>
      <x v="52"/>
      <x v="2"/>
      <x v="476"/>
    </i>
    <i>
      <x v="294"/>
      <x v="14"/>
      <x v="820"/>
      <x v="52"/>
      <x v="5"/>
      <x v="476"/>
    </i>
    <i>
      <x v="305"/>
      <x v="9"/>
      <x v="812"/>
      <x v="52"/>
      <x v="2"/>
      <x v="476"/>
    </i>
    <i>
      <x v="313"/>
      <x v="15"/>
      <x v="759"/>
      <x v="52"/>
      <x v="2"/>
      <x v="476"/>
    </i>
    <i>
      <x v="322"/>
      <x/>
      <x v="757"/>
      <x v="52"/>
      <x v="2"/>
      <x v="476"/>
    </i>
    <i>
      <x v="347"/>
      <x v="6"/>
      <x v="826"/>
      <x v="52"/>
      <x v="2"/>
      <x v="476"/>
    </i>
    <i>
      <x v="378"/>
      <x v="4"/>
      <x v="747"/>
      <x v="52"/>
      <x v="2"/>
      <x v="476"/>
    </i>
    <i>
      <x v="391"/>
      <x v="6"/>
      <x v="816"/>
      <x v="52"/>
      <x v="2"/>
      <x v="476"/>
    </i>
    <i>
      <x v="409"/>
      <x v="15"/>
      <x v="793"/>
      <x v="52"/>
      <x v="2"/>
      <x v="476"/>
    </i>
    <i>
      <x v="413"/>
      <x v="15"/>
      <x v="762"/>
      <x v="52"/>
      <x v="2"/>
      <x v="476"/>
    </i>
    <i>
      <x v="426"/>
      <x v="14"/>
      <x v="779"/>
      <x v="52"/>
      <x v="2"/>
      <x v="476"/>
    </i>
    <i>
      <x v="433"/>
      <x v="2"/>
      <x v="648"/>
      <x v="52"/>
      <x v="2"/>
      <x v="476"/>
    </i>
    <i>
      <x v="434"/>
      <x v="15"/>
      <x v="815"/>
      <x v="52"/>
      <x v="2"/>
      <x v="476"/>
    </i>
    <i>
      <x v="437"/>
      <x v="16"/>
      <x v="603"/>
      <x v="52"/>
      <x v="2"/>
      <x v="476"/>
    </i>
    <i>
      <x v="451"/>
      <x v="16"/>
      <x v="677"/>
      <x v="52"/>
      <x v="2"/>
      <x v="476"/>
    </i>
    <i>
      <x v="463"/>
      <x v="13"/>
      <x v="727"/>
      <x v="52"/>
      <x v="2"/>
      <x v="476"/>
    </i>
    <i>
      <x v="495"/>
      <x v="18"/>
      <x v="771"/>
      <x v="52"/>
      <x v="5"/>
      <x v="476"/>
    </i>
    <i>
      <x v="498"/>
      <x v="4"/>
      <x v="776"/>
      <x v="52"/>
      <x v="2"/>
      <x v="476"/>
    </i>
    <i>
      <x v="575"/>
      <x v="13"/>
      <x v="529"/>
      <x v="52"/>
      <x v="2"/>
      <x v="476"/>
    </i>
    <i>
      <x v="586"/>
      <x v="10"/>
      <x v="791"/>
      <x v="52"/>
      <x v="2"/>
      <x v="476"/>
    </i>
    <i>
      <x v="587"/>
      <x v="10"/>
      <x v="782"/>
      <x v="52"/>
      <x v="2"/>
      <x v="476"/>
    </i>
    <i>
      <x v="651"/>
      <x v="18"/>
      <x v="783"/>
      <x v="52"/>
      <x v="2"/>
      <x v="476"/>
    </i>
    <i>
      <x v="654"/>
      <x v="6"/>
      <x v="739"/>
      <x v="52"/>
      <x v="2"/>
      <x v="476"/>
    </i>
    <i>
      <x v="680"/>
      <x v="10"/>
      <x v="686"/>
      <x v="52"/>
      <x v="2"/>
      <x v="476"/>
    </i>
    <i r="2">
      <x v="780"/>
      <x v="52"/>
      <x v="2"/>
      <x v="476"/>
    </i>
    <i>
      <x v="747"/>
      <x v="2"/>
      <x v="831"/>
      <x v="52"/>
      <x v="2"/>
      <x v="476"/>
    </i>
    <i t="grand">
      <x/>
    </i>
  </rowItems>
  <colFields count="1">
    <field x="-2"/>
  </colFields>
  <colItems count="13">
    <i>
      <x/>
    </i>
    <i i="1">
      <x v="1"/>
    </i>
    <i i="2">
      <x v="2"/>
    </i>
    <i i="3">
      <x v="3"/>
    </i>
    <i i="4">
      <x v="4"/>
    </i>
    <i i="5">
      <x v="5"/>
    </i>
    <i i="6">
      <x v="6"/>
    </i>
    <i i="7">
      <x v="7"/>
    </i>
    <i i="8">
      <x v="8"/>
    </i>
    <i i="9">
      <x v="9"/>
    </i>
    <i i="10">
      <x v="10"/>
    </i>
    <i i="11">
      <x v="11"/>
    </i>
    <i i="12">
      <x v="12"/>
    </i>
  </colItems>
  <pageFields count="4">
    <pageField fld="0" item="3" hier="-1"/>
    <pageField fld="1" hier="-1"/>
    <pageField fld="3" hier="-1"/>
    <pageField fld="66" item="1" hier="-1"/>
  </pageFields>
  <dataFields count="13">
    <dataField name="Sum of A1 Gain" fld="35" baseField="14" baseItem="476"/>
    <dataField name="Sum of A2 Gain" fld="36" baseField="14" baseItem="476"/>
    <dataField name="Sum of A3 Gain" fld="37" baseField="14" baseItem="476"/>
    <dataField name="Sum of A4 Gain" fld="38" baseField="14" baseItem="476"/>
    <dataField name="Sum of A5 Gain" fld="39" baseField="14" baseItem="476"/>
    <dataField name="Sum of A Total Gain" fld="40" baseField="14" baseItem="476"/>
    <dataField name="Sum of A1 Loss" fld="51" baseField="14" baseItem="476"/>
    <dataField name="Sum of A2 Loss" fld="52" baseField="14" baseItem="476"/>
    <dataField name="Sum of A3 Loss" fld="53" baseField="14" baseItem="476"/>
    <dataField name="Sum of A4 Loss" fld="54" baseField="14" baseItem="476"/>
    <dataField name="Sum of A5 Loss" fld="55" baseField="14" baseItem="476"/>
    <dataField name="Sum of A Total Loss" fld="56" baseField="14" baseItem="476"/>
    <dataField name="Sum of A Total Net" fld="74" baseField="14" baseItem="476"/>
  </dataFields>
  <formats count="1">
    <format dxfId="2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00000000-0007-0000-8500-000000000000}" name="PivotTable1" cacheId="20" applyNumberFormats="0" applyBorderFormats="0" applyFontFormats="0" applyPatternFormats="0" applyAlignmentFormats="0" applyWidthHeightFormats="1" dataCaption="Values" grandTotalCaption="Total" updatedVersion="6" minRefreshableVersion="3" useAutoFormatting="1" itemPrintTitles="1" createdVersion="4" indent="0" compact="0" compactData="0" multipleFieldFilters="0">
  <location ref="A5:S16" firstHeaderRow="0" firstDataRow="1" firstDataCol="6" rowPageCount="3" colPageCount="1"/>
  <pivotFields count="132">
    <pivotField axis="axisPage" compact="0" outline="0" showAll="0" defaultSubtotal="0">
      <items count="4">
        <item x="0"/>
        <item x="2"/>
        <item x="1"/>
        <item x="3"/>
      </items>
    </pivotField>
    <pivotField axis="axisPage" compact="0" outline="0" showAll="0" defaultSubtotal="0">
      <items count="3">
        <item x="0"/>
        <item x="1"/>
        <item x="2"/>
      </items>
    </pivotField>
    <pivotField axis="axisRow" compact="0" outline="0" showAll="0" defaultSubtotal="0">
      <items count="3">
        <item x="0"/>
        <item x="1"/>
        <item x="2"/>
      </items>
    </pivotField>
    <pivotField compact="0" outline="0" showAll="0" defaultSubtotal="0"/>
    <pivotField axis="axisRow" compact="0" outline="0" showAll="0" defaultSubtotal="0">
      <items count="25">
        <item x="6"/>
        <item x="16"/>
        <item x="21"/>
        <item x="15"/>
        <item x="19"/>
        <item x="13"/>
        <item x="1"/>
        <item x="12"/>
        <item x="0"/>
        <item x="24"/>
        <item x="9"/>
        <item x="10"/>
        <item x="4"/>
        <item x="23"/>
        <item x="14"/>
        <item x="5"/>
        <item x="7"/>
        <item x="2"/>
        <item x="3"/>
        <item x="11"/>
        <item x="20"/>
        <item x="17"/>
        <item x="22"/>
        <item x="8"/>
        <item x="18"/>
      </items>
    </pivotField>
    <pivotField axis="axisRow" compact="0" outline="0" showAll="0" defaultSubtotal="0">
      <items count="12">
        <item x="0"/>
        <item x="4"/>
        <item x="6"/>
        <item x="11"/>
        <item x="8"/>
        <item x="1"/>
        <item x="3"/>
        <item x="9"/>
        <item x="7"/>
        <item x="10"/>
        <item x="5"/>
        <item x="2"/>
      </items>
    </pivotField>
    <pivotField compact="0" numFmtId="166"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8">
        <item x="3"/>
        <item x="16"/>
        <item x="10"/>
        <item x="1"/>
        <item x="14"/>
        <item x="20"/>
        <item x="21"/>
        <item x="26"/>
        <item x="6"/>
        <item x="15"/>
        <item x="0"/>
        <item x="8"/>
        <item x="17"/>
        <item x="22"/>
        <item x="12"/>
        <item x="23"/>
        <item x="24"/>
        <item x="7"/>
        <item x="18"/>
        <item x="27"/>
        <item x="2"/>
        <item x="13"/>
        <item x="9"/>
        <item x="25"/>
        <item x="19"/>
        <item x="4"/>
        <item x="5"/>
        <item x="11"/>
      </items>
    </pivotField>
    <pivotField compact="0" outline="0" showAll="0" defaultSubtotal="0"/>
    <pivotField compact="0" numFmtId="14" outline="0" showAll="0" defaultSubtotal="0"/>
    <pivotField axis="axisRow" compact="0" outline="0" showAll="0" defaultSubtotal="0">
      <items count="20">
        <item x="12"/>
        <item x="3"/>
        <item x="1"/>
        <item x="15"/>
        <item x="10"/>
        <item x="18"/>
        <item x="8"/>
        <item x="5"/>
        <item x="11"/>
        <item x="0"/>
        <item x="16"/>
        <item x="13"/>
        <item x="7"/>
        <item x="9"/>
        <item x="17"/>
        <item x="19"/>
        <item x="14"/>
        <item x="2"/>
        <item x="6"/>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1"/>
        <item x="2"/>
        <item x="6"/>
        <item x="3"/>
        <item x="4"/>
        <item x="5"/>
        <item x="0"/>
      </items>
    </pivotField>
    <pivotField compact="0" outline="0" showAll="0" defaultSubtotal="0"/>
    <pivotField compact="0"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axis="axisPage" compact="0" outline="0" showAll="0" defaultSubtotal="0">
      <items count="2">
        <item x="0"/>
        <item x="1"/>
      </items>
    </pivotField>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s>
  <rowFields count="6">
    <field x="4"/>
    <field x="5"/>
    <field x="10"/>
    <field x="29"/>
    <field x="2"/>
    <field x="13"/>
  </rowFields>
  <rowItems count="11">
    <i>
      <x/>
      <x v="10"/>
      <x v="11"/>
      <x v="6"/>
      <x/>
      <x v="12"/>
    </i>
    <i>
      <x v="1"/>
      <x v="9"/>
      <x v="18"/>
      <x v="6"/>
      <x/>
      <x v="16"/>
    </i>
    <i>
      <x v="2"/>
      <x v="3"/>
      <x v="15"/>
      <x v="6"/>
      <x v="2"/>
      <x v="14"/>
    </i>
    <i>
      <x v="6"/>
      <x v="5"/>
      <x v="3"/>
      <x v="6"/>
      <x/>
      <x v="2"/>
    </i>
    <i r="2">
      <x v="20"/>
      <x v="6"/>
      <x/>
      <x v="17"/>
    </i>
    <i>
      <x v="9"/>
      <x v="8"/>
      <x v="7"/>
      <x v="4"/>
      <x/>
      <x v="5"/>
    </i>
    <i r="3">
      <x v="5"/>
      <x/>
      <x v="5"/>
    </i>
    <i r="2">
      <x v="19"/>
      <x v="2"/>
      <x/>
      <x v="15"/>
    </i>
    <i>
      <x v="19"/>
      <x v="10"/>
      <x v="21"/>
      <x v="6"/>
      <x/>
      <x v="18"/>
    </i>
    <i>
      <x v="20"/>
      <x v="8"/>
      <x v="13"/>
      <x v="6"/>
      <x v="2"/>
      <x v="10"/>
    </i>
    <i t="grand">
      <x/>
    </i>
  </rowItems>
  <colFields count="1">
    <field x="-2"/>
  </colFields>
  <colItems count="13">
    <i>
      <x/>
    </i>
    <i i="1">
      <x v="1"/>
    </i>
    <i i="2">
      <x v="2"/>
    </i>
    <i i="3">
      <x v="3"/>
    </i>
    <i i="4">
      <x v="4"/>
    </i>
    <i i="5">
      <x v="5"/>
    </i>
    <i i="6">
      <x v="6"/>
    </i>
    <i i="7">
      <x v="7"/>
    </i>
    <i i="8">
      <x v="8"/>
    </i>
    <i i="9">
      <x v="9"/>
    </i>
    <i i="10">
      <x v="10"/>
    </i>
    <i i="11">
      <x v="11"/>
    </i>
    <i i="12">
      <x v="12"/>
    </i>
  </colItems>
  <pageFields count="3">
    <pageField fld="0" hier="-1"/>
    <pageField fld="1" hier="-1"/>
    <pageField fld="65" item="1" hier="-1"/>
  </pageFields>
  <dataFields count="13">
    <dataField name="Sum of A1 Gain" fld="33" baseField="0" baseItem="0"/>
    <dataField name="Sum of A2 Gain" fld="34" baseField="0" baseItem="0"/>
    <dataField name="Sum of A3 Gain" fld="35" baseField="0" baseItem="0"/>
    <dataField name="Sum of A4 Gain" fld="36" baseField="0" baseItem="0"/>
    <dataField name="Sum of A5 Gain" fld="37" baseField="0" baseItem="0"/>
    <dataField name="Sum of A Total Gain" fld="38" baseField="0" baseItem="0"/>
    <dataField name="Sum of A1 Loss" fld="49" baseField="0" baseItem="0"/>
    <dataField name="Sum of A2 Loss" fld="50" baseField="0" baseItem="0"/>
    <dataField name="Sum of A3 Loss" fld="51" baseField="0" baseItem="0"/>
    <dataField name="Sum of A4 Loss" fld="52" baseField="0" baseItem="0"/>
    <dataField name="Sum of A5 Loss" fld="53" baseField="0" baseItem="0"/>
    <dataField name="Sum of A Total Loss" fld="54" baseField="0" baseItem="0"/>
    <dataField name="Sum of A Total Net" fld="7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00000000-0007-0000-87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46"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x="0"/>
        <item x="5"/>
        <item x="2"/>
        <item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40">
    <i>
      <x v="22"/>
      <x v="7"/>
      <x v="558"/>
      <x v="52"/>
      <x v="2"/>
      <x v="332"/>
    </i>
    <i>
      <x v="32"/>
      <x v="14"/>
      <x v="106"/>
      <x v="52"/>
      <x v="2"/>
      <x v="99"/>
    </i>
    <i>
      <x v="45"/>
      <x v="4"/>
      <x v="496"/>
      <x v="52"/>
      <x v="2"/>
      <x v="311"/>
    </i>
    <i>
      <x v="69"/>
      <x v="2"/>
      <x v="715"/>
      <x v="52"/>
      <x v="2"/>
      <x v="436"/>
    </i>
    <i>
      <x v="94"/>
      <x v="9"/>
      <x v="571"/>
      <x v="52"/>
      <x v="2"/>
      <x v="342"/>
    </i>
    <i>
      <x v="97"/>
      <x v="6"/>
      <x v="278"/>
      <x v="52"/>
      <x v="2"/>
      <x v="188"/>
    </i>
    <i>
      <x v="118"/>
      <x v="2"/>
      <x v="342"/>
      <x v="52"/>
      <x v="2"/>
      <x v="232"/>
    </i>
    <i>
      <x v="212"/>
      <x/>
      <x v="516"/>
      <x v="52"/>
      <x v="2"/>
      <x v="359"/>
    </i>
    <i>
      <x v="214"/>
      <x v="1"/>
      <x v="748"/>
      <x v="52"/>
      <x v="2"/>
      <x v="473"/>
    </i>
    <i>
      <x v="229"/>
      <x v="10"/>
      <x v="742"/>
      <x v="52"/>
      <x v="2"/>
      <x v="454"/>
    </i>
    <i>
      <x v="240"/>
      <x/>
      <x v="645"/>
      <x v="52"/>
      <x v="5"/>
      <x v="387"/>
    </i>
    <i>
      <x v="252"/>
      <x v="3"/>
      <x v="26"/>
      <x v="52"/>
      <x v="2"/>
      <x v="21"/>
    </i>
    <i>
      <x v="296"/>
      <x v="16"/>
      <x v="541"/>
      <x v="52"/>
      <x v="2"/>
      <x v="327"/>
    </i>
    <i>
      <x v="339"/>
      <x v="16"/>
      <x v="639"/>
      <x v="52"/>
      <x v="2"/>
      <x v="418"/>
    </i>
    <i>
      <x v="344"/>
      <x v="16"/>
      <x v="617"/>
      <x v="52"/>
      <x v="2"/>
      <x v="374"/>
    </i>
    <i>
      <x v="359"/>
      <x v="17"/>
      <x v="476"/>
      <x v="52"/>
      <x v="2"/>
      <x v="307"/>
    </i>
    <i>
      <x v="368"/>
      <x v="6"/>
      <x v="449"/>
      <x v="52"/>
      <x v="2"/>
      <x v="298"/>
    </i>
    <i>
      <x v="371"/>
      <x v="12"/>
      <x v="749"/>
      <x v="52"/>
      <x v="1"/>
      <x v="453"/>
    </i>
    <i>
      <x v="389"/>
      <x v="9"/>
      <x v="692"/>
      <x v="52"/>
      <x v="2"/>
      <x v="424"/>
    </i>
    <i>
      <x v="396"/>
      <x v="4"/>
      <x v="51"/>
      <x v="52"/>
      <x v="2"/>
      <x v="41"/>
    </i>
    <i>
      <x v="403"/>
      <x v="4"/>
      <x v="514"/>
      <x v="52"/>
      <x v="2"/>
      <x v="315"/>
    </i>
    <i>
      <x v="404"/>
      <x v="7"/>
      <x v="567"/>
      <x v="52"/>
      <x v="2"/>
      <x v="339"/>
    </i>
    <i>
      <x v="429"/>
      <x v="15"/>
      <x v="148"/>
      <x v="52"/>
      <x v="2"/>
      <x v="107"/>
    </i>
    <i>
      <x v="458"/>
      <x v="12"/>
      <x v="99"/>
      <x v="52"/>
      <x v="2"/>
      <x v="104"/>
    </i>
    <i>
      <x v="493"/>
      <x v="19"/>
      <x v="198"/>
      <x v="52"/>
      <x v="2"/>
      <x v="140"/>
    </i>
    <i>
      <x v="521"/>
      <x v="10"/>
      <x v="323"/>
      <x v="52"/>
      <x v="2"/>
      <x v="237"/>
    </i>
    <i>
      <x v="581"/>
      <x v="18"/>
      <x v="253"/>
      <x v="52"/>
      <x v="2"/>
      <x v="182"/>
    </i>
    <i>
      <x v="597"/>
      <x v="18"/>
      <x v="292"/>
      <x v="52"/>
      <x v="2"/>
      <x v="203"/>
    </i>
    <i>
      <x v="599"/>
      <x v="11"/>
      <x v="140"/>
      <x v="52"/>
      <x v="2"/>
      <x v="109"/>
    </i>
    <i>
      <x v="615"/>
      <x v="3"/>
      <x v="536"/>
      <x v="52"/>
      <x v="2"/>
      <x v="310"/>
    </i>
    <i>
      <x v="634"/>
      <x v="11"/>
      <x v="363"/>
      <x v="52"/>
      <x v="2"/>
      <x v="234"/>
    </i>
    <i>
      <x v="650"/>
      <x v="4"/>
      <x v="47"/>
      <x v="52"/>
      <x v="2"/>
      <x v="33"/>
    </i>
    <i>
      <x v="668"/>
      <x v="17"/>
      <x v="61"/>
      <x v="52"/>
      <x v="2"/>
      <x v="50"/>
    </i>
    <i>
      <x v="673"/>
      <x v="14"/>
      <x v="552"/>
      <x v="52"/>
      <x v="2"/>
      <x v="394"/>
    </i>
    <i>
      <x v="682"/>
      <x v="17"/>
      <x v="738"/>
      <x v="52"/>
      <x v="2"/>
      <x v="446"/>
    </i>
    <i>
      <x v="685"/>
      <x v="14"/>
      <x v="394"/>
      <x v="52"/>
      <x v="2"/>
      <x v="277"/>
    </i>
    <i>
      <x v="686"/>
      <x v="10"/>
      <x v="8"/>
      <x v="52"/>
      <x v="2"/>
      <x v="7"/>
    </i>
    <i>
      <x v="688"/>
      <x v="1"/>
      <x v="22"/>
      <x v="52"/>
      <x v="2"/>
      <x v="25"/>
    </i>
    <i>
      <x v="693"/>
      <x v="11"/>
      <x v="676"/>
      <x v="52"/>
      <x v="2"/>
      <x v="420"/>
    </i>
    <i t="grand">
      <x/>
    </i>
  </rowItems>
  <colFields count="1">
    <field x="-2"/>
  </colFields>
  <colItems count="7">
    <i>
      <x/>
    </i>
    <i i="1">
      <x v="1"/>
    </i>
    <i i="2">
      <x v="2"/>
    </i>
    <i i="3">
      <x v="3"/>
    </i>
    <i i="4">
      <x v="4"/>
    </i>
    <i i="5">
      <x v="5"/>
    </i>
    <i i="6">
      <x v="6"/>
    </i>
  </colItems>
  <pageFields count="4">
    <pageField fld="0" item="0" hier="-1"/>
    <pageField fld="1" hier="-1"/>
    <pageField fld="3" item="1"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2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00000000-0007-0000-89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14"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x="0"/>
        <item x="5"/>
        <item x="2"/>
        <item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8">
    <i>
      <x v="144"/>
      <x v="15"/>
      <x v="455"/>
      <x v="52"/>
      <x v="2"/>
      <x v="334"/>
    </i>
    <i>
      <x v="343"/>
      <x v="10"/>
      <x v="5"/>
      <x v="52"/>
      <x v="2"/>
      <x v="3"/>
    </i>
    <i>
      <x v="380"/>
      <x v="4"/>
      <x v="701"/>
      <x v="52"/>
      <x v="2"/>
      <x v="425"/>
    </i>
    <i>
      <x v="586"/>
      <x v="10"/>
      <x v="544"/>
      <x v="6"/>
      <x v="2"/>
      <x v="330"/>
    </i>
    <i>
      <x v="606"/>
      <x v="15"/>
      <x v="3"/>
      <x v="52"/>
      <x v="2"/>
      <x v="1"/>
    </i>
    <i>
      <x v="647"/>
      <x v="10"/>
      <x v="414"/>
      <x v="38"/>
      <x v="2"/>
      <x v="270"/>
    </i>
    <i>
      <x v="728"/>
      <x v="14"/>
      <x v="44"/>
      <x v="52"/>
      <x v="2"/>
      <x v="40"/>
    </i>
    <i t="grand">
      <x/>
    </i>
  </rowItems>
  <colFields count="1">
    <field x="-2"/>
  </colFields>
  <colItems count="7">
    <i>
      <x/>
    </i>
    <i i="1">
      <x v="1"/>
    </i>
    <i i="2">
      <x v="2"/>
    </i>
    <i i="3">
      <x v="3"/>
    </i>
    <i i="4">
      <x v="4"/>
    </i>
    <i i="5">
      <x v="5"/>
    </i>
    <i i="6">
      <x v="6"/>
    </i>
  </colItems>
  <pageFields count="4">
    <pageField fld="0" item="0" hier="-1"/>
    <pageField fld="1" hier="-1"/>
    <pageField fld="3" item="0"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1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00000000-0007-0000-8B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62"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x="0"/>
        <item x="5"/>
        <item x="2"/>
        <item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56">
    <i>
      <x v="18"/>
      <x v="14"/>
      <x v="719"/>
      <x v="52"/>
      <x v="2"/>
      <x v="473"/>
    </i>
    <i>
      <x v="47"/>
      <x v="6"/>
      <x v="305"/>
      <x v="52"/>
      <x v="2"/>
      <x v="238"/>
    </i>
    <i>
      <x v="77"/>
      <x v="6"/>
      <x v="413"/>
      <x v="52"/>
      <x v="2"/>
      <x v="263"/>
    </i>
    <i>
      <x v="84"/>
      <x v="8"/>
      <x v="43"/>
      <x v="52"/>
      <x v="2"/>
      <x v="90"/>
    </i>
    <i>
      <x v="108"/>
      <x v="1"/>
      <x v="231"/>
      <x v="52"/>
      <x v="2"/>
      <x v="174"/>
    </i>
    <i>
      <x v="184"/>
      <x v="15"/>
      <x v="12"/>
      <x v="52"/>
      <x v="2"/>
      <x v="12"/>
    </i>
    <i>
      <x v="185"/>
      <x v="15"/>
      <x v="751"/>
      <x v="52"/>
      <x v="2"/>
      <x v="468"/>
    </i>
    <i>
      <x v="197"/>
      <x v="10"/>
      <x v="345"/>
      <x v="52"/>
      <x v="2"/>
      <x v="252"/>
    </i>
    <i>
      <x v="205"/>
      <x/>
      <x v="517"/>
      <x v="52"/>
      <x v="2"/>
      <x v="334"/>
    </i>
    <i>
      <x v="256"/>
      <x v="7"/>
      <x v="501"/>
      <x v="52"/>
      <x v="2"/>
      <x v="317"/>
    </i>
    <i>
      <x v="259"/>
      <x v="10"/>
      <x v="189"/>
      <x v="52"/>
      <x v="2"/>
      <x v="256"/>
    </i>
    <i>
      <x v="270"/>
      <x v="10"/>
      <x v="77"/>
      <x v="52"/>
      <x v="2"/>
      <x v="62"/>
    </i>
    <i>
      <x v="278"/>
      <x v="2"/>
      <x v="164"/>
      <x v="52"/>
      <x v="2"/>
      <x v="127"/>
    </i>
    <i>
      <x v="358"/>
      <x v="9"/>
      <x v="602"/>
      <x v="52"/>
      <x v="2"/>
      <x v="425"/>
    </i>
    <i>
      <x v="405"/>
      <x v="10"/>
      <x v="487"/>
      <x v="14"/>
      <x v="2"/>
      <x v="303"/>
    </i>
    <i r="3">
      <x v="15"/>
      <x v="2"/>
      <x v="303"/>
    </i>
    <i r="3">
      <x v="16"/>
      <x v="2"/>
      <x v="303"/>
    </i>
    <i r="3">
      <x v="22"/>
      <x v="2"/>
      <x v="303"/>
    </i>
    <i>
      <x v="419"/>
      <x v="10"/>
      <x v="126"/>
      <x v="52"/>
      <x v="2"/>
      <x v="126"/>
    </i>
    <i r="2">
      <x v="291"/>
      <x v="52"/>
      <x v="2"/>
      <x v="264"/>
    </i>
    <i r="2">
      <x v="464"/>
      <x v="52"/>
      <x v="2"/>
      <x v="336"/>
    </i>
    <i>
      <x v="420"/>
      <x v="10"/>
      <x v="82"/>
      <x v="52"/>
      <x v="2"/>
      <x v="85"/>
    </i>
    <i>
      <x v="444"/>
      <x v="8"/>
      <x v="213"/>
      <x v="52"/>
      <x v="2"/>
      <x v="150"/>
    </i>
    <i r="2">
      <x v="450"/>
      <x v="52"/>
      <x v="2"/>
      <x v="309"/>
    </i>
    <i>
      <x v="445"/>
      <x v="10"/>
      <x v="399"/>
      <x v="52"/>
      <x v="2"/>
      <x v="316"/>
    </i>
    <i>
      <x v="446"/>
      <x v="7"/>
      <x v="37"/>
      <x v="52"/>
      <x v="2"/>
      <x v="32"/>
    </i>
    <i>
      <x v="467"/>
      <x v="14"/>
      <x v="73"/>
      <x v="52"/>
      <x v="2"/>
      <x v="105"/>
    </i>
    <i>
      <x v="501"/>
      <x v="13"/>
      <x v="732"/>
      <x v="52"/>
      <x v="2"/>
      <x v="458"/>
    </i>
    <i>
      <x v="519"/>
      <x v="11"/>
      <x v="494"/>
      <x v="52"/>
      <x v="2"/>
      <x v="319"/>
    </i>
    <i>
      <x v="522"/>
      <x v="14"/>
      <x v="642"/>
      <x v="52"/>
      <x v="2"/>
      <x v="462"/>
    </i>
    <i>
      <x v="525"/>
      <x v="8"/>
      <x v="453"/>
      <x v="52"/>
      <x v="2"/>
      <x v="284"/>
    </i>
    <i>
      <x v="527"/>
      <x v="15"/>
      <x v="4"/>
      <x v="52"/>
      <x v="2"/>
      <x v="6"/>
    </i>
    <i>
      <x v="547"/>
      <x v="15"/>
      <x v="509"/>
      <x v="52"/>
      <x v="2"/>
      <x v="441"/>
    </i>
    <i>
      <x v="582"/>
      <x v="15"/>
      <x v="454"/>
      <x v="52"/>
      <x v="2"/>
      <x v="390"/>
    </i>
    <i>
      <x v="585"/>
      <x v="15"/>
      <x v="257"/>
      <x v="52"/>
      <x v="2"/>
      <x v="192"/>
    </i>
    <i>
      <x v="586"/>
      <x v="10"/>
      <x v="188"/>
      <x v="4"/>
      <x v="2"/>
      <x v="349"/>
    </i>
    <i>
      <x v="589"/>
      <x v="16"/>
      <x v="54"/>
      <x v="52"/>
      <x v="2"/>
      <x v="48"/>
    </i>
    <i>
      <x v="593"/>
      <x v="8"/>
      <x v="341"/>
      <x v="52"/>
      <x v="5"/>
      <x v="223"/>
    </i>
    <i>
      <x v="596"/>
      <x/>
      <x v="577"/>
      <x v="52"/>
      <x v="2"/>
      <x v="350"/>
    </i>
    <i>
      <x v="598"/>
      <x v="10"/>
      <x v="53"/>
      <x v="52"/>
      <x v="2"/>
      <x v="60"/>
    </i>
    <i>
      <x v="601"/>
      <x v="11"/>
      <x v="512"/>
      <x v="52"/>
      <x v="2"/>
      <x v="314"/>
    </i>
    <i>
      <x v="603"/>
      <x v="9"/>
      <x v="9"/>
      <x v="52"/>
      <x v="2"/>
      <x v="11"/>
    </i>
    <i>
      <x v="619"/>
      <x v="4"/>
      <x v="14"/>
      <x v="52"/>
      <x v="2"/>
      <x v="30"/>
    </i>
    <i r="2">
      <x v="710"/>
      <x v="52"/>
      <x v="2"/>
      <x v="433"/>
    </i>
    <i>
      <x v="634"/>
      <x v="11"/>
      <x v="57"/>
      <x v="52"/>
      <x v="2"/>
      <x v="38"/>
    </i>
    <i>
      <x v="637"/>
      <x v="18"/>
      <x v="23"/>
      <x v="52"/>
      <x v="2"/>
      <x v="29"/>
    </i>
    <i>
      <x v="647"/>
      <x v="10"/>
      <x v="223"/>
      <x v="40"/>
      <x v="2"/>
      <x v="171"/>
    </i>
    <i r="3">
      <x v="41"/>
      <x v="2"/>
      <x v="171"/>
    </i>
    <i r="2">
      <x v="560"/>
      <x v="39"/>
      <x v="2"/>
      <x v="345"/>
    </i>
    <i>
      <x v="649"/>
      <x v="4"/>
      <x v="84"/>
      <x v="52"/>
      <x v="2"/>
      <x v="107"/>
    </i>
    <i r="2">
      <x v="320"/>
      <x v="52"/>
      <x v="2"/>
      <x v="218"/>
    </i>
    <i>
      <x v="653"/>
      <x v="17"/>
      <x v="6"/>
      <x v="52"/>
      <x v="2"/>
      <x v="4"/>
    </i>
    <i>
      <x v="657"/>
      <x v="15"/>
      <x v="426"/>
      <x v="52"/>
      <x v="2"/>
      <x v="293"/>
    </i>
    <i>
      <x v="659"/>
      <x v="7"/>
      <x v="1"/>
      <x v="52"/>
      <x v="2"/>
      <x v="8"/>
    </i>
    <i>
      <x v="678"/>
      <x v="15"/>
      <x v="336"/>
      <x v="52"/>
      <x v="2"/>
      <x v="249"/>
    </i>
    <i t="grand">
      <x/>
    </i>
  </rowItems>
  <colFields count="1">
    <field x="-2"/>
  </colFields>
  <colItems count="7">
    <i>
      <x/>
    </i>
    <i i="1">
      <x v="1"/>
    </i>
    <i i="2">
      <x v="2"/>
    </i>
    <i i="3">
      <x v="3"/>
    </i>
    <i i="4">
      <x v="4"/>
    </i>
    <i i="5">
      <x v="5"/>
    </i>
    <i i="6">
      <x v="6"/>
    </i>
  </colItems>
  <pageFields count="4">
    <pageField fld="0" item="1" hier="-1"/>
    <pageField fld="1" hier="-1"/>
    <pageField fld="3"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1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00000000-0007-0000-8D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73"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x="0"/>
        <item x="5"/>
        <item h="1" x="2"/>
        <item h="1"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67">
    <i>
      <x v="4"/>
      <x/>
      <x v="533"/>
      <x v="52"/>
      <x v="2"/>
      <x v="326"/>
    </i>
    <i>
      <x v="42"/>
      <x v="4"/>
      <x v="767"/>
      <x v="52"/>
      <x v="2"/>
      <x v="472"/>
    </i>
    <i>
      <x v="49"/>
      <x v="15"/>
      <x v="489"/>
      <x v="52"/>
      <x v="2"/>
      <x v="300"/>
    </i>
    <i>
      <x v="61"/>
      <x v="7"/>
      <x v="303"/>
      <x v="52"/>
      <x v="2"/>
      <x v="308"/>
    </i>
    <i>
      <x v="68"/>
      <x v="14"/>
      <x v="721"/>
      <x v="52"/>
      <x v="2"/>
      <x v="457"/>
    </i>
    <i>
      <x v="95"/>
      <x v="5"/>
      <x v="308"/>
      <x v="52"/>
      <x v="2"/>
      <x v="264"/>
    </i>
    <i>
      <x v="98"/>
      <x v="12"/>
      <x v="193"/>
      <x v="52"/>
      <x v="2"/>
      <x v="136"/>
    </i>
    <i>
      <x v="204"/>
      <x v="1"/>
      <x v="317"/>
      <x v="52"/>
      <x v="2"/>
      <x v="255"/>
    </i>
    <i>
      <x v="230"/>
      <x v="18"/>
      <x v="56"/>
      <x v="52"/>
      <x v="2"/>
      <x v="41"/>
    </i>
    <i>
      <x v="233"/>
      <x v="14"/>
      <x v="248"/>
      <x v="52"/>
      <x v="2"/>
      <x v="276"/>
    </i>
    <i>
      <x v="249"/>
      <x v="2"/>
      <x v="631"/>
      <x v="52"/>
      <x v="2"/>
      <x v="381"/>
    </i>
    <i>
      <x v="266"/>
      <x v="16"/>
      <x v="685"/>
      <x v="52"/>
      <x v="2"/>
      <x v="439"/>
    </i>
    <i>
      <x v="272"/>
      <x v="4"/>
      <x v="445"/>
      <x v="52"/>
      <x v="2"/>
      <x v="286"/>
    </i>
    <i>
      <x v="299"/>
      <x v="15"/>
      <x v="119"/>
      <x v="52"/>
      <x v="2"/>
      <x v="195"/>
    </i>
    <i>
      <x v="302"/>
      <x/>
      <x v="682"/>
      <x v="52"/>
      <x v="2"/>
      <x v="452"/>
    </i>
    <i>
      <x v="327"/>
      <x v="2"/>
      <x v="575"/>
      <x v="52"/>
      <x v="2"/>
      <x v="357"/>
    </i>
    <i>
      <x v="356"/>
      <x v="16"/>
      <x v="431"/>
      <x v="52"/>
      <x v="2"/>
      <x v="440"/>
    </i>
    <i>
      <x v="376"/>
      <x v="14"/>
      <x v="271"/>
      <x v="52"/>
      <x v="2"/>
      <x v="201"/>
    </i>
    <i>
      <x v="392"/>
      <x v="9"/>
      <x v="720"/>
      <x v="52"/>
      <x v="2"/>
      <x v="443"/>
    </i>
    <i>
      <x v="395"/>
      <x v="13"/>
      <x v="663"/>
      <x v="52"/>
      <x v="2"/>
      <x v="400"/>
    </i>
    <i>
      <x v="400"/>
      <x v="15"/>
      <x v="499"/>
      <x v="52"/>
      <x v="2"/>
      <x v="308"/>
    </i>
    <i>
      <x v="417"/>
      <x v="12"/>
      <x v="403"/>
      <x v="52"/>
      <x v="2"/>
      <x v="291"/>
    </i>
    <i>
      <x v="422"/>
      <x v="7"/>
      <x v="384"/>
      <x v="52"/>
      <x v="2"/>
      <x v="392"/>
    </i>
    <i>
      <x v="428"/>
      <x v="10"/>
      <x v="373"/>
      <x v="52"/>
      <x v="2"/>
      <x v="274"/>
    </i>
    <i>
      <x v="430"/>
      <x v="13"/>
      <x v="365"/>
      <x v="52"/>
      <x v="2"/>
      <x v="241"/>
    </i>
    <i>
      <x v="439"/>
      <x v="15"/>
      <x v="379"/>
      <x v="52"/>
      <x v="2"/>
      <x v="249"/>
    </i>
    <i r="2">
      <x v="585"/>
      <x v="52"/>
      <x v="2"/>
      <x v="343"/>
    </i>
    <i>
      <x v="442"/>
      <x v="13"/>
      <x v="258"/>
      <x v="52"/>
      <x v="2"/>
      <x v="180"/>
    </i>
    <i>
      <x v="448"/>
      <x v="13"/>
      <x v="108"/>
      <x v="52"/>
      <x v="2"/>
      <x v="86"/>
    </i>
    <i>
      <x v="450"/>
      <x v="10"/>
      <x v="520"/>
      <x v="52"/>
      <x v="2"/>
      <x v="354"/>
    </i>
    <i>
      <x v="471"/>
      <x v="6"/>
      <x v="490"/>
      <x v="52"/>
      <x v="2"/>
      <x v="303"/>
    </i>
    <i>
      <x v="494"/>
      <x v="5"/>
      <x v="668"/>
      <x v="52"/>
      <x v="2"/>
      <x v="426"/>
    </i>
    <i>
      <x v="497"/>
      <x v="11"/>
      <x v="599"/>
      <x v="52"/>
      <x v="2"/>
      <x v="372"/>
    </i>
    <i>
      <x v="505"/>
      <x v="17"/>
      <x v="774"/>
      <x v="52"/>
      <x v="2"/>
      <x v="468"/>
    </i>
    <i>
      <x v="517"/>
      <x v="4"/>
      <x v="371"/>
      <x v="52"/>
      <x v="2"/>
      <x v="395"/>
    </i>
    <i>
      <x v="532"/>
      <x v="16"/>
      <x v="695"/>
      <x v="52"/>
      <x v="2"/>
      <x v="448"/>
    </i>
    <i>
      <x v="550"/>
      <x v="14"/>
      <x v="204"/>
      <x v="52"/>
      <x v="2"/>
      <x v="227"/>
    </i>
    <i>
      <x v="569"/>
      <x v="2"/>
      <x v="129"/>
      <x v="52"/>
      <x v="2"/>
      <x v="92"/>
    </i>
    <i>
      <x v="590"/>
      <x v="17"/>
      <x v="197"/>
      <x v="52"/>
      <x v="2"/>
      <x v="170"/>
    </i>
    <i>
      <x v="591"/>
      <x v="10"/>
      <x v="63"/>
      <x v="9"/>
      <x v="3"/>
      <x v="77"/>
    </i>
    <i r="3">
      <x v="37"/>
      <x v="3"/>
      <x v="77"/>
    </i>
    <i>
      <x v="607"/>
      <x v="17"/>
      <x v="261"/>
      <x v="52"/>
      <x v="2"/>
      <x v="182"/>
    </i>
    <i>
      <x v="614"/>
      <x v="15"/>
      <x v="652"/>
      <x v="52"/>
      <x v="2"/>
      <x v="392"/>
    </i>
    <i>
      <x v="634"/>
      <x v="11"/>
      <x v="703"/>
      <x v="52"/>
      <x v="2"/>
      <x v="466"/>
    </i>
    <i>
      <x v="635"/>
      <x v="18"/>
      <x v="653"/>
      <x v="52"/>
      <x v="2"/>
      <x v="395"/>
    </i>
    <i>
      <x v="636"/>
      <x v="10"/>
      <x v="318"/>
      <x v="46"/>
      <x v="3"/>
      <x v="295"/>
    </i>
    <i r="3">
      <x v="47"/>
      <x v="3"/>
      <x v="295"/>
    </i>
    <i r="3">
      <x v="48"/>
      <x v="3"/>
      <x v="295"/>
    </i>
    <i r="3">
      <x v="49"/>
      <x v="3"/>
      <x v="295"/>
    </i>
    <i r="3">
      <x v="50"/>
      <x v="3"/>
      <x v="295"/>
    </i>
    <i r="3">
      <x v="51"/>
      <x v="3"/>
      <x v="295"/>
    </i>
    <i>
      <x v="647"/>
      <x v="10"/>
      <x v="283"/>
      <x v="42"/>
      <x v="3"/>
      <x v="270"/>
    </i>
    <i r="3">
      <x v="43"/>
      <x v="3"/>
      <x v="270"/>
    </i>
    <i r="3">
      <x v="44"/>
      <x v="3"/>
      <x v="270"/>
    </i>
    <i>
      <x v="655"/>
      <x/>
      <x v="554"/>
      <x v="52"/>
      <x v="2"/>
      <x v="348"/>
    </i>
    <i>
      <x v="658"/>
      <x v="3"/>
      <x v="723"/>
      <x v="52"/>
      <x v="2"/>
      <x v="452"/>
    </i>
    <i>
      <x v="660"/>
      <x v="11"/>
      <x v="446"/>
      <x v="52"/>
      <x v="2"/>
      <x v="283"/>
    </i>
    <i>
      <x v="675"/>
      <x v="4"/>
      <x v="280"/>
      <x v="52"/>
      <x v="2"/>
      <x v="197"/>
    </i>
    <i>
      <x v="679"/>
      <x v="15"/>
      <x v="495"/>
      <x v="52"/>
      <x v="2"/>
      <x v="355"/>
    </i>
    <i>
      <x v="689"/>
      <x v="6"/>
      <x v="428"/>
      <x v="52"/>
      <x v="2"/>
      <x v="322"/>
    </i>
    <i>
      <x v="694"/>
      <x v="14"/>
      <x v="634"/>
      <x v="52"/>
      <x v="2"/>
      <x v="383"/>
    </i>
    <i>
      <x v="711"/>
      <x v="14"/>
      <x v="194"/>
      <x v="52"/>
      <x v="2"/>
      <x v="140"/>
    </i>
    <i>
      <x v="715"/>
      <x v="14"/>
      <x v="563"/>
      <x v="52"/>
      <x v="2"/>
      <x v="348"/>
    </i>
    <i>
      <x v="721"/>
      <x v="15"/>
      <x v="335"/>
      <x v="52"/>
      <x v="2"/>
      <x v="224"/>
    </i>
    <i>
      <x v="728"/>
      <x v="14"/>
      <x v="285"/>
      <x v="52"/>
      <x v="2"/>
      <x v="191"/>
    </i>
    <i>
      <x v="745"/>
      <x v="9"/>
      <x v="699"/>
      <x v="52"/>
      <x v="2"/>
      <x v="457"/>
    </i>
    <i t="grand">
      <x/>
    </i>
  </rowItems>
  <colFields count="1">
    <field x="-2"/>
  </colFields>
  <colItems count="7">
    <i>
      <x/>
    </i>
    <i i="1">
      <x v="1"/>
    </i>
    <i i="2">
      <x v="2"/>
    </i>
    <i i="3">
      <x v="3"/>
    </i>
    <i i="4">
      <x v="4"/>
    </i>
    <i i="5">
      <x v="5"/>
    </i>
    <i i="6">
      <x v="6"/>
    </i>
  </colItems>
  <pageFields count="4">
    <pageField fld="0" item="2" hier="-1"/>
    <pageField fld="1" hier="-1"/>
    <pageField fld="3"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1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5" cacheId="51" dataPosition="0" applyNumberFormats="0" applyBorderFormats="0" applyFontFormats="0" applyPatternFormats="0" applyAlignmentFormats="0" applyWidthHeightFormats="1" dataCaption="Values" missingCaption="0" updatedVersion="6" minRefreshableVersion="3" useAutoFormatting="1" itemPrintTitles="1" createdVersion="4" indent="0" compact="0" outline="1" outlineData="1" compactData="0" multipleFieldFilters="0">
  <location ref="A9:L10" firstHeaderRow="0" firstDataRow="1" firstDataCol="0" rowPageCount="7" colPageCount="1"/>
  <pivotFields count="134">
    <pivotField axis="axisPage" compact="0" showAll="0">
      <items count="5">
        <item x="0"/>
        <item x="3"/>
        <item x="2"/>
        <item x="1"/>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4"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numFmtId="3" showAl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165"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axis="axisPage" compact="0" showAll="0">
      <items count="3">
        <item x="1"/>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numFmtId="3"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s>
  <rowItems count="1">
    <i/>
  </rowItems>
  <colFields count="1">
    <field x="-2"/>
  </colFields>
  <colItems count="12">
    <i>
      <x/>
    </i>
    <i i="1">
      <x v="1"/>
    </i>
    <i i="2">
      <x v="2"/>
    </i>
    <i i="3">
      <x v="3"/>
    </i>
    <i i="4">
      <x v="4"/>
    </i>
    <i i="5">
      <x v="5"/>
    </i>
    <i i="6">
      <x v="6"/>
    </i>
    <i i="7">
      <x v="7"/>
    </i>
    <i i="8">
      <x v="8"/>
    </i>
    <i i="9">
      <x v="9"/>
    </i>
    <i i="10">
      <x v="10"/>
    </i>
    <i i="11">
      <x v="11"/>
    </i>
  </colItems>
  <pageFields count="7">
    <pageField fld="0" item="0" hier="-1"/>
    <pageField fld="117" hier="-1"/>
    <pageField fld="118" hier="-1"/>
    <pageField fld="120" hier="-1"/>
    <pageField fld="122" hier="-1"/>
    <pageField fld="124" item="0" hier="-1"/>
    <pageField fld="125" hier="-1"/>
  </pageFields>
  <dataFields count="12">
    <dataField name="Count of B1a Net" fld="75" subtotal="count" baseField="0" baseItem="0"/>
    <dataField name="Sum of B1a Net2" fld="75" baseField="0" baseItem="1"/>
    <dataField name="Count of B1b Net" fld="77" subtotal="count" baseField="0" baseItem="0"/>
    <dataField name="Sum of B1b Net2" fld="77" baseField="0" baseItem="1"/>
    <dataField name="Count of B1c Net" fld="78" subtotal="count" baseField="0" baseItem="0"/>
    <dataField name="Sum of B1c Net2" fld="78" baseField="0" baseItem="1"/>
    <dataField name="Count of B2 Net" fld="79" subtotal="count" baseField="0" baseItem="0"/>
    <dataField name="Sum of B2 Net2" fld="79" baseField="0" baseItem="1"/>
    <dataField name="Count of B8 Net" fld="80" subtotal="count" baseField="0" baseItem="0"/>
    <dataField name="Sum of B8 Net2" fld="80" baseField="0" baseItem="1"/>
    <dataField name="Count of B Total Net" fld="81" subtotal="count" baseField="0" baseItem="0"/>
    <dataField name="Sum of B Total Net2" fld="81" baseField="0" baseItem="1"/>
  </dataFields>
  <formats count="1">
    <format dxfId="13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00000000-0007-0000-8F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7"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h="1" x="0"/>
        <item h="1" x="5"/>
        <item x="2"/>
        <item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1">
    <i t="grand">
      <x/>
    </i>
  </rowItems>
  <colFields count="1">
    <field x="-2"/>
  </colFields>
  <colItems count="7">
    <i>
      <x/>
    </i>
    <i i="1">
      <x v="1"/>
    </i>
    <i i="2">
      <x v="2"/>
    </i>
    <i i="3">
      <x v="3"/>
    </i>
    <i i="4">
      <x v="4"/>
    </i>
    <i i="5">
      <x v="5"/>
    </i>
    <i i="6">
      <x v="6"/>
    </i>
  </colItems>
  <pageFields count="4">
    <pageField fld="0" item="2" hier="-1"/>
    <pageField fld="1" hier="-1"/>
    <pageField fld="3"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1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00000000-0007-0000-91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11"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x="4"/>
        <item h="1" x="0"/>
        <item h="1" x="5"/>
        <item h="1" x="2"/>
        <item h="1"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5">
    <i>
      <x v="523"/>
      <x v="4"/>
      <x v="503"/>
      <x v="52"/>
      <x v="4"/>
      <x v="476"/>
    </i>
    <i>
      <x v="554"/>
      <x v="7"/>
      <x v="755"/>
      <x v="52"/>
      <x v="4"/>
      <x v="476"/>
    </i>
    <i>
      <x v="602"/>
      <x v="14"/>
      <x v="435"/>
      <x v="52"/>
      <x v="4"/>
      <x v="476"/>
    </i>
    <i>
      <x v="677"/>
      <x v="3"/>
      <x v="237"/>
      <x v="52"/>
      <x v="4"/>
      <x v="476"/>
    </i>
    <i t="grand">
      <x/>
    </i>
  </rowItems>
  <colFields count="1">
    <field x="-2"/>
  </colFields>
  <colItems count="7">
    <i>
      <x/>
    </i>
    <i i="1">
      <x v="1"/>
    </i>
    <i i="2">
      <x v="2"/>
    </i>
    <i i="3">
      <x v="3"/>
    </i>
    <i i="4">
      <x v="4"/>
    </i>
    <i i="5">
      <x v="5"/>
    </i>
    <i i="6">
      <x v="6"/>
    </i>
  </colItems>
  <pageFields count="4">
    <pageField fld="0" item="3" hier="-1"/>
    <pageField fld="1" hier="-1"/>
    <pageField fld="3"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00000000-0007-0000-93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9"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h="1" x="0"/>
        <item h="1" x="5"/>
        <item h="1" x="2"/>
        <item h="1" x="3"/>
        <item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3">
    <i>
      <x v="225"/>
      <x v="1"/>
      <x v="673"/>
      <x v="52"/>
      <x/>
      <x v="405"/>
    </i>
    <i>
      <x v="632"/>
      <x v="15"/>
      <x v="593"/>
      <x v="52"/>
      <x/>
      <x v="382"/>
    </i>
    <i t="grand">
      <x/>
    </i>
  </rowItems>
  <colFields count="1">
    <field x="-2"/>
  </colFields>
  <colItems count="7">
    <i>
      <x/>
    </i>
    <i i="1">
      <x v="1"/>
    </i>
    <i i="2">
      <x v="2"/>
    </i>
    <i i="3">
      <x v="3"/>
    </i>
    <i i="4">
      <x v="4"/>
    </i>
    <i i="5">
      <x v="5"/>
    </i>
    <i i="6">
      <x v="6"/>
    </i>
  </colItems>
  <pageFields count="4">
    <pageField fld="0" item="3" hier="-1"/>
    <pageField fld="1" hier="-1"/>
    <pageField fld="3"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00000000-0007-0000-9500-000000000000}" name="PivotTable2" cacheId="51" applyNumberFormats="0" applyBorderFormats="0" applyFontFormats="0" applyPatternFormats="0" applyAlignmentFormats="0" applyWidthHeightFormats="1" dataCaption="Values" grandTotalCaption="Total" missingCaption="0" updatedVersion="6" minRefreshableVersion="3" useAutoFormatting="1" itemPrintTitles="1" createdVersion="4" indent="0" compact="0" compactData="0" multipleFieldFilters="0">
  <location ref="A6:M29" firstHeaderRow="0" firstDataRow="1" firstDataCol="6" rowPageCount="4" colPageCount="1"/>
  <pivotFields count="134">
    <pivotField axis="axisPage" compact="0" outline="0" showAll="0" defaultSubtotal="0">
      <items count="4">
        <item sd="0" x="0"/>
        <item sd="0" x="3"/>
        <item x="2"/>
        <item x="1"/>
      </items>
    </pivotField>
    <pivotField axis="axisPage" compact="0" outline="0" multipleItemSelectionAllowed="1" showAll="0" defaultSubtotal="0">
      <items count="6">
        <item h="1" x="4"/>
        <item x="0"/>
        <item x="5"/>
        <item x="2"/>
        <item x="3"/>
        <item h="1" x="1"/>
      </items>
    </pivotField>
    <pivotField axis="axisRow" compact="0" outline="0" showAll="0" defaultSubtotal="0">
      <items count="6">
        <item x="1"/>
        <item x="3"/>
        <item x="0"/>
        <item x="5"/>
        <item x="4"/>
        <item x="2"/>
      </items>
    </pivotField>
    <pivotField axis="axisPage" compact="0" outline="0" showAll="0" defaultSubtotal="0">
      <items count="3">
        <item x="2"/>
        <item x="0"/>
        <item x="1"/>
      </items>
    </pivotField>
    <pivotField compact="0" outline="0" showAll="0" defaultSubtotal="0"/>
    <pivotField axis="axisRow" compact="0" outline="0" showAll="0" defaultSubtotal="0">
      <items count="754">
        <item x="528"/>
        <item x="34"/>
        <item x="698"/>
        <item x="373"/>
        <item x="613"/>
        <item x="264"/>
        <item x="374"/>
        <item x="360"/>
        <item x="155"/>
        <item x="652"/>
        <item x="621"/>
        <item x="230"/>
        <item x="336"/>
        <item x="595"/>
        <item x="744"/>
        <item x="538"/>
        <item x="638"/>
        <item x="206"/>
        <item x="684"/>
        <item x="719"/>
        <item x="255"/>
        <item x="67"/>
        <item x="20"/>
        <item x="143"/>
        <item x="315"/>
        <item x="359"/>
        <item x="362"/>
        <item x="683"/>
        <item x="722"/>
        <item x="452"/>
        <item x="232"/>
        <item x="694"/>
        <item x="10"/>
        <item x="71"/>
        <item x="665"/>
        <item x="717"/>
        <item x="553"/>
        <item x="634"/>
        <item x="547"/>
        <item x="317"/>
        <item x="677"/>
        <item x="720"/>
        <item x="112"/>
        <item x="550"/>
        <item x="136"/>
        <item x="563"/>
        <item x="648"/>
        <item x="286"/>
        <item x="344"/>
        <item x="291"/>
        <item x="692"/>
        <item x="358"/>
        <item x="724"/>
        <item x="87"/>
        <item x="398"/>
        <item x="326"/>
        <item x="403"/>
        <item x="213"/>
        <item x="325"/>
        <item x="339"/>
        <item x="495"/>
        <item x="561"/>
        <item x="218"/>
        <item x="297"/>
        <item x="433"/>
        <item x="674"/>
        <item x="343"/>
        <item x="661"/>
        <item x="702"/>
        <item x="680"/>
        <item x="639"/>
        <item x="142"/>
        <item x="150"/>
        <item x="298"/>
        <item x="408"/>
        <item x="620"/>
        <item x="469"/>
        <item x="124"/>
        <item x="554"/>
        <item x="523"/>
        <item x="363"/>
        <item x="624"/>
        <item x="29"/>
        <item x="666"/>
        <item x="251"/>
        <item x="399"/>
        <item x="51"/>
        <item x="687"/>
        <item x="442"/>
        <item x="78"/>
        <item x="345"/>
        <item x="59"/>
        <item x="186"/>
        <item x="651"/>
        <item x="627"/>
        <item x="310"/>
        <item x="46"/>
        <item x="134"/>
        <item x="63"/>
        <item x="204"/>
        <item x="409"/>
        <item x="502"/>
        <item x="588"/>
        <item x="551"/>
        <item x="670"/>
        <item x="515"/>
        <item x="254"/>
        <item x="248"/>
        <item x="95"/>
        <item x="290"/>
        <item x="382"/>
        <item x="236"/>
        <item x="537"/>
        <item x="590"/>
        <item x="401"/>
        <item x="379"/>
        <item x="300"/>
        <item x="476"/>
        <item x="381"/>
        <item x="55"/>
        <item x="50"/>
        <item x="94"/>
        <item x="270"/>
        <item x="285"/>
        <item x="221"/>
        <item x="396"/>
        <item x="617"/>
        <item x="733"/>
        <item x="686"/>
        <item x="388"/>
        <item x="669"/>
        <item x="309"/>
        <item x="511"/>
        <item x="430"/>
        <item x="99"/>
        <item x="679"/>
        <item x="514"/>
        <item x="288"/>
        <item x="457"/>
        <item x="159"/>
        <item x="90"/>
        <item x="294"/>
        <item x="564"/>
        <item x="458"/>
        <item x="229"/>
        <item x="747"/>
        <item x="471"/>
        <item x="635"/>
        <item x="261"/>
        <item x="460"/>
        <item x="207"/>
        <item x="30"/>
        <item x="688"/>
        <item x="529"/>
        <item x="718"/>
        <item x="468"/>
        <item x="279"/>
        <item x="499"/>
        <item x="278"/>
        <item x="366"/>
        <item x="127"/>
        <item x="552"/>
        <item x="749"/>
        <item x="567"/>
        <item x="156"/>
        <item x="353"/>
        <item x="211"/>
        <item x="267"/>
        <item x="671"/>
        <item x="414"/>
        <item x="40"/>
        <item x="222"/>
        <item x="43"/>
        <item x="245"/>
        <item x="488"/>
        <item x="9"/>
        <item x="435"/>
        <item x="386"/>
        <item x="18"/>
        <item x="122"/>
        <item x="148"/>
        <item x="340"/>
        <item x="543"/>
        <item x="202"/>
        <item x="25"/>
        <item x="703"/>
        <item x="751"/>
        <item x="516"/>
        <item x="347"/>
        <item x="487"/>
        <item x="678"/>
        <item x="576"/>
        <item x="451"/>
        <item x="276"/>
        <item x="296"/>
        <item x="314"/>
        <item x="395"/>
        <item x="521"/>
        <item x="246"/>
        <item x="370"/>
        <item x="575"/>
        <item x="183"/>
        <item x="35"/>
        <item x="208"/>
        <item x="85"/>
        <item x="592"/>
        <item x="713"/>
        <item x="565"/>
        <item x="76"/>
        <item x="738"/>
        <item x="389"/>
        <item x="271"/>
        <item x="611"/>
        <item x="384"/>
        <item x="65"/>
        <item x="695"/>
        <item x="541"/>
        <item x="616"/>
        <item x="406"/>
        <item x="96"/>
        <item x="129"/>
        <item x="329"/>
        <item x="130"/>
        <item x="505"/>
        <item x="175"/>
        <item x="252"/>
        <item x="284"/>
        <item x="746"/>
        <item x="383"/>
        <item x="500"/>
        <item x="330"/>
        <item x="188"/>
        <item x="456"/>
        <item x="473"/>
        <item x="272"/>
        <item x="649"/>
        <item x="672"/>
        <item x="527"/>
        <item x="32"/>
        <item x="8"/>
        <item x="655"/>
        <item x="707"/>
        <item x="748"/>
        <item x="135"/>
        <item x="539"/>
        <item x="497"/>
        <item x="419"/>
        <item x="118"/>
        <item x="659"/>
        <item x="560"/>
        <item x="115"/>
        <item x="37"/>
        <item x="61"/>
        <item x="739"/>
        <item x="520"/>
        <item x="426"/>
        <item x="308"/>
        <item x="258"/>
        <item x="177"/>
        <item x="378"/>
        <item x="482"/>
        <item x="277"/>
        <item x="429"/>
        <item x="413"/>
        <item x="618"/>
        <item x="574"/>
        <item x="31"/>
        <item x="436"/>
        <item x="19"/>
        <item x="144"/>
        <item x="260"/>
        <item x="545"/>
        <item x="570"/>
        <item x="501"/>
        <item x="306"/>
        <item x="182"/>
        <item x="491"/>
        <item x="203"/>
        <item x="423"/>
        <item x="602"/>
        <item x="546"/>
        <item x="24"/>
        <item x="349"/>
        <item x="149"/>
        <item x="138"/>
        <item x="573"/>
        <item x="74"/>
        <item x="466"/>
        <item x="580"/>
        <item x="233"/>
        <item x="425"/>
        <item x="625"/>
        <item x="462"/>
        <item x="215"/>
        <item x="33"/>
        <item x="578"/>
        <item x="147"/>
        <item x="335"/>
        <item x="361"/>
        <item x="164"/>
        <item x="646"/>
        <item x="247"/>
        <item x="281"/>
        <item x="472"/>
        <item x="289"/>
        <item x="732"/>
        <item x="507"/>
        <item x="424"/>
        <item x="227"/>
        <item x="411"/>
        <item x="41"/>
        <item x="701"/>
        <item x="439"/>
        <item x="644"/>
        <item x="710"/>
        <item x="581"/>
        <item x="219"/>
        <item x="404"/>
        <item x="199"/>
        <item x="342"/>
        <item x="593"/>
        <item x="27"/>
        <item x="682"/>
        <item x="62"/>
        <item x="81"/>
        <item x="216"/>
        <item x="56"/>
        <item x="743"/>
        <item x="484"/>
        <item x="685"/>
        <item x="348"/>
        <item x="481"/>
        <item x="448"/>
        <item x="157"/>
        <item x="5"/>
        <item x="319"/>
        <item x="351"/>
        <item x="629"/>
        <item x="548"/>
        <item x="662"/>
        <item x="455"/>
        <item x="189"/>
        <item x="467"/>
        <item x="172"/>
        <item x="106"/>
        <item x="304"/>
        <item x="193"/>
        <item x="742"/>
        <item x="410"/>
        <item x="140"/>
        <item x="645"/>
        <item x="400"/>
        <item x="506"/>
        <item x="470"/>
        <item x="517"/>
        <item x="352"/>
        <item x="82"/>
        <item x="453"/>
        <item x="154"/>
        <item x="57"/>
        <item x="173"/>
        <item x="485"/>
        <item x="475"/>
        <item x="577"/>
        <item x="334"/>
        <item x="394"/>
        <item x="190"/>
        <item x="630"/>
        <item x="66"/>
        <item x="98"/>
        <item x="608"/>
        <item x="139"/>
        <item x="512"/>
        <item x="242"/>
        <item x="338"/>
        <item x="438"/>
        <item x="178"/>
        <item x="305"/>
        <item x="699"/>
        <item x="509"/>
        <item x="72"/>
        <item x="86"/>
        <item x="558"/>
        <item x="474"/>
        <item x="556"/>
        <item x="663"/>
        <item x="461"/>
        <item x="643"/>
        <item x="605"/>
        <item x="53"/>
        <item x="209"/>
        <item x="740"/>
        <item x="693"/>
        <item x="47"/>
        <item x="594"/>
        <item x="28"/>
        <item x="223"/>
        <item x="513"/>
        <item x="367"/>
        <item x="39"/>
        <item x="162"/>
        <item x="257"/>
        <item x="390"/>
        <item x="102"/>
        <item x="609"/>
        <item x="752"/>
        <item x="42"/>
        <item x="459"/>
        <item x="168"/>
        <item x="721"/>
        <item x="589"/>
        <item x="673"/>
        <item x="626"/>
        <item x="676"/>
        <item x="612"/>
        <item x="709"/>
        <item x="316"/>
        <item x="540"/>
        <item x="114"/>
        <item x="163"/>
        <item x="368"/>
        <item x="22"/>
        <item x="13"/>
        <item x="333"/>
        <item x="180"/>
        <item x="268"/>
        <item x="716"/>
        <item x="421"/>
        <item x="195"/>
        <item x="234"/>
        <item x="518"/>
        <item x="402"/>
        <item x="318"/>
        <item x="656"/>
        <item x="735"/>
        <item x="371"/>
        <item x="23"/>
        <item x="660"/>
        <item x="422"/>
        <item x="321"/>
        <item x="307"/>
        <item x="731"/>
        <item x="312"/>
        <item x="331"/>
        <item x="444"/>
        <item x="197"/>
        <item x="323"/>
        <item x="60"/>
        <item x="158"/>
        <item x="7"/>
        <item x="241"/>
        <item x="198"/>
        <item x="299"/>
        <item x="1"/>
        <item x="128"/>
        <item x="690"/>
        <item x="483"/>
        <item x="376"/>
        <item x="141"/>
        <item x="14"/>
        <item x="504"/>
        <item x="89"/>
        <item x="224"/>
        <item x="49"/>
        <item x="636"/>
        <item x="614"/>
        <item x="153"/>
        <item x="100"/>
        <item x="200"/>
        <item x="201"/>
        <item x="454"/>
        <item x="557"/>
        <item x="181"/>
        <item x="591"/>
        <item x="450"/>
        <item x="415"/>
        <item x="253"/>
        <item x="256"/>
        <item x="587"/>
        <item x="113"/>
        <item x="385"/>
        <item x="586"/>
        <item x="705"/>
        <item x="119"/>
        <item x="120"/>
        <item x="526"/>
        <item x="109"/>
        <item x="737"/>
        <item x="542"/>
        <item x="697"/>
        <item x="428"/>
        <item x="6"/>
        <item x="741"/>
        <item x="151"/>
        <item x="126"/>
        <item x="734"/>
        <item x="555"/>
        <item x="647"/>
        <item x="116"/>
        <item x="619"/>
        <item x="280"/>
        <item x="691"/>
        <item x="657"/>
        <item x="372"/>
        <item x="70"/>
        <item x="714"/>
        <item x="393"/>
        <item x="480"/>
        <item x="596"/>
        <item x="478"/>
        <item x="633"/>
        <item x="479"/>
        <item x="582"/>
        <item x="536"/>
        <item x="477"/>
        <item x="519"/>
        <item x="387"/>
        <item x="601"/>
        <item x="745"/>
        <item x="566"/>
        <item x="324"/>
        <item x="194"/>
        <item x="171"/>
        <item x="170"/>
        <item x="365"/>
        <item x="174"/>
        <item x="355"/>
        <item x="231"/>
        <item x="689"/>
        <item x="598"/>
        <item x="449"/>
        <item x="244"/>
        <item x="54"/>
        <item x="44"/>
        <item x="92"/>
        <item x="437"/>
        <item x="432"/>
        <item x="441"/>
        <item x="313"/>
        <item x="412"/>
        <item x="637"/>
        <item x="311"/>
        <item x="350"/>
        <item x="486"/>
        <item x="3"/>
        <item x="93"/>
        <item x="440"/>
        <item x="604"/>
        <item x="392"/>
        <item x="104"/>
        <item x="445"/>
        <item x="736"/>
        <item x="750"/>
        <item x="464"/>
        <item x="706"/>
        <item x="320"/>
        <item x="210"/>
        <item x="583"/>
        <item x="492"/>
        <item x="75"/>
        <item x="21"/>
        <item x="97"/>
        <item x="493"/>
        <item x="185"/>
        <item x="615"/>
        <item x="405"/>
        <item x="84"/>
        <item x="664"/>
        <item x="220"/>
        <item x="176"/>
        <item x="490"/>
        <item x="364"/>
        <item x="322"/>
        <item x="295"/>
        <item x="17"/>
        <item x="607"/>
        <item x="380"/>
        <item x="287"/>
        <item x="217"/>
        <item x="125"/>
        <item x="146"/>
        <item x="0"/>
        <item x="239"/>
        <item x="640"/>
        <item x="79"/>
        <item x="117"/>
        <item x="250"/>
        <item x="165"/>
        <item x="26"/>
        <item x="91"/>
        <item x="346"/>
        <item x="161"/>
        <item x="11"/>
        <item x="214"/>
        <item x="496"/>
        <item x="69"/>
        <item x="559"/>
        <item x="64"/>
        <item x="80"/>
        <item x="121"/>
        <item x="585"/>
        <item x="212"/>
        <item x="597"/>
        <item x="169"/>
        <item x="463"/>
        <item x="328"/>
        <item x="107"/>
        <item x="427"/>
        <item x="600"/>
        <item x="446"/>
        <item x="36"/>
        <item x="708"/>
        <item x="137"/>
        <item x="465"/>
        <item x="658"/>
        <item x="83"/>
        <item x="302"/>
        <item x="544"/>
        <item x="675"/>
        <item x="167"/>
        <item x="4"/>
        <item x="711"/>
        <item x="88"/>
        <item x="262"/>
        <item x="293"/>
        <item x="498"/>
        <item x="38"/>
        <item x="525"/>
        <item x="391"/>
        <item x="354"/>
        <item x="269"/>
        <item x="263"/>
        <item x="641"/>
        <item x="12"/>
        <item x="131"/>
        <item x="133"/>
        <item x="196"/>
        <item x="292"/>
        <item x="622"/>
        <item x="15"/>
        <item x="489"/>
        <item x="603"/>
        <item x="77"/>
        <item x="187"/>
        <item x="704"/>
        <item x="265"/>
        <item x="562"/>
        <item x="105"/>
        <item x="110"/>
        <item x="249"/>
        <item x="123"/>
        <item x="275"/>
        <item x="599"/>
        <item x="108"/>
        <item x="700"/>
        <item x="73"/>
        <item x="397"/>
        <item x="238"/>
        <item x="225"/>
        <item x="192"/>
        <item x="571"/>
        <item x="715"/>
        <item x="569"/>
        <item x="532"/>
        <item x="533"/>
        <item x="534"/>
        <item x="535"/>
        <item x="584"/>
        <item x="301"/>
        <item x="572"/>
        <item x="226"/>
        <item x="712"/>
        <item x="443"/>
        <item x="283"/>
        <item x="266"/>
        <item x="101"/>
        <item x="327"/>
        <item x="243"/>
        <item x="273"/>
        <item x="610"/>
        <item x="650"/>
        <item x="184"/>
        <item x="228"/>
        <item x="431"/>
        <item x="723"/>
        <item x="235"/>
        <item x="160"/>
        <item x="103"/>
        <item x="303"/>
        <item x="369"/>
        <item x="282"/>
        <item x="16"/>
        <item x="2"/>
        <item x="668"/>
        <item x="654"/>
        <item x="653"/>
        <item x="48"/>
        <item x="510"/>
        <item x="729"/>
        <item x="240"/>
        <item x="524"/>
        <item x="728"/>
        <item x="416"/>
        <item x="727"/>
        <item x="341"/>
        <item x="726"/>
        <item x="332"/>
        <item x="205"/>
        <item x="274"/>
        <item x="259"/>
        <item x="420"/>
        <item x="447"/>
        <item x="606"/>
        <item x="725"/>
        <item x="531"/>
        <item x="631"/>
        <item x="568"/>
        <item x="191"/>
        <item x="522"/>
        <item x="503"/>
        <item x="237"/>
        <item x="508"/>
        <item x="667"/>
        <item x="730"/>
        <item x="152"/>
        <item x="356"/>
        <item x="681"/>
        <item x="417"/>
        <item x="166"/>
        <item x="549"/>
        <item x="418"/>
        <item x="407"/>
        <item x="434"/>
        <item x="357"/>
        <item x="628"/>
        <item x="696"/>
        <item x="623"/>
        <item x="530"/>
        <item x="375"/>
        <item x="337"/>
        <item x="377"/>
        <item x="579"/>
        <item x="494"/>
        <item x="68"/>
        <item x="52"/>
        <item x="111"/>
        <item x="45"/>
        <item x="58"/>
        <item x="132"/>
        <item x="642"/>
        <item x="632"/>
        <item x="145"/>
        <item x="179"/>
        <item h="1" x="753"/>
      </items>
    </pivotField>
    <pivotField axis="axisRow" compact="0" outline="0" showAll="0" defaultSubtotal="0">
      <items count="21">
        <item x="11"/>
        <item x="17"/>
        <item x="13"/>
        <item x="10"/>
        <item x="5"/>
        <item x="15"/>
        <item x="16"/>
        <item x="9"/>
        <item x="2"/>
        <item x="3"/>
        <item x="8"/>
        <item x="1"/>
        <item x="6"/>
        <item x="12"/>
        <item x="4"/>
        <item x="7"/>
        <item x="14"/>
        <item x="18"/>
        <item x="0"/>
        <item x="19"/>
        <item x="2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833">
        <item x="107"/>
        <item x="224"/>
        <item x="19"/>
        <item x="120"/>
        <item x="265"/>
        <item x="202"/>
        <item x="121"/>
        <item x="6"/>
        <item x="178"/>
        <item x="199"/>
        <item x="8"/>
        <item x="301"/>
        <item x="27"/>
        <item x="126"/>
        <item x="195"/>
        <item x="337"/>
        <item x="348"/>
        <item x="158"/>
        <item x="345"/>
        <item x="344"/>
        <item x="341"/>
        <item x="346"/>
        <item x="351"/>
        <item x="340"/>
        <item x="32"/>
        <item x="312"/>
        <item x="66"/>
        <item x="296"/>
        <item x="350"/>
        <item x="360"/>
        <item x="264"/>
        <item x="364"/>
        <item x="370"/>
        <item x="383"/>
        <item x="369"/>
        <item x="252"/>
        <item x="5"/>
        <item x="376"/>
        <item x="379"/>
        <item x="382"/>
        <item x="325"/>
        <item x="75"/>
        <item x="371"/>
        <item x="294"/>
        <item x="193"/>
        <item x="391"/>
        <item x="388"/>
        <item x="138"/>
        <item x="28"/>
        <item x="286"/>
        <item x="35"/>
        <item x="257"/>
        <item x="384"/>
        <item x="86"/>
        <item x="97"/>
        <item x="422"/>
        <item x="385"/>
        <item x="146"/>
        <item x="392"/>
        <item x="56"/>
        <item x="389"/>
        <item x="349"/>
        <item x="297"/>
        <item x="182"/>
        <item x="114"/>
        <item x="144"/>
        <item x="213"/>
        <item x="254"/>
        <item x="309"/>
        <item x="219"/>
        <item x="403"/>
        <item x="407"/>
        <item x="399"/>
        <item x="109"/>
        <item x="356"/>
        <item x="423"/>
        <item x="42"/>
        <item x="304"/>
        <item x="406"/>
        <item x="98"/>
        <item x="177"/>
        <item x="409"/>
        <item x="424"/>
        <item x="394"/>
        <item x="284"/>
        <item x="49"/>
        <item x="417"/>
        <item x="270"/>
        <item x="412"/>
        <item x="411"/>
        <item x="162"/>
        <item x="397"/>
        <item x="413"/>
        <item x="415"/>
        <item x="256"/>
        <item x="420"/>
        <item x="390"/>
        <item x="426"/>
        <item x="421"/>
        <item x="159"/>
        <item x="51"/>
        <item x="427"/>
        <item x="100"/>
        <item x="416"/>
        <item x="650"/>
        <item x="435"/>
        <item x="11"/>
        <item x="429"/>
        <item x="176"/>
        <item x="396"/>
        <item x="440"/>
        <item x="281"/>
        <item x="410"/>
        <item x="444"/>
        <item x="438"/>
        <item x="441"/>
        <item x="302"/>
        <item x="651"/>
        <item x="445"/>
        <item x="190"/>
        <item x="443"/>
        <item x="372"/>
        <item x="448"/>
        <item x="251"/>
        <item x="450"/>
        <item x="454"/>
        <item x="186"/>
        <item x="242"/>
        <item x="453"/>
        <item x="206"/>
        <item x="461"/>
        <item x="208"/>
        <item x="57"/>
        <item x="471"/>
        <item x="456"/>
        <item x="446"/>
        <item x="13"/>
        <item x="401"/>
        <item x="326"/>
        <item x="457"/>
        <item x="135"/>
        <item x="33"/>
        <item x="347"/>
        <item x="458"/>
        <item x="44"/>
        <item x="462"/>
        <item x="468"/>
        <item x="418"/>
        <item x="268"/>
        <item x="463"/>
        <item x="459"/>
        <item x="465"/>
        <item x="481"/>
        <item x="123"/>
        <item x="469"/>
        <item x="237"/>
        <item x="497"/>
        <item x="17"/>
        <item x="472"/>
        <item x="466"/>
        <item x="104"/>
        <item x="310"/>
        <item x="484"/>
        <item x="474"/>
        <item x="482"/>
        <item x="460"/>
        <item x="282"/>
        <item x="225"/>
        <item x="361"/>
        <item x="487"/>
        <item x="167"/>
        <item x="476"/>
        <item x="485"/>
        <item x="500"/>
        <item x="316"/>
        <item x="355"/>
        <item x="516"/>
        <item x="491"/>
        <item x="492"/>
        <item x="442"/>
        <item x="7"/>
        <item x="477"/>
        <item x="526"/>
        <item x="317"/>
        <item x="490"/>
        <item x="475"/>
        <item x="452"/>
        <item x="47"/>
        <item x="287"/>
        <item x="434"/>
        <item x="183"/>
        <item x="511"/>
        <item x="502"/>
        <item x="69"/>
        <item x="509"/>
        <item x="330"/>
        <item x="136"/>
        <item x="402"/>
        <item x="169"/>
        <item x="503"/>
        <item x="343"/>
        <item x="501"/>
        <item x="414"/>
        <item x="14"/>
        <item x="507"/>
        <item x="244"/>
        <item x="261"/>
        <item x="455"/>
        <item x="367"/>
        <item x="143"/>
        <item x="532"/>
        <item x="510"/>
        <item x="168"/>
        <item x="504"/>
        <item x="517"/>
        <item x="493"/>
        <item x="508"/>
        <item x="288"/>
        <item x="289"/>
        <item x="231"/>
        <item x="436"/>
        <item x="515"/>
        <item x="154"/>
        <item x="115"/>
        <item x="512"/>
        <item x="29"/>
        <item x="513"/>
        <item x="488"/>
        <item x="83"/>
        <item x="300"/>
        <item x="529"/>
        <item x="101"/>
        <item x="275"/>
        <item x="184"/>
        <item x="535"/>
        <item x="540"/>
        <item x="536"/>
        <item x="278"/>
        <item x="40"/>
        <item x="386"/>
        <item x="552"/>
        <item x="209"/>
        <item x="541"/>
        <item x="498"/>
        <item x="523"/>
        <item x="217"/>
        <item x="521"/>
        <item x="520"/>
        <item x="537"/>
        <item x="524"/>
        <item x="527"/>
        <item x="191"/>
        <item x="439"/>
        <item x="0"/>
        <item x="522"/>
        <item x="479"/>
        <item x="538"/>
        <item x="130"/>
        <item x="362"/>
        <item x="528"/>
        <item x="250"/>
        <item x="486"/>
        <item x="530"/>
        <item x="539"/>
        <item x="569"/>
        <item x="311"/>
        <item x="271"/>
        <item x="542"/>
        <item x="543"/>
        <item x="544"/>
        <item x="260"/>
        <item x="210"/>
        <item x="218"/>
        <item x="548"/>
        <item x="255"/>
        <item x="307"/>
        <item x="545"/>
        <item x="352"/>
        <item x="152"/>
        <item x="647"/>
        <item x="110"/>
        <item x="473"/>
        <item x="519"/>
        <item x="116"/>
        <item x="616"/>
        <item x="194"/>
        <item x="499"/>
        <item x="464"/>
        <item x="404"/>
        <item x="578"/>
        <item x="408"/>
        <item x="187"/>
        <item x="70"/>
        <item x="565"/>
        <item x="567"/>
        <item x="494"/>
        <item x="649"/>
        <item x="366"/>
        <item x="478"/>
        <item x="572"/>
        <item x="467"/>
        <item x="560"/>
        <item x="74"/>
        <item x="628"/>
        <item x="575"/>
        <item x="332"/>
        <item x="470"/>
        <item x="648"/>
        <item x="359"/>
        <item x="279"/>
        <item x="668"/>
        <item x="431"/>
        <item x="559"/>
        <item x="377"/>
        <item x="215"/>
        <item x="433"/>
        <item x="669"/>
        <item x="91"/>
        <item x="228"/>
        <item x="313"/>
        <item x="285"/>
        <item x="495"/>
        <item x="405"/>
        <item x="226"/>
        <item x="335"/>
        <item x="561"/>
        <item x="562"/>
        <item x="283"/>
        <item x="570"/>
        <item x="643"/>
        <item x="645"/>
        <item x="222"/>
        <item x="568"/>
        <item x="173"/>
        <item x="573"/>
        <item x="574"/>
        <item x="319"/>
        <item x="604"/>
        <item x="238"/>
        <item x="449"/>
        <item x="644"/>
        <item x="248"/>
        <item x="437"/>
        <item x="212"/>
        <item x="580"/>
        <item x="587"/>
        <item x="579"/>
        <item x="142"/>
        <item x="556"/>
        <item x="576"/>
        <item x="674"/>
        <item x="675"/>
        <item x="667"/>
        <item x="170"/>
        <item x="314"/>
        <item x="387"/>
        <item x="670"/>
        <item x="671"/>
        <item x="430"/>
        <item x="676"/>
        <item x="18"/>
        <item x="249"/>
        <item x="137"/>
        <item x="147"/>
        <item x="93"/>
        <item x="584"/>
        <item x="591"/>
        <item x="128"/>
        <item x="432"/>
        <item x="221"/>
        <item x="45"/>
        <item x="677"/>
        <item x="235"/>
        <item x="227"/>
        <item x="505"/>
        <item x="585"/>
        <item x="672"/>
        <item x="315"/>
        <item x="48"/>
        <item x="373"/>
        <item x="3"/>
        <item x="375"/>
        <item x="588"/>
        <item x="419"/>
        <item x="15"/>
        <item x="234"/>
        <item x="596"/>
        <item x="163"/>
        <item x="590"/>
        <item x="365"/>
        <item x="149"/>
        <item x="318"/>
        <item x="603"/>
        <item x="555"/>
        <item x="269"/>
        <item x="112"/>
        <item x="652"/>
        <item x="240"/>
        <item x="595"/>
        <item x="229"/>
        <item x="582"/>
        <item x="94"/>
        <item x="336"/>
        <item x="606"/>
        <item x="558"/>
        <item x="602"/>
        <item x="563"/>
        <item x="324"/>
        <item x="607"/>
        <item x="105"/>
        <item x="133"/>
        <item x="609"/>
        <item x="557"/>
        <item x="139"/>
        <item x="117"/>
        <item x="95"/>
        <item x="533"/>
        <item x="664"/>
        <item x="598"/>
        <item x="599"/>
        <item x="600"/>
        <item x="601"/>
        <item x="38"/>
        <item x="608"/>
        <item x="550"/>
        <item x="553"/>
        <item x="272"/>
        <item x="586"/>
        <item x="425"/>
        <item x="665"/>
        <item x="653"/>
        <item x="88"/>
        <item x="322"/>
        <item x="306"/>
        <item x="174"/>
        <item x="666"/>
        <item x="673"/>
        <item x="333"/>
        <item x="654"/>
        <item x="655"/>
        <item x="84"/>
        <item x="331"/>
        <item x="618"/>
        <item x="619"/>
        <item x="636"/>
        <item x="637"/>
        <item x="638"/>
        <item x="663"/>
        <item x="196"/>
        <item x="72"/>
        <item x="506"/>
        <item x="656"/>
        <item x="21"/>
        <item x="204"/>
        <item x="273"/>
        <item x="263"/>
        <item x="145"/>
        <item x="617"/>
        <item x="25"/>
        <item x="642"/>
        <item x="188"/>
        <item x="245"/>
        <item x="451"/>
        <item x="605"/>
        <item x="189"/>
        <item x="232"/>
        <item x="678"/>
        <item x="634"/>
        <item x="592"/>
        <item x="20"/>
        <item x="612"/>
        <item x="681"/>
        <item x="613"/>
        <item x="639"/>
        <item x="641"/>
        <item x="621"/>
        <item x="62"/>
        <item x="632"/>
        <item x="290"/>
        <item x="354"/>
        <item x="277"/>
        <item x="61"/>
        <item x="622"/>
        <item x="9"/>
        <item x="395"/>
        <item x="623"/>
        <item x="80"/>
        <item x="831"/>
        <item x="615"/>
        <item x="339"/>
        <item x="624"/>
        <item x="258"/>
        <item x="625"/>
        <item x="99"/>
        <item x="633"/>
        <item x="686"/>
        <item x="630"/>
        <item x="610"/>
        <item x="46"/>
        <item x="185"/>
        <item x="127"/>
        <item x="357"/>
        <item x="694"/>
        <item x="200"/>
        <item x="693"/>
        <item x="525"/>
        <item x="489"/>
        <item x="378"/>
        <item x="239"/>
        <item x="680"/>
        <item x="4"/>
        <item x="662"/>
        <item x="246"/>
        <item x="236"/>
        <item x="111"/>
        <item x="571"/>
        <item x="687"/>
        <item x="661"/>
        <item x="684"/>
        <item x="496"/>
        <item x="276"/>
        <item x="635"/>
        <item x="171"/>
        <item x="549"/>
        <item x="447"/>
        <item x="103"/>
        <item x="659"/>
        <item x="614"/>
        <item x="96"/>
        <item x="683"/>
        <item x="106"/>
        <item x="696"/>
        <item x="198"/>
        <item x="690"/>
        <item x="691"/>
        <item x="679"/>
        <item x="89"/>
        <item x="682"/>
        <item x="688"/>
        <item x="233"/>
        <item x="24"/>
        <item x="165"/>
        <item x="334"/>
        <item x="589"/>
        <item x="291"/>
        <item x="657"/>
        <item x="64"/>
        <item x="707"/>
        <item x="697"/>
        <item x="698"/>
        <item x="611"/>
        <item x="531"/>
        <item x="329"/>
        <item x="363"/>
        <item x="79"/>
        <item x="243"/>
        <item x="703"/>
        <item x="719"/>
        <item x="22"/>
        <item x="546"/>
        <item x="118"/>
        <item x="566"/>
        <item x="823"/>
        <item x="708"/>
        <item x="266"/>
        <item x="581"/>
        <item x="73"/>
        <item x="685"/>
        <item x="705"/>
        <item x="274"/>
        <item x="90"/>
        <item x="704"/>
        <item x="16"/>
        <item x="710"/>
        <item x="583"/>
        <item x="822"/>
        <item x="709"/>
        <item x="626"/>
        <item x="594"/>
        <item x="701"/>
        <item x="368"/>
        <item x="717"/>
        <item x="712"/>
        <item x="629"/>
        <item x="323"/>
        <item x="374"/>
        <item x="713"/>
        <item x="620"/>
        <item x="631"/>
        <item x="205"/>
        <item x="695"/>
        <item x="131"/>
        <item x="12"/>
        <item x="718"/>
        <item x="483"/>
        <item x="85"/>
        <item x="81"/>
        <item x="77"/>
        <item x="640"/>
        <item x="724"/>
        <item x="164"/>
        <item x="179"/>
        <item x="172"/>
        <item x="738"/>
        <item x="180"/>
        <item x="37"/>
        <item x="725"/>
        <item x="298"/>
        <item x="380"/>
        <item x="722"/>
        <item x="726"/>
        <item x="393"/>
        <item x="720"/>
        <item x="43"/>
        <item x="593"/>
        <item x="358"/>
        <item x="428"/>
        <item x="119"/>
        <item x="10"/>
        <item x="175"/>
        <item x="689"/>
        <item x="223"/>
        <item x="156"/>
        <item x="702"/>
        <item x="160"/>
        <item x="740"/>
        <item x="132"/>
        <item x="729"/>
        <item x="211"/>
        <item x="39"/>
        <item x="214"/>
        <item x="627"/>
        <item x="699"/>
        <item x="400"/>
        <item x="732"/>
        <item x="658"/>
        <item x="30"/>
        <item x="731"/>
        <item x="92"/>
        <item x="741"/>
        <item x="207"/>
        <item x="153"/>
        <item x="201"/>
        <item x="752"/>
        <item x="267"/>
        <item x="733"/>
        <item x="735"/>
        <item x="342"/>
        <item x="734"/>
        <item x="398"/>
        <item x="241"/>
        <item x="161"/>
        <item x="736"/>
        <item x="151"/>
        <item x="737"/>
        <item x="247"/>
        <item x="547"/>
        <item x="715"/>
        <item x="744"/>
        <item x="67"/>
        <item x="2"/>
        <item x="700"/>
        <item x="748"/>
        <item x="31"/>
        <item x="743"/>
        <item x="68"/>
        <item x="53"/>
        <item x="166"/>
        <item x="141"/>
        <item x="52"/>
        <item x="745"/>
        <item x="764"/>
        <item x="750"/>
        <item x="295"/>
        <item x="551"/>
        <item x="711"/>
        <item x="747"/>
        <item x="230"/>
        <item x="749"/>
        <item x="646"/>
        <item x="87"/>
        <item x="305"/>
        <item x="327"/>
        <item x="746"/>
        <item x="150"/>
        <item x="34"/>
        <item x="727"/>
        <item x="716"/>
        <item x="756"/>
        <item x="76"/>
        <item x="353"/>
        <item x="751"/>
        <item x="58"/>
        <item x="55"/>
        <item x="514"/>
        <item x="59"/>
        <item x="776"/>
        <item x="753"/>
        <item x="742"/>
        <item x="124"/>
        <item x="757"/>
        <item x="78"/>
        <item x="758"/>
        <item x="148"/>
        <item x="723"/>
        <item x="26"/>
        <item x="328"/>
        <item x="577"/>
        <item x="765"/>
        <item x="762"/>
        <item x="197"/>
        <item x="102"/>
        <item x="216"/>
        <item x="308"/>
        <item x="760"/>
        <item x="759"/>
        <item x="50"/>
        <item x="774"/>
        <item x="220"/>
        <item x="763"/>
        <item x="772"/>
        <item x="781"/>
        <item x="41"/>
        <item x="259"/>
        <item x="706"/>
        <item x="775"/>
        <item x="816"/>
        <item x="54"/>
        <item x="768"/>
        <item x="777"/>
        <item x="480"/>
        <item x="769"/>
        <item x="770"/>
        <item x="773"/>
        <item x="660"/>
        <item x="155"/>
        <item x="771"/>
        <item x="292"/>
        <item x="262"/>
        <item x="779"/>
        <item x="23"/>
        <item x="113"/>
        <item x="564"/>
        <item x="783"/>
        <item x="299"/>
        <item x="203"/>
        <item x="381"/>
        <item x="778"/>
        <item x="71"/>
        <item x="157"/>
        <item x="122"/>
        <item x="782"/>
        <item x="65"/>
        <item x="784"/>
        <item x="789"/>
        <item x="785"/>
        <item x="787"/>
        <item x="761"/>
        <item x="803"/>
        <item x="721"/>
        <item x="181"/>
        <item x="788"/>
        <item x="755"/>
        <item x="786"/>
        <item x="827"/>
        <item x="790"/>
        <item x="518"/>
        <item x="125"/>
        <item x="714"/>
        <item x="767"/>
        <item x="825"/>
        <item x="813"/>
        <item x="799"/>
        <item x="82"/>
        <item x="793"/>
        <item x="791"/>
        <item x="129"/>
        <item x="134"/>
        <item x="338"/>
        <item x="795"/>
        <item x="728"/>
        <item x="792"/>
        <item x="192"/>
        <item x="321"/>
        <item x="796"/>
        <item x="797"/>
        <item x="280"/>
        <item x="798"/>
        <item x="754"/>
        <item x="830"/>
        <item x="730"/>
        <item x="293"/>
        <item x="780"/>
        <item x="800"/>
        <item x="534"/>
        <item x="794"/>
        <item x="60"/>
        <item x="802"/>
        <item x="766"/>
        <item x="810"/>
        <item x="812"/>
        <item x="253"/>
        <item x="1"/>
        <item x="801"/>
        <item x="597"/>
        <item x="804"/>
        <item x="303"/>
        <item x="320"/>
        <item x="805"/>
        <item x="807"/>
        <item x="808"/>
        <item x="809"/>
        <item x="811"/>
        <item x="140"/>
        <item x="554"/>
        <item x="814"/>
        <item x="819"/>
        <item x="692"/>
        <item x="815"/>
        <item x="817"/>
        <item x="36"/>
        <item x="818"/>
        <item x="739"/>
        <item x="828"/>
        <item x="820"/>
        <item x="826"/>
        <item x="821"/>
        <item x="108"/>
        <item x="824"/>
        <item x="806"/>
        <item x="829"/>
        <item x="63"/>
        <item x="832"/>
      </items>
    </pivotField>
    <pivotField compact="0" outline="0" showAll="0" defaultSubtotal="0"/>
    <pivotField compact="0" numFmtId="14" outline="0" showAll="0" defaultSubtotal="0"/>
    <pivotField axis="axisRow" compact="0" outline="0" showAll="0" defaultSubtotal="0">
      <items count="477">
        <item x="93"/>
        <item x="103"/>
        <item x="19"/>
        <item x="166"/>
        <item x="104"/>
        <item x="6"/>
        <item x="213"/>
        <item x="146"/>
        <item x="182"/>
        <item x="8"/>
        <item x="238"/>
        <item x="164"/>
        <item x="27"/>
        <item x="108"/>
        <item x="270"/>
        <item x="133"/>
        <item x="267"/>
        <item x="264"/>
        <item x="246"/>
        <item x="272"/>
        <item x="212"/>
        <item x="58"/>
        <item x="268"/>
        <item x="32"/>
        <item x="279"/>
        <item x="273"/>
        <item x="266"/>
        <item x="284"/>
        <item x="201"/>
        <item x="263"/>
        <item x="161"/>
        <item x="255"/>
        <item x="288"/>
        <item x="117"/>
        <item x="234"/>
        <item x="34"/>
        <item x="67"/>
        <item x="293"/>
        <item x="123"/>
        <item x="285"/>
        <item x="159"/>
        <item x="205"/>
        <item x="51"/>
        <item x="295"/>
        <item x="296"/>
        <item x="235"/>
        <item x="298"/>
        <item x="299"/>
        <item x="84"/>
        <item x="121"/>
        <item x="271"/>
        <item x="178"/>
        <item x="28"/>
        <item x="283"/>
        <item x="303"/>
        <item x="174"/>
        <item x="227"/>
        <item x="202"/>
        <item x="243"/>
        <item x="306"/>
        <item x="75"/>
        <item x="136"/>
        <item x="240"/>
        <item x="308"/>
        <item x="309"/>
        <item x="45"/>
        <item x="313"/>
        <item x="98"/>
        <item x="315"/>
        <item x="85"/>
        <item x="311"/>
        <item x="292"/>
        <item x="297"/>
        <item x="323"/>
        <item x="316"/>
        <item x="325"/>
        <item x="328"/>
        <item x="149"/>
        <item x="312"/>
        <item x="87"/>
        <item x="302"/>
        <item x="319"/>
        <item x="239"/>
        <item x="431"/>
        <item x="301"/>
        <item x="321"/>
        <item x="144"/>
        <item x="432"/>
        <item x="47"/>
        <item x="290"/>
        <item x="233"/>
        <item x="5"/>
        <item x="168"/>
        <item x="336"/>
        <item x="333"/>
        <item x="338"/>
        <item x="200"/>
        <item x="331"/>
        <item x="33"/>
        <item x="11"/>
        <item x="343"/>
        <item x="339"/>
        <item x="340"/>
        <item x="145"/>
        <item x="39"/>
        <item x="94"/>
        <item x="342"/>
        <item x="216"/>
        <item x="52"/>
        <item x="114"/>
        <item x="269"/>
        <item x="105"/>
        <item x="337"/>
        <item x="341"/>
        <item x="183"/>
        <item x="329"/>
        <item x="13"/>
        <item x="224"/>
        <item x="318"/>
        <item x="250"/>
        <item x="351"/>
        <item x="7"/>
        <item x="356"/>
        <item x="256"/>
        <item x="280"/>
        <item x="138"/>
        <item x="153"/>
        <item x="354"/>
        <item x="251"/>
        <item x="359"/>
        <item x="350"/>
        <item x="286"/>
        <item x="349"/>
        <item x="345"/>
        <item x="41"/>
        <item x="348"/>
        <item x="61"/>
        <item x="43"/>
        <item x="150"/>
        <item x="265"/>
        <item x="140"/>
        <item x="347"/>
        <item x="244"/>
        <item x="371"/>
        <item x="276"/>
        <item x="314"/>
        <item x="188"/>
        <item x="169"/>
        <item x="355"/>
        <item x="72"/>
        <item x="367"/>
        <item x="364"/>
        <item x="120"/>
        <item x="369"/>
        <item x="361"/>
        <item x="130"/>
        <item x="17"/>
        <item x="360"/>
        <item x="317"/>
        <item x="151"/>
        <item x="365"/>
        <item x="357"/>
        <item x="115"/>
        <item x="14"/>
        <item x="259"/>
        <item x="294"/>
        <item x="139"/>
        <item x="373"/>
        <item x="335"/>
        <item x="170"/>
        <item x="305"/>
        <item x="99"/>
        <item x="237"/>
        <item x="374"/>
        <item x="88"/>
        <item x="379"/>
        <item x="177"/>
        <item x="353"/>
        <item x="209"/>
        <item x="199"/>
        <item x="281"/>
        <item x="245"/>
        <item x="0"/>
        <item x="366"/>
        <item x="203"/>
        <item x="380"/>
        <item x="376"/>
        <item x="382"/>
        <item x="128"/>
        <item x="430"/>
        <item x="378"/>
        <item x="160"/>
        <item x="110"/>
        <item x="204"/>
        <item x="195"/>
        <item x="157"/>
        <item x="90"/>
        <item x="95"/>
        <item x="387"/>
        <item x="381"/>
        <item x="352"/>
        <item x="171"/>
        <item x="310"/>
        <item x="62"/>
        <item x="370"/>
        <item x="386"/>
        <item x="363"/>
        <item x="344"/>
        <item x="66"/>
        <item x="393"/>
        <item x="383"/>
        <item x="158"/>
        <item x="29"/>
        <item x="223"/>
        <item x="326"/>
        <item x="247"/>
        <item x="330"/>
        <item x="220"/>
        <item x="226"/>
        <item x="225"/>
        <item x="391"/>
        <item x="176"/>
        <item x="428"/>
        <item x="197"/>
        <item x="397"/>
        <item x="396"/>
        <item x="429"/>
        <item x="368"/>
        <item x="362"/>
        <item x="399"/>
        <item x="142"/>
        <item x="119"/>
        <item x="241"/>
        <item x="248"/>
        <item x="124"/>
        <item x="217"/>
        <item x="80"/>
        <item x="184"/>
        <item x="260"/>
        <item x="180"/>
        <item x="42"/>
        <item x="18"/>
        <item x="395"/>
        <item x="44"/>
        <item x="249"/>
        <item x="346"/>
        <item x="274"/>
        <item x="190"/>
        <item x="179"/>
        <item x="208"/>
        <item x="406"/>
        <item x="403"/>
        <item x="261"/>
        <item x="97"/>
        <item x="390"/>
        <item x="79"/>
        <item x="327"/>
        <item x="405"/>
        <item x="189"/>
        <item x="408"/>
        <item x="389"/>
        <item x="307"/>
        <item x="113"/>
        <item x="3"/>
        <item x="154"/>
        <item x="252"/>
        <item x="82"/>
        <item x="411"/>
        <item x="36"/>
        <item x="116"/>
        <item x="100"/>
        <item x="407"/>
        <item x="377"/>
        <item x="81"/>
        <item x="185"/>
        <item x="143"/>
        <item x="192"/>
        <item x="155"/>
        <item x="416"/>
        <item x="394"/>
        <item x="162"/>
        <item x="73"/>
        <item x="173"/>
        <item x="254"/>
        <item x="167"/>
        <item x="253"/>
        <item x="25"/>
        <item x="222"/>
        <item x="21"/>
        <item x="320"/>
        <item x="427"/>
        <item x="410"/>
        <item x="55"/>
        <item x="20"/>
        <item x="398"/>
        <item x="186"/>
        <item x="418"/>
        <item x="91"/>
        <item x="64"/>
        <item x="409"/>
        <item x="262"/>
        <item x="419"/>
        <item x="415"/>
        <item x="420"/>
        <item x="109"/>
        <item x="9"/>
        <item x="206"/>
        <item x="56"/>
        <item x="152"/>
        <item x="334"/>
        <item x="77"/>
        <item x="424"/>
        <item x="358"/>
        <item x="289"/>
        <item x="191"/>
        <item x="96"/>
        <item x="187"/>
        <item x="277"/>
        <item x="414"/>
        <item x="426"/>
        <item x="86"/>
        <item x="413"/>
        <item x="322"/>
        <item x="425"/>
        <item x="438"/>
        <item x="89"/>
        <item x="441"/>
        <item x="137"/>
        <item x="443"/>
        <item x="442"/>
        <item x="231"/>
        <item x="194"/>
        <item x="22"/>
        <item x="219"/>
        <item x="211"/>
        <item x="435"/>
        <item x="156"/>
        <item x="433"/>
        <item x="65"/>
        <item x="440"/>
        <item x="476"/>
        <item x="229"/>
        <item x="230"/>
        <item x="287"/>
        <item x="402"/>
        <item x="101"/>
        <item x="384"/>
        <item x="434"/>
        <item x="70"/>
        <item x="228"/>
        <item x="421"/>
        <item x="437"/>
        <item x="332"/>
        <item x="122"/>
        <item x="221"/>
        <item x="401"/>
        <item x="214"/>
        <item x="475"/>
        <item x="412"/>
        <item x="147"/>
        <item x="78"/>
        <item x="141"/>
        <item x="125"/>
        <item x="111"/>
        <item x="448"/>
        <item x="16"/>
        <item x="300"/>
        <item x="71"/>
        <item x="404"/>
        <item x="236"/>
        <item x="452"/>
        <item x="291"/>
        <item x="375"/>
        <item x="181"/>
        <item x="102"/>
        <item x="131"/>
        <item x="172"/>
        <item x="388"/>
        <item x="423"/>
        <item x="324"/>
        <item x="68"/>
        <item x="422"/>
        <item x="444"/>
        <item x="439"/>
        <item x="40"/>
        <item x="134"/>
        <item x="83"/>
        <item x="454"/>
        <item x="129"/>
        <item x="92"/>
        <item x="218"/>
        <item x="278"/>
        <item x="15"/>
        <item x="215"/>
        <item x="258"/>
        <item x="127"/>
        <item x="37"/>
        <item x="74"/>
        <item x="445"/>
        <item x="417"/>
        <item x="31"/>
        <item x="49"/>
        <item x="48"/>
        <item x="10"/>
        <item x="30"/>
        <item x="193"/>
        <item x="135"/>
        <item x="60"/>
        <item x="385"/>
        <item x="447"/>
        <item x="35"/>
        <item x="196"/>
        <item x="12"/>
        <item x="126"/>
        <item x="76"/>
        <item x="304"/>
        <item x="458"/>
        <item x="24"/>
        <item x="455"/>
        <item x="112"/>
        <item x="436"/>
        <item x="449"/>
        <item x="59"/>
        <item x="456"/>
        <item x="53"/>
        <item x="69"/>
        <item x="118"/>
        <item x="459"/>
        <item x="400"/>
        <item x="198"/>
        <item x="257"/>
        <item x="450"/>
        <item x="242"/>
        <item x="163"/>
        <item x="275"/>
        <item x="460"/>
        <item x="461"/>
        <item x="2"/>
        <item x="451"/>
        <item x="4"/>
        <item x="46"/>
        <item x="26"/>
        <item x="446"/>
        <item x="467"/>
        <item x="466"/>
        <item x="468"/>
        <item x="210"/>
        <item x="457"/>
        <item x="54"/>
        <item x="23"/>
        <item x="282"/>
        <item x="453"/>
        <item x="207"/>
        <item x="132"/>
        <item x="392"/>
        <item x="470"/>
        <item x="57"/>
        <item x="106"/>
        <item x="464"/>
        <item x="462"/>
        <item x="175"/>
        <item x="472"/>
        <item x="165"/>
        <item x="469"/>
        <item x="465"/>
        <item x="148"/>
        <item x="38"/>
        <item x="473"/>
        <item x="471"/>
        <item x="232"/>
        <item x="372"/>
        <item x="474"/>
        <item x="107"/>
        <item x="63"/>
        <item x="50"/>
        <item x="463"/>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31"/>
        <item x="32"/>
        <item x="27"/>
        <item x="28"/>
        <item x="29"/>
        <item x="30"/>
        <item x="33"/>
        <item x="34"/>
        <item x="35"/>
        <item x="10"/>
        <item x="36"/>
        <item x="37"/>
        <item x="38"/>
        <item x="39"/>
        <item x="40"/>
        <item x="41"/>
        <item x="42"/>
        <item x="43"/>
        <item x="44"/>
        <item x="45"/>
        <item x="46"/>
        <item x="47"/>
        <item x="48"/>
        <item x="49"/>
        <item x="50"/>
        <item x="51"/>
        <item x="20"/>
        <item x="11"/>
        <item x="52"/>
        <item x="8"/>
        <item x="19"/>
        <item x="12"/>
        <item x="16"/>
        <item x="17"/>
        <item x="18"/>
        <item x="13"/>
        <item x="14"/>
        <item x="15"/>
        <item x="7"/>
        <item x="9"/>
        <item x="2"/>
        <item x="3"/>
        <item x="4"/>
        <item x="5"/>
        <item x="6"/>
        <item x="1"/>
        <item x="21"/>
        <item x="22"/>
        <item x="23"/>
        <item x="24"/>
        <item x="25"/>
        <item x="26"/>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1"/>
        <item x="0"/>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6">
    <field x="5"/>
    <field x="6"/>
    <field x="11"/>
    <field x="31"/>
    <field x="2"/>
    <field x="14"/>
  </rowFields>
  <rowItems count="23">
    <i>
      <x v="55"/>
      <x v="2"/>
      <x v="746"/>
      <x v="52"/>
      <x v="2"/>
      <x v="476"/>
    </i>
    <i>
      <x v="109"/>
      <x v="15"/>
      <x v="778"/>
      <x v="52"/>
      <x v="2"/>
      <x v="476"/>
    </i>
    <i>
      <x v="119"/>
      <x v="3"/>
      <x v="796"/>
      <x v="52"/>
      <x v="2"/>
      <x v="476"/>
    </i>
    <i>
      <x v="127"/>
      <x v="14"/>
      <x v="800"/>
      <x v="52"/>
      <x v="2"/>
      <x v="476"/>
    </i>
    <i>
      <x v="134"/>
      <x v="6"/>
      <x v="827"/>
      <x v="52"/>
      <x v="2"/>
      <x v="476"/>
    </i>
    <i>
      <x v="186"/>
      <x v="9"/>
      <x v="789"/>
      <x v="52"/>
      <x v="2"/>
      <x v="476"/>
    </i>
    <i>
      <x v="316"/>
      <x v="4"/>
      <x v="801"/>
      <x v="52"/>
      <x v="2"/>
      <x v="476"/>
    </i>
    <i>
      <x v="378"/>
      <x v="4"/>
      <x v="747"/>
      <x v="52"/>
      <x v="2"/>
      <x v="476"/>
    </i>
    <i>
      <x v="409"/>
      <x v="15"/>
      <x v="793"/>
      <x v="52"/>
      <x v="2"/>
      <x v="476"/>
    </i>
    <i>
      <x v="413"/>
      <x v="15"/>
      <x v="762"/>
      <x v="52"/>
      <x v="2"/>
      <x v="476"/>
    </i>
    <i>
      <x v="426"/>
      <x v="14"/>
      <x v="779"/>
      <x v="52"/>
      <x v="2"/>
      <x v="476"/>
    </i>
    <i>
      <x v="433"/>
      <x v="2"/>
      <x v="648"/>
      <x v="52"/>
      <x v="2"/>
      <x v="476"/>
    </i>
    <i>
      <x v="451"/>
      <x v="16"/>
      <x v="677"/>
      <x v="52"/>
      <x v="2"/>
      <x v="476"/>
    </i>
    <i>
      <x v="518"/>
      <x v="11"/>
      <x v="828"/>
      <x v="52"/>
      <x v="2"/>
      <x v="476"/>
    </i>
    <i>
      <x v="586"/>
      <x v="10"/>
      <x v="791"/>
      <x v="52"/>
      <x v="2"/>
      <x v="476"/>
    </i>
    <i>
      <x v="587"/>
      <x v="10"/>
      <x v="782"/>
      <x v="52"/>
      <x v="2"/>
      <x v="476"/>
    </i>
    <i>
      <x v="612"/>
      <x v="15"/>
      <x v="735"/>
      <x v="52"/>
      <x v="2"/>
      <x v="476"/>
    </i>
    <i>
      <x v="618"/>
      <x v="14"/>
      <x v="788"/>
      <x v="52"/>
      <x v="2"/>
      <x v="476"/>
    </i>
    <i>
      <x v="654"/>
      <x v="6"/>
      <x v="739"/>
      <x v="52"/>
      <x v="2"/>
      <x v="476"/>
    </i>
    <i>
      <x v="681"/>
      <x v="4"/>
      <x v="712"/>
      <x v="52"/>
      <x v="2"/>
      <x v="476"/>
    </i>
    <i>
      <x v="684"/>
      <x v="18"/>
      <x v="797"/>
      <x v="52"/>
      <x v="2"/>
      <x v="476"/>
    </i>
    <i>
      <x v="747"/>
      <x v="2"/>
      <x v="831"/>
      <x v="52"/>
      <x v="2"/>
      <x v="476"/>
    </i>
    <i t="grand">
      <x/>
    </i>
  </rowItems>
  <colFields count="1">
    <field x="-2"/>
  </colFields>
  <colItems count="7">
    <i>
      <x/>
    </i>
    <i i="1">
      <x v="1"/>
    </i>
    <i i="2">
      <x v="2"/>
    </i>
    <i i="3">
      <x v="3"/>
    </i>
    <i i="4">
      <x v="4"/>
    </i>
    <i i="5">
      <x v="5"/>
    </i>
    <i i="6">
      <x v="6"/>
    </i>
  </colItems>
  <pageFields count="4">
    <pageField fld="0" item="3" hier="-1"/>
    <pageField fld="1" hier="-1"/>
    <pageField fld="3" hier="-1"/>
    <pageField fld="68" item="1" hier="-1"/>
  </pageFields>
  <dataFields count="7">
    <dataField name="Sum of D1 Gain" fld="48" baseField="14" baseItem="476"/>
    <dataField name="Sum of D2 Gain" fld="49" baseField="14" baseItem="476"/>
    <dataField name="Sum of D Total Gain" fld="50" baseField="14" baseItem="476"/>
    <dataField name="Sum of D1 Loss" fld="63" baseField="14" baseItem="476"/>
    <dataField name="Sum of D2 Loss" fld="64" baseField="14" baseItem="476"/>
    <dataField name="Sum of D Total Loss" fld="65" baseField="14" baseItem="476"/>
    <dataField name="Sum of D Total Net" fld="86" baseField="14" baseItem="476"/>
  </dataFields>
  <formats count="1">
    <format dxfId="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0000000-0007-0000-9700-000000000000}" name="PivotTable1" cacheId="20" applyNumberFormats="0" applyBorderFormats="0" applyFontFormats="0" applyPatternFormats="0" applyAlignmentFormats="0" applyWidthHeightFormats="1" dataCaption="Values" grandTotalCaption="Total" updatedVersion="6" minRefreshableVersion="3" useAutoFormatting="1" itemPrintTitles="1" createdVersion="4" indent="0" compact="0" compactData="0" multipleFieldFilters="0">
  <location ref="A5:M14" firstHeaderRow="0" firstDataRow="1" firstDataCol="6" rowPageCount="3" colPageCount="1"/>
  <pivotFields count="132">
    <pivotField axis="axisPage" compact="0" outline="0" showAll="0" defaultSubtotal="0">
      <items count="4">
        <item x="0"/>
        <item x="2"/>
        <item x="1"/>
        <item x="3"/>
      </items>
    </pivotField>
    <pivotField axis="axisPage" compact="0" outline="0" showAll="0" defaultSubtotal="0">
      <items count="3">
        <item x="0"/>
        <item x="1"/>
        <item x="2"/>
      </items>
    </pivotField>
    <pivotField axis="axisRow" compact="0" outline="0" showAll="0" defaultSubtotal="0">
      <items count="3">
        <item x="0"/>
        <item x="1"/>
        <item x="2"/>
      </items>
    </pivotField>
    <pivotField compact="0" outline="0" showAll="0" defaultSubtotal="0"/>
    <pivotField axis="axisRow" compact="0" outline="0" showAll="0" defaultSubtotal="0">
      <items count="25">
        <item x="6"/>
        <item x="16"/>
        <item x="21"/>
        <item x="15"/>
        <item x="19"/>
        <item x="13"/>
        <item x="1"/>
        <item x="12"/>
        <item x="0"/>
        <item x="24"/>
        <item x="9"/>
        <item x="10"/>
        <item x="4"/>
        <item x="23"/>
        <item x="14"/>
        <item x="5"/>
        <item x="7"/>
        <item x="2"/>
        <item x="3"/>
        <item x="11"/>
        <item x="20"/>
        <item x="17"/>
        <item x="22"/>
        <item x="8"/>
        <item x="18"/>
      </items>
    </pivotField>
    <pivotField axis="axisRow" compact="0" outline="0" showAll="0" defaultSubtotal="0">
      <items count="12">
        <item x="0"/>
        <item x="4"/>
        <item x="6"/>
        <item x="11"/>
        <item x="8"/>
        <item x="1"/>
        <item x="3"/>
        <item x="9"/>
        <item x="7"/>
        <item x="10"/>
        <item x="5"/>
        <item x="2"/>
      </items>
    </pivotField>
    <pivotField compact="0" numFmtId="166"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8">
        <item x="3"/>
        <item x="16"/>
        <item x="10"/>
        <item x="1"/>
        <item x="14"/>
        <item x="20"/>
        <item x="21"/>
        <item x="26"/>
        <item x="6"/>
        <item x="15"/>
        <item x="0"/>
        <item x="8"/>
        <item x="17"/>
        <item x="22"/>
        <item x="12"/>
        <item x="23"/>
        <item x="24"/>
        <item x="7"/>
        <item x="18"/>
        <item x="27"/>
        <item x="2"/>
        <item x="13"/>
        <item x="9"/>
        <item x="25"/>
        <item x="19"/>
        <item x="4"/>
        <item x="5"/>
        <item x="11"/>
      </items>
    </pivotField>
    <pivotField compact="0" outline="0" showAll="0" defaultSubtotal="0"/>
    <pivotField compact="0" numFmtId="14" outline="0" showAll="0" defaultSubtotal="0"/>
    <pivotField axis="axisRow" compact="0" outline="0" showAll="0" defaultSubtotal="0">
      <items count="20">
        <item x="12"/>
        <item x="3"/>
        <item x="1"/>
        <item x="15"/>
        <item x="10"/>
        <item x="18"/>
        <item x="8"/>
        <item x="5"/>
        <item x="11"/>
        <item x="0"/>
        <item x="16"/>
        <item x="13"/>
        <item x="7"/>
        <item x="9"/>
        <item x="17"/>
        <item x="19"/>
        <item x="14"/>
        <item x="2"/>
        <item x="6"/>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1"/>
        <item x="2"/>
        <item x="6"/>
        <item x="3"/>
        <item x="4"/>
        <item x="5"/>
        <item x="0"/>
      </items>
    </pivotField>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axis="axisPage" compact="0" outline="0" showAll="0" defaultSubtotal="0">
      <items count="2">
        <item x="0"/>
        <item x="1"/>
      </items>
    </pivotField>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s>
  <rowFields count="6">
    <field x="4"/>
    <field x="5"/>
    <field x="10"/>
    <field x="29"/>
    <field x="2"/>
    <field x="13"/>
  </rowFields>
  <rowItems count="9">
    <i>
      <x v="5"/>
      <x v="5"/>
      <x v="9"/>
      <x v="6"/>
      <x/>
      <x v="8"/>
    </i>
    <i>
      <x v="9"/>
      <x v="8"/>
      <x v="7"/>
      <x v="4"/>
      <x/>
      <x v="5"/>
    </i>
    <i r="2">
      <x v="19"/>
      <x v="2"/>
      <x/>
      <x v="15"/>
    </i>
    <i>
      <x v="11"/>
      <x v="4"/>
      <x v="14"/>
      <x v="6"/>
      <x/>
      <x v="13"/>
    </i>
    <i>
      <x v="12"/>
      <x v="6"/>
      <x v="8"/>
      <x v="6"/>
      <x/>
      <x v="7"/>
    </i>
    <i>
      <x v="15"/>
      <x v="1"/>
      <x v="17"/>
      <x v="6"/>
      <x/>
      <x v="18"/>
    </i>
    <i>
      <x v="16"/>
      <x v="6"/>
      <x v="22"/>
      <x v="6"/>
      <x/>
      <x v="19"/>
    </i>
    <i>
      <x v="18"/>
      <x v="11"/>
      <x v="25"/>
      <x v="6"/>
      <x/>
      <x v="19"/>
    </i>
    <i t="grand">
      <x/>
    </i>
  </rowItems>
  <colFields count="1">
    <field x="-2"/>
  </colFields>
  <colItems count="7">
    <i>
      <x/>
    </i>
    <i i="1">
      <x v="1"/>
    </i>
    <i i="2">
      <x v="2"/>
    </i>
    <i i="3">
      <x v="3"/>
    </i>
    <i i="4">
      <x v="4"/>
    </i>
    <i i="5">
      <x v="5"/>
    </i>
    <i i="6">
      <x v="6"/>
    </i>
  </colItems>
  <pageFields count="3">
    <pageField fld="0" hier="-1"/>
    <pageField fld="1" hier="-1"/>
    <pageField fld="67" item="1" hier="-1"/>
  </pageFields>
  <dataFields count="7">
    <dataField name="Sum of D1 Gain" fld="46" baseField="0" baseItem="0"/>
    <dataField name="Sum of D2 Gain" fld="47" baseField="0" baseItem="0"/>
    <dataField name="Sum of D Total Gain" fld="48" baseField="0" baseItem="0"/>
    <dataField name="Sum of D1 Loss" fld="62" baseField="0" baseItem="0"/>
    <dataField name="Sum of D2 Loss" fld="63" baseField="0" baseItem="0"/>
    <dataField name="Sum of D Total Loss" fld="64" baseField="0" baseItem="0"/>
    <dataField name="Sum of D Total Net" fld="8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ivotTable" Target="../pivotTables/pivotTable68.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ivotTable" Target="../pivotTables/pivotTable69.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ivotTable" Target="../pivotTables/pivotTable70.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ivotTable" Target="../pivotTables/pivotTable71.xm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ivotTable" Target="../pivotTables/pivotTable72.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ivotTable" Target="../pivotTables/pivotTable73.x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ivotTable" Target="../pivotTables/pivotTable74.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ivotTable" Target="../pivotTables/pivotTable75.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ivotTable" Target="../pivotTables/pivotTable76.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ivotTable" Target="../pivotTables/pivotTable7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4.xm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ivotTable" Target="../pivotTables/pivotTable78.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ivotTable" Target="../pivotTables/pivotTable79.x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ivotTable" Target="../pivotTables/pivotTable80.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ivotTable" Target="../pivotTables/pivotTable81.xm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ivotTable" Target="../pivotTables/pivotTable82.x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ivotTable" Target="../pivotTables/pivotTable83.xml"/></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ivotTable" Target="../pivotTables/pivotTable84.x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ivotTable" Target="../pivotTables/pivotTable85.xm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ivotTable" Target="../pivotTables/pivotTable86.xm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ivotTable" Target="../pivotTables/pivotTable87.xm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ivotTable" Target="../pivotTables/pivotTable88.xm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ivotTable" Target="../pivotTables/pivotTable89.xm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ivotTable" Target="../pivotTables/pivotTable90.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ivotTable" Target="../pivotTables/pivotTable91.xm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ivotTable" Target="../pivotTables/pivotTable92.xm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150.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ivotTable" Target="../pivotTables/pivotTable93.xm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ivotTable" Target="../pivotTables/pivotTable94.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9.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planninginformation@wandsworth.gov.uk" TargetMode="External"/><Relationship Id="rId1" Type="http://schemas.openxmlformats.org/officeDocument/2006/relationships/hyperlink" Target="https://data.london.gov.uk/dataset/planning-permissions-on-the-london-development-database--ldd-"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1.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3.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4.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6.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17.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18.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2.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3.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4.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5.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26.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27.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ivotTable" Target="../pivotTables/pivotTable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ivotTable" Target="../pivotTables/pivotTable29.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ivotTable" Target="../pivotTables/pivotTable30.xm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ivotTable" Target="../pivotTables/pivotTable31.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ivotTable" Target="../pivotTables/pivotTable32.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ivotTable" Target="../pivotTables/pivotTable33.xm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ivotTable" Target="../pivotTables/pivotTable34.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ivotTable" Target="../pivotTables/pivotTable35.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ivotTable" Target="../pivotTables/pivotTable3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ivotTable" Target="../pivotTables/pivotTable37.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ivotTable" Target="../pivotTables/pivotTable38.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ivotTable" Target="../pivotTables/pivotTable39.xm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ivotTable" Target="../pivotTables/pivotTable40.xm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ivotTable" Target="../pivotTables/pivotTable4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ivotTable" Target="../pivotTables/pivotTable42.xm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ivotTable" Target="../pivotTables/pivotTable43.xm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ivotTable" Target="../pivotTables/pivotTable44.xm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ivotTable" Target="../pivotTables/pivotTable4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ivotTable" Target="../pivotTables/pivotTable4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ivotTable" Target="../pivotTables/pivotTable47.xm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ivotTable" Target="../pivotTables/pivotTable48.xm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ivotTable" Target="../pivotTables/pivotTable4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ivotTable" Target="../pivotTables/pivotTable50.xm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ivotTable" Target="../pivotTables/pivotTable51.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ivotTable" Target="../pivotTables/pivotTable5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ivotTable" Target="../pivotTables/pivotTable53.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ivotTable" Target="../pivotTables/pivotTable5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ivotTable" Target="../pivotTables/pivotTable55.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ivotTable" Target="../pivotTables/pivotTable56.xm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ivotTable" Target="../pivotTables/pivotTable5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ivotTable" Target="../pivotTables/pivotTable58.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ivotTable" Target="../pivotTables/pivotTable59.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ivotTable" Target="../pivotTables/pivotTable60.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ivotTable" Target="../pivotTables/pivotTable61.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ivotTable" Target="../pivotTables/pivotTable6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ivotTable" Target="../pivotTables/pivotTable63.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ivotTable" Target="../pivotTables/pivotTable64.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ivotTable" Target="../pivotTables/pivotTable65.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ivotTable" Target="../pivotTables/pivotTable6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ivotTable" Target="../pivotTables/pivotTable67.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B78"/>
  <sheetViews>
    <sheetView tabSelected="1" workbookViewId="0">
      <selection activeCell="A4" sqref="A4"/>
    </sheetView>
  </sheetViews>
  <sheetFormatPr defaultRowHeight="12" x14ac:dyDescent="0.2"/>
  <cols>
    <col min="1" max="1" width="85.5703125" style="448" customWidth="1"/>
    <col min="2" max="2" width="3.28515625" style="447" bestFit="1" customWidth="1"/>
    <col min="3" max="3" width="9.140625" style="448" customWidth="1"/>
    <col min="4" max="16384" width="9.140625" style="448"/>
  </cols>
  <sheetData>
    <row r="1" spans="1:28" ht="19.5" x14ac:dyDescent="0.2">
      <c r="A1" s="575" t="s">
        <v>3867</v>
      </c>
      <c r="B1" s="575"/>
      <c r="C1" s="442"/>
      <c r="D1" s="442"/>
      <c r="AB1" s="281"/>
    </row>
    <row r="2" spans="1:28" ht="19.5" x14ac:dyDescent="0.2">
      <c r="A2" s="576" t="s">
        <v>12</v>
      </c>
      <c r="B2" s="576"/>
      <c r="C2" s="442"/>
      <c r="D2" s="442"/>
    </row>
    <row r="3" spans="1:28" ht="12.75" x14ac:dyDescent="0.2">
      <c r="A3" s="560"/>
      <c r="B3" s="554"/>
    </row>
    <row r="4" spans="1:28" ht="15.75" x14ac:dyDescent="0.2">
      <c r="A4" s="443" t="s">
        <v>4000</v>
      </c>
      <c r="B4" s="554"/>
    </row>
    <row r="5" spans="1:28" ht="12.75" x14ac:dyDescent="0.2">
      <c r="A5" s="560"/>
      <c r="B5" s="554"/>
    </row>
    <row r="6" spans="1:28" ht="15" x14ac:dyDescent="0.25">
      <c r="A6" s="555" t="s">
        <v>3935</v>
      </c>
      <c r="B6" s="566">
        <v>3</v>
      </c>
    </row>
    <row r="7" spans="1:28" ht="12.75" x14ac:dyDescent="0.2">
      <c r="A7" s="560"/>
      <c r="B7" s="567"/>
    </row>
    <row r="8" spans="1:28" ht="15" x14ac:dyDescent="0.25">
      <c r="A8" s="555" t="s">
        <v>3876</v>
      </c>
      <c r="B8" s="566">
        <v>4</v>
      </c>
      <c r="C8" s="440"/>
    </row>
    <row r="9" spans="1:28" ht="12.75" x14ac:dyDescent="0.2">
      <c r="A9" s="560"/>
      <c r="B9" s="567"/>
      <c r="C9" s="441"/>
    </row>
    <row r="10" spans="1:28" ht="12.75" x14ac:dyDescent="0.2">
      <c r="A10" s="439" t="s">
        <v>3872</v>
      </c>
      <c r="B10" s="568">
        <v>4</v>
      </c>
      <c r="C10" s="439"/>
    </row>
    <row r="11" spans="1:28" ht="12.75" x14ac:dyDescent="0.2">
      <c r="A11" s="558" t="str">
        <f>'1.1'!A2</f>
        <v>Table 1.1  Completions and Pipeline by Application Type</v>
      </c>
      <c r="B11" s="565">
        <v>4</v>
      </c>
      <c r="C11" s="444"/>
      <c r="D11" s="446"/>
    </row>
    <row r="12" spans="1:28" ht="12.75" x14ac:dyDescent="0.2">
      <c r="A12" s="558" t="str">
        <f>'1.2'!A2</f>
        <v xml:space="preserve">Table 1.2  Completions and Pipeline by Development Type </v>
      </c>
      <c r="B12" s="565">
        <v>5</v>
      </c>
      <c r="C12" s="444"/>
      <c r="D12" s="446"/>
    </row>
    <row r="13" spans="1:28" ht="12.75" x14ac:dyDescent="0.2">
      <c r="A13" s="558" t="str">
        <f>'1.3'!A2</f>
        <v>Table 1.3  Net Completions and Pipeline by Use Class and Application Type</v>
      </c>
      <c r="B13" s="565">
        <v>6</v>
      </c>
      <c r="C13" s="444"/>
      <c r="D13" s="446"/>
    </row>
    <row r="14" spans="1:28" ht="12.75" x14ac:dyDescent="0.2">
      <c r="A14" s="558" t="str">
        <f>'1.4'!A2</f>
        <v>Table 1.4  Completion Gains by Use Class over Time</v>
      </c>
      <c r="B14" s="565">
        <v>7</v>
      </c>
      <c r="C14" s="444"/>
      <c r="D14" s="446"/>
    </row>
    <row r="15" spans="1:28" ht="12.75" x14ac:dyDescent="0.2">
      <c r="A15" s="558" t="str">
        <f>'1.5'!A2:H2</f>
        <v>Table 1.5  Net Completions by Use Class and Location</v>
      </c>
      <c r="B15" s="565">
        <v>8</v>
      </c>
      <c r="C15" s="444"/>
      <c r="D15" s="446"/>
    </row>
    <row r="16" spans="1:28" ht="12.75" x14ac:dyDescent="0.2">
      <c r="A16" s="558" t="s">
        <v>3922</v>
      </c>
      <c r="B16" s="565">
        <v>9</v>
      </c>
      <c r="C16" s="444"/>
      <c r="D16" s="446"/>
    </row>
    <row r="17" spans="1:4" ht="25.5" customHeight="1" x14ac:dyDescent="0.2">
      <c r="A17" s="558" t="str">
        <f>'1.6b'!A2:H2</f>
        <v>Table 1.6b  Under Construction Net Loss of Commercial Floorspace to Residential Use by Location</v>
      </c>
      <c r="B17" s="565">
        <v>10</v>
      </c>
      <c r="C17" s="444"/>
      <c r="D17" s="446"/>
    </row>
    <row r="18" spans="1:4" ht="25.5" x14ac:dyDescent="0.2">
      <c r="A18" s="559" t="str">
        <f>'1.6c'!A2:H2</f>
        <v>Table 1.6c  Not Started Net Losses of Commercial Floorspace to Residential Use with Full Planning Permission by Location</v>
      </c>
      <c r="B18" s="565">
        <v>11</v>
      </c>
      <c r="C18" s="445"/>
      <c r="D18" s="446"/>
    </row>
    <row r="19" spans="1:4" ht="25.5" x14ac:dyDescent="0.2">
      <c r="A19" s="558" t="str">
        <f>'1.7'!A2</f>
        <v>Table 1.7  Details of Applications Completed with Net Losses of Office Floorspace (B1a) in Town Centres</v>
      </c>
      <c r="B19" s="565">
        <v>12</v>
      </c>
      <c r="C19" s="444"/>
      <c r="D19" s="446"/>
    </row>
    <row r="20" spans="1:4" ht="12.75" x14ac:dyDescent="0.2">
      <c r="A20" s="558" t="str">
        <f>'1.8'!A2:J2</f>
        <v>Table 1.8  Net Pipeline by Location and Application Type</v>
      </c>
      <c r="B20" s="565">
        <v>13</v>
      </c>
      <c r="C20" s="444"/>
      <c r="D20" s="446"/>
    </row>
    <row r="21" spans="1:4" ht="12.75" x14ac:dyDescent="0.2">
      <c r="A21" s="560"/>
      <c r="B21" s="567"/>
      <c r="C21" s="438"/>
    </row>
    <row r="22" spans="1:4" ht="12.75" x14ac:dyDescent="0.2">
      <c r="A22" s="439" t="s">
        <v>3873</v>
      </c>
      <c r="B22" s="568">
        <v>14</v>
      </c>
      <c r="C22" s="439"/>
    </row>
    <row r="23" spans="1:4" ht="12.75" x14ac:dyDescent="0.2">
      <c r="A23" s="560" t="str">
        <f>'2.1'!A2:I2</f>
        <v>Table 2.1  Completions and Pipeline by Application Type</v>
      </c>
      <c r="B23" s="565">
        <v>14</v>
      </c>
      <c r="C23" s="438"/>
    </row>
    <row r="24" spans="1:4" ht="12.75" x14ac:dyDescent="0.2">
      <c r="A24" s="560" t="s">
        <v>3923</v>
      </c>
      <c r="B24" s="565">
        <v>15</v>
      </c>
      <c r="C24" s="438"/>
    </row>
    <row r="25" spans="1:4" ht="12.75" x14ac:dyDescent="0.2">
      <c r="A25" s="560" t="str">
        <f>'2.3'!A2:I2</f>
        <v>Table 2.3  Net Completions by Use Class and Location</v>
      </c>
      <c r="B25" s="565">
        <v>17</v>
      </c>
      <c r="C25" s="438"/>
    </row>
    <row r="26" spans="1:4" ht="12.75" x14ac:dyDescent="0.2">
      <c r="A26" s="560" t="str">
        <f>'2.4'!A2:S2</f>
        <v>Table 2.4  Completion Gains in Town Centres by Use Class over Time</v>
      </c>
      <c r="B26" s="565">
        <v>18</v>
      </c>
      <c r="C26" s="438"/>
    </row>
    <row r="27" spans="1:4" ht="12.75" x14ac:dyDescent="0.2">
      <c r="A27" s="560" t="str">
        <f>'2.5'!A2:O2</f>
        <v>Table 2.5  Completion Gains over Time by Town Centre</v>
      </c>
      <c r="B27" s="565">
        <v>19</v>
      </c>
      <c r="C27" s="438"/>
    </row>
    <row r="28" spans="1:4" ht="12.75" x14ac:dyDescent="0.2">
      <c r="A28" s="560" t="str">
        <f>'2.6'!A2:P2</f>
        <v>Table 2.6  Net Completions and Pipeline by Town Centre</v>
      </c>
      <c r="B28" s="565">
        <v>20</v>
      </c>
      <c r="C28" s="438"/>
    </row>
    <row r="29" spans="1:4" ht="12.75" x14ac:dyDescent="0.2">
      <c r="A29" s="560"/>
      <c r="B29" s="565"/>
      <c r="C29" s="438"/>
    </row>
    <row r="30" spans="1:4" ht="12.75" x14ac:dyDescent="0.2">
      <c r="A30" s="439" t="s">
        <v>3874</v>
      </c>
      <c r="B30" s="568">
        <v>21</v>
      </c>
      <c r="C30" s="439"/>
    </row>
    <row r="31" spans="1:4" ht="12.75" x14ac:dyDescent="0.2">
      <c r="A31" s="560" t="str">
        <f>'3.1'!A2:I2</f>
        <v>Table 3.1  Completions and Pipeline by Application Type</v>
      </c>
      <c r="B31" s="565">
        <v>21</v>
      </c>
      <c r="C31" s="438"/>
    </row>
    <row r="32" spans="1:4" ht="12.75" x14ac:dyDescent="0.2">
      <c r="A32" s="560" t="str">
        <f>'3.2'!A2:J2</f>
        <v>Table 3.2  Net Completions and Pipeline by Use Class, Development Status and Location</v>
      </c>
      <c r="B32" s="565">
        <v>22</v>
      </c>
      <c r="C32" s="438"/>
    </row>
    <row r="33" spans="1:3" ht="12.75" x14ac:dyDescent="0.2">
      <c r="A33" s="560" t="str">
        <f>'3.3'!A2</f>
        <v>Table 3.3  Completion Gains by Use Class and Location</v>
      </c>
      <c r="B33" s="565">
        <v>23</v>
      </c>
      <c r="C33" s="438"/>
    </row>
    <row r="34" spans="1:3" ht="12.75" x14ac:dyDescent="0.2">
      <c r="A34" s="560" t="str">
        <f>'3.4'!A2:J2</f>
        <v>Table 3.4  Completion Gains in Town Centres by Use Class over Time</v>
      </c>
      <c r="B34" s="565">
        <v>24</v>
      </c>
      <c r="C34" s="438"/>
    </row>
    <row r="35" spans="1:3" ht="12.75" x14ac:dyDescent="0.2">
      <c r="A35" s="560" t="str">
        <f>'3.5'!A2:O2</f>
        <v>Table 3.5  Completion Gains over Time by Town Centre</v>
      </c>
      <c r="B35" s="565">
        <v>25</v>
      </c>
      <c r="C35" s="438"/>
    </row>
    <row r="36" spans="1:3" ht="12.75" x14ac:dyDescent="0.2">
      <c r="A36" s="560" t="str">
        <f>'3.6'!A2:P2</f>
        <v>Table 3.6  Net Completions and Pipeline by Town Centre</v>
      </c>
      <c r="B36" s="565">
        <v>26</v>
      </c>
      <c r="C36" s="438"/>
    </row>
    <row r="37" spans="1:3" ht="12.75" x14ac:dyDescent="0.2">
      <c r="A37" s="560" t="str">
        <f>'3.7'!A2:X2</f>
        <v>Table 3.7  Non-Residential Institution (D1) Completion Gains and Pipeline by Use</v>
      </c>
      <c r="B37" s="565">
        <v>27</v>
      </c>
      <c r="C37" s="438"/>
    </row>
    <row r="38" spans="1:3" ht="12.75" x14ac:dyDescent="0.2">
      <c r="A38" s="560" t="str">
        <f>'3.8'!A2:W2</f>
        <v>Table 3.8  Non-Residential Institution (D1) Completion Losses and Pipeline by Use</v>
      </c>
      <c r="B38" s="565">
        <v>28</v>
      </c>
      <c r="C38" s="438"/>
    </row>
    <row r="39" spans="1:3" ht="12.75" x14ac:dyDescent="0.2">
      <c r="A39" s="560" t="str">
        <f>'3.9'!A2:R2</f>
        <v>Table 3.9  Assembly and Leisure (D2) Completion Gains and Pipeline by Use</v>
      </c>
      <c r="B39" s="565">
        <v>29</v>
      </c>
      <c r="C39" s="438"/>
    </row>
    <row r="40" spans="1:3" ht="12.75" x14ac:dyDescent="0.2">
      <c r="A40" s="560" t="str">
        <f>'3.10'!A2:R2</f>
        <v>Table 3.10  Assembly and Leisure (D2) Completion Losses and Pipeline by Use</v>
      </c>
      <c r="B40" s="565">
        <v>30</v>
      </c>
      <c r="C40" s="438"/>
    </row>
    <row r="41" spans="1:3" ht="12.75" x14ac:dyDescent="0.2">
      <c r="A41" s="560"/>
      <c r="B41" s="565"/>
      <c r="C41" s="438"/>
    </row>
    <row r="42" spans="1:3" ht="12.75" x14ac:dyDescent="0.2">
      <c r="A42" s="439" t="s">
        <v>3875</v>
      </c>
      <c r="B42" s="568">
        <v>31</v>
      </c>
      <c r="C42" s="439"/>
    </row>
    <row r="43" spans="1:3" ht="12.75" x14ac:dyDescent="0.2">
      <c r="A43" s="560" t="str">
        <f>'4.1'!A2:R2</f>
        <v>Table 4.1  Net Completions and Pipeline by Use Class and Application Type</v>
      </c>
      <c r="B43" s="565">
        <v>31</v>
      </c>
      <c r="C43" s="438"/>
    </row>
    <row r="44" spans="1:3" ht="12.75" x14ac:dyDescent="0.2">
      <c r="A44" s="560"/>
      <c r="B44" s="565"/>
      <c r="C44" s="438"/>
    </row>
    <row r="45" spans="1:3" ht="15" x14ac:dyDescent="0.25">
      <c r="A45" s="555" t="s">
        <v>3877</v>
      </c>
      <c r="B45" s="566">
        <v>32</v>
      </c>
      <c r="C45" s="440"/>
    </row>
    <row r="46" spans="1:3" ht="12.75" x14ac:dyDescent="0.2">
      <c r="A46" s="439"/>
      <c r="B46" s="567"/>
      <c r="C46" s="439"/>
    </row>
    <row r="47" spans="1:3" ht="12.75" x14ac:dyDescent="0.2">
      <c r="A47" s="439" t="s">
        <v>3872</v>
      </c>
      <c r="B47" s="568">
        <v>32</v>
      </c>
      <c r="C47" s="439"/>
    </row>
    <row r="48" spans="1:3" ht="12.75" x14ac:dyDescent="0.2">
      <c r="A48" s="560" t="str">
        <f>'Sch 1.1'!A2</f>
        <v>Schedule 1.1  Completed and Occupied</v>
      </c>
      <c r="B48" s="565">
        <v>32</v>
      </c>
      <c r="C48" s="438"/>
    </row>
    <row r="49" spans="1:3" ht="12.75" x14ac:dyDescent="0.2">
      <c r="A49" s="560" t="str">
        <f>'Sch 1.2'!A2</f>
        <v>Schedule 1.2  Completed but Not Occupied</v>
      </c>
      <c r="B49" s="565">
        <v>35</v>
      </c>
      <c r="C49" s="438"/>
    </row>
    <row r="50" spans="1:3" ht="12.75" x14ac:dyDescent="0.2">
      <c r="A50" s="560" t="str">
        <f>'Sch 1.3'!A2</f>
        <v>Schedule 1.3  Under Construction</v>
      </c>
      <c r="B50" s="565">
        <v>36</v>
      </c>
      <c r="C50" s="438"/>
    </row>
    <row r="51" spans="1:3" ht="12.75" x14ac:dyDescent="0.2">
      <c r="A51" s="560" t="str">
        <f>'Sch 1.4'!A2</f>
        <v>Schedule 1.4  Planning Permission</v>
      </c>
      <c r="B51" s="565">
        <v>40</v>
      </c>
      <c r="C51" s="438"/>
    </row>
    <row r="52" spans="1:3" ht="12.75" x14ac:dyDescent="0.2">
      <c r="A52" s="561" t="str">
        <f>'Sch 1.5'!A2</f>
        <v>Schedule 1.5  Prior Approval / Certificate of Lawful Development</v>
      </c>
      <c r="B52" s="565">
        <v>44</v>
      </c>
      <c r="C52" s="437"/>
    </row>
    <row r="53" spans="1:3" ht="12.75" x14ac:dyDescent="0.2">
      <c r="A53" s="560" t="str">
        <f>'Sch 1.6'!A2</f>
        <v>Schedule 1.6  Permission Pending Legal Agreement</v>
      </c>
      <c r="B53" s="565">
        <v>47</v>
      </c>
      <c r="C53" s="438"/>
    </row>
    <row r="54" spans="1:3" ht="12.75" x14ac:dyDescent="0.2">
      <c r="A54" s="560" t="str">
        <f>'Sch 1.7'!A2</f>
        <v>Schedule 1.7  Application at Appeal</v>
      </c>
      <c r="B54" s="565">
        <v>48</v>
      </c>
      <c r="C54" s="438"/>
    </row>
    <row r="55" spans="1:3" ht="12.75" x14ac:dyDescent="0.2">
      <c r="A55" s="561" t="str">
        <f>'Sch 1.8'!A2</f>
        <v>Schedule 1.8  Application Pending</v>
      </c>
      <c r="B55" s="565">
        <v>49</v>
      </c>
      <c r="C55" s="437"/>
    </row>
    <row r="56" spans="1:3" ht="12.75" x14ac:dyDescent="0.2">
      <c r="A56" s="561" t="str">
        <f>'Sch 1.9'!A2</f>
        <v>Schedule 1.9  Temporary Permissions</v>
      </c>
      <c r="B56" s="565">
        <v>51</v>
      </c>
      <c r="C56" s="437"/>
    </row>
    <row r="57" spans="1:3" ht="12.75" x14ac:dyDescent="0.2">
      <c r="A57" s="439"/>
      <c r="B57" s="567"/>
      <c r="C57" s="439"/>
    </row>
    <row r="58" spans="1:3" ht="12.75" x14ac:dyDescent="0.2">
      <c r="A58" s="439" t="s">
        <v>3873</v>
      </c>
      <c r="B58" s="568">
        <v>52</v>
      </c>
      <c r="C58" s="439"/>
    </row>
    <row r="59" spans="1:3" ht="12.75" x14ac:dyDescent="0.2">
      <c r="A59" s="560" t="str">
        <f>'Sch 2.1'!A2</f>
        <v>Schedule 2.1  Completed and Occupied</v>
      </c>
      <c r="B59" s="565">
        <v>52</v>
      </c>
      <c r="C59" s="438"/>
    </row>
    <row r="60" spans="1:3" ht="12.75" x14ac:dyDescent="0.2">
      <c r="A60" s="560" t="str">
        <f>'Sch 2.2'!A2</f>
        <v>Schedule 2.2  Completed but Not Occupied</v>
      </c>
      <c r="B60" s="565">
        <v>55</v>
      </c>
      <c r="C60" s="438"/>
    </row>
    <row r="61" spans="1:3" ht="12.75" x14ac:dyDescent="0.2">
      <c r="A61" s="560" t="str">
        <f>'Sch 2.3'!A2</f>
        <v>Schedule 2.3  Under Construction</v>
      </c>
      <c r="B61" s="565">
        <v>56</v>
      </c>
      <c r="C61" s="438"/>
    </row>
    <row r="62" spans="1:3" ht="12.75" x14ac:dyDescent="0.2">
      <c r="A62" s="560" t="str">
        <f>'Sch 2.4'!A2</f>
        <v>Schedule 2.4  Planning Permission</v>
      </c>
      <c r="B62" s="565">
        <v>60</v>
      </c>
      <c r="C62" s="438"/>
    </row>
    <row r="63" spans="1:3" ht="12.75" x14ac:dyDescent="0.2">
      <c r="A63" s="561" t="str">
        <f>'Sch 2.5'!A2</f>
        <v>Schedule 2.5  Prior Approval / Certificate of Lawful Development</v>
      </c>
      <c r="B63" s="565">
        <v>65</v>
      </c>
      <c r="C63" s="437"/>
    </row>
    <row r="64" spans="1:3" ht="12.75" x14ac:dyDescent="0.2">
      <c r="A64" s="560" t="str">
        <f>'Sch 2.6'!A2</f>
        <v>Schedule 2.6  Permission Pending Legal Agreement</v>
      </c>
      <c r="B64" s="565">
        <v>66</v>
      </c>
      <c r="C64" s="438"/>
    </row>
    <row r="65" spans="1:6" ht="12.75" x14ac:dyDescent="0.2">
      <c r="A65" s="560" t="str">
        <f>'Sch 2.7'!A2</f>
        <v>Schedule 2.7  Application at Appeal</v>
      </c>
      <c r="B65" s="565">
        <v>67</v>
      </c>
      <c r="C65" s="438"/>
    </row>
    <row r="66" spans="1:6" ht="12.75" x14ac:dyDescent="0.2">
      <c r="A66" s="561" t="str">
        <f>'Sch 2.8'!A2</f>
        <v>Schedule 2.8  Application Pending</v>
      </c>
      <c r="B66" s="565">
        <v>68</v>
      </c>
      <c r="C66" s="437"/>
    </row>
    <row r="67" spans="1:6" ht="12.75" x14ac:dyDescent="0.2">
      <c r="A67" s="561" t="str">
        <f>'Sch 2.9'!A2</f>
        <v>Schedule 2.9  Temporary Permissions</v>
      </c>
      <c r="B67" s="565">
        <v>70</v>
      </c>
      <c r="C67" s="437"/>
    </row>
    <row r="68" spans="1:6" ht="12.75" x14ac:dyDescent="0.2">
      <c r="A68" s="560"/>
      <c r="B68" s="567"/>
      <c r="C68" s="438"/>
    </row>
    <row r="69" spans="1:6" ht="12.75" x14ac:dyDescent="0.2">
      <c r="A69" s="439" t="s">
        <v>3874</v>
      </c>
      <c r="B69" s="568">
        <v>71</v>
      </c>
      <c r="C69" s="439"/>
    </row>
    <row r="70" spans="1:6" ht="12.75" x14ac:dyDescent="0.2">
      <c r="A70" s="560" t="str">
        <f>'Sch 3.1'!A2</f>
        <v>Schedule 3.1  Completed and Occupied</v>
      </c>
      <c r="B70" s="565">
        <v>71</v>
      </c>
      <c r="C70" s="438"/>
    </row>
    <row r="71" spans="1:6" ht="12.75" x14ac:dyDescent="0.2">
      <c r="A71" s="560" t="str">
        <f>'Sch 3.2'!A2</f>
        <v>Schedule 3.2  Completed but Not Occupied</v>
      </c>
      <c r="B71" s="565">
        <v>73</v>
      </c>
      <c r="C71" s="438"/>
      <c r="D71" s="282"/>
      <c r="E71" s="282"/>
      <c r="F71" s="282"/>
    </row>
    <row r="72" spans="1:6" ht="12.75" x14ac:dyDescent="0.2">
      <c r="A72" s="560" t="str">
        <f>'Sch 3.3'!A2</f>
        <v>Schedule 3.3  Under Construction</v>
      </c>
      <c r="B72" s="565">
        <v>74</v>
      </c>
      <c r="C72" s="438"/>
    </row>
    <row r="73" spans="1:6" ht="12.75" x14ac:dyDescent="0.2">
      <c r="A73" s="560" t="str">
        <f>'Sch 3.4'!A2</f>
        <v>Schedule 3.4  Planning Permission</v>
      </c>
      <c r="B73" s="565">
        <v>77</v>
      </c>
      <c r="C73" s="438"/>
    </row>
    <row r="74" spans="1:6" ht="12.75" x14ac:dyDescent="0.2">
      <c r="A74" s="561" t="str">
        <f>'Sch 3.5'!A2</f>
        <v>Schedule 3.5  Prior Approval / Certificate of Lawful Development</v>
      </c>
      <c r="B74" s="565">
        <v>80</v>
      </c>
      <c r="C74" s="437"/>
    </row>
    <row r="75" spans="1:6" ht="12.75" x14ac:dyDescent="0.2">
      <c r="A75" s="560" t="str">
        <f>'Sch 3.6'!A2</f>
        <v>Schedule 3.6  Permission Pending Legal Agreement</v>
      </c>
      <c r="B75" s="565">
        <v>81</v>
      </c>
      <c r="C75" s="438"/>
    </row>
    <row r="76" spans="1:6" ht="12.75" x14ac:dyDescent="0.2">
      <c r="A76" s="560" t="str">
        <f>'Sch 3.7'!A2</f>
        <v>Schedule 3.7  Application at Appeal</v>
      </c>
      <c r="B76" s="565">
        <v>82</v>
      </c>
      <c r="C76" s="438"/>
    </row>
    <row r="77" spans="1:6" ht="12.75" x14ac:dyDescent="0.2">
      <c r="A77" s="561" t="str">
        <f>'Sch 3.8'!A2</f>
        <v>Schedule 3.8  Application Pending</v>
      </c>
      <c r="B77" s="565">
        <v>83</v>
      </c>
      <c r="C77" s="437"/>
    </row>
    <row r="78" spans="1:6" ht="12.75" x14ac:dyDescent="0.2">
      <c r="A78" s="561" t="str">
        <f>'Sch 3.9'!A2</f>
        <v>Schedule 3.9  Temporary Permissions</v>
      </c>
      <c r="B78" s="565">
        <v>84</v>
      </c>
      <c r="C78" s="437"/>
      <c r="D78" s="283"/>
      <c r="E78" s="283"/>
    </row>
  </sheetData>
  <mergeCells count="2">
    <mergeCell ref="A1:B1"/>
    <mergeCell ref="A2:B2"/>
  </mergeCells>
  <phoneticPr fontId="0" type="noConversion"/>
  <hyperlinks>
    <hyperlink ref="A6:B6" location="Notes!A1" display="Notes" xr:uid="{00000000-0004-0000-0000-000000000000}"/>
    <hyperlink ref="A8:B8" location="'1.1'!A1" display="Summary Tables" xr:uid="{00000000-0004-0000-0000-000001000000}"/>
    <hyperlink ref="A10:B10" location="'1.1'!A1" display="1  Commercial B1, B2 and B8 Use Classes" xr:uid="{00000000-0004-0000-0000-000002000000}"/>
    <hyperlink ref="A11:B11" location="'1.1'!A1" display="'1.1'!A1" xr:uid="{00000000-0004-0000-0000-000003000000}"/>
    <hyperlink ref="A12:B12" location="'1.2'!A1" display="'1.2'!A1" xr:uid="{00000000-0004-0000-0000-000004000000}"/>
    <hyperlink ref="A13:B13" location="'1.3'!A1" display="'1.3'!A1" xr:uid="{00000000-0004-0000-0000-000005000000}"/>
    <hyperlink ref="A14:B14" location="'1.4'!A1" display="'1.4'!A1" xr:uid="{00000000-0004-0000-0000-000006000000}"/>
    <hyperlink ref="A15:B15" location="'1.5'!A1" display="'1.5'!A1" xr:uid="{00000000-0004-0000-0000-000007000000}"/>
    <hyperlink ref="A16:B16" location="'1.6a'!A1" display="Table 1.6a  Completed Net Loss of Commercial Floorspace to Residential Use by Location" xr:uid="{00000000-0004-0000-0000-000008000000}"/>
    <hyperlink ref="A17:B17" location="'1.6b'!A1" display="'1.6b'!A1" xr:uid="{00000000-0004-0000-0000-000009000000}"/>
    <hyperlink ref="A18:B18" location="'1.6c'!A1" display="'1.6c'!A1" xr:uid="{00000000-0004-0000-0000-00000A000000}"/>
    <hyperlink ref="A19:B19" location="'1.7'!A1" display="'1.7'!A1" xr:uid="{00000000-0004-0000-0000-00000B000000}"/>
    <hyperlink ref="A20:B20" location="'1.8'!A1" display="'1.8'!A1" xr:uid="{00000000-0004-0000-0000-00000C000000}"/>
    <hyperlink ref="A22:B22" location="'2.1'!A1" display="2  Retail A1 to A5 Use Classes" xr:uid="{00000000-0004-0000-0000-00000D000000}"/>
    <hyperlink ref="A23:B23" location="'2.1'!A1" display="'2.1'!A1" xr:uid="{00000000-0004-0000-0000-00000E000000}"/>
    <hyperlink ref="A24:B24" location="'2.2'!A1" display="Table 2.2  Net Completions and Pipeline by Use Class, Development Status and Location" xr:uid="{00000000-0004-0000-0000-00000F000000}"/>
    <hyperlink ref="A25:B25" location="'2.3'!A1" display="'2.3'!A1" xr:uid="{00000000-0004-0000-0000-000010000000}"/>
    <hyperlink ref="A26:B26" location="'2.4'!A1" display="'2.4'!A1" xr:uid="{00000000-0004-0000-0000-000011000000}"/>
    <hyperlink ref="A27:B27" location="'2.5'!A1" display="'2.5'!A1" xr:uid="{00000000-0004-0000-0000-000012000000}"/>
    <hyperlink ref="A28:B28" location="'2.6'!A1" display="'2.6'!A1" xr:uid="{00000000-0004-0000-0000-000013000000}"/>
    <hyperlink ref="A30:B31" location="'3.1'!A1" display="3  Non-Residential Institutions, Assembly and Leisure D1 and D2 Use Classes" xr:uid="{00000000-0004-0000-0000-000014000000}"/>
    <hyperlink ref="A32:B32" location="'3.2'!A1" display="'3.2'!A1" xr:uid="{00000000-0004-0000-0000-000015000000}"/>
    <hyperlink ref="A33:B33" location="'3.3'!A1" display="'3.3'!A1" xr:uid="{00000000-0004-0000-0000-000016000000}"/>
    <hyperlink ref="A34:B34" location="'3.4'!A1" display="'3.4'!A1" xr:uid="{00000000-0004-0000-0000-000017000000}"/>
    <hyperlink ref="A35:B35" location="'3.5'!A1" display="'3.5'!A1" xr:uid="{00000000-0004-0000-0000-000018000000}"/>
    <hyperlink ref="A36:B36" location="'3.6'!A1" display="'3.6'!A1" xr:uid="{00000000-0004-0000-0000-000019000000}"/>
    <hyperlink ref="A37:B37" location="'3.7'!A1" display="'3.7'!A1" xr:uid="{00000000-0004-0000-0000-00001A000000}"/>
    <hyperlink ref="A38:B38" location="'3.8'!A1" display="'3.8'!A1" xr:uid="{00000000-0004-0000-0000-00001B000000}"/>
    <hyperlink ref="A39:B39" location="'3.9'!A1" display="'3.9'!A1" xr:uid="{00000000-0004-0000-0000-00001C000000}"/>
    <hyperlink ref="A40:B40" location="'3.10'!A1" display="'3.10'!A1" xr:uid="{00000000-0004-0000-0000-00001D000000}"/>
    <hyperlink ref="A42:B43" location="'4.1'!A1" display="4  Total A, B and D Use Classes" xr:uid="{00000000-0004-0000-0000-00001E000000}"/>
    <hyperlink ref="A45:B45" location="'Sch 1.1'!A1" display="Schedules of Sites" xr:uid="{00000000-0004-0000-0000-00001F000000}"/>
    <hyperlink ref="A47:B48" location="'Sch 1.1'!A1" display="1  Commercial B1, B2 and B8 Use Classes" xr:uid="{00000000-0004-0000-0000-000020000000}"/>
    <hyperlink ref="A49:B49" location="'Sch 1.2'!A1" display="'Sch 1.2'!A1" xr:uid="{00000000-0004-0000-0000-000021000000}"/>
    <hyperlink ref="A50:B50" location="'Sch 1.3'!A1" display="'Sch 1.3'!A1" xr:uid="{00000000-0004-0000-0000-000022000000}"/>
    <hyperlink ref="A51:B51" location="'Sch 1.4'!A1" display="'Sch 1.4'!A1" xr:uid="{00000000-0004-0000-0000-000023000000}"/>
    <hyperlink ref="A52:B52" location="'Sch 1.5'!A1" display="'Sch 1.5'!A1" xr:uid="{00000000-0004-0000-0000-000024000000}"/>
    <hyperlink ref="A53:B53" location="'Sch 1.6'!A1" display="'Sch 1.6'!A1" xr:uid="{00000000-0004-0000-0000-000025000000}"/>
    <hyperlink ref="A54:B54" location="'Sch 1.7'!A1" display="'Sch 1.7'!A1" xr:uid="{00000000-0004-0000-0000-000026000000}"/>
    <hyperlink ref="A55:B55" location="'Sch 1.8'!A1" display="'Sch 1.8'!A1" xr:uid="{00000000-0004-0000-0000-000027000000}"/>
    <hyperlink ref="A56:B56" location="'Sch 1.9'!A1" display="'Sch 1.9'!A1" xr:uid="{00000000-0004-0000-0000-000028000000}"/>
    <hyperlink ref="A58:B59" location="'Sch 2.1'!A1" display="2  Retail A1 to A5 Use Classes" xr:uid="{00000000-0004-0000-0000-000029000000}"/>
    <hyperlink ref="A60:B60" location="'Sch 2.2'!A1" display="'Sch 2.2'!A1" xr:uid="{00000000-0004-0000-0000-00002A000000}"/>
    <hyperlink ref="A61:B61" location="'Sch 2.3'!A1" display="'Sch 2.3'!A1" xr:uid="{00000000-0004-0000-0000-00002B000000}"/>
    <hyperlink ref="A62:B62" location="'Sch 2.4'!A1" display="'Sch 2.4'!A1" xr:uid="{00000000-0004-0000-0000-00002C000000}"/>
    <hyperlink ref="A63:B63" location="'Sch 2.5'!A1" display="'Sch 2.5'!A1" xr:uid="{00000000-0004-0000-0000-00002D000000}"/>
    <hyperlink ref="A64:B64" location="'Sch 2.6'!A1" display="'Sch 2.6'!A1" xr:uid="{00000000-0004-0000-0000-00002E000000}"/>
    <hyperlink ref="A65:B65" location="'Sch 2.7'!A1" display="'Sch 2.7'!A1" xr:uid="{00000000-0004-0000-0000-00002F000000}"/>
    <hyperlink ref="A66:B66" location="'Sch 2.8'!A1" display="'Sch 2.8'!A1" xr:uid="{00000000-0004-0000-0000-000030000000}"/>
    <hyperlink ref="A67:B67" location="'Sch 2.9'!A1" display="'Sch 2.9'!A1" xr:uid="{00000000-0004-0000-0000-000031000000}"/>
    <hyperlink ref="A69:B70" location="'Sch 3.1'!A1" display="3  Non-Residential Institutions, Assembly and Leisure D1 and D2 Use Classes" xr:uid="{00000000-0004-0000-0000-000032000000}"/>
    <hyperlink ref="A71:B71" location="'Sch 3.2'!A1" display="'Sch 3.2'!A1" xr:uid="{00000000-0004-0000-0000-000033000000}"/>
    <hyperlink ref="A72:B72" location="'Sch 3.3'!A1" display="'Sch 3.3'!A1" xr:uid="{00000000-0004-0000-0000-000034000000}"/>
    <hyperlink ref="A73:B73" location="'Sch 3.4'!A1" display="'Sch 3.4'!A1" xr:uid="{00000000-0004-0000-0000-000035000000}"/>
    <hyperlink ref="A74:B74" location="'Sch 3.5'!A1" display="'Sch 3.5'!A1" xr:uid="{00000000-0004-0000-0000-000036000000}"/>
    <hyperlink ref="A75:B75" location="'Sch 3.6'!A1" display="'Sch 3.6'!A1" xr:uid="{00000000-0004-0000-0000-000037000000}"/>
    <hyperlink ref="A76:B76" location="'Sch 3.7'!A1" display="'Sch 3.7'!A1" xr:uid="{00000000-0004-0000-0000-000038000000}"/>
    <hyperlink ref="A77:B77" location="'Sch 3.8'!A1" display="'Sch 3.8'!A1" xr:uid="{00000000-0004-0000-0000-000039000000}"/>
    <hyperlink ref="A78:B78" location="'Sch 3.9'!A1" display="'Sch 3.9'!A1" xr:uid="{00000000-0004-0000-0000-00003A000000}"/>
  </hyperlinks>
  <pageMargins left="0.98425196850393704" right="0.98425196850393704" top="0.98425196850393704" bottom="0.98425196850393704" header="0.51181102362204722" footer="0.51181102362204722"/>
  <pageSetup paperSize="9" fitToHeight="0" orientation="portrait" verticalDpi="300" r:id="rId1"/>
  <headerFooter>
    <oddFooter>&amp;C&amp;P</oddFooter>
  </headerFooter>
  <rowBreaks count="1" manualBreakCount="1">
    <brk id="44"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N42"/>
  <sheetViews>
    <sheetView workbookViewId="0"/>
  </sheetViews>
  <sheetFormatPr defaultRowHeight="12" x14ac:dyDescent="0.2"/>
  <cols>
    <col min="1" max="1" width="29.42578125" style="4" customWidth="1"/>
    <col min="2" max="2" width="30.28515625" style="4" bestFit="1" customWidth="1"/>
    <col min="3" max="8" width="14.5703125" style="4" customWidth="1"/>
    <col min="9" max="9" width="13.5703125" style="4" bestFit="1" customWidth="1"/>
    <col min="10" max="10" width="13.5703125" style="4" customWidth="1"/>
    <col min="11" max="11" width="13.5703125" style="4" bestFit="1" customWidth="1"/>
    <col min="12" max="12" width="13.5703125" style="4" customWidth="1"/>
    <col min="13" max="14" width="17" style="4" customWidth="1"/>
    <col min="15" max="16" width="9.140625" style="4"/>
    <col min="17" max="17" width="16.5703125" style="4" customWidth="1"/>
    <col min="18" max="16384" width="9.140625" style="4"/>
  </cols>
  <sheetData>
    <row r="1" spans="1:14" x14ac:dyDescent="0.2">
      <c r="A1" s="77" t="s">
        <v>2939</v>
      </c>
      <c r="B1" s="77" t="s">
        <v>2940</v>
      </c>
      <c r="C1" s="446" t="s">
        <v>116</v>
      </c>
      <c r="D1" s="446" t="s">
        <v>117</v>
      </c>
      <c r="E1" s="446" t="s">
        <v>118</v>
      </c>
      <c r="F1" s="446" t="s">
        <v>119</v>
      </c>
      <c r="G1" s="446" t="s">
        <v>120</v>
      </c>
      <c r="H1" s="446" t="s">
        <v>121</v>
      </c>
      <c r="I1" s="446" t="s">
        <v>122</v>
      </c>
      <c r="J1" s="446" t="s">
        <v>123</v>
      </c>
      <c r="K1" s="446" t="s">
        <v>124</v>
      </c>
      <c r="L1" s="446" t="s">
        <v>125</v>
      </c>
      <c r="M1" s="446" t="s">
        <v>2923</v>
      </c>
      <c r="N1" s="446" t="s">
        <v>2925</v>
      </c>
    </row>
    <row r="2" spans="1:14" x14ac:dyDescent="0.2">
      <c r="A2" s="446" t="s">
        <v>2936</v>
      </c>
      <c r="B2" s="446" t="s">
        <v>2946</v>
      </c>
      <c r="C2" s="74">
        <v>41</v>
      </c>
      <c r="D2" s="74">
        <v>-14992</v>
      </c>
      <c r="E2" s="74">
        <v>3</v>
      </c>
      <c r="F2" s="74">
        <v>-4975</v>
      </c>
      <c r="G2" s="74">
        <v>9</v>
      </c>
      <c r="H2" s="74">
        <v>-15795</v>
      </c>
      <c r="I2" s="74">
        <v>1</v>
      </c>
      <c r="J2" s="74">
        <v>-4728</v>
      </c>
      <c r="K2" s="74">
        <v>18</v>
      </c>
      <c r="L2" s="74">
        <v>-3196</v>
      </c>
      <c r="M2" s="74">
        <v>62</v>
      </c>
      <c r="N2" s="74">
        <v>-43486</v>
      </c>
    </row>
    <row r="3" spans="1:14" x14ac:dyDescent="0.2">
      <c r="A3"/>
      <c r="B3" s="446" t="s">
        <v>2948</v>
      </c>
      <c r="C3" s="74">
        <v>12</v>
      </c>
      <c r="D3" s="74">
        <v>-2374</v>
      </c>
      <c r="E3" s="74">
        <v>0</v>
      </c>
      <c r="F3" s="74">
        <v>0</v>
      </c>
      <c r="G3" s="74">
        <v>0</v>
      </c>
      <c r="H3" s="74">
        <v>0</v>
      </c>
      <c r="I3" s="74">
        <v>0</v>
      </c>
      <c r="J3" s="74">
        <v>0</v>
      </c>
      <c r="K3" s="74">
        <v>0</v>
      </c>
      <c r="L3" s="74">
        <v>0</v>
      </c>
      <c r="M3" s="74">
        <v>12</v>
      </c>
      <c r="N3" s="74">
        <v>-2374</v>
      </c>
    </row>
    <row r="4" spans="1:14" x14ac:dyDescent="0.2">
      <c r="A4"/>
      <c r="B4" s="446" t="s">
        <v>2949</v>
      </c>
      <c r="C4" s="74">
        <v>2</v>
      </c>
      <c r="D4" s="74">
        <v>851</v>
      </c>
      <c r="E4" s="74">
        <v>0</v>
      </c>
      <c r="F4" s="74">
        <v>0</v>
      </c>
      <c r="G4" s="74">
        <v>1</v>
      </c>
      <c r="H4" s="74">
        <v>-894</v>
      </c>
      <c r="I4" s="74">
        <v>1</v>
      </c>
      <c r="J4" s="74">
        <v>43</v>
      </c>
      <c r="K4" s="74">
        <v>1</v>
      </c>
      <c r="L4" s="74">
        <v>40</v>
      </c>
      <c r="M4" s="74">
        <v>1</v>
      </c>
      <c r="N4" s="74">
        <v>40</v>
      </c>
    </row>
    <row r="5" spans="1:14" x14ac:dyDescent="0.2">
      <c r="A5" s="446" t="s">
        <v>2953</v>
      </c>
      <c r="B5" s="446"/>
      <c r="C5" s="74">
        <v>55</v>
      </c>
      <c r="D5" s="74">
        <v>-16515</v>
      </c>
      <c r="E5" s="74">
        <v>3</v>
      </c>
      <c r="F5" s="74">
        <v>-4975</v>
      </c>
      <c r="G5" s="74">
        <v>10</v>
      </c>
      <c r="H5" s="74">
        <v>-16689</v>
      </c>
      <c r="I5" s="74">
        <v>2</v>
      </c>
      <c r="J5" s="74">
        <v>-4685</v>
      </c>
      <c r="K5" s="74">
        <v>19</v>
      </c>
      <c r="L5" s="74">
        <v>-3156</v>
      </c>
      <c r="M5" s="74">
        <v>75</v>
      </c>
      <c r="N5" s="74">
        <v>-45820</v>
      </c>
    </row>
    <row r="6" spans="1:14" x14ac:dyDescent="0.2">
      <c r="A6" s="446" t="s">
        <v>2935</v>
      </c>
      <c r="B6" s="446" t="s">
        <v>2946</v>
      </c>
      <c r="C6" s="74">
        <v>45</v>
      </c>
      <c r="D6" s="74">
        <v>24153</v>
      </c>
      <c r="E6" s="74">
        <v>0</v>
      </c>
      <c r="F6" s="74">
        <v>0</v>
      </c>
      <c r="G6" s="74">
        <v>11</v>
      </c>
      <c r="H6" s="74">
        <v>-30909</v>
      </c>
      <c r="I6" s="74">
        <v>6</v>
      </c>
      <c r="J6" s="74">
        <v>-1091</v>
      </c>
      <c r="K6" s="74">
        <v>17</v>
      </c>
      <c r="L6" s="74">
        <v>-85383</v>
      </c>
      <c r="M6" s="74">
        <v>72</v>
      </c>
      <c r="N6" s="74">
        <v>-93230</v>
      </c>
    </row>
    <row r="7" spans="1:14" x14ac:dyDescent="0.2">
      <c r="A7"/>
      <c r="B7" s="446" t="s">
        <v>2948</v>
      </c>
      <c r="C7" s="74">
        <v>12</v>
      </c>
      <c r="D7" s="74">
        <v>-5340</v>
      </c>
      <c r="E7" s="74">
        <v>0</v>
      </c>
      <c r="F7" s="74">
        <v>0</v>
      </c>
      <c r="G7" s="74">
        <v>0</v>
      </c>
      <c r="H7" s="74">
        <v>0</v>
      </c>
      <c r="I7" s="74">
        <v>0</v>
      </c>
      <c r="J7" s="74">
        <v>0</v>
      </c>
      <c r="K7" s="74">
        <v>0</v>
      </c>
      <c r="L7" s="74">
        <v>0</v>
      </c>
      <c r="M7" s="74">
        <v>12</v>
      </c>
      <c r="N7" s="74">
        <v>-5340</v>
      </c>
    </row>
    <row r="8" spans="1:14" x14ac:dyDescent="0.2">
      <c r="A8"/>
      <c r="B8" s="446" t="s">
        <v>2949</v>
      </c>
      <c r="C8" s="74">
        <v>0</v>
      </c>
      <c r="D8" s="74">
        <v>0</v>
      </c>
      <c r="E8" s="74">
        <v>0</v>
      </c>
      <c r="F8" s="74">
        <v>0</v>
      </c>
      <c r="G8" s="74">
        <v>0</v>
      </c>
      <c r="H8" s="74">
        <v>0</v>
      </c>
      <c r="I8" s="74">
        <v>0</v>
      </c>
      <c r="J8" s="74">
        <v>0</v>
      </c>
      <c r="K8" s="74">
        <v>0</v>
      </c>
      <c r="L8" s="74">
        <v>0</v>
      </c>
      <c r="M8" s="74">
        <v>0</v>
      </c>
      <c r="N8" s="74">
        <v>0</v>
      </c>
    </row>
    <row r="9" spans="1:14" x14ac:dyDescent="0.2">
      <c r="A9" s="446" t="s">
        <v>2954</v>
      </c>
      <c r="B9" s="446"/>
      <c r="C9" s="74">
        <v>57</v>
      </c>
      <c r="D9" s="74">
        <v>18813</v>
      </c>
      <c r="E9" s="74">
        <v>0</v>
      </c>
      <c r="F9" s="74">
        <v>0</v>
      </c>
      <c r="G9" s="74">
        <v>11</v>
      </c>
      <c r="H9" s="74">
        <v>-30909</v>
      </c>
      <c r="I9" s="74">
        <v>6</v>
      </c>
      <c r="J9" s="74">
        <v>-1091</v>
      </c>
      <c r="K9" s="74">
        <v>17</v>
      </c>
      <c r="L9" s="74">
        <v>-85383</v>
      </c>
      <c r="M9" s="74">
        <v>84</v>
      </c>
      <c r="N9" s="74">
        <v>-98570</v>
      </c>
    </row>
    <row r="10" spans="1:14" x14ac:dyDescent="0.2">
      <c r="A10" s="446" t="s">
        <v>2937</v>
      </c>
      <c r="B10" s="446" t="s">
        <v>2946</v>
      </c>
      <c r="C10" s="74">
        <v>63</v>
      </c>
      <c r="D10" s="74">
        <v>15238</v>
      </c>
      <c r="E10" s="74">
        <v>1</v>
      </c>
      <c r="F10" s="74">
        <v>405</v>
      </c>
      <c r="G10" s="74">
        <v>10</v>
      </c>
      <c r="H10" s="74">
        <v>-1950</v>
      </c>
      <c r="I10" s="74">
        <v>9</v>
      </c>
      <c r="J10" s="74">
        <v>-1036</v>
      </c>
      <c r="K10" s="74">
        <v>22</v>
      </c>
      <c r="L10" s="74">
        <v>-1078</v>
      </c>
      <c r="M10" s="74">
        <v>88</v>
      </c>
      <c r="N10" s="74">
        <v>11579</v>
      </c>
    </row>
    <row r="11" spans="1:14" x14ac:dyDescent="0.2">
      <c r="A11"/>
      <c r="B11" s="446" t="s">
        <v>2947</v>
      </c>
      <c r="C11" s="74">
        <v>6</v>
      </c>
      <c r="D11" s="74">
        <v>100039</v>
      </c>
      <c r="E11" s="74">
        <v>0</v>
      </c>
      <c r="F11" s="74">
        <v>0</v>
      </c>
      <c r="G11" s="74">
        <v>0</v>
      </c>
      <c r="H11" s="74">
        <v>0</v>
      </c>
      <c r="I11" s="74">
        <v>0</v>
      </c>
      <c r="J11" s="74">
        <v>0</v>
      </c>
      <c r="K11" s="74">
        <v>0</v>
      </c>
      <c r="L11" s="74">
        <v>0</v>
      </c>
      <c r="M11" s="74">
        <v>6</v>
      </c>
      <c r="N11" s="74">
        <v>100039</v>
      </c>
    </row>
    <row r="12" spans="1:14" x14ac:dyDescent="0.2">
      <c r="A12"/>
      <c r="B12" s="446" t="s">
        <v>2948</v>
      </c>
      <c r="C12" s="74">
        <v>58</v>
      </c>
      <c r="D12" s="74">
        <v>-20989</v>
      </c>
      <c r="E12" s="74">
        <v>0</v>
      </c>
      <c r="F12" s="74">
        <v>0</v>
      </c>
      <c r="G12" s="74">
        <v>0</v>
      </c>
      <c r="H12" s="74">
        <v>0</v>
      </c>
      <c r="I12" s="74">
        <v>1</v>
      </c>
      <c r="J12" s="74">
        <v>-1261</v>
      </c>
      <c r="K12" s="74">
        <v>2</v>
      </c>
      <c r="L12" s="74">
        <v>-1279</v>
      </c>
      <c r="M12" s="74">
        <v>59</v>
      </c>
      <c r="N12" s="74">
        <v>-23529</v>
      </c>
    </row>
    <row r="13" spans="1:14" x14ac:dyDescent="0.2">
      <c r="A13"/>
      <c r="B13" s="446" t="s">
        <v>2949</v>
      </c>
      <c r="C13" s="74">
        <v>0</v>
      </c>
      <c r="D13" s="74">
        <v>0</v>
      </c>
      <c r="E13" s="74">
        <v>0</v>
      </c>
      <c r="F13" s="74">
        <v>0</v>
      </c>
      <c r="G13" s="74">
        <v>0</v>
      </c>
      <c r="H13" s="74">
        <v>0</v>
      </c>
      <c r="I13" s="74">
        <v>0</v>
      </c>
      <c r="J13" s="74">
        <v>0</v>
      </c>
      <c r="K13" s="74">
        <v>0</v>
      </c>
      <c r="L13" s="74">
        <v>0</v>
      </c>
      <c r="M13" s="74">
        <v>0</v>
      </c>
      <c r="N13" s="74">
        <v>0</v>
      </c>
    </row>
    <row r="14" spans="1:14" x14ac:dyDescent="0.2">
      <c r="A14" s="446" t="s">
        <v>2956</v>
      </c>
      <c r="B14" s="446"/>
      <c r="C14" s="74">
        <v>127</v>
      </c>
      <c r="D14" s="74">
        <v>94288</v>
      </c>
      <c r="E14" s="74">
        <v>1</v>
      </c>
      <c r="F14" s="74">
        <v>405</v>
      </c>
      <c r="G14" s="74">
        <v>10</v>
      </c>
      <c r="H14" s="74">
        <v>-1950</v>
      </c>
      <c r="I14" s="74">
        <v>10</v>
      </c>
      <c r="J14" s="74">
        <v>-2297</v>
      </c>
      <c r="K14" s="74">
        <v>24</v>
      </c>
      <c r="L14" s="74">
        <v>-2357</v>
      </c>
      <c r="M14" s="74">
        <v>153</v>
      </c>
      <c r="N14" s="74">
        <v>88089</v>
      </c>
    </row>
    <row r="15" spans="1:14" x14ac:dyDescent="0.2">
      <c r="A15" s="446" t="s">
        <v>2938</v>
      </c>
      <c r="B15" s="446" t="s">
        <v>2945</v>
      </c>
      <c r="C15" s="74">
        <v>11</v>
      </c>
      <c r="D15" s="74">
        <v>26820</v>
      </c>
      <c r="E15" s="74">
        <v>0</v>
      </c>
      <c r="F15" s="74">
        <v>0</v>
      </c>
      <c r="G15" s="74">
        <v>3</v>
      </c>
      <c r="H15" s="74">
        <v>1410</v>
      </c>
      <c r="I15" s="74">
        <v>0</v>
      </c>
      <c r="J15" s="74">
        <v>0</v>
      </c>
      <c r="K15" s="74">
        <v>0</v>
      </c>
      <c r="L15" s="74">
        <v>0</v>
      </c>
      <c r="M15" s="74">
        <v>12</v>
      </c>
      <c r="N15" s="74">
        <v>28230</v>
      </c>
    </row>
    <row r="16" spans="1:14" x14ac:dyDescent="0.2">
      <c r="A16"/>
      <c r="B16" s="446" t="s">
        <v>2946</v>
      </c>
      <c r="C16" s="74">
        <v>18</v>
      </c>
      <c r="D16" s="74">
        <v>1031</v>
      </c>
      <c r="E16" s="74">
        <v>0</v>
      </c>
      <c r="F16" s="74">
        <v>0</v>
      </c>
      <c r="G16" s="74">
        <v>3</v>
      </c>
      <c r="H16" s="74">
        <v>-319</v>
      </c>
      <c r="I16" s="74">
        <v>1</v>
      </c>
      <c r="J16" s="74">
        <v>-88</v>
      </c>
      <c r="K16" s="74">
        <v>7</v>
      </c>
      <c r="L16" s="74">
        <v>-1141</v>
      </c>
      <c r="M16" s="74">
        <v>27</v>
      </c>
      <c r="N16" s="74">
        <v>-517</v>
      </c>
    </row>
    <row r="17" spans="1:14" ht="12.75" customHeight="1" x14ac:dyDescent="0.2">
      <c r="A17"/>
      <c r="B17" s="446" t="s">
        <v>2947</v>
      </c>
      <c r="C17" s="74">
        <v>0</v>
      </c>
      <c r="D17" s="74">
        <v>0</v>
      </c>
      <c r="E17" s="74">
        <v>0</v>
      </c>
      <c r="F17" s="74">
        <v>0</v>
      </c>
      <c r="G17" s="74">
        <v>0</v>
      </c>
      <c r="H17" s="74">
        <v>0</v>
      </c>
      <c r="I17" s="74">
        <v>0</v>
      </c>
      <c r="J17" s="74">
        <v>0</v>
      </c>
      <c r="K17" s="74">
        <v>0</v>
      </c>
      <c r="L17" s="74">
        <v>0</v>
      </c>
      <c r="M17" s="74">
        <v>0</v>
      </c>
      <c r="N17" s="74">
        <v>0</v>
      </c>
    </row>
    <row r="18" spans="1:14" ht="12.75" customHeight="1" x14ac:dyDescent="0.2">
      <c r="A18"/>
      <c r="B18" s="446" t="s">
        <v>2948</v>
      </c>
      <c r="C18" s="74">
        <v>11</v>
      </c>
      <c r="D18" s="74">
        <v>-5006</v>
      </c>
      <c r="E18" s="74">
        <v>0</v>
      </c>
      <c r="F18" s="74">
        <v>0</v>
      </c>
      <c r="G18" s="74">
        <v>0</v>
      </c>
      <c r="H18" s="74">
        <v>0</v>
      </c>
      <c r="I18" s="74">
        <v>0</v>
      </c>
      <c r="J18" s="74">
        <v>0</v>
      </c>
      <c r="K18" s="74">
        <v>0</v>
      </c>
      <c r="L18" s="74">
        <v>0</v>
      </c>
      <c r="M18" s="74">
        <v>11</v>
      </c>
      <c r="N18" s="74">
        <v>-5006</v>
      </c>
    </row>
    <row r="19" spans="1:14" x14ac:dyDescent="0.2">
      <c r="A19"/>
      <c r="B19" s="446" t="s">
        <v>2949</v>
      </c>
      <c r="C19" s="74">
        <v>0</v>
      </c>
      <c r="D19" s="74">
        <v>0</v>
      </c>
      <c r="E19" s="74">
        <v>0</v>
      </c>
      <c r="F19" s="74">
        <v>0</v>
      </c>
      <c r="G19" s="74">
        <v>0</v>
      </c>
      <c r="H19" s="74">
        <v>0</v>
      </c>
      <c r="I19" s="74">
        <v>0</v>
      </c>
      <c r="J19" s="74">
        <v>0</v>
      </c>
      <c r="K19" s="74">
        <v>0</v>
      </c>
      <c r="L19" s="74">
        <v>0</v>
      </c>
      <c r="M19" s="74">
        <v>0</v>
      </c>
      <c r="N19" s="74">
        <v>0</v>
      </c>
    </row>
    <row r="20" spans="1:14" x14ac:dyDescent="0.2">
      <c r="A20"/>
      <c r="B20" s="446" t="s">
        <v>2959</v>
      </c>
      <c r="C20" s="74">
        <v>1</v>
      </c>
      <c r="D20" s="74">
        <v>-63</v>
      </c>
      <c r="E20" s="74">
        <v>0</v>
      </c>
      <c r="F20" s="74">
        <v>0</v>
      </c>
      <c r="G20" s="74">
        <v>1</v>
      </c>
      <c r="H20" s="74">
        <v>-84</v>
      </c>
      <c r="I20" s="74">
        <v>0</v>
      </c>
      <c r="J20" s="74">
        <v>0</v>
      </c>
      <c r="K20" s="74">
        <v>0</v>
      </c>
      <c r="L20" s="74">
        <v>0</v>
      </c>
      <c r="M20" s="74">
        <v>2</v>
      </c>
      <c r="N20" s="74">
        <v>-147</v>
      </c>
    </row>
    <row r="21" spans="1:14" x14ac:dyDescent="0.2">
      <c r="A21" s="446" t="s">
        <v>2958</v>
      </c>
      <c r="B21" s="446"/>
      <c r="C21" s="74">
        <v>41</v>
      </c>
      <c r="D21" s="74">
        <v>22782</v>
      </c>
      <c r="E21" s="74">
        <v>0</v>
      </c>
      <c r="F21" s="74">
        <v>0</v>
      </c>
      <c r="G21" s="74">
        <v>7</v>
      </c>
      <c r="H21" s="74">
        <v>1007</v>
      </c>
      <c r="I21" s="74">
        <v>1</v>
      </c>
      <c r="J21" s="74">
        <v>-88</v>
      </c>
      <c r="K21" s="74">
        <v>7</v>
      </c>
      <c r="L21" s="74">
        <v>-1141</v>
      </c>
      <c r="M21" s="74">
        <v>52</v>
      </c>
      <c r="N21" s="74">
        <v>22560</v>
      </c>
    </row>
    <row r="22" spans="1:14" x14ac:dyDescent="0.2">
      <c r="A22" s="446" t="s">
        <v>115</v>
      </c>
      <c r="B22"/>
      <c r="C22" s="74">
        <v>280</v>
      </c>
      <c r="D22" s="74">
        <v>119368</v>
      </c>
      <c r="E22" s="74">
        <v>4</v>
      </c>
      <c r="F22" s="74">
        <v>-4570</v>
      </c>
      <c r="G22" s="74">
        <v>38</v>
      </c>
      <c r="H22" s="74">
        <v>-48541</v>
      </c>
      <c r="I22" s="74">
        <v>19</v>
      </c>
      <c r="J22" s="74">
        <v>-8161</v>
      </c>
      <c r="K22" s="74">
        <v>67</v>
      </c>
      <c r="L22" s="74">
        <v>-92037</v>
      </c>
      <c r="M22" s="74">
        <v>364</v>
      </c>
      <c r="N22" s="74">
        <v>-33741</v>
      </c>
    </row>
    <row r="23" spans="1:14" x14ac:dyDescent="0.2">
      <c r="A23"/>
      <c r="B23"/>
      <c r="C23"/>
      <c r="D23"/>
      <c r="E23"/>
      <c r="F23"/>
      <c r="G23"/>
      <c r="H23"/>
      <c r="I23"/>
    </row>
    <row r="24" spans="1:14" x14ac:dyDescent="0.2">
      <c r="A24"/>
      <c r="B24"/>
      <c r="C24"/>
      <c r="D24"/>
      <c r="E24"/>
      <c r="F24"/>
      <c r="G24"/>
      <c r="H24"/>
      <c r="I24"/>
    </row>
    <row r="25" spans="1:14" x14ac:dyDescent="0.2">
      <c r="A25"/>
      <c r="B25"/>
      <c r="C25"/>
      <c r="D25"/>
      <c r="E25"/>
      <c r="F25"/>
      <c r="G25"/>
      <c r="H25"/>
      <c r="I25"/>
    </row>
    <row r="26" spans="1:14" x14ac:dyDescent="0.2">
      <c r="A26"/>
      <c r="B26"/>
      <c r="C26"/>
      <c r="D26"/>
      <c r="E26"/>
      <c r="F26"/>
      <c r="G26"/>
      <c r="H26"/>
      <c r="I26"/>
    </row>
    <row r="27" spans="1:14" x14ac:dyDescent="0.2">
      <c r="A27"/>
      <c r="B27"/>
      <c r="C27"/>
      <c r="D27"/>
      <c r="E27"/>
      <c r="F27"/>
      <c r="G27"/>
      <c r="H27"/>
      <c r="I27"/>
    </row>
    <row r="28" spans="1:14" x14ac:dyDescent="0.2">
      <c r="A28"/>
      <c r="B28"/>
      <c r="C28"/>
      <c r="D28"/>
      <c r="E28"/>
      <c r="F28"/>
      <c r="G28"/>
      <c r="H28"/>
      <c r="I28"/>
    </row>
    <row r="29" spans="1:14" x14ac:dyDescent="0.2">
      <c r="A29"/>
      <c r="B29"/>
      <c r="C29"/>
      <c r="D29"/>
      <c r="E29"/>
      <c r="F29"/>
      <c r="G29"/>
      <c r="H29"/>
      <c r="I29"/>
    </row>
    <row r="39" spans="1:7" x14ac:dyDescent="0.2">
      <c r="A39" s="43"/>
      <c r="B39" s="44" t="s">
        <v>97</v>
      </c>
      <c r="C39" s="44" t="s">
        <v>98</v>
      </c>
      <c r="D39" s="44" t="s">
        <v>99</v>
      </c>
      <c r="E39" s="44" t="s">
        <v>100</v>
      </c>
      <c r="F39" s="44" t="s">
        <v>101</v>
      </c>
      <c r="G39" s="44" t="s">
        <v>95</v>
      </c>
    </row>
    <row r="40" spans="1:7" x14ac:dyDescent="0.2">
      <c r="A40" s="45" t="s">
        <v>425</v>
      </c>
      <c r="B40" s="46" t="e">
        <f>GETPIVOTDATA("Sum of B1a Net2",'1.3 Pivot'!#REF!,"StatusR","Completion 2016/17")</f>
        <v>#REF!</v>
      </c>
      <c r="C40" s="47" t="e">
        <f>GETPIVOTDATA("Sum of B1b Net2",'1.3 Pivot'!#REF!,"StatusR","Completion 2016/17")</f>
        <v>#REF!</v>
      </c>
      <c r="D40" s="47" t="e">
        <f>GETPIVOTDATA("Sum of B1c Net2",'1.3 Pivot'!#REF!,"StatusR","Completion 2016/17")</f>
        <v>#REF!</v>
      </c>
      <c r="E40" s="48" t="e">
        <f>GETPIVOTDATA("Sum of B2 Net2",'1.3 Pivot'!#REF!,"StatusR","Completion 2016/17")</f>
        <v>#REF!</v>
      </c>
      <c r="F40" s="48" t="e">
        <f>GETPIVOTDATA("Sum of B8 Net2",'1.3 Pivot'!#REF!,"StatusR","Completion 2016/17")</f>
        <v>#REF!</v>
      </c>
      <c r="G40" s="49" t="e">
        <f>GETPIVOTDATA("Sum of B Use Total Net2",'1.3 Pivot'!#REF!,"StatusR","Completion 2016/17")</f>
        <v>#REF!</v>
      </c>
    </row>
    <row r="41" spans="1:7" x14ac:dyDescent="0.2">
      <c r="A41" s="29" t="s">
        <v>102</v>
      </c>
      <c r="B41" s="50">
        <f>'1.3'!E12</f>
        <v>113101</v>
      </c>
      <c r="C41" s="50">
        <f>'1.3'!G12</f>
        <v>405</v>
      </c>
      <c r="D41" s="50">
        <f>'1.3'!I12</f>
        <v>-32859</v>
      </c>
      <c r="E41" s="50">
        <f>'1.3'!K12</f>
        <v>-3388</v>
      </c>
      <c r="F41" s="50">
        <f>'1.3'!M12</f>
        <v>-87740</v>
      </c>
      <c r="G41" s="51">
        <f>SUM(B41:F41)</f>
        <v>-10481</v>
      </c>
    </row>
    <row r="42" spans="1:7" x14ac:dyDescent="0.2">
      <c r="A42" s="29" t="s">
        <v>103</v>
      </c>
      <c r="B42" s="20">
        <f>'1.3'!E17</f>
        <v>22782</v>
      </c>
      <c r="C42" s="50">
        <f>'1.3'!G17</f>
        <v>0</v>
      </c>
      <c r="D42" s="50">
        <f>'1.3'!I17</f>
        <v>1007</v>
      </c>
      <c r="E42" s="50">
        <f>'1.3'!K17</f>
        <v>-88</v>
      </c>
      <c r="F42" s="50">
        <f>'1.3'!M17</f>
        <v>-1141</v>
      </c>
      <c r="G42" s="42">
        <f>SUM(B42:F42)</f>
        <v>22560</v>
      </c>
    </row>
  </sheetData>
  <phoneticPr fontId="0" type="noConversion"/>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S68"/>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2936</v>
      </c>
    </row>
    <row r="2" spans="1:19" x14ac:dyDescent="0.2">
      <c r="A2" s="77" t="s">
        <v>2941</v>
      </c>
      <c r="B2" s="446" t="s">
        <v>2943</v>
      </c>
    </row>
    <row r="3" spans="1:19" x14ac:dyDescent="0.2">
      <c r="A3" s="77" t="s">
        <v>3968</v>
      </c>
      <c r="B3" s="446" t="s">
        <v>126</v>
      </c>
    </row>
    <row r="5" spans="1:19" x14ac:dyDescent="0.2">
      <c r="A5" s="77" t="s">
        <v>185</v>
      </c>
      <c r="B5" s="77" t="s">
        <v>3938</v>
      </c>
      <c r="C5" s="77" t="s">
        <v>2848</v>
      </c>
      <c r="D5" s="77" t="s">
        <v>2844</v>
      </c>
      <c r="E5" s="77" t="s">
        <v>3966</v>
      </c>
      <c r="F5" s="77" t="s">
        <v>13</v>
      </c>
      <c r="G5" s="446" t="s">
        <v>3955</v>
      </c>
      <c r="H5" s="446" t="s">
        <v>3956</v>
      </c>
      <c r="I5" s="446" t="s">
        <v>3957</v>
      </c>
      <c r="J5" s="446" t="s">
        <v>3958</v>
      </c>
      <c r="K5" s="446" t="s">
        <v>3959</v>
      </c>
      <c r="L5" s="446" t="s">
        <v>3960</v>
      </c>
      <c r="M5" s="446" t="s">
        <v>3961</v>
      </c>
      <c r="N5" s="446" t="s">
        <v>3962</v>
      </c>
      <c r="O5" s="446" t="s">
        <v>3963</v>
      </c>
      <c r="P5" s="446" t="s">
        <v>3964</v>
      </c>
      <c r="Q5" s="446" t="s">
        <v>3965</v>
      </c>
      <c r="R5" s="446" t="s">
        <v>2921</v>
      </c>
      <c r="S5" s="446" t="s">
        <v>2982</v>
      </c>
    </row>
    <row r="6" spans="1:19" x14ac:dyDescent="0.2">
      <c r="A6" s="446" t="s">
        <v>2079</v>
      </c>
      <c r="B6" s="446" t="s">
        <v>150</v>
      </c>
      <c r="C6" s="446" t="s">
        <v>288</v>
      </c>
      <c r="D6" s="446" t="s">
        <v>153</v>
      </c>
      <c r="E6" s="446" t="s">
        <v>421</v>
      </c>
      <c r="F6" s="298">
        <v>42041</v>
      </c>
      <c r="G6" s="74">
        <v>0</v>
      </c>
      <c r="H6" s="74">
        <v>0</v>
      </c>
      <c r="I6" s="74">
        <v>0</v>
      </c>
      <c r="J6" s="74">
        <v>0</v>
      </c>
      <c r="K6" s="74">
        <v>0</v>
      </c>
      <c r="L6" s="74">
        <v>0</v>
      </c>
      <c r="M6" s="74">
        <v>322</v>
      </c>
      <c r="N6" s="74">
        <v>0</v>
      </c>
      <c r="O6" s="74">
        <v>0</v>
      </c>
      <c r="P6" s="74">
        <v>0</v>
      </c>
      <c r="Q6" s="74">
        <v>0</v>
      </c>
      <c r="R6" s="74">
        <v>322</v>
      </c>
      <c r="S6" s="74">
        <v>-322</v>
      </c>
    </row>
    <row r="7" spans="1:19" x14ac:dyDescent="0.2">
      <c r="A7" s="446" t="s">
        <v>1347</v>
      </c>
      <c r="B7" s="446" t="s">
        <v>3948</v>
      </c>
      <c r="C7" s="446" t="s">
        <v>1283</v>
      </c>
      <c r="D7" s="446" t="s">
        <v>153</v>
      </c>
      <c r="E7" s="446" t="s">
        <v>3798</v>
      </c>
      <c r="F7" s="298">
        <v>42850</v>
      </c>
      <c r="G7" s="74">
        <v>0</v>
      </c>
      <c r="H7" s="74">
        <v>0</v>
      </c>
      <c r="I7" s="74">
        <v>0</v>
      </c>
      <c r="J7" s="74">
        <v>0</v>
      </c>
      <c r="K7" s="74">
        <v>0</v>
      </c>
      <c r="L7" s="74">
        <v>0</v>
      </c>
      <c r="M7" s="74">
        <v>59</v>
      </c>
      <c r="N7" s="74">
        <v>0</v>
      </c>
      <c r="O7" s="74">
        <v>0</v>
      </c>
      <c r="P7" s="74">
        <v>0</v>
      </c>
      <c r="Q7" s="74">
        <v>0</v>
      </c>
      <c r="R7" s="74">
        <v>59</v>
      </c>
      <c r="S7" s="74">
        <v>-59</v>
      </c>
    </row>
    <row r="8" spans="1:19" x14ac:dyDescent="0.2">
      <c r="A8" s="446" t="s">
        <v>1329</v>
      </c>
      <c r="B8" s="446" t="s">
        <v>3943</v>
      </c>
      <c r="C8" s="446" t="s">
        <v>287</v>
      </c>
      <c r="D8" s="446" t="s">
        <v>153</v>
      </c>
      <c r="E8" s="446" t="s">
        <v>3798</v>
      </c>
      <c r="F8" s="298">
        <v>42167</v>
      </c>
      <c r="G8" s="74">
        <v>0</v>
      </c>
      <c r="H8" s="74">
        <v>0</v>
      </c>
      <c r="I8" s="74">
        <v>0</v>
      </c>
      <c r="J8" s="74">
        <v>0</v>
      </c>
      <c r="K8" s="74">
        <v>0</v>
      </c>
      <c r="L8" s="74">
        <v>0</v>
      </c>
      <c r="M8" s="74">
        <v>1876</v>
      </c>
      <c r="N8" s="74">
        <v>0</v>
      </c>
      <c r="O8" s="74">
        <v>0</v>
      </c>
      <c r="P8" s="74">
        <v>0</v>
      </c>
      <c r="Q8" s="74">
        <v>0</v>
      </c>
      <c r="R8" s="74">
        <v>1876</v>
      </c>
      <c r="S8" s="74">
        <v>-1876</v>
      </c>
    </row>
    <row r="9" spans="1:19" x14ac:dyDescent="0.2">
      <c r="A9" s="446" t="s">
        <v>1620</v>
      </c>
      <c r="B9" s="446" t="s">
        <v>3944</v>
      </c>
      <c r="C9" s="446" t="s">
        <v>776</v>
      </c>
      <c r="D9" s="446" t="s">
        <v>153</v>
      </c>
      <c r="E9" s="446" t="s">
        <v>3798</v>
      </c>
      <c r="F9" s="298">
        <v>42368</v>
      </c>
      <c r="G9" s="74">
        <v>0</v>
      </c>
      <c r="H9" s="74">
        <v>0</v>
      </c>
      <c r="I9" s="74">
        <v>0</v>
      </c>
      <c r="J9" s="74">
        <v>0</v>
      </c>
      <c r="K9" s="74">
        <v>0</v>
      </c>
      <c r="L9" s="74">
        <v>0</v>
      </c>
      <c r="M9" s="74">
        <v>37</v>
      </c>
      <c r="N9" s="74">
        <v>0</v>
      </c>
      <c r="O9" s="74">
        <v>0</v>
      </c>
      <c r="P9" s="74">
        <v>0</v>
      </c>
      <c r="Q9" s="74">
        <v>0</v>
      </c>
      <c r="R9" s="74">
        <v>37</v>
      </c>
      <c r="S9" s="74">
        <v>-37</v>
      </c>
    </row>
    <row r="10" spans="1:19" x14ac:dyDescent="0.2">
      <c r="A10" s="446" t="s">
        <v>2323</v>
      </c>
      <c r="B10" s="446" t="s">
        <v>3944</v>
      </c>
      <c r="C10" s="446" t="s">
        <v>1184</v>
      </c>
      <c r="D10" s="446" t="s">
        <v>153</v>
      </c>
      <c r="E10" s="446" t="s">
        <v>3798</v>
      </c>
      <c r="F10" s="298">
        <v>42800</v>
      </c>
      <c r="G10" s="74">
        <v>0</v>
      </c>
      <c r="H10" s="74">
        <v>0</v>
      </c>
      <c r="I10" s="74">
        <v>192</v>
      </c>
      <c r="J10" s="74">
        <v>0</v>
      </c>
      <c r="K10" s="74">
        <v>0</v>
      </c>
      <c r="L10" s="74">
        <v>192</v>
      </c>
      <c r="M10" s="74">
        <v>0</v>
      </c>
      <c r="N10" s="74">
        <v>0</v>
      </c>
      <c r="O10" s="74">
        <v>0</v>
      </c>
      <c r="P10" s="74">
        <v>0</v>
      </c>
      <c r="Q10" s="74">
        <v>0</v>
      </c>
      <c r="R10" s="74">
        <v>0</v>
      </c>
      <c r="S10" s="74">
        <v>192</v>
      </c>
    </row>
    <row r="11" spans="1:19" x14ac:dyDescent="0.2">
      <c r="A11" s="446" t="s">
        <v>2059</v>
      </c>
      <c r="B11" s="446" t="s">
        <v>3949</v>
      </c>
      <c r="C11" s="446" t="s">
        <v>534</v>
      </c>
      <c r="D11" s="446" t="s">
        <v>153</v>
      </c>
      <c r="E11" s="446" t="s">
        <v>3798</v>
      </c>
      <c r="F11" s="298">
        <v>42339</v>
      </c>
      <c r="G11" s="74">
        <v>0</v>
      </c>
      <c r="H11" s="74">
        <v>0</v>
      </c>
      <c r="I11" s="74">
        <v>0</v>
      </c>
      <c r="J11" s="74">
        <v>0</v>
      </c>
      <c r="K11" s="74">
        <v>0</v>
      </c>
      <c r="L11" s="74">
        <v>0</v>
      </c>
      <c r="M11" s="74">
        <v>0</v>
      </c>
      <c r="N11" s="74">
        <v>0</v>
      </c>
      <c r="O11" s="74">
        <v>0</v>
      </c>
      <c r="P11" s="74">
        <v>0</v>
      </c>
      <c r="Q11" s="74">
        <v>52</v>
      </c>
      <c r="R11" s="74">
        <v>52</v>
      </c>
      <c r="S11" s="74">
        <v>-52</v>
      </c>
    </row>
    <row r="12" spans="1:19" x14ac:dyDescent="0.2">
      <c r="A12" s="446" t="s">
        <v>2041</v>
      </c>
      <c r="B12" s="446" t="s">
        <v>3946</v>
      </c>
      <c r="C12" s="446" t="s">
        <v>365</v>
      </c>
      <c r="D12" s="446" t="s">
        <v>153</v>
      </c>
      <c r="E12" s="446" t="s">
        <v>421</v>
      </c>
      <c r="F12" s="298">
        <v>41891</v>
      </c>
      <c r="G12" s="74">
        <v>0</v>
      </c>
      <c r="H12" s="74">
        <v>0</v>
      </c>
      <c r="I12" s="74">
        <v>0</v>
      </c>
      <c r="J12" s="74">
        <v>0</v>
      </c>
      <c r="K12" s="74">
        <v>0</v>
      </c>
      <c r="L12" s="74">
        <v>0</v>
      </c>
      <c r="M12" s="74">
        <v>200</v>
      </c>
      <c r="N12" s="74">
        <v>0</v>
      </c>
      <c r="O12" s="74">
        <v>0</v>
      </c>
      <c r="P12" s="74">
        <v>0</v>
      </c>
      <c r="Q12" s="74">
        <v>0</v>
      </c>
      <c r="R12" s="74">
        <v>200</v>
      </c>
      <c r="S12" s="74">
        <v>-200</v>
      </c>
    </row>
    <row r="13" spans="1:19" x14ac:dyDescent="0.2">
      <c r="A13" s="446" t="s">
        <v>1972</v>
      </c>
      <c r="B13" s="446" t="s">
        <v>150</v>
      </c>
      <c r="C13" s="446" t="s">
        <v>231</v>
      </c>
      <c r="D13" s="446" t="s">
        <v>153</v>
      </c>
      <c r="E13" s="446" t="s">
        <v>3798</v>
      </c>
      <c r="F13" s="298">
        <v>41310</v>
      </c>
      <c r="G13" s="74">
        <v>15</v>
      </c>
      <c r="H13" s="74">
        <v>0</v>
      </c>
      <c r="I13" s="74">
        <v>0</v>
      </c>
      <c r="J13" s="74">
        <v>0</v>
      </c>
      <c r="K13" s="74">
        <v>0</v>
      </c>
      <c r="L13" s="74">
        <v>15</v>
      </c>
      <c r="M13" s="74">
        <v>0</v>
      </c>
      <c r="N13" s="74">
        <v>0</v>
      </c>
      <c r="O13" s="74">
        <v>0</v>
      </c>
      <c r="P13" s="74">
        <v>0</v>
      </c>
      <c r="Q13" s="74">
        <v>0</v>
      </c>
      <c r="R13" s="74">
        <v>0</v>
      </c>
      <c r="S13" s="74">
        <v>15</v>
      </c>
    </row>
    <row r="14" spans="1:19" x14ac:dyDescent="0.2">
      <c r="A14" s="446" t="s">
        <v>1501</v>
      </c>
      <c r="B14" s="446" t="s">
        <v>3954</v>
      </c>
      <c r="C14" s="446" t="s">
        <v>280</v>
      </c>
      <c r="D14" s="446" t="s">
        <v>153</v>
      </c>
      <c r="E14" s="446" t="s">
        <v>3798</v>
      </c>
      <c r="F14" s="298">
        <v>42054</v>
      </c>
      <c r="G14" s="74">
        <v>0</v>
      </c>
      <c r="H14" s="74">
        <v>0</v>
      </c>
      <c r="I14" s="74">
        <v>0</v>
      </c>
      <c r="J14" s="74">
        <v>0</v>
      </c>
      <c r="K14" s="74">
        <v>0</v>
      </c>
      <c r="L14" s="74">
        <v>0</v>
      </c>
      <c r="M14" s="74">
        <v>0</v>
      </c>
      <c r="N14" s="74">
        <v>0</v>
      </c>
      <c r="O14" s="74">
        <v>500</v>
      </c>
      <c r="P14" s="74">
        <v>0</v>
      </c>
      <c r="Q14" s="74">
        <v>0</v>
      </c>
      <c r="R14" s="74">
        <v>500</v>
      </c>
      <c r="S14" s="74">
        <v>-500</v>
      </c>
    </row>
    <row r="15" spans="1:19" x14ac:dyDescent="0.2">
      <c r="A15" s="446" t="s">
        <v>2180</v>
      </c>
      <c r="B15" s="446" t="s">
        <v>2904</v>
      </c>
      <c r="C15" s="446" t="s">
        <v>651</v>
      </c>
      <c r="D15" s="446" t="s">
        <v>153</v>
      </c>
      <c r="E15" s="446" t="s">
        <v>3798</v>
      </c>
      <c r="F15" s="298">
        <v>42481</v>
      </c>
      <c r="G15" s="74">
        <v>0</v>
      </c>
      <c r="H15" s="74">
        <v>0</v>
      </c>
      <c r="I15" s="74">
        <v>0</v>
      </c>
      <c r="J15" s="74">
        <v>0</v>
      </c>
      <c r="K15" s="74">
        <v>0</v>
      </c>
      <c r="L15" s="74">
        <v>0</v>
      </c>
      <c r="M15" s="74">
        <v>33</v>
      </c>
      <c r="N15" s="74">
        <v>0</v>
      </c>
      <c r="O15" s="74">
        <v>0</v>
      </c>
      <c r="P15" s="74">
        <v>0</v>
      </c>
      <c r="Q15" s="74">
        <v>0</v>
      </c>
      <c r="R15" s="74">
        <v>33</v>
      </c>
      <c r="S15" s="74">
        <v>-33</v>
      </c>
    </row>
    <row r="16" spans="1:19" x14ac:dyDescent="0.2">
      <c r="A16" s="446" t="s">
        <v>2183</v>
      </c>
      <c r="B16" s="446" t="s">
        <v>2904</v>
      </c>
      <c r="C16" s="446" t="s">
        <v>597</v>
      </c>
      <c r="D16" s="446" t="s">
        <v>153</v>
      </c>
      <c r="E16" s="446" t="s">
        <v>3798</v>
      </c>
      <c r="F16" s="298">
        <v>42430</v>
      </c>
      <c r="G16" s="74">
        <v>0</v>
      </c>
      <c r="H16" s="74">
        <v>0</v>
      </c>
      <c r="I16" s="74">
        <v>0</v>
      </c>
      <c r="J16" s="74">
        <v>0</v>
      </c>
      <c r="K16" s="74">
        <v>14</v>
      </c>
      <c r="L16" s="74">
        <v>14</v>
      </c>
      <c r="M16" s="74">
        <v>0</v>
      </c>
      <c r="N16" s="74">
        <v>0</v>
      </c>
      <c r="O16" s="74">
        <v>0</v>
      </c>
      <c r="P16" s="74">
        <v>0</v>
      </c>
      <c r="Q16" s="74">
        <v>0</v>
      </c>
      <c r="R16" s="74">
        <v>0</v>
      </c>
      <c r="S16" s="74">
        <v>14</v>
      </c>
    </row>
    <row r="17" spans="1:19" x14ac:dyDescent="0.2">
      <c r="A17" s="446" t="s">
        <v>1940</v>
      </c>
      <c r="B17" s="446" t="s">
        <v>3947</v>
      </c>
      <c r="C17" s="446" t="s">
        <v>261</v>
      </c>
      <c r="D17" s="446" t="s">
        <v>153</v>
      </c>
      <c r="E17" s="446" t="s">
        <v>3798</v>
      </c>
      <c r="F17" s="298">
        <v>41702</v>
      </c>
      <c r="G17" s="74">
        <v>0</v>
      </c>
      <c r="H17" s="74">
        <v>0</v>
      </c>
      <c r="I17" s="74">
        <v>0</v>
      </c>
      <c r="J17" s="74">
        <v>0</v>
      </c>
      <c r="K17" s="74">
        <v>0</v>
      </c>
      <c r="L17" s="74">
        <v>0</v>
      </c>
      <c r="M17" s="74">
        <v>0</v>
      </c>
      <c r="N17" s="74">
        <v>47</v>
      </c>
      <c r="O17" s="74">
        <v>0</v>
      </c>
      <c r="P17" s="74">
        <v>0</v>
      </c>
      <c r="Q17" s="74">
        <v>62</v>
      </c>
      <c r="R17" s="74">
        <v>109</v>
      </c>
      <c r="S17" s="74">
        <v>-109</v>
      </c>
    </row>
    <row r="18" spans="1:19" x14ac:dyDescent="0.2">
      <c r="A18" s="446" t="s">
        <v>2054</v>
      </c>
      <c r="B18" s="446" t="s">
        <v>3944</v>
      </c>
      <c r="C18" s="446" t="s">
        <v>379</v>
      </c>
      <c r="D18" s="446" t="s">
        <v>153</v>
      </c>
      <c r="E18" s="446" t="s">
        <v>3798</v>
      </c>
      <c r="F18" s="298">
        <v>42016</v>
      </c>
      <c r="G18" s="74">
        <v>0</v>
      </c>
      <c r="H18" s="74">
        <v>0</v>
      </c>
      <c r="I18" s="74">
        <v>0</v>
      </c>
      <c r="J18" s="74">
        <v>0</v>
      </c>
      <c r="K18" s="74">
        <v>0</v>
      </c>
      <c r="L18" s="74">
        <v>0</v>
      </c>
      <c r="M18" s="74">
        <v>0</v>
      </c>
      <c r="N18" s="74">
        <v>0</v>
      </c>
      <c r="O18" s="74">
        <v>0</v>
      </c>
      <c r="P18" s="74">
        <v>0</v>
      </c>
      <c r="Q18" s="74">
        <v>42</v>
      </c>
      <c r="R18" s="74">
        <v>42</v>
      </c>
      <c r="S18" s="74">
        <v>-42</v>
      </c>
    </row>
    <row r="19" spans="1:19" x14ac:dyDescent="0.2">
      <c r="A19" s="446" t="s">
        <v>2036</v>
      </c>
      <c r="B19" s="446" t="s">
        <v>3945</v>
      </c>
      <c r="C19" s="446" t="s">
        <v>292</v>
      </c>
      <c r="D19" s="446" t="s">
        <v>153</v>
      </c>
      <c r="E19" s="446" t="s">
        <v>3798</v>
      </c>
      <c r="F19" s="298">
        <v>42073</v>
      </c>
      <c r="G19" s="74">
        <v>139</v>
      </c>
      <c r="H19" s="74">
        <v>0</v>
      </c>
      <c r="I19" s="74">
        <v>0</v>
      </c>
      <c r="J19" s="74">
        <v>0</v>
      </c>
      <c r="K19" s="74">
        <v>0</v>
      </c>
      <c r="L19" s="74">
        <v>139</v>
      </c>
      <c r="M19" s="74">
        <v>139</v>
      </c>
      <c r="N19" s="74">
        <v>0</v>
      </c>
      <c r="O19" s="74">
        <v>0</v>
      </c>
      <c r="P19" s="74">
        <v>0</v>
      </c>
      <c r="Q19" s="74">
        <v>0</v>
      </c>
      <c r="R19" s="74">
        <v>139</v>
      </c>
      <c r="S19" s="74">
        <v>0</v>
      </c>
    </row>
    <row r="20" spans="1:19" x14ac:dyDescent="0.2">
      <c r="A20" s="446" t="s">
        <v>2339</v>
      </c>
      <c r="B20" s="446" t="s">
        <v>2907</v>
      </c>
      <c r="C20" s="446" t="s">
        <v>1117</v>
      </c>
      <c r="D20" s="446" t="s">
        <v>153</v>
      </c>
      <c r="E20" s="446" t="s">
        <v>3798</v>
      </c>
      <c r="F20" s="298">
        <v>42725</v>
      </c>
      <c r="G20" s="74">
        <v>270</v>
      </c>
      <c r="H20" s="74">
        <v>0</v>
      </c>
      <c r="I20" s="74">
        <v>0</v>
      </c>
      <c r="J20" s="74">
        <v>0</v>
      </c>
      <c r="K20" s="74">
        <v>0</v>
      </c>
      <c r="L20" s="74">
        <v>270</v>
      </c>
      <c r="M20" s="74">
        <v>0</v>
      </c>
      <c r="N20" s="74">
        <v>0</v>
      </c>
      <c r="O20" s="74">
        <v>0</v>
      </c>
      <c r="P20" s="74">
        <v>0</v>
      </c>
      <c r="Q20" s="74">
        <v>0</v>
      </c>
      <c r="R20" s="74">
        <v>0</v>
      </c>
      <c r="S20" s="74">
        <v>270</v>
      </c>
    </row>
    <row r="21" spans="1:19" x14ac:dyDescent="0.2">
      <c r="A21" s="446" t="s">
        <v>2096</v>
      </c>
      <c r="B21" s="446" t="s">
        <v>2907</v>
      </c>
      <c r="C21" s="446" t="s">
        <v>305</v>
      </c>
      <c r="D21" s="446" t="s">
        <v>153</v>
      </c>
      <c r="E21" s="446" t="s">
        <v>3798</v>
      </c>
      <c r="F21" s="298">
        <v>42116</v>
      </c>
      <c r="G21" s="74">
        <v>0</v>
      </c>
      <c r="H21" s="74">
        <v>0</v>
      </c>
      <c r="I21" s="74">
        <v>0</v>
      </c>
      <c r="J21" s="74">
        <v>0</v>
      </c>
      <c r="K21" s="74">
        <v>0</v>
      </c>
      <c r="L21" s="74">
        <v>0</v>
      </c>
      <c r="M21" s="74">
        <v>0</v>
      </c>
      <c r="N21" s="74">
        <v>0</v>
      </c>
      <c r="O21" s="74">
        <v>0</v>
      </c>
      <c r="P21" s="74">
        <v>0</v>
      </c>
      <c r="Q21" s="74">
        <v>302</v>
      </c>
      <c r="R21" s="74">
        <v>302</v>
      </c>
      <c r="S21" s="74">
        <v>-302</v>
      </c>
    </row>
    <row r="22" spans="1:19" x14ac:dyDescent="0.2">
      <c r="A22" s="446" t="s">
        <v>2386</v>
      </c>
      <c r="B22" s="446" t="s">
        <v>149</v>
      </c>
      <c r="C22" s="446" t="s">
        <v>1222</v>
      </c>
      <c r="D22" s="446" t="s">
        <v>153</v>
      </c>
      <c r="E22" s="446" t="s">
        <v>3798</v>
      </c>
      <c r="F22" s="298">
        <v>42916</v>
      </c>
      <c r="G22" s="74">
        <v>0</v>
      </c>
      <c r="H22" s="74">
        <v>0</v>
      </c>
      <c r="I22" s="74">
        <v>0</v>
      </c>
      <c r="J22" s="74">
        <v>0</v>
      </c>
      <c r="K22" s="74">
        <v>0</v>
      </c>
      <c r="L22" s="74">
        <v>0</v>
      </c>
      <c r="M22" s="74">
        <v>78</v>
      </c>
      <c r="N22" s="74">
        <v>0</v>
      </c>
      <c r="O22" s="74">
        <v>0</v>
      </c>
      <c r="P22" s="74">
        <v>0</v>
      </c>
      <c r="Q22" s="74">
        <v>0</v>
      </c>
      <c r="R22" s="74">
        <v>78</v>
      </c>
      <c r="S22" s="74">
        <v>-78</v>
      </c>
    </row>
    <row r="23" spans="1:19" x14ac:dyDescent="0.2">
      <c r="A23" s="446" t="s">
        <v>2091</v>
      </c>
      <c r="B23" s="446" t="s">
        <v>150</v>
      </c>
      <c r="C23" s="446" t="s">
        <v>293</v>
      </c>
      <c r="D23" s="446" t="s">
        <v>153</v>
      </c>
      <c r="E23" s="446" t="s">
        <v>3798</v>
      </c>
      <c r="F23" s="298">
        <v>42041</v>
      </c>
      <c r="G23" s="74">
        <v>0</v>
      </c>
      <c r="H23" s="74">
        <v>0</v>
      </c>
      <c r="I23" s="74">
        <v>0</v>
      </c>
      <c r="J23" s="74">
        <v>0</v>
      </c>
      <c r="K23" s="74">
        <v>0</v>
      </c>
      <c r="L23" s="74">
        <v>0</v>
      </c>
      <c r="M23" s="74">
        <v>0</v>
      </c>
      <c r="N23" s="74">
        <v>0</v>
      </c>
      <c r="O23" s="74">
        <v>0</v>
      </c>
      <c r="P23" s="74">
        <v>0</v>
      </c>
      <c r="Q23" s="74">
        <v>42</v>
      </c>
      <c r="R23" s="74">
        <v>42</v>
      </c>
      <c r="S23" s="74">
        <v>-42</v>
      </c>
    </row>
    <row r="24" spans="1:19" x14ac:dyDescent="0.2">
      <c r="A24" s="446" t="s">
        <v>2115</v>
      </c>
      <c r="B24" s="446" t="s">
        <v>3942</v>
      </c>
      <c r="C24" s="446" t="s">
        <v>457</v>
      </c>
      <c r="D24" s="446" t="s">
        <v>153</v>
      </c>
      <c r="E24" s="446" t="s">
        <v>421</v>
      </c>
      <c r="F24" s="298">
        <v>42173</v>
      </c>
      <c r="G24" s="74">
        <v>0</v>
      </c>
      <c r="H24" s="74">
        <v>0</v>
      </c>
      <c r="I24" s="74">
        <v>0</v>
      </c>
      <c r="J24" s="74">
        <v>0</v>
      </c>
      <c r="K24" s="74">
        <v>0</v>
      </c>
      <c r="L24" s="74">
        <v>0</v>
      </c>
      <c r="M24" s="74">
        <v>49</v>
      </c>
      <c r="N24" s="74">
        <v>0</v>
      </c>
      <c r="O24" s="74">
        <v>0</v>
      </c>
      <c r="P24" s="74">
        <v>0</v>
      </c>
      <c r="Q24" s="74">
        <v>0</v>
      </c>
      <c r="R24" s="74">
        <v>49</v>
      </c>
      <c r="S24" s="74">
        <v>-49</v>
      </c>
    </row>
    <row r="25" spans="1:19" x14ac:dyDescent="0.2">
      <c r="A25" s="446" t="s">
        <v>1324</v>
      </c>
      <c r="B25" s="446" t="s">
        <v>3944</v>
      </c>
      <c r="C25" s="446" t="s">
        <v>177</v>
      </c>
      <c r="D25" s="446" t="s">
        <v>153</v>
      </c>
      <c r="E25" s="446" t="s">
        <v>3798</v>
      </c>
      <c r="F25" s="298">
        <v>41145</v>
      </c>
      <c r="G25" s="74">
        <v>0</v>
      </c>
      <c r="H25" s="74">
        <v>0</v>
      </c>
      <c r="I25" s="74">
        <v>0</v>
      </c>
      <c r="J25" s="74">
        <v>0</v>
      </c>
      <c r="K25" s="74">
        <v>0</v>
      </c>
      <c r="L25" s="74">
        <v>0</v>
      </c>
      <c r="M25" s="74">
        <v>0</v>
      </c>
      <c r="N25" s="74">
        <v>0</v>
      </c>
      <c r="O25" s="74">
        <v>0</v>
      </c>
      <c r="P25" s="74">
        <v>0</v>
      </c>
      <c r="Q25" s="74">
        <v>93</v>
      </c>
      <c r="R25" s="74">
        <v>93</v>
      </c>
      <c r="S25" s="74">
        <v>-93</v>
      </c>
    </row>
    <row r="26" spans="1:19" x14ac:dyDescent="0.2">
      <c r="A26" s="446" t="s">
        <v>2129</v>
      </c>
      <c r="B26" s="446" t="s">
        <v>3948</v>
      </c>
      <c r="C26" s="446" t="s">
        <v>834</v>
      </c>
      <c r="D26" s="446" t="s">
        <v>153</v>
      </c>
      <c r="E26" s="446" t="s">
        <v>421</v>
      </c>
      <c r="F26" s="298">
        <v>42514</v>
      </c>
      <c r="G26" s="74">
        <v>0</v>
      </c>
      <c r="H26" s="74">
        <v>0</v>
      </c>
      <c r="I26" s="74">
        <v>0</v>
      </c>
      <c r="J26" s="74">
        <v>0</v>
      </c>
      <c r="K26" s="74">
        <v>0</v>
      </c>
      <c r="L26" s="74">
        <v>0</v>
      </c>
      <c r="M26" s="74">
        <v>57</v>
      </c>
      <c r="N26" s="74">
        <v>0</v>
      </c>
      <c r="O26" s="74">
        <v>0</v>
      </c>
      <c r="P26" s="74">
        <v>0</v>
      </c>
      <c r="Q26" s="74">
        <v>0</v>
      </c>
      <c r="R26" s="74">
        <v>57</v>
      </c>
      <c r="S26" s="74">
        <v>-57</v>
      </c>
    </row>
    <row r="27" spans="1:19" x14ac:dyDescent="0.2">
      <c r="A27" s="446" t="s">
        <v>1573</v>
      </c>
      <c r="B27" s="446" t="s">
        <v>3947</v>
      </c>
      <c r="C27" s="446" t="s">
        <v>1574</v>
      </c>
      <c r="D27" s="446" t="s">
        <v>153</v>
      </c>
      <c r="E27" s="446" t="s">
        <v>2944</v>
      </c>
      <c r="F27" s="298">
        <v>42922</v>
      </c>
      <c r="G27" s="74">
        <v>894</v>
      </c>
      <c r="H27" s="74">
        <v>0</v>
      </c>
      <c r="I27" s="74">
        <v>0</v>
      </c>
      <c r="J27" s="74">
        <v>0</v>
      </c>
      <c r="K27" s="74">
        <v>0</v>
      </c>
      <c r="L27" s="74">
        <v>894</v>
      </c>
      <c r="M27" s="74">
        <v>0</v>
      </c>
      <c r="N27" s="74">
        <v>0</v>
      </c>
      <c r="O27" s="74">
        <v>894</v>
      </c>
      <c r="P27" s="74">
        <v>0</v>
      </c>
      <c r="Q27" s="74">
        <v>0</v>
      </c>
      <c r="R27" s="74">
        <v>894</v>
      </c>
      <c r="S27" s="74">
        <v>0</v>
      </c>
    </row>
    <row r="28" spans="1:19" x14ac:dyDescent="0.2">
      <c r="A28" s="446" t="s">
        <v>2260</v>
      </c>
      <c r="B28" s="446" t="s">
        <v>3943</v>
      </c>
      <c r="C28" s="446" t="s">
        <v>2261</v>
      </c>
      <c r="D28" s="446" t="s">
        <v>153</v>
      </c>
      <c r="E28" s="446" t="s">
        <v>3798</v>
      </c>
      <c r="F28" s="298">
        <v>42702</v>
      </c>
      <c r="G28" s="74">
        <v>236</v>
      </c>
      <c r="H28" s="74">
        <v>0</v>
      </c>
      <c r="I28" s="74">
        <v>0</v>
      </c>
      <c r="J28" s="74">
        <v>0</v>
      </c>
      <c r="K28" s="74">
        <v>0</v>
      </c>
      <c r="L28" s="74">
        <v>236</v>
      </c>
      <c r="M28" s="74">
        <v>0</v>
      </c>
      <c r="N28" s="74">
        <v>0</v>
      </c>
      <c r="O28" s="74">
        <v>0</v>
      </c>
      <c r="P28" s="74">
        <v>0</v>
      </c>
      <c r="Q28" s="74">
        <v>0</v>
      </c>
      <c r="R28" s="74">
        <v>0</v>
      </c>
      <c r="S28" s="74">
        <v>236</v>
      </c>
    </row>
    <row r="29" spans="1:19" x14ac:dyDescent="0.2">
      <c r="A29" s="446" t="s">
        <v>1795</v>
      </c>
      <c r="B29" s="446" t="s">
        <v>2904</v>
      </c>
      <c r="C29" s="446" t="s">
        <v>965</v>
      </c>
      <c r="D29" s="446" t="s">
        <v>153</v>
      </c>
      <c r="E29" s="446" t="s">
        <v>3798</v>
      </c>
      <c r="F29" s="298">
        <v>42618</v>
      </c>
      <c r="G29" s="74">
        <v>0</v>
      </c>
      <c r="H29" s="74">
        <v>0</v>
      </c>
      <c r="I29" s="74">
        <v>0</v>
      </c>
      <c r="J29" s="74">
        <v>0</v>
      </c>
      <c r="K29" s="74">
        <v>0</v>
      </c>
      <c r="L29" s="74">
        <v>0</v>
      </c>
      <c r="M29" s="74">
        <v>0</v>
      </c>
      <c r="N29" s="74">
        <v>0</v>
      </c>
      <c r="O29" s="74">
        <v>0</v>
      </c>
      <c r="P29" s="74">
        <v>0</v>
      </c>
      <c r="Q29" s="74">
        <v>13</v>
      </c>
      <c r="R29" s="74">
        <v>13</v>
      </c>
      <c r="S29" s="74">
        <v>-13</v>
      </c>
    </row>
    <row r="30" spans="1:19" x14ac:dyDescent="0.2">
      <c r="A30" s="446" t="s">
        <v>1354</v>
      </c>
      <c r="B30" s="446" t="s">
        <v>2907</v>
      </c>
      <c r="C30" s="446" t="s">
        <v>1355</v>
      </c>
      <c r="D30" s="446" t="s">
        <v>153</v>
      </c>
      <c r="E30" s="446" t="s">
        <v>3798</v>
      </c>
      <c r="F30" s="298">
        <v>43090</v>
      </c>
      <c r="G30" s="74">
        <v>976</v>
      </c>
      <c r="H30" s="74">
        <v>0</v>
      </c>
      <c r="I30" s="74">
        <v>0</v>
      </c>
      <c r="J30" s="74">
        <v>0</v>
      </c>
      <c r="K30" s="74">
        <v>0</v>
      </c>
      <c r="L30" s="74">
        <v>976</v>
      </c>
      <c r="M30" s="74">
        <v>0</v>
      </c>
      <c r="N30" s="74">
        <v>0</v>
      </c>
      <c r="O30" s="74">
        <v>0</v>
      </c>
      <c r="P30" s="74">
        <v>0</v>
      </c>
      <c r="Q30" s="74">
        <v>0</v>
      </c>
      <c r="R30" s="74">
        <v>0</v>
      </c>
      <c r="S30" s="74">
        <v>976</v>
      </c>
    </row>
    <row r="31" spans="1:19" x14ac:dyDescent="0.2">
      <c r="A31" s="446" t="s">
        <v>2049</v>
      </c>
      <c r="B31" s="446" t="s">
        <v>3944</v>
      </c>
      <c r="C31" s="446" t="s">
        <v>867</v>
      </c>
      <c r="D31" s="446" t="s">
        <v>153</v>
      </c>
      <c r="E31" s="446" t="s">
        <v>3798</v>
      </c>
      <c r="F31" s="298">
        <v>42657</v>
      </c>
      <c r="G31" s="74">
        <v>46</v>
      </c>
      <c r="H31" s="74">
        <v>0</v>
      </c>
      <c r="I31" s="74">
        <v>0</v>
      </c>
      <c r="J31" s="74">
        <v>0</v>
      </c>
      <c r="K31" s="74">
        <v>0</v>
      </c>
      <c r="L31" s="74">
        <v>46</v>
      </c>
      <c r="M31" s="74">
        <v>151</v>
      </c>
      <c r="N31" s="74">
        <v>0</v>
      </c>
      <c r="O31" s="74">
        <v>0</v>
      </c>
      <c r="P31" s="74">
        <v>0</v>
      </c>
      <c r="Q31" s="74">
        <v>0</v>
      </c>
      <c r="R31" s="74">
        <v>151</v>
      </c>
      <c r="S31" s="74">
        <v>-105</v>
      </c>
    </row>
    <row r="32" spans="1:19" x14ac:dyDescent="0.2">
      <c r="A32" s="446" t="s">
        <v>2185</v>
      </c>
      <c r="B32" s="446" t="s">
        <v>2907</v>
      </c>
      <c r="C32" s="446" t="s">
        <v>590</v>
      </c>
      <c r="D32" s="446" t="s">
        <v>153</v>
      </c>
      <c r="E32" s="446" t="s">
        <v>3798</v>
      </c>
      <c r="F32" s="298">
        <v>42433</v>
      </c>
      <c r="G32" s="74">
        <v>497</v>
      </c>
      <c r="H32" s="74">
        <v>0</v>
      </c>
      <c r="I32" s="74">
        <v>0</v>
      </c>
      <c r="J32" s="74">
        <v>0</v>
      </c>
      <c r="K32" s="74">
        <v>0</v>
      </c>
      <c r="L32" s="74">
        <v>497</v>
      </c>
      <c r="M32" s="74">
        <v>0</v>
      </c>
      <c r="N32" s="74">
        <v>0</v>
      </c>
      <c r="O32" s="74">
        <v>0</v>
      </c>
      <c r="P32" s="74">
        <v>0</v>
      </c>
      <c r="Q32" s="74">
        <v>497</v>
      </c>
      <c r="R32" s="74">
        <v>497</v>
      </c>
      <c r="S32" s="74">
        <v>0</v>
      </c>
    </row>
    <row r="33" spans="1:19" x14ac:dyDescent="0.2">
      <c r="A33" s="446" t="s">
        <v>1365</v>
      </c>
      <c r="B33" s="446" t="s">
        <v>2904</v>
      </c>
      <c r="C33" s="446" t="s">
        <v>1366</v>
      </c>
      <c r="D33" s="446" t="s">
        <v>153</v>
      </c>
      <c r="E33" s="446" t="s">
        <v>2944</v>
      </c>
      <c r="F33" s="298">
        <v>43017</v>
      </c>
      <c r="G33" s="74">
        <v>0</v>
      </c>
      <c r="H33" s="74">
        <v>0</v>
      </c>
      <c r="I33" s="74">
        <v>0</v>
      </c>
      <c r="J33" s="74">
        <v>43</v>
      </c>
      <c r="K33" s="74">
        <v>0</v>
      </c>
      <c r="L33" s="74">
        <v>43</v>
      </c>
      <c r="M33" s="74">
        <v>43</v>
      </c>
      <c r="N33" s="74">
        <v>0</v>
      </c>
      <c r="O33" s="74">
        <v>0</v>
      </c>
      <c r="P33" s="74">
        <v>0</v>
      </c>
      <c r="Q33" s="74">
        <v>0</v>
      </c>
      <c r="R33" s="74">
        <v>43</v>
      </c>
      <c r="S33" s="74">
        <v>0</v>
      </c>
    </row>
    <row r="34" spans="1:19" x14ac:dyDescent="0.2">
      <c r="A34" s="446" t="s">
        <v>2024</v>
      </c>
      <c r="B34" s="446" t="s">
        <v>2907</v>
      </c>
      <c r="C34" s="446" t="s">
        <v>349</v>
      </c>
      <c r="D34" s="446" t="s">
        <v>153</v>
      </c>
      <c r="E34" s="446" t="s">
        <v>421</v>
      </c>
      <c r="F34" s="298">
        <v>41822</v>
      </c>
      <c r="G34" s="74">
        <v>0</v>
      </c>
      <c r="H34" s="74">
        <v>0</v>
      </c>
      <c r="I34" s="74">
        <v>0</v>
      </c>
      <c r="J34" s="74">
        <v>0</v>
      </c>
      <c r="K34" s="74">
        <v>0</v>
      </c>
      <c r="L34" s="74">
        <v>0</v>
      </c>
      <c r="M34" s="74">
        <v>815</v>
      </c>
      <c r="N34" s="74">
        <v>0</v>
      </c>
      <c r="O34" s="74">
        <v>0</v>
      </c>
      <c r="P34" s="74">
        <v>0</v>
      </c>
      <c r="Q34" s="74">
        <v>0</v>
      </c>
      <c r="R34" s="74">
        <v>815</v>
      </c>
      <c r="S34" s="74">
        <v>-815</v>
      </c>
    </row>
    <row r="35" spans="1:19" x14ac:dyDescent="0.2">
      <c r="C35" s="446" t="s">
        <v>343</v>
      </c>
      <c r="D35" s="446" t="s">
        <v>153</v>
      </c>
      <c r="E35" s="446" t="s">
        <v>421</v>
      </c>
      <c r="F35" s="298">
        <v>42031</v>
      </c>
      <c r="G35" s="74">
        <v>0</v>
      </c>
      <c r="H35" s="74">
        <v>0</v>
      </c>
      <c r="I35" s="74">
        <v>0</v>
      </c>
      <c r="J35" s="74">
        <v>0</v>
      </c>
      <c r="K35" s="74">
        <v>0</v>
      </c>
      <c r="L35" s="74">
        <v>0</v>
      </c>
      <c r="M35" s="74">
        <v>119</v>
      </c>
      <c r="N35" s="74">
        <v>0</v>
      </c>
      <c r="O35" s="74">
        <v>0</v>
      </c>
      <c r="P35" s="74">
        <v>0</v>
      </c>
      <c r="Q35" s="74">
        <v>0</v>
      </c>
      <c r="R35" s="74">
        <v>119</v>
      </c>
      <c r="S35" s="74">
        <v>-119</v>
      </c>
    </row>
    <row r="36" spans="1:19" x14ac:dyDescent="0.2">
      <c r="A36" s="446" t="s">
        <v>2032</v>
      </c>
      <c r="B36" s="446" t="s">
        <v>2907</v>
      </c>
      <c r="C36" s="446" t="s">
        <v>321</v>
      </c>
      <c r="D36" s="446" t="s">
        <v>153</v>
      </c>
      <c r="E36" s="446" t="s">
        <v>421</v>
      </c>
      <c r="F36" s="298">
        <v>41920</v>
      </c>
      <c r="G36" s="74">
        <v>0</v>
      </c>
      <c r="H36" s="74">
        <v>0</v>
      </c>
      <c r="I36" s="74">
        <v>0</v>
      </c>
      <c r="J36" s="74">
        <v>0</v>
      </c>
      <c r="K36" s="74">
        <v>0</v>
      </c>
      <c r="L36" s="74">
        <v>0</v>
      </c>
      <c r="M36" s="74">
        <v>284</v>
      </c>
      <c r="N36" s="74">
        <v>0</v>
      </c>
      <c r="O36" s="74">
        <v>0</v>
      </c>
      <c r="P36" s="74">
        <v>0</v>
      </c>
      <c r="Q36" s="74">
        <v>0</v>
      </c>
      <c r="R36" s="74">
        <v>284</v>
      </c>
      <c r="S36" s="74">
        <v>-284</v>
      </c>
    </row>
    <row r="37" spans="1:19" x14ac:dyDescent="0.2">
      <c r="A37" s="446" t="s">
        <v>1520</v>
      </c>
      <c r="B37" s="446" t="s">
        <v>3944</v>
      </c>
      <c r="C37" s="446" t="s">
        <v>1218</v>
      </c>
      <c r="D37" s="446" t="s">
        <v>153</v>
      </c>
      <c r="E37" s="446" t="s">
        <v>3798</v>
      </c>
      <c r="F37" s="298">
        <v>42808</v>
      </c>
      <c r="G37" s="74">
        <v>0</v>
      </c>
      <c r="H37" s="74">
        <v>0</v>
      </c>
      <c r="I37" s="74">
        <v>0</v>
      </c>
      <c r="J37" s="74">
        <v>0</v>
      </c>
      <c r="K37" s="74">
        <v>0</v>
      </c>
      <c r="L37" s="74">
        <v>0</v>
      </c>
      <c r="M37" s="74">
        <v>0</v>
      </c>
      <c r="N37" s="74">
        <v>200</v>
      </c>
      <c r="O37" s="74">
        <v>0</v>
      </c>
      <c r="P37" s="74">
        <v>0</v>
      </c>
      <c r="Q37" s="74">
        <v>0</v>
      </c>
      <c r="R37" s="74">
        <v>200</v>
      </c>
      <c r="S37" s="74">
        <v>0</v>
      </c>
    </row>
    <row r="38" spans="1:19" x14ac:dyDescent="0.2">
      <c r="A38" s="446" t="s">
        <v>2384</v>
      </c>
      <c r="B38" s="446" t="s">
        <v>3948</v>
      </c>
      <c r="C38" s="446" t="s">
        <v>1294</v>
      </c>
      <c r="D38" s="446" t="s">
        <v>153</v>
      </c>
      <c r="E38" s="446" t="s">
        <v>3798</v>
      </c>
      <c r="F38" s="298">
        <v>42863</v>
      </c>
      <c r="G38" s="74">
        <v>0</v>
      </c>
      <c r="H38" s="74">
        <v>0</v>
      </c>
      <c r="I38" s="74">
        <v>0</v>
      </c>
      <c r="J38" s="74">
        <v>0</v>
      </c>
      <c r="K38" s="74">
        <v>0</v>
      </c>
      <c r="L38" s="74">
        <v>0</v>
      </c>
      <c r="M38" s="74">
        <v>93</v>
      </c>
      <c r="N38" s="74">
        <v>0</v>
      </c>
      <c r="O38" s="74">
        <v>0</v>
      </c>
      <c r="P38" s="74">
        <v>0</v>
      </c>
      <c r="Q38" s="74">
        <v>0</v>
      </c>
      <c r="R38" s="74">
        <v>93</v>
      </c>
      <c r="S38" s="74">
        <v>-93</v>
      </c>
    </row>
    <row r="39" spans="1:19" x14ac:dyDescent="0.2">
      <c r="A39" s="446" t="s">
        <v>1747</v>
      </c>
      <c r="B39" s="446" t="s">
        <v>2904</v>
      </c>
      <c r="C39" s="446" t="s">
        <v>909</v>
      </c>
      <c r="D39" s="446" t="s">
        <v>153</v>
      </c>
      <c r="E39" s="446" t="s">
        <v>3798</v>
      </c>
      <c r="F39" s="298">
        <v>42717</v>
      </c>
      <c r="G39" s="74">
        <v>0</v>
      </c>
      <c r="H39" s="74">
        <v>0</v>
      </c>
      <c r="I39" s="74">
        <v>0</v>
      </c>
      <c r="J39" s="74">
        <v>0</v>
      </c>
      <c r="K39" s="74">
        <v>772</v>
      </c>
      <c r="L39" s="74">
        <v>772</v>
      </c>
      <c r="M39" s="74">
        <v>1965</v>
      </c>
      <c r="N39" s="74">
        <v>0</v>
      </c>
      <c r="O39" s="74">
        <v>0</v>
      </c>
      <c r="P39" s="74">
        <v>0</v>
      </c>
      <c r="Q39" s="74">
        <v>0</v>
      </c>
      <c r="R39" s="74">
        <v>1965</v>
      </c>
      <c r="S39" s="74">
        <v>-1193</v>
      </c>
    </row>
    <row r="40" spans="1:19" x14ac:dyDescent="0.2">
      <c r="A40" s="446" t="s">
        <v>2131</v>
      </c>
      <c r="B40" s="446" t="s">
        <v>3947</v>
      </c>
      <c r="C40" s="446" t="s">
        <v>462</v>
      </c>
      <c r="D40" s="446" t="s">
        <v>153</v>
      </c>
      <c r="E40" s="446" t="s">
        <v>3798</v>
      </c>
      <c r="F40" s="298">
        <v>42207</v>
      </c>
      <c r="G40" s="74">
        <v>26</v>
      </c>
      <c r="H40" s="74">
        <v>0</v>
      </c>
      <c r="I40" s="74">
        <v>0</v>
      </c>
      <c r="J40" s="74">
        <v>0</v>
      </c>
      <c r="K40" s="74">
        <v>0</v>
      </c>
      <c r="L40" s="74">
        <v>26</v>
      </c>
      <c r="M40" s="74">
        <v>0</v>
      </c>
      <c r="N40" s="74">
        <v>0</v>
      </c>
      <c r="O40" s="74">
        <v>0</v>
      </c>
      <c r="P40" s="74">
        <v>0</v>
      </c>
      <c r="Q40" s="74">
        <v>0</v>
      </c>
      <c r="R40" s="74">
        <v>0</v>
      </c>
      <c r="S40" s="74">
        <v>26</v>
      </c>
    </row>
    <row r="41" spans="1:19" x14ac:dyDescent="0.2">
      <c r="A41" s="446" t="s">
        <v>1434</v>
      </c>
      <c r="B41" s="446" t="s">
        <v>150</v>
      </c>
      <c r="C41" s="446" t="s">
        <v>1435</v>
      </c>
      <c r="D41" s="446" t="s">
        <v>153</v>
      </c>
      <c r="E41" s="446" t="s">
        <v>3798</v>
      </c>
      <c r="F41" s="298">
        <v>43145</v>
      </c>
      <c r="G41" s="74">
        <v>0</v>
      </c>
      <c r="H41" s="74">
        <v>0</v>
      </c>
      <c r="I41" s="74">
        <v>0</v>
      </c>
      <c r="J41" s="74">
        <v>0</v>
      </c>
      <c r="K41" s="74">
        <v>0</v>
      </c>
      <c r="L41" s="74">
        <v>0</v>
      </c>
      <c r="M41" s="74">
        <v>0</v>
      </c>
      <c r="N41" s="74">
        <v>0</v>
      </c>
      <c r="O41" s="74">
        <v>0</v>
      </c>
      <c r="P41" s="74">
        <v>0</v>
      </c>
      <c r="Q41" s="74">
        <v>55</v>
      </c>
      <c r="R41" s="74">
        <v>55</v>
      </c>
      <c r="S41" s="74">
        <v>-55</v>
      </c>
    </row>
    <row r="42" spans="1:19" x14ac:dyDescent="0.2">
      <c r="A42" s="446" t="s">
        <v>1826</v>
      </c>
      <c r="B42" s="446" t="s">
        <v>3944</v>
      </c>
      <c r="C42" s="446" t="s">
        <v>1174</v>
      </c>
      <c r="D42" s="446" t="s">
        <v>153</v>
      </c>
      <c r="E42" s="446" t="s">
        <v>3798</v>
      </c>
      <c r="F42" s="298">
        <v>42788</v>
      </c>
      <c r="G42" s="74">
        <v>0</v>
      </c>
      <c r="H42" s="74">
        <v>0</v>
      </c>
      <c r="I42" s="74">
        <v>189</v>
      </c>
      <c r="J42" s="74">
        <v>0</v>
      </c>
      <c r="K42" s="74">
        <v>0</v>
      </c>
      <c r="L42" s="74">
        <v>189</v>
      </c>
      <c r="M42" s="74">
        <v>0</v>
      </c>
      <c r="N42" s="74">
        <v>0</v>
      </c>
      <c r="O42" s="74">
        <v>0</v>
      </c>
      <c r="P42" s="74">
        <v>0</v>
      </c>
      <c r="Q42" s="74">
        <v>0</v>
      </c>
      <c r="R42" s="74">
        <v>0</v>
      </c>
      <c r="S42" s="74">
        <v>189</v>
      </c>
    </row>
    <row r="43" spans="1:19" x14ac:dyDescent="0.2">
      <c r="A43" s="446" t="s">
        <v>2445</v>
      </c>
      <c r="B43" s="446" t="s">
        <v>2907</v>
      </c>
      <c r="C43" s="446" t="s">
        <v>2446</v>
      </c>
      <c r="D43" s="446" t="s">
        <v>153</v>
      </c>
      <c r="E43" s="446" t="s">
        <v>3798</v>
      </c>
      <c r="F43" s="298">
        <v>42923</v>
      </c>
      <c r="G43" s="74">
        <v>0</v>
      </c>
      <c r="H43" s="74">
        <v>0</v>
      </c>
      <c r="I43" s="74">
        <v>0</v>
      </c>
      <c r="J43" s="74">
        <v>0</v>
      </c>
      <c r="K43" s="74">
        <v>536</v>
      </c>
      <c r="L43" s="74">
        <v>536</v>
      </c>
      <c r="M43" s="74">
        <v>0</v>
      </c>
      <c r="N43" s="74">
        <v>0</v>
      </c>
      <c r="O43" s="74">
        <v>0</v>
      </c>
      <c r="P43" s="74">
        <v>0</v>
      </c>
      <c r="Q43" s="74">
        <v>0</v>
      </c>
      <c r="R43" s="74">
        <v>0</v>
      </c>
      <c r="S43" s="74">
        <v>536</v>
      </c>
    </row>
    <row r="44" spans="1:19" x14ac:dyDescent="0.2">
      <c r="A44" s="446" t="s">
        <v>1748</v>
      </c>
      <c r="B44" s="446" t="s">
        <v>3951</v>
      </c>
      <c r="C44" s="446" t="s">
        <v>357</v>
      </c>
      <c r="D44" s="446" t="s">
        <v>153</v>
      </c>
      <c r="E44" s="446" t="s">
        <v>3798</v>
      </c>
      <c r="F44" s="298">
        <v>41893</v>
      </c>
      <c r="G44" s="74">
        <v>0</v>
      </c>
      <c r="H44" s="74">
        <v>0</v>
      </c>
      <c r="I44" s="74">
        <v>0</v>
      </c>
      <c r="J44" s="74">
        <v>0</v>
      </c>
      <c r="K44" s="74">
        <v>0</v>
      </c>
      <c r="L44" s="74">
        <v>0</v>
      </c>
      <c r="M44" s="74">
        <v>0</v>
      </c>
      <c r="N44" s="74">
        <v>0</v>
      </c>
      <c r="O44" s="74">
        <v>0</v>
      </c>
      <c r="P44" s="74">
        <v>0</v>
      </c>
      <c r="Q44" s="74">
        <v>51</v>
      </c>
      <c r="R44" s="74">
        <v>51</v>
      </c>
      <c r="S44" s="74">
        <v>-51</v>
      </c>
    </row>
    <row r="45" spans="1:19" x14ac:dyDescent="0.2">
      <c r="A45" s="446" t="s">
        <v>2139</v>
      </c>
      <c r="B45" s="446" t="s">
        <v>3939</v>
      </c>
      <c r="C45" s="446" t="s">
        <v>483</v>
      </c>
      <c r="D45" s="446" t="s">
        <v>153</v>
      </c>
      <c r="E45" s="446" t="s">
        <v>3798</v>
      </c>
      <c r="F45" s="298">
        <v>42257</v>
      </c>
      <c r="G45" s="74">
        <v>0</v>
      </c>
      <c r="H45" s="74">
        <v>0</v>
      </c>
      <c r="I45" s="74">
        <v>0</v>
      </c>
      <c r="J45" s="74">
        <v>0</v>
      </c>
      <c r="K45" s="74">
        <v>0</v>
      </c>
      <c r="L45" s="74">
        <v>0</v>
      </c>
      <c r="M45" s="74">
        <v>0</v>
      </c>
      <c r="N45" s="74">
        <v>0</v>
      </c>
      <c r="O45" s="74">
        <v>0</v>
      </c>
      <c r="P45" s="74">
        <v>0</v>
      </c>
      <c r="Q45" s="74">
        <v>98</v>
      </c>
      <c r="R45" s="74">
        <v>98</v>
      </c>
      <c r="S45" s="74">
        <v>-98</v>
      </c>
    </row>
    <row r="46" spans="1:19" x14ac:dyDescent="0.2">
      <c r="A46" s="446" t="s">
        <v>2369</v>
      </c>
      <c r="B46" s="446" t="s">
        <v>3943</v>
      </c>
      <c r="C46" s="446" t="s">
        <v>927</v>
      </c>
      <c r="D46" s="446" t="s">
        <v>153</v>
      </c>
      <c r="E46" s="446" t="s">
        <v>421</v>
      </c>
      <c r="F46" s="298">
        <v>42592</v>
      </c>
      <c r="G46" s="74">
        <v>0</v>
      </c>
      <c r="H46" s="74">
        <v>0</v>
      </c>
      <c r="I46" s="74">
        <v>0</v>
      </c>
      <c r="J46" s="74">
        <v>0</v>
      </c>
      <c r="K46" s="74">
        <v>0</v>
      </c>
      <c r="L46" s="74">
        <v>0</v>
      </c>
      <c r="M46" s="74">
        <v>170</v>
      </c>
      <c r="N46" s="74">
        <v>0</v>
      </c>
      <c r="O46" s="74">
        <v>0</v>
      </c>
      <c r="P46" s="74">
        <v>0</v>
      </c>
      <c r="Q46" s="74">
        <v>0</v>
      </c>
      <c r="R46" s="74">
        <v>170</v>
      </c>
      <c r="S46" s="74">
        <v>-170</v>
      </c>
    </row>
    <row r="47" spans="1:19" x14ac:dyDescent="0.2">
      <c r="A47" s="446" t="s">
        <v>2153</v>
      </c>
      <c r="B47" s="446" t="s">
        <v>3951</v>
      </c>
      <c r="C47" s="446" t="s">
        <v>532</v>
      </c>
      <c r="D47" s="446" t="s">
        <v>153</v>
      </c>
      <c r="E47" s="446" t="s">
        <v>3798</v>
      </c>
      <c r="F47" s="298">
        <v>42305</v>
      </c>
      <c r="G47" s="74">
        <v>0</v>
      </c>
      <c r="H47" s="74">
        <v>0</v>
      </c>
      <c r="I47" s="74">
        <v>0</v>
      </c>
      <c r="J47" s="74">
        <v>0</v>
      </c>
      <c r="K47" s="74">
        <v>24</v>
      </c>
      <c r="L47" s="74">
        <v>24</v>
      </c>
      <c r="M47" s="74">
        <v>0</v>
      </c>
      <c r="N47" s="74">
        <v>0</v>
      </c>
      <c r="O47" s="74">
        <v>0</v>
      </c>
      <c r="P47" s="74">
        <v>0</v>
      </c>
      <c r="Q47" s="74">
        <v>0</v>
      </c>
      <c r="R47" s="74">
        <v>0</v>
      </c>
      <c r="S47" s="74">
        <v>24</v>
      </c>
    </row>
    <row r="48" spans="1:19" x14ac:dyDescent="0.2">
      <c r="A48" s="446" t="s">
        <v>2538</v>
      </c>
      <c r="B48" s="446" t="s">
        <v>3950</v>
      </c>
      <c r="C48" s="446" t="s">
        <v>2539</v>
      </c>
      <c r="D48" s="446" t="s">
        <v>153</v>
      </c>
      <c r="E48" s="446" t="s">
        <v>2944</v>
      </c>
      <c r="F48" s="298">
        <v>43021</v>
      </c>
      <c r="G48" s="74">
        <v>0</v>
      </c>
      <c r="H48" s="74">
        <v>0</v>
      </c>
      <c r="I48" s="74">
        <v>0</v>
      </c>
      <c r="J48" s="74">
        <v>0</v>
      </c>
      <c r="K48" s="74">
        <v>40</v>
      </c>
      <c r="L48" s="74">
        <v>40</v>
      </c>
      <c r="M48" s="74">
        <v>0</v>
      </c>
      <c r="N48" s="74">
        <v>0</v>
      </c>
      <c r="O48" s="74">
        <v>0</v>
      </c>
      <c r="P48" s="74">
        <v>0</v>
      </c>
      <c r="Q48" s="74">
        <v>0</v>
      </c>
      <c r="R48" s="74">
        <v>0</v>
      </c>
      <c r="S48" s="74">
        <v>40</v>
      </c>
    </row>
    <row r="49" spans="1:19" x14ac:dyDescent="0.2">
      <c r="A49" s="446" t="s">
        <v>1343</v>
      </c>
      <c r="B49" s="446" t="s">
        <v>3947</v>
      </c>
      <c r="C49" s="446" t="s">
        <v>58</v>
      </c>
      <c r="D49" s="446" t="s">
        <v>153</v>
      </c>
      <c r="E49" s="446" t="s">
        <v>3798</v>
      </c>
      <c r="F49" s="298">
        <v>40463</v>
      </c>
      <c r="G49" s="74">
        <v>0</v>
      </c>
      <c r="H49" s="74">
        <v>0</v>
      </c>
      <c r="I49" s="74">
        <v>0</v>
      </c>
      <c r="J49" s="74">
        <v>0</v>
      </c>
      <c r="K49" s="74">
        <v>0</v>
      </c>
      <c r="L49" s="74">
        <v>0</v>
      </c>
      <c r="M49" s="74">
        <v>4728</v>
      </c>
      <c r="N49" s="74">
        <v>4728</v>
      </c>
      <c r="O49" s="74">
        <v>4728</v>
      </c>
      <c r="P49" s="74">
        <v>4728</v>
      </c>
      <c r="Q49" s="74">
        <v>4729</v>
      </c>
      <c r="R49" s="74">
        <v>23641</v>
      </c>
      <c r="S49" s="74">
        <v>-23641</v>
      </c>
    </row>
    <row r="50" spans="1:19" x14ac:dyDescent="0.2">
      <c r="A50" s="446" t="s">
        <v>2227</v>
      </c>
      <c r="B50" s="446" t="s">
        <v>3946</v>
      </c>
      <c r="C50" s="446" t="s">
        <v>838</v>
      </c>
      <c r="D50" s="446" t="s">
        <v>153</v>
      </c>
      <c r="E50" s="446" t="s">
        <v>3798</v>
      </c>
      <c r="F50" s="298">
        <v>42541</v>
      </c>
      <c r="G50" s="74">
        <v>0</v>
      </c>
      <c r="H50" s="74">
        <v>0</v>
      </c>
      <c r="I50" s="74">
        <v>0</v>
      </c>
      <c r="J50" s="74">
        <v>0</v>
      </c>
      <c r="K50" s="74">
        <v>0</v>
      </c>
      <c r="L50" s="74">
        <v>0</v>
      </c>
      <c r="M50" s="74">
        <v>12</v>
      </c>
      <c r="N50" s="74">
        <v>0</v>
      </c>
      <c r="O50" s="74">
        <v>0</v>
      </c>
      <c r="P50" s="74">
        <v>0</v>
      </c>
      <c r="Q50" s="74">
        <v>0</v>
      </c>
      <c r="R50" s="74">
        <v>12</v>
      </c>
      <c r="S50" s="74">
        <v>-12</v>
      </c>
    </row>
    <row r="51" spans="1:19" x14ac:dyDescent="0.2">
      <c r="A51" s="446" t="s">
        <v>1451</v>
      </c>
      <c r="B51" s="446" t="s">
        <v>3943</v>
      </c>
      <c r="C51" s="446" t="s">
        <v>1452</v>
      </c>
      <c r="D51" s="446" t="s">
        <v>153</v>
      </c>
      <c r="E51" s="446" t="s">
        <v>3798</v>
      </c>
      <c r="F51" s="298">
        <v>41778</v>
      </c>
      <c r="G51" s="74">
        <v>0</v>
      </c>
      <c r="H51" s="74">
        <v>0</v>
      </c>
      <c r="I51" s="74">
        <v>0</v>
      </c>
      <c r="J51" s="74">
        <v>0</v>
      </c>
      <c r="K51" s="74">
        <v>0</v>
      </c>
      <c r="L51" s="74">
        <v>0</v>
      </c>
      <c r="M51" s="74">
        <v>766</v>
      </c>
      <c r="N51" s="74">
        <v>0</v>
      </c>
      <c r="O51" s="74">
        <v>0</v>
      </c>
      <c r="P51" s="74">
        <v>0</v>
      </c>
      <c r="Q51" s="74">
        <v>0</v>
      </c>
      <c r="R51" s="74">
        <v>766</v>
      </c>
      <c r="S51" s="74">
        <v>-766</v>
      </c>
    </row>
    <row r="52" spans="1:19" x14ac:dyDescent="0.2">
      <c r="A52" s="446" t="s">
        <v>1481</v>
      </c>
      <c r="B52" s="446" t="s">
        <v>3949</v>
      </c>
      <c r="C52" s="446" t="s">
        <v>1252</v>
      </c>
      <c r="D52" s="446" t="s">
        <v>153</v>
      </c>
      <c r="E52" s="446" t="s">
        <v>3798</v>
      </c>
      <c r="F52" s="298">
        <v>42796</v>
      </c>
      <c r="G52" s="74">
        <v>83</v>
      </c>
      <c r="H52" s="74">
        <v>0</v>
      </c>
      <c r="I52" s="74">
        <v>0</v>
      </c>
      <c r="J52" s="74">
        <v>0</v>
      </c>
      <c r="K52" s="74">
        <v>0</v>
      </c>
      <c r="L52" s="74">
        <v>83</v>
      </c>
      <c r="M52" s="74">
        <v>0</v>
      </c>
      <c r="N52" s="74">
        <v>0</v>
      </c>
      <c r="O52" s="74">
        <v>0</v>
      </c>
      <c r="P52" s="74">
        <v>0</v>
      </c>
      <c r="Q52" s="74">
        <v>0</v>
      </c>
      <c r="R52" s="74">
        <v>0</v>
      </c>
      <c r="S52" s="74">
        <v>83</v>
      </c>
    </row>
    <row r="53" spans="1:19" x14ac:dyDescent="0.2">
      <c r="A53" s="446" t="s">
        <v>2294</v>
      </c>
      <c r="B53" s="446" t="s">
        <v>3947</v>
      </c>
      <c r="C53" s="446" t="s">
        <v>1186</v>
      </c>
      <c r="D53" s="446" t="s">
        <v>153</v>
      </c>
      <c r="E53" s="446" t="s">
        <v>3798</v>
      </c>
      <c r="F53" s="298">
        <v>42915</v>
      </c>
      <c r="G53" s="74">
        <v>0</v>
      </c>
      <c r="H53" s="74">
        <v>0</v>
      </c>
      <c r="I53" s="74">
        <v>0</v>
      </c>
      <c r="J53" s="74">
        <v>0</v>
      </c>
      <c r="K53" s="74">
        <v>1685</v>
      </c>
      <c r="L53" s="74">
        <v>1685</v>
      </c>
      <c r="M53" s="74">
        <v>0</v>
      </c>
      <c r="N53" s="74">
        <v>0</v>
      </c>
      <c r="O53" s="74">
        <v>0</v>
      </c>
      <c r="P53" s="74">
        <v>0</v>
      </c>
      <c r="Q53" s="74">
        <v>0</v>
      </c>
      <c r="R53" s="74">
        <v>0</v>
      </c>
      <c r="S53" s="74">
        <v>1685</v>
      </c>
    </row>
    <row r="54" spans="1:19" x14ac:dyDescent="0.2">
      <c r="A54" s="446" t="s">
        <v>1555</v>
      </c>
      <c r="B54" s="446" t="s">
        <v>149</v>
      </c>
      <c r="C54" s="446" t="s">
        <v>464</v>
      </c>
      <c r="D54" s="446" t="s">
        <v>153</v>
      </c>
      <c r="E54" s="446" t="s">
        <v>3798</v>
      </c>
      <c r="F54" s="298">
        <v>42202</v>
      </c>
      <c r="G54" s="74">
        <v>0</v>
      </c>
      <c r="H54" s="74">
        <v>0</v>
      </c>
      <c r="I54" s="74">
        <v>0</v>
      </c>
      <c r="J54" s="74">
        <v>0</v>
      </c>
      <c r="K54" s="74">
        <v>50</v>
      </c>
      <c r="L54" s="74">
        <v>50</v>
      </c>
      <c r="M54" s="74">
        <v>0</v>
      </c>
      <c r="N54" s="74">
        <v>0</v>
      </c>
      <c r="O54" s="74">
        <v>0</v>
      </c>
      <c r="P54" s="74">
        <v>0</v>
      </c>
      <c r="Q54" s="74">
        <v>241</v>
      </c>
      <c r="R54" s="74">
        <v>241</v>
      </c>
      <c r="S54" s="74">
        <v>-191</v>
      </c>
    </row>
    <row r="55" spans="1:19" x14ac:dyDescent="0.2">
      <c r="A55" s="446" t="s">
        <v>2142</v>
      </c>
      <c r="B55" s="446" t="s">
        <v>149</v>
      </c>
      <c r="C55" s="446" t="s">
        <v>509</v>
      </c>
      <c r="D55" s="446" t="s">
        <v>153</v>
      </c>
      <c r="E55" s="446" t="s">
        <v>3798</v>
      </c>
      <c r="F55" s="298">
        <v>42304</v>
      </c>
      <c r="G55" s="74">
        <v>0</v>
      </c>
      <c r="H55" s="74">
        <v>0</v>
      </c>
      <c r="I55" s="74">
        <v>0</v>
      </c>
      <c r="J55" s="74">
        <v>0</v>
      </c>
      <c r="K55" s="74">
        <v>0</v>
      </c>
      <c r="L55" s="74">
        <v>0</v>
      </c>
      <c r="M55" s="74">
        <v>331</v>
      </c>
      <c r="N55" s="74">
        <v>0</v>
      </c>
      <c r="O55" s="74">
        <v>0</v>
      </c>
      <c r="P55" s="74">
        <v>0</v>
      </c>
      <c r="Q55" s="74">
        <v>0</v>
      </c>
      <c r="R55" s="74">
        <v>331</v>
      </c>
      <c r="S55" s="74">
        <v>-331</v>
      </c>
    </row>
    <row r="56" spans="1:19" x14ac:dyDescent="0.2">
      <c r="A56" s="446" t="s">
        <v>1674</v>
      </c>
      <c r="B56" s="446" t="s">
        <v>3947</v>
      </c>
      <c r="C56" s="446" t="s">
        <v>170</v>
      </c>
      <c r="D56" s="446" t="s">
        <v>153</v>
      </c>
      <c r="E56" s="446" t="s">
        <v>3798</v>
      </c>
      <c r="F56" s="298">
        <v>40892</v>
      </c>
      <c r="G56" s="74">
        <v>0</v>
      </c>
      <c r="H56" s="74">
        <v>0</v>
      </c>
      <c r="I56" s="74">
        <v>0</v>
      </c>
      <c r="J56" s="74">
        <v>0</v>
      </c>
      <c r="K56" s="74">
        <v>0</v>
      </c>
      <c r="L56" s="74">
        <v>0</v>
      </c>
      <c r="M56" s="74">
        <v>0</v>
      </c>
      <c r="N56" s="74">
        <v>0</v>
      </c>
      <c r="O56" s="74">
        <v>10147</v>
      </c>
      <c r="P56" s="74">
        <v>0</v>
      </c>
      <c r="Q56" s="74">
        <v>0</v>
      </c>
      <c r="R56" s="74">
        <v>10147</v>
      </c>
      <c r="S56" s="74">
        <v>-10147</v>
      </c>
    </row>
    <row r="57" spans="1:19" x14ac:dyDescent="0.2">
      <c r="C57" s="446" t="s">
        <v>1678</v>
      </c>
      <c r="D57" s="446" t="s">
        <v>153</v>
      </c>
      <c r="E57" s="446" t="s">
        <v>3798</v>
      </c>
      <c r="F57" s="298">
        <v>42919</v>
      </c>
      <c r="G57" s="74">
        <v>40</v>
      </c>
      <c r="H57" s="74">
        <v>0</v>
      </c>
      <c r="I57" s="74">
        <v>0</v>
      </c>
      <c r="J57" s="74">
        <v>0</v>
      </c>
      <c r="K57" s="74">
        <v>0</v>
      </c>
      <c r="L57" s="74">
        <v>40</v>
      </c>
      <c r="M57" s="74">
        <v>0</v>
      </c>
      <c r="N57" s="74">
        <v>0</v>
      </c>
      <c r="O57" s="74">
        <v>0</v>
      </c>
      <c r="P57" s="74">
        <v>0</v>
      </c>
      <c r="Q57" s="74">
        <v>0</v>
      </c>
      <c r="R57" s="74">
        <v>0</v>
      </c>
      <c r="S57" s="74">
        <v>40</v>
      </c>
    </row>
    <row r="58" spans="1:19" x14ac:dyDescent="0.2">
      <c r="C58" s="446" t="s">
        <v>1680</v>
      </c>
      <c r="D58" s="446" t="s">
        <v>153</v>
      </c>
      <c r="E58" s="446" t="s">
        <v>3798</v>
      </c>
      <c r="F58" s="298">
        <v>43166</v>
      </c>
      <c r="G58" s="74">
        <v>0</v>
      </c>
      <c r="H58" s="74">
        <v>0</v>
      </c>
      <c r="I58" s="74">
        <v>0</v>
      </c>
      <c r="J58" s="74">
        <v>0</v>
      </c>
      <c r="K58" s="74">
        <v>0</v>
      </c>
      <c r="L58" s="74">
        <v>0</v>
      </c>
      <c r="M58" s="74">
        <v>32</v>
      </c>
      <c r="N58" s="74">
        <v>0</v>
      </c>
      <c r="O58" s="74">
        <v>0</v>
      </c>
      <c r="P58" s="74">
        <v>0</v>
      </c>
      <c r="Q58" s="74">
        <v>0</v>
      </c>
      <c r="R58" s="74">
        <v>32</v>
      </c>
      <c r="S58" s="74">
        <v>-32</v>
      </c>
    </row>
    <row r="59" spans="1:19" x14ac:dyDescent="0.2">
      <c r="A59" s="446" t="s">
        <v>1945</v>
      </c>
      <c r="B59" s="446" t="s">
        <v>3951</v>
      </c>
      <c r="C59" s="446" t="s">
        <v>1946</v>
      </c>
      <c r="D59" s="446" t="s">
        <v>153</v>
      </c>
      <c r="E59" s="446" t="s">
        <v>3798</v>
      </c>
      <c r="F59" s="298">
        <v>43070</v>
      </c>
      <c r="G59" s="74">
        <v>132</v>
      </c>
      <c r="H59" s="74">
        <v>0</v>
      </c>
      <c r="I59" s="74">
        <v>0</v>
      </c>
      <c r="J59" s="74">
        <v>0</v>
      </c>
      <c r="K59" s="74">
        <v>0</v>
      </c>
      <c r="L59" s="74">
        <v>132</v>
      </c>
      <c r="M59" s="74">
        <v>0</v>
      </c>
      <c r="N59" s="74">
        <v>0</v>
      </c>
      <c r="O59" s="74">
        <v>0</v>
      </c>
      <c r="P59" s="74">
        <v>0</v>
      </c>
      <c r="Q59" s="74">
        <v>0</v>
      </c>
      <c r="R59" s="74">
        <v>0</v>
      </c>
      <c r="S59" s="74">
        <v>132</v>
      </c>
    </row>
    <row r="60" spans="1:19" x14ac:dyDescent="0.2">
      <c r="A60" s="446" t="s">
        <v>2550</v>
      </c>
      <c r="B60" s="446" t="s">
        <v>3940</v>
      </c>
      <c r="C60" s="446" t="s">
        <v>2551</v>
      </c>
      <c r="D60" s="446" t="s">
        <v>153</v>
      </c>
      <c r="E60" s="446" t="s">
        <v>3798</v>
      </c>
      <c r="F60" s="298">
        <v>43053</v>
      </c>
      <c r="G60" s="74">
        <v>0</v>
      </c>
      <c r="H60" s="74">
        <v>0</v>
      </c>
      <c r="I60" s="74">
        <v>0</v>
      </c>
      <c r="J60" s="74">
        <v>0</v>
      </c>
      <c r="K60" s="74">
        <v>0</v>
      </c>
      <c r="L60" s="74">
        <v>0</v>
      </c>
      <c r="M60" s="74">
        <v>286</v>
      </c>
      <c r="N60" s="74">
        <v>0</v>
      </c>
      <c r="O60" s="74">
        <v>0</v>
      </c>
      <c r="P60" s="74">
        <v>0</v>
      </c>
      <c r="Q60" s="74">
        <v>0</v>
      </c>
      <c r="R60" s="74">
        <v>286</v>
      </c>
      <c r="S60" s="74">
        <v>-286</v>
      </c>
    </row>
    <row r="61" spans="1:19" x14ac:dyDescent="0.2">
      <c r="A61" s="446" t="s">
        <v>2246</v>
      </c>
      <c r="B61" s="446" t="s">
        <v>3947</v>
      </c>
      <c r="C61" s="446" t="s">
        <v>921</v>
      </c>
      <c r="D61" s="446" t="s">
        <v>153</v>
      </c>
      <c r="E61" s="446" t="s">
        <v>421</v>
      </c>
      <c r="F61" s="298">
        <v>42584</v>
      </c>
      <c r="G61" s="74">
        <v>0</v>
      </c>
      <c r="H61" s="74">
        <v>0</v>
      </c>
      <c r="I61" s="74">
        <v>0</v>
      </c>
      <c r="J61" s="74">
        <v>0</v>
      </c>
      <c r="K61" s="74">
        <v>0</v>
      </c>
      <c r="L61" s="74">
        <v>0</v>
      </c>
      <c r="M61" s="74">
        <v>103</v>
      </c>
      <c r="N61" s="74">
        <v>0</v>
      </c>
      <c r="O61" s="74">
        <v>0</v>
      </c>
      <c r="P61" s="74">
        <v>0</v>
      </c>
      <c r="Q61" s="74">
        <v>0</v>
      </c>
      <c r="R61" s="74">
        <v>103</v>
      </c>
      <c r="S61" s="74">
        <v>-103</v>
      </c>
    </row>
    <row r="62" spans="1:19" x14ac:dyDescent="0.2">
      <c r="A62" s="446" t="s">
        <v>2268</v>
      </c>
      <c r="B62" s="446" t="s">
        <v>3947</v>
      </c>
      <c r="C62" s="446" t="s">
        <v>993</v>
      </c>
      <c r="D62" s="446" t="s">
        <v>153</v>
      </c>
      <c r="E62" s="446" t="s">
        <v>421</v>
      </c>
      <c r="F62" s="298">
        <v>42633</v>
      </c>
      <c r="G62" s="74">
        <v>0</v>
      </c>
      <c r="H62" s="74">
        <v>0</v>
      </c>
      <c r="I62" s="74">
        <v>0</v>
      </c>
      <c r="J62" s="74">
        <v>0</v>
      </c>
      <c r="K62" s="74">
        <v>0</v>
      </c>
      <c r="L62" s="74">
        <v>0</v>
      </c>
      <c r="M62" s="74">
        <v>112</v>
      </c>
      <c r="N62" s="74">
        <v>0</v>
      </c>
      <c r="O62" s="74">
        <v>0</v>
      </c>
      <c r="P62" s="74">
        <v>0</v>
      </c>
      <c r="Q62" s="74">
        <v>0</v>
      </c>
      <c r="R62" s="74">
        <v>112</v>
      </c>
      <c r="S62" s="74">
        <v>-112</v>
      </c>
    </row>
    <row r="63" spans="1:19" x14ac:dyDescent="0.2">
      <c r="A63" s="446" t="s">
        <v>1797</v>
      </c>
      <c r="B63" s="446" t="s">
        <v>3946</v>
      </c>
      <c r="C63" s="446" t="s">
        <v>468</v>
      </c>
      <c r="D63" s="446" t="s">
        <v>153</v>
      </c>
      <c r="E63" s="446" t="s">
        <v>421</v>
      </c>
      <c r="F63" s="298">
        <v>42195</v>
      </c>
      <c r="G63" s="74">
        <v>0</v>
      </c>
      <c r="H63" s="74">
        <v>0</v>
      </c>
      <c r="I63" s="74">
        <v>0</v>
      </c>
      <c r="J63" s="74">
        <v>0</v>
      </c>
      <c r="K63" s="74">
        <v>0</v>
      </c>
      <c r="L63" s="74">
        <v>0</v>
      </c>
      <c r="M63" s="74">
        <v>71</v>
      </c>
      <c r="N63" s="74">
        <v>0</v>
      </c>
      <c r="O63" s="74">
        <v>0</v>
      </c>
      <c r="P63" s="74">
        <v>0</v>
      </c>
      <c r="Q63" s="74">
        <v>0</v>
      </c>
      <c r="R63" s="74">
        <v>71</v>
      </c>
      <c r="S63" s="74">
        <v>-71</v>
      </c>
    </row>
    <row r="64" spans="1:19" x14ac:dyDescent="0.2">
      <c r="A64" s="446" t="s">
        <v>2330</v>
      </c>
      <c r="B64" s="446" t="s">
        <v>3943</v>
      </c>
      <c r="C64" s="446" t="s">
        <v>1229</v>
      </c>
      <c r="D64" s="446" t="s">
        <v>153</v>
      </c>
      <c r="E64" s="446" t="s">
        <v>3798</v>
      </c>
      <c r="F64" s="298">
        <v>42824</v>
      </c>
      <c r="G64" s="74">
        <v>0</v>
      </c>
      <c r="H64" s="74">
        <v>0</v>
      </c>
      <c r="I64" s="74">
        <v>0</v>
      </c>
      <c r="J64" s="74">
        <v>0</v>
      </c>
      <c r="K64" s="74">
        <v>0</v>
      </c>
      <c r="L64" s="74">
        <v>0</v>
      </c>
      <c r="M64" s="74">
        <v>0</v>
      </c>
      <c r="N64" s="74">
        <v>0</v>
      </c>
      <c r="O64" s="74">
        <v>235</v>
      </c>
      <c r="P64" s="74">
        <v>0</v>
      </c>
      <c r="Q64" s="74">
        <v>0</v>
      </c>
      <c r="R64" s="74">
        <v>235</v>
      </c>
      <c r="S64" s="74">
        <v>-235</v>
      </c>
    </row>
    <row r="65" spans="1:19" x14ac:dyDescent="0.2">
      <c r="A65" s="446" t="s">
        <v>2238</v>
      </c>
      <c r="B65" s="446" t="s">
        <v>3944</v>
      </c>
      <c r="C65" s="446" t="s">
        <v>888</v>
      </c>
      <c r="D65" s="446" t="s">
        <v>153</v>
      </c>
      <c r="E65" s="446" t="s">
        <v>3798</v>
      </c>
      <c r="F65" s="298">
        <v>42626</v>
      </c>
      <c r="G65" s="74">
        <v>0</v>
      </c>
      <c r="H65" s="74">
        <v>0</v>
      </c>
      <c r="I65" s="74">
        <v>0</v>
      </c>
      <c r="J65" s="74">
        <v>0</v>
      </c>
      <c r="K65" s="74">
        <v>0</v>
      </c>
      <c r="L65" s="74">
        <v>0</v>
      </c>
      <c r="M65" s="74">
        <v>51</v>
      </c>
      <c r="N65" s="74">
        <v>0</v>
      </c>
      <c r="O65" s="74">
        <v>0</v>
      </c>
      <c r="P65" s="74">
        <v>0</v>
      </c>
      <c r="Q65" s="74">
        <v>0</v>
      </c>
      <c r="R65" s="74">
        <v>51</v>
      </c>
      <c r="S65" s="74">
        <v>-51</v>
      </c>
    </row>
    <row r="66" spans="1:19" x14ac:dyDescent="0.2">
      <c r="A66" s="446" t="s">
        <v>1659</v>
      </c>
      <c r="B66" s="446" t="s">
        <v>3947</v>
      </c>
      <c r="C66" s="446" t="s">
        <v>929</v>
      </c>
      <c r="D66" s="446" t="s">
        <v>153</v>
      </c>
      <c r="E66" s="446" t="s">
        <v>421</v>
      </c>
      <c r="F66" s="298">
        <v>42593</v>
      </c>
      <c r="G66" s="74">
        <v>0</v>
      </c>
      <c r="H66" s="74">
        <v>0</v>
      </c>
      <c r="I66" s="74">
        <v>0</v>
      </c>
      <c r="J66" s="74">
        <v>0</v>
      </c>
      <c r="K66" s="74">
        <v>0</v>
      </c>
      <c r="L66" s="74">
        <v>0</v>
      </c>
      <c r="M66" s="74">
        <v>72</v>
      </c>
      <c r="N66" s="74">
        <v>0</v>
      </c>
      <c r="O66" s="74">
        <v>0</v>
      </c>
      <c r="P66" s="74">
        <v>0</v>
      </c>
      <c r="Q66" s="74">
        <v>0</v>
      </c>
      <c r="R66" s="74">
        <v>72</v>
      </c>
      <c r="S66" s="74">
        <v>-72</v>
      </c>
    </row>
    <row r="67" spans="1:19" x14ac:dyDescent="0.2">
      <c r="A67" s="446" t="s">
        <v>2057</v>
      </c>
      <c r="B67" s="446" t="s">
        <v>3941</v>
      </c>
      <c r="C67" s="446" t="s">
        <v>329</v>
      </c>
      <c r="D67" s="446" t="s">
        <v>153</v>
      </c>
      <c r="E67" s="446" t="s">
        <v>3798</v>
      </c>
      <c r="F67" s="298">
        <v>42114</v>
      </c>
      <c r="G67" s="74">
        <v>0</v>
      </c>
      <c r="H67" s="74">
        <v>0</v>
      </c>
      <c r="I67" s="74">
        <v>0</v>
      </c>
      <c r="J67" s="74">
        <v>0</v>
      </c>
      <c r="K67" s="74">
        <v>0</v>
      </c>
      <c r="L67" s="74">
        <v>0</v>
      </c>
      <c r="M67" s="74">
        <v>159</v>
      </c>
      <c r="N67" s="74">
        <v>0</v>
      </c>
      <c r="O67" s="74">
        <v>0</v>
      </c>
      <c r="P67" s="74">
        <v>0</v>
      </c>
      <c r="Q67" s="74">
        <v>0</v>
      </c>
      <c r="R67" s="74">
        <v>159</v>
      </c>
      <c r="S67" s="74">
        <v>-159</v>
      </c>
    </row>
    <row r="68" spans="1:19" x14ac:dyDescent="0.2">
      <c r="A68" s="446" t="s">
        <v>95</v>
      </c>
      <c r="G68" s="74">
        <v>3354</v>
      </c>
      <c r="H68" s="74">
        <v>0</v>
      </c>
      <c r="I68" s="74">
        <v>381</v>
      </c>
      <c r="J68" s="74">
        <v>43</v>
      </c>
      <c r="K68" s="74">
        <v>3121</v>
      </c>
      <c r="L68" s="74">
        <v>6899</v>
      </c>
      <c r="M68" s="74">
        <v>13213</v>
      </c>
      <c r="N68" s="74">
        <v>4975</v>
      </c>
      <c r="O68" s="74">
        <v>16504</v>
      </c>
      <c r="P68" s="74">
        <v>4728</v>
      </c>
      <c r="Q68" s="74">
        <v>6277</v>
      </c>
      <c r="R68" s="74">
        <v>45697</v>
      </c>
      <c r="S68" s="74">
        <v>-38598</v>
      </c>
    </row>
  </sheetData>
  <conditionalFormatting sqref="D1:D1048576">
    <cfRule type="cellIs" dxfId="76"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S25"/>
  <sheetViews>
    <sheetView workbookViewId="0"/>
  </sheetViews>
  <sheetFormatPr defaultRowHeight="11.25" x14ac:dyDescent="0.2"/>
  <cols>
    <col min="1" max="1" width="22.5703125" style="339" customWidth="1"/>
    <col min="2" max="2" width="10.85546875" style="299" customWidth="1"/>
    <col min="3" max="3" width="9.42578125" style="300" customWidth="1"/>
    <col min="4" max="4" width="8.85546875" style="299" customWidth="1"/>
    <col min="5" max="5" width="10.85546875" style="301" customWidth="1"/>
    <col min="6" max="6" width="8.85546875" style="302" customWidth="1"/>
    <col min="7" max="7" width="6.7109375" style="303" customWidth="1"/>
    <col min="8" max="11" width="6.28515625" style="303" customWidth="1"/>
    <col min="12" max="13" width="6.7109375" style="303" customWidth="1"/>
    <col min="14" max="17" width="6.28515625" style="303" customWidth="1"/>
    <col min="18" max="19" width="6.7109375" style="303" customWidth="1"/>
    <col min="20" max="16384" width="9.140625" style="301"/>
  </cols>
  <sheetData>
    <row r="1" spans="1:19" ht="15.75" x14ac:dyDescent="0.2">
      <c r="A1" s="336" t="s">
        <v>3937</v>
      </c>
    </row>
    <row r="2" spans="1:19" ht="12.75" x14ac:dyDescent="0.2">
      <c r="A2" s="341" t="s">
        <v>3887</v>
      </c>
    </row>
    <row r="3" spans="1:19" ht="12.75" x14ac:dyDescent="0.2">
      <c r="A3" s="341"/>
    </row>
    <row r="4" spans="1:19" s="310" customFormat="1" ht="12.75" customHeight="1" x14ac:dyDescent="0.2">
      <c r="A4" s="826" t="s">
        <v>185</v>
      </c>
      <c r="B4" s="828" t="s">
        <v>3938</v>
      </c>
      <c r="C4" s="827" t="s">
        <v>2848</v>
      </c>
      <c r="D4" s="829" t="s">
        <v>3973</v>
      </c>
      <c r="E4" s="826" t="s">
        <v>3970</v>
      </c>
      <c r="F4" s="836"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30"/>
      <c r="E5" s="826"/>
      <c r="F5" s="836"/>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31"/>
      <c r="E6" s="826"/>
      <c r="F6" s="836"/>
      <c r="G6" s="536" t="s">
        <v>97</v>
      </c>
      <c r="H6" s="304" t="s">
        <v>98</v>
      </c>
      <c r="I6" s="304" t="s">
        <v>99</v>
      </c>
      <c r="J6" s="304" t="s">
        <v>100</v>
      </c>
      <c r="K6" s="304" t="s">
        <v>101</v>
      </c>
      <c r="L6" s="304" t="s">
        <v>95</v>
      </c>
      <c r="M6" s="536" t="s">
        <v>97</v>
      </c>
      <c r="N6" s="304" t="s">
        <v>98</v>
      </c>
      <c r="O6" s="304" t="s">
        <v>99</v>
      </c>
      <c r="P6" s="304" t="s">
        <v>100</v>
      </c>
      <c r="Q6" s="304" t="s">
        <v>101</v>
      </c>
      <c r="R6" s="537" t="s">
        <v>95</v>
      </c>
      <c r="S6" s="835"/>
    </row>
    <row r="7" spans="1:19" x14ac:dyDescent="0.2">
      <c r="A7" s="344" t="s">
        <v>2144</v>
      </c>
      <c r="B7" s="342" t="s">
        <v>3951</v>
      </c>
      <c r="C7" s="343" t="s">
        <v>498</v>
      </c>
      <c r="D7" s="342" t="s">
        <v>153</v>
      </c>
      <c r="E7" s="344" t="s">
        <v>3798</v>
      </c>
      <c r="F7" s="522">
        <v>42375</v>
      </c>
      <c r="G7" s="523">
        <v>348</v>
      </c>
      <c r="H7" s="346">
        <v>0</v>
      </c>
      <c r="I7" s="346">
        <v>0</v>
      </c>
      <c r="J7" s="346">
        <v>0</v>
      </c>
      <c r="K7" s="346">
        <v>0</v>
      </c>
      <c r="L7" s="346">
        <v>348</v>
      </c>
      <c r="M7" s="523">
        <v>0</v>
      </c>
      <c r="N7" s="346">
        <v>0</v>
      </c>
      <c r="O7" s="346">
        <v>309</v>
      </c>
      <c r="P7" s="346">
        <v>0</v>
      </c>
      <c r="Q7" s="346">
        <v>0</v>
      </c>
      <c r="R7" s="347">
        <v>309</v>
      </c>
      <c r="S7" s="346">
        <v>39</v>
      </c>
    </row>
    <row r="8" spans="1:19" x14ac:dyDescent="0.2">
      <c r="A8" s="305" t="s">
        <v>1835</v>
      </c>
      <c r="B8" s="306" t="s">
        <v>3946</v>
      </c>
      <c r="C8" s="307" t="s">
        <v>1109</v>
      </c>
      <c r="D8" s="306" t="s">
        <v>153</v>
      </c>
      <c r="E8" s="305" t="s">
        <v>3798</v>
      </c>
      <c r="F8" s="308">
        <v>42852</v>
      </c>
      <c r="G8" s="315">
        <v>0</v>
      </c>
      <c r="H8" s="309">
        <v>0</v>
      </c>
      <c r="I8" s="309">
        <v>0</v>
      </c>
      <c r="J8" s="309">
        <v>0</v>
      </c>
      <c r="K8" s="309">
        <v>0</v>
      </c>
      <c r="L8" s="309">
        <v>0</v>
      </c>
      <c r="M8" s="315">
        <v>220</v>
      </c>
      <c r="N8" s="309">
        <v>0</v>
      </c>
      <c r="O8" s="309">
        <v>0</v>
      </c>
      <c r="P8" s="309">
        <v>0</v>
      </c>
      <c r="Q8" s="309">
        <v>0</v>
      </c>
      <c r="R8" s="317">
        <v>220</v>
      </c>
      <c r="S8" s="309">
        <v>-220</v>
      </c>
    </row>
    <row r="9" spans="1:19" x14ac:dyDescent="0.2">
      <c r="A9" s="305" t="s">
        <v>2207</v>
      </c>
      <c r="B9" s="306" t="s">
        <v>149</v>
      </c>
      <c r="C9" s="307" t="s">
        <v>1285</v>
      </c>
      <c r="D9" s="306" t="s">
        <v>153</v>
      </c>
      <c r="E9" s="305" t="s">
        <v>3798</v>
      </c>
      <c r="F9" s="308">
        <v>42877</v>
      </c>
      <c r="G9" s="315">
        <v>0</v>
      </c>
      <c r="H9" s="309">
        <v>0</v>
      </c>
      <c r="I9" s="309">
        <v>0</v>
      </c>
      <c r="J9" s="309">
        <v>0</v>
      </c>
      <c r="K9" s="309">
        <v>0</v>
      </c>
      <c r="L9" s="309">
        <v>0</v>
      </c>
      <c r="M9" s="315">
        <v>440</v>
      </c>
      <c r="N9" s="309">
        <v>0</v>
      </c>
      <c r="O9" s="309">
        <v>0</v>
      </c>
      <c r="P9" s="309">
        <v>0</v>
      </c>
      <c r="Q9" s="309">
        <v>0</v>
      </c>
      <c r="R9" s="317">
        <v>440</v>
      </c>
      <c r="S9" s="309">
        <v>-440</v>
      </c>
    </row>
    <row r="10" spans="1:19" x14ac:dyDescent="0.2">
      <c r="A10" s="305" t="s">
        <v>2189</v>
      </c>
      <c r="B10" s="306" t="s">
        <v>3949</v>
      </c>
      <c r="C10" s="307" t="s">
        <v>567</v>
      </c>
      <c r="D10" s="306" t="s">
        <v>153</v>
      </c>
      <c r="E10" s="305" t="s">
        <v>3798</v>
      </c>
      <c r="F10" s="308">
        <v>42453</v>
      </c>
      <c r="G10" s="315">
        <v>0</v>
      </c>
      <c r="H10" s="309">
        <v>0</v>
      </c>
      <c r="I10" s="309">
        <v>0</v>
      </c>
      <c r="J10" s="309">
        <v>0</v>
      </c>
      <c r="K10" s="309">
        <v>0</v>
      </c>
      <c r="L10" s="309">
        <v>0</v>
      </c>
      <c r="M10" s="315">
        <v>151</v>
      </c>
      <c r="N10" s="309">
        <v>0</v>
      </c>
      <c r="O10" s="309">
        <v>0</v>
      </c>
      <c r="P10" s="309">
        <v>0</v>
      </c>
      <c r="Q10" s="309">
        <v>0</v>
      </c>
      <c r="R10" s="317">
        <v>151</v>
      </c>
      <c r="S10" s="309">
        <v>-151</v>
      </c>
    </row>
    <row r="11" spans="1:19" x14ac:dyDescent="0.2">
      <c r="A11" s="305" t="s">
        <v>2412</v>
      </c>
      <c r="B11" s="306" t="s">
        <v>3948</v>
      </c>
      <c r="C11" s="307" t="s">
        <v>2413</v>
      </c>
      <c r="D11" s="306" t="s">
        <v>153</v>
      </c>
      <c r="E11" s="305" t="s">
        <v>3798</v>
      </c>
      <c r="F11" s="308">
        <v>43039</v>
      </c>
      <c r="G11" s="315">
        <v>0</v>
      </c>
      <c r="H11" s="309">
        <v>0</v>
      </c>
      <c r="I11" s="309">
        <v>0</v>
      </c>
      <c r="J11" s="309">
        <v>0</v>
      </c>
      <c r="K11" s="309">
        <v>0</v>
      </c>
      <c r="L11" s="309">
        <v>0</v>
      </c>
      <c r="M11" s="315">
        <v>120</v>
      </c>
      <c r="N11" s="309">
        <v>0</v>
      </c>
      <c r="O11" s="309">
        <v>0</v>
      </c>
      <c r="P11" s="309">
        <v>0</v>
      </c>
      <c r="Q11" s="309">
        <v>0</v>
      </c>
      <c r="R11" s="317">
        <v>120</v>
      </c>
      <c r="S11" s="309">
        <v>-120</v>
      </c>
    </row>
    <row r="12" spans="1:19" x14ac:dyDescent="0.2">
      <c r="A12" s="305" t="s">
        <v>2185</v>
      </c>
      <c r="B12" s="306" t="s">
        <v>2907</v>
      </c>
      <c r="C12" s="307" t="s">
        <v>1202</v>
      </c>
      <c r="D12" s="306" t="s">
        <v>153</v>
      </c>
      <c r="E12" s="305" t="s">
        <v>3798</v>
      </c>
      <c r="F12" s="308">
        <v>42788</v>
      </c>
      <c r="G12" s="315">
        <v>60</v>
      </c>
      <c r="H12" s="309">
        <v>0</v>
      </c>
      <c r="I12" s="309">
        <v>0</v>
      </c>
      <c r="J12" s="309">
        <v>0</v>
      </c>
      <c r="K12" s="309">
        <v>0</v>
      </c>
      <c r="L12" s="309">
        <v>60</v>
      </c>
      <c r="M12" s="315">
        <v>0</v>
      </c>
      <c r="N12" s="309">
        <v>0</v>
      </c>
      <c r="O12" s="309">
        <v>0</v>
      </c>
      <c r="P12" s="309">
        <v>0</v>
      </c>
      <c r="Q12" s="309">
        <v>0</v>
      </c>
      <c r="R12" s="317">
        <v>0</v>
      </c>
      <c r="S12" s="309">
        <v>60</v>
      </c>
    </row>
    <row r="13" spans="1:19" x14ac:dyDescent="0.2">
      <c r="A13" s="305" t="s">
        <v>2120</v>
      </c>
      <c r="B13" s="306" t="s">
        <v>3941</v>
      </c>
      <c r="C13" s="307" t="s">
        <v>451</v>
      </c>
      <c r="D13" s="306" t="s">
        <v>153</v>
      </c>
      <c r="E13" s="305" t="s">
        <v>3798</v>
      </c>
      <c r="F13" s="308">
        <v>42206</v>
      </c>
      <c r="G13" s="315">
        <v>0</v>
      </c>
      <c r="H13" s="309">
        <v>0</v>
      </c>
      <c r="I13" s="309">
        <v>0</v>
      </c>
      <c r="J13" s="309">
        <v>0</v>
      </c>
      <c r="K13" s="309">
        <v>0</v>
      </c>
      <c r="L13" s="309">
        <v>0</v>
      </c>
      <c r="M13" s="315">
        <v>262</v>
      </c>
      <c r="N13" s="309">
        <v>0</v>
      </c>
      <c r="O13" s="309">
        <v>0</v>
      </c>
      <c r="P13" s="309">
        <v>0</v>
      </c>
      <c r="Q13" s="309">
        <v>0</v>
      </c>
      <c r="R13" s="317">
        <v>262</v>
      </c>
      <c r="S13" s="309">
        <v>-262</v>
      </c>
    </row>
    <row r="14" spans="1:19" ht="22.5" x14ac:dyDescent="0.2">
      <c r="A14" s="305" t="s">
        <v>2000</v>
      </c>
      <c r="B14" s="306" t="s">
        <v>150</v>
      </c>
      <c r="C14" s="307" t="s">
        <v>254</v>
      </c>
      <c r="D14" s="306" t="s">
        <v>153</v>
      </c>
      <c r="E14" s="305" t="s">
        <v>3798</v>
      </c>
      <c r="F14" s="308">
        <v>41883</v>
      </c>
      <c r="G14" s="315">
        <v>0</v>
      </c>
      <c r="H14" s="309">
        <v>0</v>
      </c>
      <c r="I14" s="309">
        <v>0</v>
      </c>
      <c r="J14" s="309">
        <v>0</v>
      </c>
      <c r="K14" s="309">
        <v>0</v>
      </c>
      <c r="L14" s="309">
        <v>0</v>
      </c>
      <c r="M14" s="315">
        <v>980</v>
      </c>
      <c r="N14" s="309">
        <v>0</v>
      </c>
      <c r="O14" s="309">
        <v>0</v>
      </c>
      <c r="P14" s="309">
        <v>0</v>
      </c>
      <c r="Q14" s="309">
        <v>0</v>
      </c>
      <c r="R14" s="317">
        <v>980</v>
      </c>
      <c r="S14" s="309">
        <v>-980</v>
      </c>
    </row>
    <row r="15" spans="1:19" x14ac:dyDescent="0.2">
      <c r="A15" s="305" t="s">
        <v>1971</v>
      </c>
      <c r="B15" s="306" t="s">
        <v>2904</v>
      </c>
      <c r="C15" s="307" t="s">
        <v>444</v>
      </c>
      <c r="D15" s="306" t="s">
        <v>153</v>
      </c>
      <c r="E15" s="305" t="s">
        <v>3798</v>
      </c>
      <c r="F15" s="308">
        <v>42201</v>
      </c>
      <c r="G15" s="315">
        <v>2714</v>
      </c>
      <c r="H15" s="309">
        <v>0</v>
      </c>
      <c r="I15" s="309">
        <v>0</v>
      </c>
      <c r="J15" s="309">
        <v>0</v>
      </c>
      <c r="K15" s="309">
        <v>0</v>
      </c>
      <c r="L15" s="309">
        <v>2714</v>
      </c>
      <c r="M15" s="315">
        <v>1995</v>
      </c>
      <c r="N15" s="309">
        <v>0</v>
      </c>
      <c r="O15" s="309">
        <v>0</v>
      </c>
      <c r="P15" s="309">
        <v>0</v>
      </c>
      <c r="Q15" s="309">
        <v>0</v>
      </c>
      <c r="R15" s="317">
        <v>1995</v>
      </c>
      <c r="S15" s="309">
        <v>719</v>
      </c>
    </row>
    <row r="16" spans="1:19" ht="22.5" x14ac:dyDescent="0.2">
      <c r="A16" s="305" t="s">
        <v>2114</v>
      </c>
      <c r="B16" s="306" t="s">
        <v>3950</v>
      </c>
      <c r="C16" s="307" t="s">
        <v>449</v>
      </c>
      <c r="D16" s="306" t="s">
        <v>153</v>
      </c>
      <c r="E16" s="305" t="s">
        <v>3798</v>
      </c>
      <c r="F16" s="308">
        <v>42230</v>
      </c>
      <c r="G16" s="315">
        <v>0</v>
      </c>
      <c r="H16" s="309">
        <v>0</v>
      </c>
      <c r="I16" s="309">
        <v>0</v>
      </c>
      <c r="J16" s="309">
        <v>0</v>
      </c>
      <c r="K16" s="309">
        <v>0</v>
      </c>
      <c r="L16" s="309">
        <v>0</v>
      </c>
      <c r="M16" s="315">
        <v>601</v>
      </c>
      <c r="N16" s="309">
        <v>0</v>
      </c>
      <c r="O16" s="309">
        <v>0</v>
      </c>
      <c r="P16" s="309">
        <v>0</v>
      </c>
      <c r="Q16" s="309">
        <v>0</v>
      </c>
      <c r="R16" s="317">
        <v>601</v>
      </c>
      <c r="S16" s="309">
        <v>-601</v>
      </c>
    </row>
    <row r="17" spans="1:19" ht="33.75" x14ac:dyDescent="0.2">
      <c r="A17" s="305" t="s">
        <v>1706</v>
      </c>
      <c r="B17" s="306" t="s">
        <v>3947</v>
      </c>
      <c r="C17" s="307" t="s">
        <v>796</v>
      </c>
      <c r="D17" s="306" t="s">
        <v>153</v>
      </c>
      <c r="E17" s="305" t="s">
        <v>3798</v>
      </c>
      <c r="F17" s="308">
        <v>42541</v>
      </c>
      <c r="G17" s="315">
        <v>391</v>
      </c>
      <c r="H17" s="309">
        <v>0</v>
      </c>
      <c r="I17" s="309">
        <v>0</v>
      </c>
      <c r="J17" s="309">
        <v>0</v>
      </c>
      <c r="K17" s="309">
        <v>0</v>
      </c>
      <c r="L17" s="309">
        <v>391</v>
      </c>
      <c r="M17" s="315">
        <v>16973</v>
      </c>
      <c r="N17" s="309">
        <v>0</v>
      </c>
      <c r="O17" s="309">
        <v>0</v>
      </c>
      <c r="P17" s="309">
        <v>0</v>
      </c>
      <c r="Q17" s="309">
        <v>0</v>
      </c>
      <c r="R17" s="317">
        <v>16973</v>
      </c>
      <c r="S17" s="309">
        <v>-16582</v>
      </c>
    </row>
    <row r="18" spans="1:19" ht="56.25" x14ac:dyDescent="0.2">
      <c r="A18" s="305" t="s">
        <v>2017</v>
      </c>
      <c r="B18" s="306" t="s">
        <v>2907</v>
      </c>
      <c r="C18" s="307" t="s">
        <v>253</v>
      </c>
      <c r="D18" s="306" t="s">
        <v>153</v>
      </c>
      <c r="E18" s="305" t="s">
        <v>3798</v>
      </c>
      <c r="F18" s="308">
        <v>41842</v>
      </c>
      <c r="G18" s="315">
        <v>2245</v>
      </c>
      <c r="H18" s="309">
        <v>0</v>
      </c>
      <c r="I18" s="309">
        <v>0</v>
      </c>
      <c r="J18" s="309">
        <v>0</v>
      </c>
      <c r="K18" s="309">
        <v>0</v>
      </c>
      <c r="L18" s="309">
        <v>2245</v>
      </c>
      <c r="M18" s="315">
        <v>0</v>
      </c>
      <c r="N18" s="309">
        <v>0</v>
      </c>
      <c r="O18" s="309">
        <v>0</v>
      </c>
      <c r="P18" s="309">
        <v>0</v>
      </c>
      <c r="Q18" s="309">
        <v>0</v>
      </c>
      <c r="R18" s="317">
        <v>0</v>
      </c>
      <c r="S18" s="309">
        <v>2245</v>
      </c>
    </row>
    <row r="19" spans="1:19" ht="33.75" x14ac:dyDescent="0.2">
      <c r="A19" s="305" t="s">
        <v>1544</v>
      </c>
      <c r="B19" s="306" t="s">
        <v>3946</v>
      </c>
      <c r="C19" s="307" t="s">
        <v>62</v>
      </c>
      <c r="D19" s="306" t="s">
        <v>153</v>
      </c>
      <c r="E19" s="305" t="s">
        <v>3798</v>
      </c>
      <c r="F19" s="308">
        <v>40434</v>
      </c>
      <c r="G19" s="315">
        <v>6574</v>
      </c>
      <c r="H19" s="309">
        <v>0</v>
      </c>
      <c r="I19" s="309">
        <v>0</v>
      </c>
      <c r="J19" s="309">
        <v>0</v>
      </c>
      <c r="K19" s="309">
        <v>0</v>
      </c>
      <c r="L19" s="309">
        <v>6574</v>
      </c>
      <c r="M19" s="315">
        <v>0</v>
      </c>
      <c r="N19" s="309">
        <v>0</v>
      </c>
      <c r="O19" s="309">
        <v>0</v>
      </c>
      <c r="P19" s="309">
        <v>0</v>
      </c>
      <c r="Q19" s="309">
        <v>0</v>
      </c>
      <c r="R19" s="317">
        <v>0</v>
      </c>
      <c r="S19" s="309">
        <v>6574</v>
      </c>
    </row>
    <row r="20" spans="1:19" ht="33.75" x14ac:dyDescent="0.2">
      <c r="A20" s="305" t="s">
        <v>1974</v>
      </c>
      <c r="B20" s="306" t="s">
        <v>3951</v>
      </c>
      <c r="C20" s="307" t="s">
        <v>686</v>
      </c>
      <c r="D20" s="306" t="s">
        <v>153</v>
      </c>
      <c r="E20" s="305" t="s">
        <v>3798</v>
      </c>
      <c r="F20" s="308">
        <v>41488</v>
      </c>
      <c r="G20" s="315">
        <v>0</v>
      </c>
      <c r="H20" s="309">
        <v>0</v>
      </c>
      <c r="I20" s="309">
        <v>0</v>
      </c>
      <c r="J20" s="309">
        <v>0</v>
      </c>
      <c r="K20" s="309">
        <v>0</v>
      </c>
      <c r="L20" s="309">
        <v>0</v>
      </c>
      <c r="M20" s="315">
        <v>151</v>
      </c>
      <c r="N20" s="309">
        <v>0</v>
      </c>
      <c r="O20" s="309">
        <v>0</v>
      </c>
      <c r="P20" s="309">
        <v>0</v>
      </c>
      <c r="Q20" s="309">
        <v>0</v>
      </c>
      <c r="R20" s="317">
        <v>151</v>
      </c>
      <c r="S20" s="309">
        <v>-151</v>
      </c>
    </row>
    <row r="21" spans="1:19" ht="22.5" x14ac:dyDescent="0.2">
      <c r="A21" s="305" t="s">
        <v>1914</v>
      </c>
      <c r="B21" s="306" t="s">
        <v>3951</v>
      </c>
      <c r="C21" s="307" t="s">
        <v>1066</v>
      </c>
      <c r="D21" s="306" t="s">
        <v>153</v>
      </c>
      <c r="E21" s="305" t="s">
        <v>3798</v>
      </c>
      <c r="F21" s="308">
        <v>42822</v>
      </c>
      <c r="G21" s="315">
        <v>0</v>
      </c>
      <c r="H21" s="309">
        <v>0</v>
      </c>
      <c r="I21" s="309">
        <v>0</v>
      </c>
      <c r="J21" s="309">
        <v>0</v>
      </c>
      <c r="K21" s="309">
        <v>0</v>
      </c>
      <c r="L21" s="309">
        <v>0</v>
      </c>
      <c r="M21" s="315">
        <v>0</v>
      </c>
      <c r="N21" s="309">
        <v>0</v>
      </c>
      <c r="O21" s="309">
        <v>337</v>
      </c>
      <c r="P21" s="309">
        <v>0</v>
      </c>
      <c r="Q21" s="309">
        <v>0</v>
      </c>
      <c r="R21" s="317">
        <v>337</v>
      </c>
      <c r="S21" s="309">
        <v>-337</v>
      </c>
    </row>
    <row r="22" spans="1:19" ht="45" x14ac:dyDescent="0.2">
      <c r="A22" s="305" t="s">
        <v>1525</v>
      </c>
      <c r="B22" s="306" t="s">
        <v>3947</v>
      </c>
      <c r="C22" s="307" t="s">
        <v>1535</v>
      </c>
      <c r="D22" s="306" t="s">
        <v>1538</v>
      </c>
      <c r="E22" s="305" t="s">
        <v>3798</v>
      </c>
      <c r="F22" s="308">
        <v>42682</v>
      </c>
      <c r="G22" s="315">
        <v>2913</v>
      </c>
      <c r="H22" s="309">
        <v>0</v>
      </c>
      <c r="I22" s="309">
        <v>0</v>
      </c>
      <c r="J22" s="309">
        <v>0</v>
      </c>
      <c r="K22" s="309">
        <v>0</v>
      </c>
      <c r="L22" s="309">
        <v>2913</v>
      </c>
      <c r="M22" s="315">
        <v>0</v>
      </c>
      <c r="N22" s="309">
        <v>0</v>
      </c>
      <c r="O22" s="309">
        <v>0</v>
      </c>
      <c r="P22" s="309">
        <v>0</v>
      </c>
      <c r="Q22" s="309">
        <v>0</v>
      </c>
      <c r="R22" s="317">
        <v>0</v>
      </c>
      <c r="S22" s="309">
        <v>2913</v>
      </c>
    </row>
    <row r="23" spans="1:19" ht="22.5" x14ac:dyDescent="0.2">
      <c r="A23" s="305" t="s">
        <v>2421</v>
      </c>
      <c r="B23" s="306" t="s">
        <v>3951</v>
      </c>
      <c r="C23" s="307" t="s">
        <v>2422</v>
      </c>
      <c r="D23" s="306" t="s">
        <v>153</v>
      </c>
      <c r="E23" s="305" t="s">
        <v>3798</v>
      </c>
      <c r="F23" s="308">
        <v>42870</v>
      </c>
      <c r="G23" s="315">
        <v>0</v>
      </c>
      <c r="H23" s="309">
        <v>0</v>
      </c>
      <c r="I23" s="309">
        <v>0</v>
      </c>
      <c r="J23" s="309">
        <v>0</v>
      </c>
      <c r="K23" s="309">
        <v>0</v>
      </c>
      <c r="L23" s="309">
        <v>0</v>
      </c>
      <c r="M23" s="315">
        <v>8</v>
      </c>
      <c r="N23" s="309">
        <v>0</v>
      </c>
      <c r="O23" s="309">
        <v>0</v>
      </c>
      <c r="P23" s="309">
        <v>0</v>
      </c>
      <c r="Q23" s="309">
        <v>0</v>
      </c>
      <c r="R23" s="317">
        <v>8</v>
      </c>
      <c r="S23" s="309">
        <v>-8</v>
      </c>
    </row>
    <row r="24" spans="1:19" x14ac:dyDescent="0.2">
      <c r="A24" s="305" t="s">
        <v>2345</v>
      </c>
      <c r="B24" s="306" t="s">
        <v>2907</v>
      </c>
      <c r="C24" s="307" t="s">
        <v>810</v>
      </c>
      <c r="D24" s="306" t="s">
        <v>153</v>
      </c>
      <c r="E24" s="305" t="s">
        <v>3798</v>
      </c>
      <c r="F24" s="308">
        <v>42473</v>
      </c>
      <c r="G24" s="315">
        <v>0</v>
      </c>
      <c r="H24" s="309">
        <v>0</v>
      </c>
      <c r="I24" s="309">
        <v>80</v>
      </c>
      <c r="J24" s="309">
        <v>0</v>
      </c>
      <c r="K24" s="309">
        <v>0</v>
      </c>
      <c r="L24" s="309">
        <v>80</v>
      </c>
      <c r="M24" s="315">
        <v>0</v>
      </c>
      <c r="N24" s="309">
        <v>0</v>
      </c>
      <c r="O24" s="309">
        <v>0</v>
      </c>
      <c r="P24" s="309">
        <v>0</v>
      </c>
      <c r="Q24" s="309">
        <v>0</v>
      </c>
      <c r="R24" s="317">
        <v>0</v>
      </c>
      <c r="S24" s="309">
        <v>80</v>
      </c>
    </row>
    <row r="25" spans="1:19" s="320" customFormat="1" x14ac:dyDescent="0.2">
      <c r="A25" s="328" t="s">
        <v>95</v>
      </c>
      <c r="B25" s="329"/>
      <c r="C25" s="330"/>
      <c r="D25" s="329"/>
      <c r="E25" s="328"/>
      <c r="F25" s="331"/>
      <c r="G25" s="332">
        <v>15245</v>
      </c>
      <c r="H25" s="333">
        <v>0</v>
      </c>
      <c r="I25" s="333">
        <v>80</v>
      </c>
      <c r="J25" s="333">
        <v>0</v>
      </c>
      <c r="K25" s="333">
        <v>0</v>
      </c>
      <c r="L25" s="333">
        <v>15325</v>
      </c>
      <c r="M25" s="332">
        <v>21901</v>
      </c>
      <c r="N25" s="333">
        <v>0</v>
      </c>
      <c r="O25" s="333">
        <v>646</v>
      </c>
      <c r="P25" s="333">
        <v>0</v>
      </c>
      <c r="Q25" s="333">
        <v>0</v>
      </c>
      <c r="R25" s="334">
        <v>22547</v>
      </c>
      <c r="S25" s="333">
        <v>-7222</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74"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S24"/>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2936</v>
      </c>
    </row>
    <row r="2" spans="1:19" x14ac:dyDescent="0.2">
      <c r="A2" s="77" t="s">
        <v>2941</v>
      </c>
      <c r="B2" s="446" t="s">
        <v>2942</v>
      </c>
    </row>
    <row r="3" spans="1:19" x14ac:dyDescent="0.2">
      <c r="A3" s="77" t="s">
        <v>3968</v>
      </c>
      <c r="B3" s="446" t="s">
        <v>126</v>
      </c>
    </row>
    <row r="5" spans="1:19" x14ac:dyDescent="0.2">
      <c r="A5" s="77" t="s">
        <v>185</v>
      </c>
      <c r="B5" s="77" t="s">
        <v>3938</v>
      </c>
      <c r="C5" s="77" t="s">
        <v>2848</v>
      </c>
      <c r="D5" s="77" t="s">
        <v>2844</v>
      </c>
      <c r="E5" s="77" t="s">
        <v>3966</v>
      </c>
      <c r="F5" s="77" t="s">
        <v>13</v>
      </c>
      <c r="G5" s="446" t="s">
        <v>3955</v>
      </c>
      <c r="H5" s="446" t="s">
        <v>3956</v>
      </c>
      <c r="I5" s="446" t="s">
        <v>3957</v>
      </c>
      <c r="J5" s="446" t="s">
        <v>3958</v>
      </c>
      <c r="K5" s="446" t="s">
        <v>3959</v>
      </c>
      <c r="L5" s="446" t="s">
        <v>3960</v>
      </c>
      <c r="M5" s="446" t="s">
        <v>3961</v>
      </c>
      <c r="N5" s="446" t="s">
        <v>3962</v>
      </c>
      <c r="O5" s="446" t="s">
        <v>3963</v>
      </c>
      <c r="P5" s="446" t="s">
        <v>3964</v>
      </c>
      <c r="Q5" s="446" t="s">
        <v>3965</v>
      </c>
      <c r="R5" s="446" t="s">
        <v>2921</v>
      </c>
      <c r="S5" s="446" t="s">
        <v>2982</v>
      </c>
    </row>
    <row r="6" spans="1:19" x14ac:dyDescent="0.2">
      <c r="A6" s="446" t="s">
        <v>2144</v>
      </c>
      <c r="B6" s="446" t="s">
        <v>3951</v>
      </c>
      <c r="C6" s="446" t="s">
        <v>498</v>
      </c>
      <c r="D6" s="446" t="s">
        <v>153</v>
      </c>
      <c r="E6" s="446" t="s">
        <v>3798</v>
      </c>
      <c r="F6" s="298">
        <v>42375</v>
      </c>
      <c r="G6" s="74">
        <v>348</v>
      </c>
      <c r="H6" s="74">
        <v>0</v>
      </c>
      <c r="I6" s="74">
        <v>0</v>
      </c>
      <c r="J6" s="74">
        <v>0</v>
      </c>
      <c r="K6" s="74">
        <v>0</v>
      </c>
      <c r="L6" s="74">
        <v>348</v>
      </c>
      <c r="M6" s="74">
        <v>0</v>
      </c>
      <c r="N6" s="74">
        <v>0</v>
      </c>
      <c r="O6" s="74">
        <v>309</v>
      </c>
      <c r="P6" s="74">
        <v>0</v>
      </c>
      <c r="Q6" s="74">
        <v>0</v>
      </c>
      <c r="R6" s="74">
        <v>309</v>
      </c>
      <c r="S6" s="74">
        <v>39</v>
      </c>
    </row>
    <row r="7" spans="1:19" x14ac:dyDescent="0.2">
      <c r="A7" s="446" t="s">
        <v>1835</v>
      </c>
      <c r="B7" s="446" t="s">
        <v>3946</v>
      </c>
      <c r="C7" s="446" t="s">
        <v>1109</v>
      </c>
      <c r="D7" s="446" t="s">
        <v>153</v>
      </c>
      <c r="E7" s="446" t="s">
        <v>3798</v>
      </c>
      <c r="F7" s="298">
        <v>42852</v>
      </c>
      <c r="G7" s="74">
        <v>0</v>
      </c>
      <c r="H7" s="74">
        <v>0</v>
      </c>
      <c r="I7" s="74">
        <v>0</v>
      </c>
      <c r="J7" s="74">
        <v>0</v>
      </c>
      <c r="K7" s="74">
        <v>0</v>
      </c>
      <c r="L7" s="74">
        <v>0</v>
      </c>
      <c r="M7" s="74">
        <v>220</v>
      </c>
      <c r="N7" s="74">
        <v>0</v>
      </c>
      <c r="O7" s="74">
        <v>0</v>
      </c>
      <c r="P7" s="74">
        <v>0</v>
      </c>
      <c r="Q7" s="74">
        <v>0</v>
      </c>
      <c r="R7" s="74">
        <v>220</v>
      </c>
      <c r="S7" s="74">
        <v>-220</v>
      </c>
    </row>
    <row r="8" spans="1:19" x14ac:dyDescent="0.2">
      <c r="A8" s="446" t="s">
        <v>2207</v>
      </c>
      <c r="B8" s="446" t="s">
        <v>149</v>
      </c>
      <c r="C8" s="446" t="s">
        <v>1285</v>
      </c>
      <c r="D8" s="446" t="s">
        <v>153</v>
      </c>
      <c r="E8" s="446" t="s">
        <v>3798</v>
      </c>
      <c r="F8" s="298">
        <v>42877</v>
      </c>
      <c r="G8" s="74">
        <v>0</v>
      </c>
      <c r="H8" s="74">
        <v>0</v>
      </c>
      <c r="I8" s="74">
        <v>0</v>
      </c>
      <c r="J8" s="74">
        <v>0</v>
      </c>
      <c r="K8" s="74">
        <v>0</v>
      </c>
      <c r="L8" s="74">
        <v>0</v>
      </c>
      <c r="M8" s="74">
        <v>440</v>
      </c>
      <c r="N8" s="74">
        <v>0</v>
      </c>
      <c r="O8" s="74">
        <v>0</v>
      </c>
      <c r="P8" s="74">
        <v>0</v>
      </c>
      <c r="Q8" s="74">
        <v>0</v>
      </c>
      <c r="R8" s="74">
        <v>440</v>
      </c>
      <c r="S8" s="74">
        <v>-440</v>
      </c>
    </row>
    <row r="9" spans="1:19" x14ac:dyDescent="0.2">
      <c r="A9" s="446" t="s">
        <v>2189</v>
      </c>
      <c r="B9" s="446" t="s">
        <v>3949</v>
      </c>
      <c r="C9" s="446" t="s">
        <v>567</v>
      </c>
      <c r="D9" s="446" t="s">
        <v>153</v>
      </c>
      <c r="E9" s="446" t="s">
        <v>3798</v>
      </c>
      <c r="F9" s="298">
        <v>42453</v>
      </c>
      <c r="G9" s="74">
        <v>0</v>
      </c>
      <c r="H9" s="74">
        <v>0</v>
      </c>
      <c r="I9" s="74">
        <v>0</v>
      </c>
      <c r="J9" s="74">
        <v>0</v>
      </c>
      <c r="K9" s="74">
        <v>0</v>
      </c>
      <c r="L9" s="74">
        <v>0</v>
      </c>
      <c r="M9" s="74">
        <v>151</v>
      </c>
      <c r="N9" s="74">
        <v>0</v>
      </c>
      <c r="O9" s="74">
        <v>0</v>
      </c>
      <c r="P9" s="74">
        <v>0</v>
      </c>
      <c r="Q9" s="74">
        <v>0</v>
      </c>
      <c r="R9" s="74">
        <v>151</v>
      </c>
      <c r="S9" s="74">
        <v>-151</v>
      </c>
    </row>
    <row r="10" spans="1:19" x14ac:dyDescent="0.2">
      <c r="A10" s="446" t="s">
        <v>2412</v>
      </c>
      <c r="B10" s="446" t="s">
        <v>3948</v>
      </c>
      <c r="C10" s="446" t="s">
        <v>2413</v>
      </c>
      <c r="D10" s="446" t="s">
        <v>153</v>
      </c>
      <c r="E10" s="446" t="s">
        <v>3798</v>
      </c>
      <c r="F10" s="298">
        <v>43039</v>
      </c>
      <c r="G10" s="74">
        <v>0</v>
      </c>
      <c r="H10" s="74">
        <v>0</v>
      </c>
      <c r="I10" s="74">
        <v>0</v>
      </c>
      <c r="J10" s="74">
        <v>0</v>
      </c>
      <c r="K10" s="74">
        <v>0</v>
      </c>
      <c r="L10" s="74">
        <v>0</v>
      </c>
      <c r="M10" s="74">
        <v>120</v>
      </c>
      <c r="N10" s="74">
        <v>0</v>
      </c>
      <c r="O10" s="74">
        <v>0</v>
      </c>
      <c r="P10" s="74">
        <v>0</v>
      </c>
      <c r="Q10" s="74">
        <v>0</v>
      </c>
      <c r="R10" s="74">
        <v>120</v>
      </c>
      <c r="S10" s="74">
        <v>-120</v>
      </c>
    </row>
    <row r="11" spans="1:19" x14ac:dyDescent="0.2">
      <c r="A11" s="446" t="s">
        <v>2185</v>
      </c>
      <c r="B11" s="446" t="s">
        <v>2907</v>
      </c>
      <c r="C11" s="446" t="s">
        <v>1202</v>
      </c>
      <c r="D11" s="446" t="s">
        <v>153</v>
      </c>
      <c r="E11" s="446" t="s">
        <v>3798</v>
      </c>
      <c r="F11" s="298">
        <v>42788</v>
      </c>
      <c r="G11" s="74">
        <v>60</v>
      </c>
      <c r="H11" s="74">
        <v>0</v>
      </c>
      <c r="I11" s="74">
        <v>0</v>
      </c>
      <c r="J11" s="74">
        <v>0</v>
      </c>
      <c r="K11" s="74">
        <v>0</v>
      </c>
      <c r="L11" s="74">
        <v>60</v>
      </c>
      <c r="M11" s="74">
        <v>0</v>
      </c>
      <c r="N11" s="74">
        <v>0</v>
      </c>
      <c r="O11" s="74">
        <v>0</v>
      </c>
      <c r="P11" s="74">
        <v>0</v>
      </c>
      <c r="Q11" s="74">
        <v>0</v>
      </c>
      <c r="R11" s="74">
        <v>0</v>
      </c>
      <c r="S11" s="74">
        <v>60</v>
      </c>
    </row>
    <row r="12" spans="1:19" x14ac:dyDescent="0.2">
      <c r="A12" s="446" t="s">
        <v>2120</v>
      </c>
      <c r="B12" s="446" t="s">
        <v>3941</v>
      </c>
      <c r="C12" s="446" t="s">
        <v>451</v>
      </c>
      <c r="D12" s="446" t="s">
        <v>153</v>
      </c>
      <c r="E12" s="446" t="s">
        <v>3798</v>
      </c>
      <c r="F12" s="298">
        <v>42206</v>
      </c>
      <c r="G12" s="74">
        <v>0</v>
      </c>
      <c r="H12" s="74">
        <v>0</v>
      </c>
      <c r="I12" s="74">
        <v>0</v>
      </c>
      <c r="J12" s="74">
        <v>0</v>
      </c>
      <c r="K12" s="74">
        <v>0</v>
      </c>
      <c r="L12" s="74">
        <v>0</v>
      </c>
      <c r="M12" s="74">
        <v>262</v>
      </c>
      <c r="N12" s="74">
        <v>0</v>
      </c>
      <c r="O12" s="74">
        <v>0</v>
      </c>
      <c r="P12" s="74">
        <v>0</v>
      </c>
      <c r="Q12" s="74">
        <v>0</v>
      </c>
      <c r="R12" s="74">
        <v>262</v>
      </c>
      <c r="S12" s="74">
        <v>-262</v>
      </c>
    </row>
    <row r="13" spans="1:19" x14ac:dyDescent="0.2">
      <c r="A13" s="446" t="s">
        <v>2000</v>
      </c>
      <c r="B13" s="446" t="s">
        <v>150</v>
      </c>
      <c r="C13" s="446" t="s">
        <v>254</v>
      </c>
      <c r="D13" s="446" t="s">
        <v>153</v>
      </c>
      <c r="E13" s="446" t="s">
        <v>3798</v>
      </c>
      <c r="F13" s="298">
        <v>41883</v>
      </c>
      <c r="G13" s="74">
        <v>0</v>
      </c>
      <c r="H13" s="74">
        <v>0</v>
      </c>
      <c r="I13" s="74">
        <v>0</v>
      </c>
      <c r="J13" s="74">
        <v>0</v>
      </c>
      <c r="K13" s="74">
        <v>0</v>
      </c>
      <c r="L13" s="74">
        <v>0</v>
      </c>
      <c r="M13" s="74">
        <v>980</v>
      </c>
      <c r="N13" s="74">
        <v>0</v>
      </c>
      <c r="O13" s="74">
        <v>0</v>
      </c>
      <c r="P13" s="74">
        <v>0</v>
      </c>
      <c r="Q13" s="74">
        <v>0</v>
      </c>
      <c r="R13" s="74">
        <v>980</v>
      </c>
      <c r="S13" s="74">
        <v>-980</v>
      </c>
    </row>
    <row r="14" spans="1:19" x14ac:dyDescent="0.2">
      <c r="A14" s="446" t="s">
        <v>1971</v>
      </c>
      <c r="B14" s="446" t="s">
        <v>2904</v>
      </c>
      <c r="C14" s="446" t="s">
        <v>444</v>
      </c>
      <c r="D14" s="446" t="s">
        <v>153</v>
      </c>
      <c r="E14" s="446" t="s">
        <v>3798</v>
      </c>
      <c r="F14" s="298">
        <v>42201</v>
      </c>
      <c r="G14" s="74">
        <v>2714</v>
      </c>
      <c r="H14" s="74">
        <v>0</v>
      </c>
      <c r="I14" s="74">
        <v>0</v>
      </c>
      <c r="J14" s="74">
        <v>0</v>
      </c>
      <c r="K14" s="74">
        <v>0</v>
      </c>
      <c r="L14" s="74">
        <v>2714</v>
      </c>
      <c r="M14" s="74">
        <v>1995</v>
      </c>
      <c r="N14" s="74">
        <v>0</v>
      </c>
      <c r="O14" s="74">
        <v>0</v>
      </c>
      <c r="P14" s="74">
        <v>0</v>
      </c>
      <c r="Q14" s="74">
        <v>0</v>
      </c>
      <c r="R14" s="74">
        <v>1995</v>
      </c>
      <c r="S14" s="74">
        <v>719</v>
      </c>
    </row>
    <row r="15" spans="1:19" x14ac:dyDescent="0.2">
      <c r="A15" s="446" t="s">
        <v>2114</v>
      </c>
      <c r="B15" s="446" t="s">
        <v>3950</v>
      </c>
      <c r="C15" s="446" t="s">
        <v>449</v>
      </c>
      <c r="D15" s="446" t="s">
        <v>153</v>
      </c>
      <c r="E15" s="446" t="s">
        <v>3798</v>
      </c>
      <c r="F15" s="298">
        <v>42230</v>
      </c>
      <c r="G15" s="74">
        <v>0</v>
      </c>
      <c r="H15" s="74">
        <v>0</v>
      </c>
      <c r="I15" s="74">
        <v>0</v>
      </c>
      <c r="J15" s="74">
        <v>0</v>
      </c>
      <c r="K15" s="74">
        <v>0</v>
      </c>
      <c r="L15" s="74">
        <v>0</v>
      </c>
      <c r="M15" s="74">
        <v>601</v>
      </c>
      <c r="N15" s="74">
        <v>0</v>
      </c>
      <c r="O15" s="74">
        <v>0</v>
      </c>
      <c r="P15" s="74">
        <v>0</v>
      </c>
      <c r="Q15" s="74">
        <v>0</v>
      </c>
      <c r="R15" s="74">
        <v>601</v>
      </c>
      <c r="S15" s="74">
        <v>-601</v>
      </c>
    </row>
    <row r="16" spans="1:19" x14ac:dyDescent="0.2">
      <c r="A16" s="446" t="s">
        <v>1706</v>
      </c>
      <c r="B16" s="446" t="s">
        <v>3947</v>
      </c>
      <c r="C16" s="446" t="s">
        <v>796</v>
      </c>
      <c r="D16" s="446" t="s">
        <v>153</v>
      </c>
      <c r="E16" s="446" t="s">
        <v>3798</v>
      </c>
      <c r="F16" s="298">
        <v>42541</v>
      </c>
      <c r="G16" s="74">
        <v>391</v>
      </c>
      <c r="H16" s="74">
        <v>0</v>
      </c>
      <c r="I16" s="74">
        <v>0</v>
      </c>
      <c r="J16" s="74">
        <v>0</v>
      </c>
      <c r="K16" s="74">
        <v>0</v>
      </c>
      <c r="L16" s="74">
        <v>391</v>
      </c>
      <c r="M16" s="74">
        <v>16973</v>
      </c>
      <c r="N16" s="74">
        <v>0</v>
      </c>
      <c r="O16" s="74">
        <v>0</v>
      </c>
      <c r="P16" s="74">
        <v>0</v>
      </c>
      <c r="Q16" s="74">
        <v>0</v>
      </c>
      <c r="R16" s="74">
        <v>16973</v>
      </c>
      <c r="S16" s="74">
        <v>-16582</v>
      </c>
    </row>
    <row r="17" spans="1:19" x14ac:dyDescent="0.2">
      <c r="A17" s="446" t="s">
        <v>2017</v>
      </c>
      <c r="B17" s="446" t="s">
        <v>2907</v>
      </c>
      <c r="C17" s="446" t="s">
        <v>253</v>
      </c>
      <c r="D17" s="446" t="s">
        <v>153</v>
      </c>
      <c r="E17" s="446" t="s">
        <v>3798</v>
      </c>
      <c r="F17" s="298">
        <v>41842</v>
      </c>
      <c r="G17" s="74">
        <v>2245</v>
      </c>
      <c r="H17" s="74">
        <v>0</v>
      </c>
      <c r="I17" s="74">
        <v>0</v>
      </c>
      <c r="J17" s="74">
        <v>0</v>
      </c>
      <c r="K17" s="74">
        <v>0</v>
      </c>
      <c r="L17" s="74">
        <v>2245</v>
      </c>
      <c r="M17" s="74">
        <v>0</v>
      </c>
      <c r="N17" s="74">
        <v>0</v>
      </c>
      <c r="O17" s="74">
        <v>0</v>
      </c>
      <c r="P17" s="74">
        <v>0</v>
      </c>
      <c r="Q17" s="74">
        <v>0</v>
      </c>
      <c r="R17" s="74">
        <v>0</v>
      </c>
      <c r="S17" s="74">
        <v>2245</v>
      </c>
    </row>
    <row r="18" spans="1:19" x14ac:dyDescent="0.2">
      <c r="A18" s="446" t="s">
        <v>1544</v>
      </c>
      <c r="B18" s="446" t="s">
        <v>3946</v>
      </c>
      <c r="C18" s="446" t="s">
        <v>62</v>
      </c>
      <c r="D18" s="446" t="s">
        <v>153</v>
      </c>
      <c r="E18" s="446" t="s">
        <v>3798</v>
      </c>
      <c r="F18" s="298">
        <v>40434</v>
      </c>
      <c r="G18" s="74">
        <v>6574</v>
      </c>
      <c r="H18" s="74">
        <v>0</v>
      </c>
      <c r="I18" s="74">
        <v>0</v>
      </c>
      <c r="J18" s="74">
        <v>0</v>
      </c>
      <c r="K18" s="74">
        <v>0</v>
      </c>
      <c r="L18" s="74">
        <v>6574</v>
      </c>
      <c r="M18" s="74">
        <v>0</v>
      </c>
      <c r="N18" s="74">
        <v>0</v>
      </c>
      <c r="O18" s="74">
        <v>0</v>
      </c>
      <c r="P18" s="74">
        <v>0</v>
      </c>
      <c r="Q18" s="74">
        <v>0</v>
      </c>
      <c r="R18" s="74">
        <v>0</v>
      </c>
      <c r="S18" s="74">
        <v>6574</v>
      </c>
    </row>
    <row r="19" spans="1:19" x14ac:dyDescent="0.2">
      <c r="A19" s="446" t="s">
        <v>1974</v>
      </c>
      <c r="B19" s="446" t="s">
        <v>3951</v>
      </c>
      <c r="C19" s="446" t="s">
        <v>686</v>
      </c>
      <c r="D19" s="446" t="s">
        <v>153</v>
      </c>
      <c r="E19" s="446" t="s">
        <v>3798</v>
      </c>
      <c r="F19" s="298">
        <v>41488</v>
      </c>
      <c r="G19" s="74">
        <v>0</v>
      </c>
      <c r="H19" s="74">
        <v>0</v>
      </c>
      <c r="I19" s="74">
        <v>0</v>
      </c>
      <c r="J19" s="74">
        <v>0</v>
      </c>
      <c r="K19" s="74">
        <v>0</v>
      </c>
      <c r="L19" s="74">
        <v>0</v>
      </c>
      <c r="M19" s="74">
        <v>151</v>
      </c>
      <c r="N19" s="74">
        <v>0</v>
      </c>
      <c r="O19" s="74">
        <v>0</v>
      </c>
      <c r="P19" s="74">
        <v>0</v>
      </c>
      <c r="Q19" s="74">
        <v>0</v>
      </c>
      <c r="R19" s="74">
        <v>151</v>
      </c>
      <c r="S19" s="74">
        <v>-151</v>
      </c>
    </row>
    <row r="20" spans="1:19" x14ac:dyDescent="0.2">
      <c r="A20" s="446" t="s">
        <v>1914</v>
      </c>
      <c r="B20" s="446" t="s">
        <v>3951</v>
      </c>
      <c r="C20" s="446" t="s">
        <v>1066</v>
      </c>
      <c r="D20" s="446" t="s">
        <v>153</v>
      </c>
      <c r="E20" s="446" t="s">
        <v>3798</v>
      </c>
      <c r="F20" s="298">
        <v>42822</v>
      </c>
      <c r="G20" s="74">
        <v>0</v>
      </c>
      <c r="H20" s="74">
        <v>0</v>
      </c>
      <c r="I20" s="74">
        <v>0</v>
      </c>
      <c r="J20" s="74">
        <v>0</v>
      </c>
      <c r="K20" s="74">
        <v>0</v>
      </c>
      <c r="L20" s="74">
        <v>0</v>
      </c>
      <c r="M20" s="74">
        <v>0</v>
      </c>
      <c r="N20" s="74">
        <v>0</v>
      </c>
      <c r="O20" s="74">
        <v>337</v>
      </c>
      <c r="P20" s="74">
        <v>0</v>
      </c>
      <c r="Q20" s="74">
        <v>0</v>
      </c>
      <c r="R20" s="74">
        <v>337</v>
      </c>
      <c r="S20" s="74">
        <v>-337</v>
      </c>
    </row>
    <row r="21" spans="1:19" x14ac:dyDescent="0.2">
      <c r="A21" s="446" t="s">
        <v>1525</v>
      </c>
      <c r="B21" s="446" t="s">
        <v>3947</v>
      </c>
      <c r="C21" s="446" t="s">
        <v>1535</v>
      </c>
      <c r="D21" s="446" t="s">
        <v>1538</v>
      </c>
      <c r="E21" s="446" t="s">
        <v>3798</v>
      </c>
      <c r="F21" s="298">
        <v>42682</v>
      </c>
      <c r="G21" s="74">
        <v>2913</v>
      </c>
      <c r="H21" s="74">
        <v>0</v>
      </c>
      <c r="I21" s="74">
        <v>0</v>
      </c>
      <c r="J21" s="74">
        <v>0</v>
      </c>
      <c r="K21" s="74">
        <v>0</v>
      </c>
      <c r="L21" s="74">
        <v>2913</v>
      </c>
      <c r="M21" s="74">
        <v>0</v>
      </c>
      <c r="N21" s="74">
        <v>0</v>
      </c>
      <c r="O21" s="74">
        <v>0</v>
      </c>
      <c r="P21" s="74">
        <v>0</v>
      </c>
      <c r="Q21" s="74">
        <v>0</v>
      </c>
      <c r="R21" s="74">
        <v>0</v>
      </c>
      <c r="S21" s="74">
        <v>2913</v>
      </c>
    </row>
    <row r="22" spans="1:19" x14ac:dyDescent="0.2">
      <c r="A22" s="446" t="s">
        <v>2421</v>
      </c>
      <c r="B22" s="446" t="s">
        <v>3951</v>
      </c>
      <c r="C22" s="446" t="s">
        <v>2422</v>
      </c>
      <c r="D22" s="446" t="s">
        <v>153</v>
      </c>
      <c r="E22" s="446" t="s">
        <v>3798</v>
      </c>
      <c r="F22" s="298">
        <v>42870</v>
      </c>
      <c r="G22" s="74">
        <v>0</v>
      </c>
      <c r="H22" s="74">
        <v>0</v>
      </c>
      <c r="I22" s="74">
        <v>0</v>
      </c>
      <c r="J22" s="74">
        <v>0</v>
      </c>
      <c r="K22" s="74">
        <v>0</v>
      </c>
      <c r="L22" s="74">
        <v>0</v>
      </c>
      <c r="M22" s="74">
        <v>8</v>
      </c>
      <c r="N22" s="74">
        <v>0</v>
      </c>
      <c r="O22" s="74">
        <v>0</v>
      </c>
      <c r="P22" s="74">
        <v>0</v>
      </c>
      <c r="Q22" s="74">
        <v>0</v>
      </c>
      <c r="R22" s="74">
        <v>8</v>
      </c>
      <c r="S22" s="74">
        <v>-8</v>
      </c>
    </row>
    <row r="23" spans="1:19" x14ac:dyDescent="0.2">
      <c r="A23" s="446" t="s">
        <v>2345</v>
      </c>
      <c r="B23" s="446" t="s">
        <v>2907</v>
      </c>
      <c r="C23" s="446" t="s">
        <v>810</v>
      </c>
      <c r="D23" s="446" t="s">
        <v>153</v>
      </c>
      <c r="E23" s="446" t="s">
        <v>3798</v>
      </c>
      <c r="F23" s="298">
        <v>42473</v>
      </c>
      <c r="G23" s="74">
        <v>0</v>
      </c>
      <c r="H23" s="74">
        <v>0</v>
      </c>
      <c r="I23" s="74">
        <v>80</v>
      </c>
      <c r="J23" s="74">
        <v>0</v>
      </c>
      <c r="K23" s="74">
        <v>0</v>
      </c>
      <c r="L23" s="74">
        <v>80</v>
      </c>
      <c r="M23" s="74">
        <v>0</v>
      </c>
      <c r="N23" s="74">
        <v>0</v>
      </c>
      <c r="O23" s="74">
        <v>0</v>
      </c>
      <c r="P23" s="74">
        <v>0</v>
      </c>
      <c r="Q23" s="74">
        <v>0</v>
      </c>
      <c r="R23" s="74">
        <v>0</v>
      </c>
      <c r="S23" s="74">
        <v>80</v>
      </c>
    </row>
    <row r="24" spans="1:19" x14ac:dyDescent="0.2">
      <c r="A24" s="446" t="s">
        <v>95</v>
      </c>
      <c r="G24" s="74">
        <v>15245</v>
      </c>
      <c r="H24" s="74">
        <v>0</v>
      </c>
      <c r="I24" s="74">
        <v>80</v>
      </c>
      <c r="J24" s="74">
        <v>0</v>
      </c>
      <c r="K24" s="74">
        <v>0</v>
      </c>
      <c r="L24" s="74">
        <v>15325</v>
      </c>
      <c r="M24" s="74">
        <v>21901</v>
      </c>
      <c r="N24" s="74">
        <v>0</v>
      </c>
      <c r="O24" s="74">
        <v>646</v>
      </c>
      <c r="P24" s="74">
        <v>0</v>
      </c>
      <c r="Q24" s="74">
        <v>0</v>
      </c>
      <c r="R24" s="74">
        <v>22547</v>
      </c>
      <c r="S24" s="74">
        <v>-7222</v>
      </c>
    </row>
  </sheetData>
  <conditionalFormatting sqref="D1:D1048576">
    <cfRule type="cellIs" dxfId="73"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S91"/>
  <sheetViews>
    <sheetView workbookViewId="0"/>
  </sheetViews>
  <sheetFormatPr defaultRowHeight="11.25" x14ac:dyDescent="0.2"/>
  <cols>
    <col min="1" max="1" width="22.5703125" style="339" customWidth="1"/>
    <col min="2" max="2" width="10.85546875" style="299" customWidth="1"/>
    <col min="3" max="3" width="9.42578125" style="300" customWidth="1"/>
    <col min="4" max="4" width="8.85546875" style="299" customWidth="1"/>
    <col min="5" max="5" width="10.85546875" style="301" customWidth="1"/>
    <col min="6" max="6" width="8.85546875" style="302" customWidth="1"/>
    <col min="7" max="7" width="6.7109375" style="303" customWidth="1"/>
    <col min="8" max="11" width="6.28515625" style="303" customWidth="1"/>
    <col min="12" max="13" width="6.7109375" style="303" customWidth="1"/>
    <col min="14" max="17" width="6.28515625" style="303" customWidth="1"/>
    <col min="18" max="19" width="6.7109375" style="303" customWidth="1"/>
    <col min="20" max="16384" width="9.140625" style="301"/>
  </cols>
  <sheetData>
    <row r="1" spans="1:19" ht="15.75" x14ac:dyDescent="0.2">
      <c r="A1" s="336" t="s">
        <v>3937</v>
      </c>
    </row>
    <row r="2" spans="1:19" ht="12.75" x14ac:dyDescent="0.2">
      <c r="A2" s="341" t="s">
        <v>3888</v>
      </c>
    </row>
    <row r="3" spans="1:19" ht="12.75" x14ac:dyDescent="0.2">
      <c r="A3" s="341"/>
    </row>
    <row r="4" spans="1:19" s="310" customFormat="1" ht="12.75" customHeight="1" x14ac:dyDescent="0.2">
      <c r="A4" s="826" t="s">
        <v>185</v>
      </c>
      <c r="B4" s="828" t="s">
        <v>3938</v>
      </c>
      <c r="C4" s="827" t="s">
        <v>2848</v>
      </c>
      <c r="D4" s="829" t="s">
        <v>3973</v>
      </c>
      <c r="E4" s="826" t="s">
        <v>3970</v>
      </c>
      <c r="F4" s="836"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30"/>
      <c r="E5" s="826"/>
      <c r="F5" s="836"/>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31"/>
      <c r="E6" s="826"/>
      <c r="F6" s="836"/>
      <c r="G6" s="536" t="s">
        <v>97</v>
      </c>
      <c r="H6" s="304" t="s">
        <v>98</v>
      </c>
      <c r="I6" s="304" t="s">
        <v>99</v>
      </c>
      <c r="J6" s="304" t="s">
        <v>100</v>
      </c>
      <c r="K6" s="304" t="s">
        <v>101</v>
      </c>
      <c r="L6" s="304" t="s">
        <v>95</v>
      </c>
      <c r="M6" s="536" t="s">
        <v>97</v>
      </c>
      <c r="N6" s="304" t="s">
        <v>98</v>
      </c>
      <c r="O6" s="304" t="s">
        <v>99</v>
      </c>
      <c r="P6" s="304" t="s">
        <v>100</v>
      </c>
      <c r="Q6" s="304" t="s">
        <v>101</v>
      </c>
      <c r="R6" s="537" t="s">
        <v>95</v>
      </c>
      <c r="S6" s="835"/>
    </row>
    <row r="7" spans="1:19" ht="45" x14ac:dyDescent="0.2">
      <c r="A7" s="344" t="s">
        <v>2601</v>
      </c>
      <c r="B7" s="342" t="s">
        <v>3943</v>
      </c>
      <c r="C7" s="343" t="s">
        <v>2602</v>
      </c>
      <c r="D7" s="342" t="s">
        <v>153</v>
      </c>
      <c r="E7" s="344" t="s">
        <v>3798</v>
      </c>
      <c r="F7" s="522">
        <v>43185</v>
      </c>
      <c r="G7" s="523">
        <v>0</v>
      </c>
      <c r="H7" s="346">
        <v>0</v>
      </c>
      <c r="I7" s="346">
        <v>0</v>
      </c>
      <c r="J7" s="346">
        <v>0</v>
      </c>
      <c r="K7" s="346">
        <v>0</v>
      </c>
      <c r="L7" s="346">
        <v>0</v>
      </c>
      <c r="M7" s="523">
        <v>0</v>
      </c>
      <c r="N7" s="346">
        <v>0</v>
      </c>
      <c r="O7" s="346">
        <v>0</v>
      </c>
      <c r="P7" s="346">
        <v>460</v>
      </c>
      <c r="Q7" s="346">
        <v>0</v>
      </c>
      <c r="R7" s="347">
        <v>460</v>
      </c>
      <c r="S7" s="346">
        <v>-460</v>
      </c>
    </row>
    <row r="8" spans="1:19" x14ac:dyDescent="0.2">
      <c r="A8" s="305" t="s">
        <v>2112</v>
      </c>
      <c r="B8" s="306" t="s">
        <v>149</v>
      </c>
      <c r="C8" s="307" t="s">
        <v>459</v>
      </c>
      <c r="D8" s="306" t="s">
        <v>153</v>
      </c>
      <c r="E8" s="305" t="s">
        <v>421</v>
      </c>
      <c r="F8" s="308">
        <v>42178</v>
      </c>
      <c r="G8" s="315">
        <v>0</v>
      </c>
      <c r="H8" s="309">
        <v>0</v>
      </c>
      <c r="I8" s="309">
        <v>0</v>
      </c>
      <c r="J8" s="309">
        <v>0</v>
      </c>
      <c r="K8" s="309">
        <v>0</v>
      </c>
      <c r="L8" s="309">
        <v>0</v>
      </c>
      <c r="M8" s="315">
        <v>130</v>
      </c>
      <c r="N8" s="309">
        <v>0</v>
      </c>
      <c r="O8" s="309">
        <v>0</v>
      </c>
      <c r="P8" s="309">
        <v>0</v>
      </c>
      <c r="Q8" s="309">
        <v>0</v>
      </c>
      <c r="R8" s="317">
        <v>130</v>
      </c>
      <c r="S8" s="309">
        <v>-130</v>
      </c>
    </row>
    <row r="9" spans="1:19" x14ac:dyDescent="0.2">
      <c r="A9" s="305"/>
      <c r="B9" s="306"/>
      <c r="C9" s="307" t="s">
        <v>748</v>
      </c>
      <c r="D9" s="306" t="s">
        <v>153</v>
      </c>
      <c r="E9" s="305" t="s">
        <v>3798</v>
      </c>
      <c r="F9" s="308">
        <v>42207</v>
      </c>
      <c r="G9" s="315">
        <v>101</v>
      </c>
      <c r="H9" s="309">
        <v>0</v>
      </c>
      <c r="I9" s="309">
        <v>0</v>
      </c>
      <c r="J9" s="309">
        <v>0</v>
      </c>
      <c r="K9" s="309">
        <v>0</v>
      </c>
      <c r="L9" s="309">
        <v>101</v>
      </c>
      <c r="M9" s="315">
        <v>0</v>
      </c>
      <c r="N9" s="309">
        <v>0</v>
      </c>
      <c r="O9" s="309">
        <v>0</v>
      </c>
      <c r="P9" s="309">
        <v>0</v>
      </c>
      <c r="Q9" s="309">
        <v>0</v>
      </c>
      <c r="R9" s="317">
        <v>0</v>
      </c>
      <c r="S9" s="309">
        <v>101</v>
      </c>
    </row>
    <row r="10" spans="1:19" x14ac:dyDescent="0.2">
      <c r="A10" s="305" t="s">
        <v>1587</v>
      </c>
      <c r="B10" s="306" t="s">
        <v>3951</v>
      </c>
      <c r="C10" s="307" t="s">
        <v>1032</v>
      </c>
      <c r="D10" s="306" t="s">
        <v>153</v>
      </c>
      <c r="E10" s="305" t="s">
        <v>3798</v>
      </c>
      <c r="F10" s="308">
        <v>42664</v>
      </c>
      <c r="G10" s="315">
        <v>0</v>
      </c>
      <c r="H10" s="309">
        <v>0</v>
      </c>
      <c r="I10" s="309">
        <v>0</v>
      </c>
      <c r="J10" s="309">
        <v>0</v>
      </c>
      <c r="K10" s="309">
        <v>0</v>
      </c>
      <c r="L10" s="309">
        <v>0</v>
      </c>
      <c r="M10" s="315">
        <v>34</v>
      </c>
      <c r="N10" s="309">
        <v>0</v>
      </c>
      <c r="O10" s="309">
        <v>0</v>
      </c>
      <c r="P10" s="309">
        <v>0</v>
      </c>
      <c r="Q10" s="309">
        <v>0</v>
      </c>
      <c r="R10" s="317">
        <v>34</v>
      </c>
      <c r="S10" s="309">
        <v>-34</v>
      </c>
    </row>
    <row r="11" spans="1:19" x14ac:dyDescent="0.2">
      <c r="A11" s="305" t="s">
        <v>1863</v>
      </c>
      <c r="B11" s="306" t="s">
        <v>2907</v>
      </c>
      <c r="C11" s="307" t="s">
        <v>875</v>
      </c>
      <c r="D11" s="306" t="s">
        <v>153</v>
      </c>
      <c r="E11" s="305" t="s">
        <v>421</v>
      </c>
      <c r="F11" s="308">
        <v>42559</v>
      </c>
      <c r="G11" s="315">
        <v>0</v>
      </c>
      <c r="H11" s="309">
        <v>0</v>
      </c>
      <c r="I11" s="309">
        <v>0</v>
      </c>
      <c r="J11" s="309">
        <v>0</v>
      </c>
      <c r="K11" s="309">
        <v>0</v>
      </c>
      <c r="L11" s="309">
        <v>0</v>
      </c>
      <c r="M11" s="315">
        <v>43</v>
      </c>
      <c r="N11" s="309">
        <v>0</v>
      </c>
      <c r="O11" s="309">
        <v>0</v>
      </c>
      <c r="P11" s="309">
        <v>0</v>
      </c>
      <c r="Q11" s="309">
        <v>0</v>
      </c>
      <c r="R11" s="317">
        <v>43</v>
      </c>
      <c r="S11" s="309">
        <v>-43</v>
      </c>
    </row>
    <row r="12" spans="1:19" x14ac:dyDescent="0.2">
      <c r="A12" s="305" t="s">
        <v>1957</v>
      </c>
      <c r="B12" s="306" t="s">
        <v>3946</v>
      </c>
      <c r="C12" s="307" t="s">
        <v>230</v>
      </c>
      <c r="D12" s="306" t="s">
        <v>153</v>
      </c>
      <c r="E12" s="305" t="s">
        <v>3798</v>
      </c>
      <c r="F12" s="308">
        <v>41404</v>
      </c>
      <c r="G12" s="315">
        <v>126</v>
      </c>
      <c r="H12" s="309">
        <v>0</v>
      </c>
      <c r="I12" s="309">
        <v>0</v>
      </c>
      <c r="J12" s="309">
        <v>0</v>
      </c>
      <c r="K12" s="309">
        <v>0</v>
      </c>
      <c r="L12" s="309">
        <v>126</v>
      </c>
      <c r="M12" s="315">
        <v>0</v>
      </c>
      <c r="N12" s="309">
        <v>0</v>
      </c>
      <c r="O12" s="309">
        <v>0</v>
      </c>
      <c r="P12" s="309">
        <v>0</v>
      </c>
      <c r="Q12" s="309">
        <v>0</v>
      </c>
      <c r="R12" s="317">
        <v>0</v>
      </c>
      <c r="S12" s="309">
        <v>126</v>
      </c>
    </row>
    <row r="13" spans="1:19" x14ac:dyDescent="0.2">
      <c r="A13" s="305" t="s">
        <v>2089</v>
      </c>
      <c r="B13" s="306" t="s">
        <v>3948</v>
      </c>
      <c r="C13" s="307" t="s">
        <v>300</v>
      </c>
      <c r="D13" s="306" t="s">
        <v>153</v>
      </c>
      <c r="E13" s="305" t="s">
        <v>3798</v>
      </c>
      <c r="F13" s="308">
        <v>42214</v>
      </c>
      <c r="G13" s="315">
        <v>0</v>
      </c>
      <c r="H13" s="309">
        <v>0</v>
      </c>
      <c r="I13" s="309">
        <v>0</v>
      </c>
      <c r="J13" s="309">
        <v>0</v>
      </c>
      <c r="K13" s="309">
        <v>0</v>
      </c>
      <c r="L13" s="309">
        <v>0</v>
      </c>
      <c r="M13" s="315">
        <v>110</v>
      </c>
      <c r="N13" s="309">
        <v>0</v>
      </c>
      <c r="O13" s="309">
        <v>570</v>
      </c>
      <c r="P13" s="309">
        <v>0</v>
      </c>
      <c r="Q13" s="309">
        <v>0</v>
      </c>
      <c r="R13" s="317">
        <v>680</v>
      </c>
      <c r="S13" s="309">
        <v>-680</v>
      </c>
    </row>
    <row r="14" spans="1:19" x14ac:dyDescent="0.2">
      <c r="A14" s="305" t="s">
        <v>1414</v>
      </c>
      <c r="B14" s="306" t="s">
        <v>3942</v>
      </c>
      <c r="C14" s="307" t="s">
        <v>1415</v>
      </c>
      <c r="D14" s="306" t="s">
        <v>153</v>
      </c>
      <c r="E14" s="305" t="s">
        <v>3798</v>
      </c>
      <c r="F14" s="308">
        <v>43186</v>
      </c>
      <c r="G14" s="315">
        <v>0</v>
      </c>
      <c r="H14" s="309">
        <v>0</v>
      </c>
      <c r="I14" s="309">
        <v>0</v>
      </c>
      <c r="J14" s="309">
        <v>0</v>
      </c>
      <c r="K14" s="309">
        <v>0</v>
      </c>
      <c r="L14" s="309">
        <v>0</v>
      </c>
      <c r="M14" s="315">
        <v>0</v>
      </c>
      <c r="N14" s="309">
        <v>0</v>
      </c>
      <c r="O14" s="309">
        <v>120</v>
      </c>
      <c r="P14" s="309">
        <v>0</v>
      </c>
      <c r="Q14" s="309">
        <v>0</v>
      </c>
      <c r="R14" s="317">
        <v>120</v>
      </c>
      <c r="S14" s="309">
        <v>-120</v>
      </c>
    </row>
    <row r="15" spans="1:19" ht="22.5" x14ac:dyDescent="0.2">
      <c r="A15" s="305" t="s">
        <v>1672</v>
      </c>
      <c r="B15" s="306" t="s">
        <v>3943</v>
      </c>
      <c r="C15" s="307" t="s">
        <v>378</v>
      </c>
      <c r="D15" s="306" t="s">
        <v>153</v>
      </c>
      <c r="E15" s="305" t="s">
        <v>3798</v>
      </c>
      <c r="F15" s="308">
        <v>42179</v>
      </c>
      <c r="G15" s="315">
        <v>368</v>
      </c>
      <c r="H15" s="309">
        <v>0</v>
      </c>
      <c r="I15" s="309">
        <v>0</v>
      </c>
      <c r="J15" s="309">
        <v>0</v>
      </c>
      <c r="K15" s="309">
        <v>0</v>
      </c>
      <c r="L15" s="309">
        <v>368</v>
      </c>
      <c r="M15" s="315">
        <v>0</v>
      </c>
      <c r="N15" s="309">
        <v>0</v>
      </c>
      <c r="O15" s="309">
        <v>0</v>
      </c>
      <c r="P15" s="309">
        <v>0</v>
      </c>
      <c r="Q15" s="309">
        <v>0</v>
      </c>
      <c r="R15" s="317">
        <v>0</v>
      </c>
      <c r="S15" s="309">
        <v>368</v>
      </c>
    </row>
    <row r="16" spans="1:19" x14ac:dyDescent="0.2">
      <c r="A16" s="305" t="s">
        <v>1495</v>
      </c>
      <c r="B16" s="306" t="s">
        <v>3941</v>
      </c>
      <c r="C16" s="307" t="s">
        <v>1496</v>
      </c>
      <c r="D16" s="306" t="s">
        <v>153</v>
      </c>
      <c r="E16" s="305" t="s">
        <v>3798</v>
      </c>
      <c r="F16" s="308">
        <v>42978</v>
      </c>
      <c r="G16" s="315">
        <v>0</v>
      </c>
      <c r="H16" s="309">
        <v>0</v>
      </c>
      <c r="I16" s="309">
        <v>0</v>
      </c>
      <c r="J16" s="309">
        <v>0</v>
      </c>
      <c r="K16" s="309">
        <v>0</v>
      </c>
      <c r="L16" s="309">
        <v>0</v>
      </c>
      <c r="M16" s="315">
        <v>0</v>
      </c>
      <c r="N16" s="309">
        <v>0</v>
      </c>
      <c r="O16" s="309">
        <v>0</v>
      </c>
      <c r="P16" s="309">
        <v>0</v>
      </c>
      <c r="Q16" s="309">
        <v>66</v>
      </c>
      <c r="R16" s="317">
        <v>66</v>
      </c>
      <c r="S16" s="309">
        <v>-66</v>
      </c>
    </row>
    <row r="17" spans="1:19" x14ac:dyDescent="0.2">
      <c r="A17" s="305" t="s">
        <v>1808</v>
      </c>
      <c r="B17" s="306" t="s">
        <v>3942</v>
      </c>
      <c r="C17" s="307" t="s">
        <v>537</v>
      </c>
      <c r="D17" s="306" t="s">
        <v>153</v>
      </c>
      <c r="E17" s="305" t="s">
        <v>3798</v>
      </c>
      <c r="F17" s="308">
        <v>42486</v>
      </c>
      <c r="G17" s="315">
        <v>117</v>
      </c>
      <c r="H17" s="309">
        <v>0</v>
      </c>
      <c r="I17" s="309">
        <v>0</v>
      </c>
      <c r="J17" s="309">
        <v>0</v>
      </c>
      <c r="K17" s="309">
        <v>0</v>
      </c>
      <c r="L17" s="309">
        <v>117</v>
      </c>
      <c r="M17" s="315">
        <v>0</v>
      </c>
      <c r="N17" s="309">
        <v>0</v>
      </c>
      <c r="O17" s="309">
        <v>0</v>
      </c>
      <c r="P17" s="309">
        <v>0</v>
      </c>
      <c r="Q17" s="309">
        <v>0</v>
      </c>
      <c r="R17" s="317">
        <v>0</v>
      </c>
      <c r="S17" s="309">
        <v>117</v>
      </c>
    </row>
    <row r="18" spans="1:19" x14ac:dyDescent="0.2">
      <c r="A18" s="305" t="s">
        <v>1399</v>
      </c>
      <c r="B18" s="306" t="s">
        <v>3945</v>
      </c>
      <c r="C18" s="307" t="s">
        <v>514</v>
      </c>
      <c r="D18" s="306" t="s">
        <v>153</v>
      </c>
      <c r="E18" s="305" t="s">
        <v>3798</v>
      </c>
      <c r="F18" s="308">
        <v>42312</v>
      </c>
      <c r="G18" s="315">
        <v>336</v>
      </c>
      <c r="H18" s="309">
        <v>0</v>
      </c>
      <c r="I18" s="309">
        <v>0</v>
      </c>
      <c r="J18" s="309">
        <v>0</v>
      </c>
      <c r="K18" s="309">
        <v>0</v>
      </c>
      <c r="L18" s="309">
        <v>336</v>
      </c>
      <c r="M18" s="315">
        <v>56</v>
      </c>
      <c r="N18" s="309">
        <v>0</v>
      </c>
      <c r="O18" s="309">
        <v>0</v>
      </c>
      <c r="P18" s="309">
        <v>0</v>
      </c>
      <c r="Q18" s="309">
        <v>0</v>
      </c>
      <c r="R18" s="317">
        <v>56</v>
      </c>
      <c r="S18" s="309">
        <v>280</v>
      </c>
    </row>
    <row r="19" spans="1:19" x14ac:dyDescent="0.2">
      <c r="A19" s="305"/>
      <c r="B19" s="306"/>
      <c r="C19" s="307" t="s">
        <v>976</v>
      </c>
      <c r="D19" s="306" t="s">
        <v>153</v>
      </c>
      <c r="E19" s="305" t="s">
        <v>421</v>
      </c>
      <c r="F19" s="308">
        <v>42606</v>
      </c>
      <c r="G19" s="315">
        <v>0</v>
      </c>
      <c r="H19" s="309">
        <v>0</v>
      </c>
      <c r="I19" s="309">
        <v>0</v>
      </c>
      <c r="J19" s="309">
        <v>0</v>
      </c>
      <c r="K19" s="309">
        <v>0</v>
      </c>
      <c r="L19" s="309">
        <v>0</v>
      </c>
      <c r="M19" s="315">
        <v>180</v>
      </c>
      <c r="N19" s="309">
        <v>0</v>
      </c>
      <c r="O19" s="309">
        <v>0</v>
      </c>
      <c r="P19" s="309">
        <v>0</v>
      </c>
      <c r="Q19" s="309">
        <v>0</v>
      </c>
      <c r="R19" s="317">
        <v>180</v>
      </c>
      <c r="S19" s="309">
        <v>-180</v>
      </c>
    </row>
    <row r="20" spans="1:19" x14ac:dyDescent="0.2">
      <c r="A20" s="305" t="s">
        <v>1325</v>
      </c>
      <c r="B20" s="306" t="s">
        <v>3946</v>
      </c>
      <c r="C20" s="307" t="s">
        <v>1326</v>
      </c>
      <c r="D20" s="306" t="s">
        <v>153</v>
      </c>
      <c r="E20" s="305" t="s">
        <v>3798</v>
      </c>
      <c r="F20" s="308">
        <v>43013</v>
      </c>
      <c r="G20" s="315">
        <v>0</v>
      </c>
      <c r="H20" s="309">
        <v>0</v>
      </c>
      <c r="I20" s="309">
        <v>0</v>
      </c>
      <c r="J20" s="309">
        <v>0</v>
      </c>
      <c r="K20" s="309">
        <v>0</v>
      </c>
      <c r="L20" s="309">
        <v>0</v>
      </c>
      <c r="M20" s="315">
        <v>0</v>
      </c>
      <c r="N20" s="309">
        <v>0</v>
      </c>
      <c r="O20" s="309">
        <v>259</v>
      </c>
      <c r="P20" s="309">
        <v>0</v>
      </c>
      <c r="Q20" s="309">
        <v>0</v>
      </c>
      <c r="R20" s="317">
        <v>259</v>
      </c>
      <c r="S20" s="309">
        <v>-259</v>
      </c>
    </row>
    <row r="21" spans="1:19" x14ac:dyDescent="0.2">
      <c r="A21" s="305" t="s">
        <v>1345</v>
      </c>
      <c r="B21" s="306" t="s">
        <v>3947</v>
      </c>
      <c r="C21" s="307" t="s">
        <v>1135</v>
      </c>
      <c r="D21" s="306" t="s">
        <v>153</v>
      </c>
      <c r="E21" s="305" t="s">
        <v>3798</v>
      </c>
      <c r="F21" s="308">
        <v>42753</v>
      </c>
      <c r="G21" s="315">
        <v>0</v>
      </c>
      <c r="H21" s="309">
        <v>0</v>
      </c>
      <c r="I21" s="309">
        <v>0</v>
      </c>
      <c r="J21" s="309">
        <v>0</v>
      </c>
      <c r="K21" s="309">
        <v>0</v>
      </c>
      <c r="L21" s="309">
        <v>0</v>
      </c>
      <c r="M21" s="315">
        <v>0</v>
      </c>
      <c r="N21" s="309">
        <v>0</v>
      </c>
      <c r="O21" s="309">
        <v>0</v>
      </c>
      <c r="P21" s="309">
        <v>0</v>
      </c>
      <c r="Q21" s="309">
        <v>360</v>
      </c>
      <c r="R21" s="317">
        <v>360</v>
      </c>
      <c r="S21" s="309">
        <v>-360</v>
      </c>
    </row>
    <row r="22" spans="1:19" x14ac:dyDescent="0.2">
      <c r="A22" s="305" t="s">
        <v>1653</v>
      </c>
      <c r="B22" s="306" t="s">
        <v>3946</v>
      </c>
      <c r="C22" s="307" t="s">
        <v>1654</v>
      </c>
      <c r="D22" s="306" t="s">
        <v>153</v>
      </c>
      <c r="E22" s="305" t="s">
        <v>3798</v>
      </c>
      <c r="F22" s="308">
        <v>43034</v>
      </c>
      <c r="G22" s="315">
        <v>0</v>
      </c>
      <c r="H22" s="309">
        <v>0</v>
      </c>
      <c r="I22" s="309">
        <v>0</v>
      </c>
      <c r="J22" s="309">
        <v>0</v>
      </c>
      <c r="K22" s="309">
        <v>0</v>
      </c>
      <c r="L22" s="309">
        <v>0</v>
      </c>
      <c r="M22" s="315">
        <v>180</v>
      </c>
      <c r="N22" s="309">
        <v>0</v>
      </c>
      <c r="O22" s="309">
        <v>0</v>
      </c>
      <c r="P22" s="309">
        <v>0</v>
      </c>
      <c r="Q22" s="309">
        <v>0</v>
      </c>
      <c r="R22" s="317">
        <v>180</v>
      </c>
      <c r="S22" s="309">
        <v>-180</v>
      </c>
    </row>
    <row r="23" spans="1:19" x14ac:dyDescent="0.2">
      <c r="A23" s="305" t="s">
        <v>1861</v>
      </c>
      <c r="B23" s="306" t="s">
        <v>3946</v>
      </c>
      <c r="C23" s="307" t="s">
        <v>295</v>
      </c>
      <c r="D23" s="306" t="s">
        <v>153</v>
      </c>
      <c r="E23" s="305" t="s">
        <v>3798</v>
      </c>
      <c r="F23" s="308">
        <v>42230</v>
      </c>
      <c r="G23" s="315">
        <v>278</v>
      </c>
      <c r="H23" s="309">
        <v>0</v>
      </c>
      <c r="I23" s="309">
        <v>0</v>
      </c>
      <c r="J23" s="309">
        <v>0</v>
      </c>
      <c r="K23" s="309">
        <v>0</v>
      </c>
      <c r="L23" s="309">
        <v>278</v>
      </c>
      <c r="M23" s="315">
        <v>267</v>
      </c>
      <c r="N23" s="309">
        <v>0</v>
      </c>
      <c r="O23" s="309">
        <v>0</v>
      </c>
      <c r="P23" s="309">
        <v>0</v>
      </c>
      <c r="Q23" s="309">
        <v>0</v>
      </c>
      <c r="R23" s="317">
        <v>267</v>
      </c>
      <c r="S23" s="309">
        <v>11</v>
      </c>
    </row>
    <row r="24" spans="1:19" ht="22.5" x14ac:dyDescent="0.2">
      <c r="A24" s="305" t="s">
        <v>2327</v>
      </c>
      <c r="B24" s="306" t="s">
        <v>3951</v>
      </c>
      <c r="C24" s="307" t="s">
        <v>1151</v>
      </c>
      <c r="D24" s="306" t="s">
        <v>153</v>
      </c>
      <c r="E24" s="305" t="s">
        <v>3798</v>
      </c>
      <c r="F24" s="308">
        <v>42825</v>
      </c>
      <c r="G24" s="315">
        <v>0</v>
      </c>
      <c r="H24" s="309">
        <v>0</v>
      </c>
      <c r="I24" s="309">
        <v>0</v>
      </c>
      <c r="J24" s="309">
        <v>0</v>
      </c>
      <c r="K24" s="309">
        <v>0</v>
      </c>
      <c r="L24" s="309">
        <v>0</v>
      </c>
      <c r="M24" s="315">
        <v>0</v>
      </c>
      <c r="N24" s="309">
        <v>0</v>
      </c>
      <c r="O24" s="309">
        <v>152</v>
      </c>
      <c r="P24" s="309">
        <v>0</v>
      </c>
      <c r="Q24" s="309">
        <v>109</v>
      </c>
      <c r="R24" s="317">
        <v>261</v>
      </c>
      <c r="S24" s="309">
        <v>-261</v>
      </c>
    </row>
    <row r="25" spans="1:19" x14ac:dyDescent="0.2">
      <c r="A25" s="305" t="s">
        <v>1736</v>
      </c>
      <c r="B25" s="306" t="s">
        <v>3942</v>
      </c>
      <c r="C25" s="307" t="s">
        <v>1737</v>
      </c>
      <c r="D25" s="306" t="s">
        <v>153</v>
      </c>
      <c r="E25" s="305" t="s">
        <v>421</v>
      </c>
      <c r="F25" s="308">
        <v>42919</v>
      </c>
      <c r="G25" s="315">
        <v>0</v>
      </c>
      <c r="H25" s="309">
        <v>0</v>
      </c>
      <c r="I25" s="309">
        <v>0</v>
      </c>
      <c r="J25" s="309">
        <v>0</v>
      </c>
      <c r="K25" s="309">
        <v>0</v>
      </c>
      <c r="L25" s="309">
        <v>0</v>
      </c>
      <c r="M25" s="315">
        <v>298</v>
      </c>
      <c r="N25" s="309">
        <v>0</v>
      </c>
      <c r="O25" s="309">
        <v>0</v>
      </c>
      <c r="P25" s="309">
        <v>0</v>
      </c>
      <c r="Q25" s="309">
        <v>0</v>
      </c>
      <c r="R25" s="317">
        <v>298</v>
      </c>
      <c r="S25" s="309">
        <v>-298</v>
      </c>
    </row>
    <row r="26" spans="1:19" x14ac:dyDescent="0.2">
      <c r="A26" s="305" t="s">
        <v>2090</v>
      </c>
      <c r="B26" s="306" t="s">
        <v>3948</v>
      </c>
      <c r="C26" s="307" t="s">
        <v>594</v>
      </c>
      <c r="D26" s="306" t="s">
        <v>153</v>
      </c>
      <c r="E26" s="305" t="s">
        <v>3798</v>
      </c>
      <c r="F26" s="308">
        <v>42552</v>
      </c>
      <c r="G26" s="315">
        <v>0</v>
      </c>
      <c r="H26" s="309">
        <v>0</v>
      </c>
      <c r="I26" s="309">
        <v>0</v>
      </c>
      <c r="J26" s="309">
        <v>0</v>
      </c>
      <c r="K26" s="309">
        <v>0</v>
      </c>
      <c r="L26" s="309">
        <v>0</v>
      </c>
      <c r="M26" s="315">
        <v>408</v>
      </c>
      <c r="N26" s="309">
        <v>0</v>
      </c>
      <c r="O26" s="309">
        <v>288</v>
      </c>
      <c r="P26" s="309">
        <v>0</v>
      </c>
      <c r="Q26" s="309">
        <v>0</v>
      </c>
      <c r="R26" s="317">
        <v>696</v>
      </c>
      <c r="S26" s="309">
        <v>-696</v>
      </c>
    </row>
    <row r="27" spans="1:19" x14ac:dyDescent="0.2">
      <c r="A27" s="305" t="s">
        <v>1573</v>
      </c>
      <c r="B27" s="306" t="s">
        <v>3947</v>
      </c>
      <c r="C27" s="307" t="s">
        <v>1576</v>
      </c>
      <c r="D27" s="306" t="s">
        <v>153</v>
      </c>
      <c r="E27" s="305" t="s">
        <v>3798</v>
      </c>
      <c r="F27" s="308">
        <v>43049</v>
      </c>
      <c r="G27" s="315">
        <v>1148</v>
      </c>
      <c r="H27" s="309">
        <v>0</v>
      </c>
      <c r="I27" s="309">
        <v>0</v>
      </c>
      <c r="J27" s="309">
        <v>0</v>
      </c>
      <c r="K27" s="309">
        <v>0</v>
      </c>
      <c r="L27" s="309">
        <v>1148</v>
      </c>
      <c r="M27" s="315">
        <v>0</v>
      </c>
      <c r="N27" s="309">
        <v>0</v>
      </c>
      <c r="O27" s="309">
        <v>0</v>
      </c>
      <c r="P27" s="309">
        <v>0</v>
      </c>
      <c r="Q27" s="309">
        <v>0</v>
      </c>
      <c r="R27" s="317">
        <v>0</v>
      </c>
      <c r="S27" s="309">
        <v>1148</v>
      </c>
    </row>
    <row r="28" spans="1:19" x14ac:dyDescent="0.2">
      <c r="A28" s="305" t="s">
        <v>2084</v>
      </c>
      <c r="B28" s="306" t="s">
        <v>3947</v>
      </c>
      <c r="C28" s="307" t="s">
        <v>515</v>
      </c>
      <c r="D28" s="306" t="s">
        <v>153</v>
      </c>
      <c r="E28" s="305" t="s">
        <v>3798</v>
      </c>
      <c r="F28" s="308">
        <v>42647</v>
      </c>
      <c r="G28" s="315">
        <v>123</v>
      </c>
      <c r="H28" s="309">
        <v>0</v>
      </c>
      <c r="I28" s="309">
        <v>0</v>
      </c>
      <c r="J28" s="309">
        <v>0</v>
      </c>
      <c r="K28" s="309">
        <v>0</v>
      </c>
      <c r="L28" s="309">
        <v>123</v>
      </c>
      <c r="M28" s="315">
        <v>0</v>
      </c>
      <c r="N28" s="309">
        <v>0</v>
      </c>
      <c r="O28" s="309">
        <v>0</v>
      </c>
      <c r="P28" s="309">
        <v>0</v>
      </c>
      <c r="Q28" s="309">
        <v>6534</v>
      </c>
      <c r="R28" s="317">
        <v>6534</v>
      </c>
      <c r="S28" s="309">
        <v>-6411</v>
      </c>
    </row>
    <row r="29" spans="1:19" ht="22.5" x14ac:dyDescent="0.2">
      <c r="A29" s="305" t="s">
        <v>1644</v>
      </c>
      <c r="B29" s="306" t="s">
        <v>3947</v>
      </c>
      <c r="C29" s="307" t="s">
        <v>333</v>
      </c>
      <c r="D29" s="306" t="s">
        <v>153</v>
      </c>
      <c r="E29" s="305" t="s">
        <v>3798</v>
      </c>
      <c r="F29" s="308">
        <v>41949</v>
      </c>
      <c r="G29" s="315">
        <v>208</v>
      </c>
      <c r="H29" s="309">
        <v>0</v>
      </c>
      <c r="I29" s="309">
        <v>0</v>
      </c>
      <c r="J29" s="309">
        <v>0</v>
      </c>
      <c r="K29" s="309">
        <v>0</v>
      </c>
      <c r="L29" s="309">
        <v>208</v>
      </c>
      <c r="M29" s="315">
        <v>0</v>
      </c>
      <c r="N29" s="309">
        <v>0</v>
      </c>
      <c r="O29" s="309">
        <v>0</v>
      </c>
      <c r="P29" s="309">
        <v>0</v>
      </c>
      <c r="Q29" s="309">
        <v>0</v>
      </c>
      <c r="R29" s="317">
        <v>0</v>
      </c>
      <c r="S29" s="309">
        <v>208</v>
      </c>
    </row>
    <row r="30" spans="1:19" x14ac:dyDescent="0.2">
      <c r="A30" s="305" t="s">
        <v>2375</v>
      </c>
      <c r="B30" s="306" t="s">
        <v>3944</v>
      </c>
      <c r="C30" s="307" t="s">
        <v>1129</v>
      </c>
      <c r="D30" s="306" t="s">
        <v>153</v>
      </c>
      <c r="E30" s="305" t="s">
        <v>3798</v>
      </c>
      <c r="F30" s="308">
        <v>42888</v>
      </c>
      <c r="G30" s="315">
        <v>53</v>
      </c>
      <c r="H30" s="309">
        <v>0</v>
      </c>
      <c r="I30" s="309">
        <v>0</v>
      </c>
      <c r="J30" s="309">
        <v>0</v>
      </c>
      <c r="K30" s="309">
        <v>0</v>
      </c>
      <c r="L30" s="309">
        <v>53</v>
      </c>
      <c r="M30" s="315">
        <v>95</v>
      </c>
      <c r="N30" s="309">
        <v>0</v>
      </c>
      <c r="O30" s="309">
        <v>0</v>
      </c>
      <c r="P30" s="309">
        <v>0</v>
      </c>
      <c r="Q30" s="309">
        <v>0</v>
      </c>
      <c r="R30" s="317">
        <v>95</v>
      </c>
      <c r="S30" s="309">
        <v>-42</v>
      </c>
    </row>
    <row r="31" spans="1:19" x14ac:dyDescent="0.2">
      <c r="A31" s="305" t="s">
        <v>2298</v>
      </c>
      <c r="B31" s="306" t="s">
        <v>3944</v>
      </c>
      <c r="C31" s="307" t="s">
        <v>1137</v>
      </c>
      <c r="D31" s="306" t="s">
        <v>153</v>
      </c>
      <c r="E31" s="305" t="s">
        <v>3798</v>
      </c>
      <c r="F31" s="308">
        <v>42823</v>
      </c>
      <c r="G31" s="315">
        <v>56</v>
      </c>
      <c r="H31" s="309">
        <v>0</v>
      </c>
      <c r="I31" s="309">
        <v>0</v>
      </c>
      <c r="J31" s="309">
        <v>0</v>
      </c>
      <c r="K31" s="309">
        <v>0</v>
      </c>
      <c r="L31" s="309">
        <v>56</v>
      </c>
      <c r="M31" s="315">
        <v>228</v>
      </c>
      <c r="N31" s="309">
        <v>0</v>
      </c>
      <c r="O31" s="309">
        <v>0</v>
      </c>
      <c r="P31" s="309">
        <v>0</v>
      </c>
      <c r="Q31" s="309">
        <v>0</v>
      </c>
      <c r="R31" s="317">
        <v>228</v>
      </c>
      <c r="S31" s="309">
        <v>-172</v>
      </c>
    </row>
    <row r="32" spans="1:19" x14ac:dyDescent="0.2">
      <c r="A32" s="305"/>
      <c r="B32" s="306"/>
      <c r="C32" s="307" t="s">
        <v>1141</v>
      </c>
      <c r="D32" s="306" t="s">
        <v>153</v>
      </c>
      <c r="E32" s="305" t="s">
        <v>421</v>
      </c>
      <c r="F32" s="308">
        <v>42739</v>
      </c>
      <c r="G32" s="315">
        <v>0</v>
      </c>
      <c r="H32" s="309">
        <v>0</v>
      </c>
      <c r="I32" s="309">
        <v>0</v>
      </c>
      <c r="J32" s="309">
        <v>0</v>
      </c>
      <c r="K32" s="309">
        <v>0</v>
      </c>
      <c r="L32" s="309">
        <v>0</v>
      </c>
      <c r="M32" s="315">
        <v>50</v>
      </c>
      <c r="N32" s="309">
        <v>0</v>
      </c>
      <c r="O32" s="309">
        <v>0</v>
      </c>
      <c r="P32" s="309">
        <v>0</v>
      </c>
      <c r="Q32" s="309">
        <v>0</v>
      </c>
      <c r="R32" s="317">
        <v>50</v>
      </c>
      <c r="S32" s="309">
        <v>-50</v>
      </c>
    </row>
    <row r="33" spans="1:19" x14ac:dyDescent="0.2">
      <c r="A33" s="305" t="s">
        <v>1656</v>
      </c>
      <c r="B33" s="306" t="s">
        <v>2904</v>
      </c>
      <c r="C33" s="307" t="s">
        <v>485</v>
      </c>
      <c r="D33" s="306" t="s">
        <v>153</v>
      </c>
      <c r="E33" s="305" t="s">
        <v>3798</v>
      </c>
      <c r="F33" s="308">
        <v>42264</v>
      </c>
      <c r="G33" s="315">
        <v>0</v>
      </c>
      <c r="H33" s="309">
        <v>0</v>
      </c>
      <c r="I33" s="309">
        <v>0</v>
      </c>
      <c r="J33" s="309">
        <v>0</v>
      </c>
      <c r="K33" s="309">
        <v>0</v>
      </c>
      <c r="L33" s="309">
        <v>0</v>
      </c>
      <c r="M33" s="315">
        <v>0</v>
      </c>
      <c r="N33" s="309">
        <v>0</v>
      </c>
      <c r="O33" s="309">
        <v>0</v>
      </c>
      <c r="P33" s="309">
        <v>220</v>
      </c>
      <c r="Q33" s="309">
        <v>0</v>
      </c>
      <c r="R33" s="317">
        <v>220</v>
      </c>
      <c r="S33" s="309">
        <v>-220</v>
      </c>
    </row>
    <row r="34" spans="1:19" x14ac:dyDescent="0.2">
      <c r="A34" s="305" t="s">
        <v>2062</v>
      </c>
      <c r="B34" s="306" t="s">
        <v>3943</v>
      </c>
      <c r="C34" s="307" t="s">
        <v>326</v>
      </c>
      <c r="D34" s="306" t="s">
        <v>153</v>
      </c>
      <c r="E34" s="305" t="s">
        <v>3798</v>
      </c>
      <c r="F34" s="308">
        <v>42376</v>
      </c>
      <c r="G34" s="315">
        <v>170</v>
      </c>
      <c r="H34" s="309">
        <v>0</v>
      </c>
      <c r="I34" s="309">
        <v>0</v>
      </c>
      <c r="J34" s="309">
        <v>0</v>
      </c>
      <c r="K34" s="309">
        <v>0</v>
      </c>
      <c r="L34" s="309">
        <v>170</v>
      </c>
      <c r="M34" s="315">
        <v>0</v>
      </c>
      <c r="N34" s="309">
        <v>0</v>
      </c>
      <c r="O34" s="309">
        <v>0</v>
      </c>
      <c r="P34" s="309">
        <v>0</v>
      </c>
      <c r="Q34" s="309">
        <v>0</v>
      </c>
      <c r="R34" s="317">
        <v>0</v>
      </c>
      <c r="S34" s="309">
        <v>170</v>
      </c>
    </row>
    <row r="35" spans="1:19" x14ac:dyDescent="0.2">
      <c r="A35" s="305" t="s">
        <v>2038</v>
      </c>
      <c r="B35" s="306" t="s">
        <v>3942</v>
      </c>
      <c r="C35" s="307" t="s">
        <v>2039</v>
      </c>
      <c r="D35" s="306" t="s">
        <v>153</v>
      </c>
      <c r="E35" s="305" t="s">
        <v>421</v>
      </c>
      <c r="F35" s="308">
        <v>42993</v>
      </c>
      <c r="G35" s="315">
        <v>0</v>
      </c>
      <c r="H35" s="309">
        <v>0</v>
      </c>
      <c r="I35" s="309">
        <v>0</v>
      </c>
      <c r="J35" s="309">
        <v>0</v>
      </c>
      <c r="K35" s="309">
        <v>0</v>
      </c>
      <c r="L35" s="309">
        <v>0</v>
      </c>
      <c r="M35" s="315">
        <v>150</v>
      </c>
      <c r="N35" s="309">
        <v>0</v>
      </c>
      <c r="O35" s="309">
        <v>0</v>
      </c>
      <c r="P35" s="309">
        <v>0</v>
      </c>
      <c r="Q35" s="309">
        <v>0</v>
      </c>
      <c r="R35" s="317">
        <v>150</v>
      </c>
      <c r="S35" s="309">
        <v>-150</v>
      </c>
    </row>
    <row r="36" spans="1:19" x14ac:dyDescent="0.2">
      <c r="A36" s="305" t="s">
        <v>2002</v>
      </c>
      <c r="B36" s="306" t="s">
        <v>2907</v>
      </c>
      <c r="C36" s="307" t="s">
        <v>169</v>
      </c>
      <c r="D36" s="306" t="s">
        <v>153</v>
      </c>
      <c r="E36" s="305" t="s">
        <v>3798</v>
      </c>
      <c r="F36" s="308">
        <v>41558</v>
      </c>
      <c r="G36" s="315">
        <v>0</v>
      </c>
      <c r="H36" s="309">
        <v>0</v>
      </c>
      <c r="I36" s="309">
        <v>0</v>
      </c>
      <c r="J36" s="309">
        <v>0</v>
      </c>
      <c r="K36" s="309">
        <v>0</v>
      </c>
      <c r="L36" s="309">
        <v>0</v>
      </c>
      <c r="M36" s="315">
        <v>0</v>
      </c>
      <c r="N36" s="309">
        <v>0</v>
      </c>
      <c r="O36" s="309">
        <v>0</v>
      </c>
      <c r="P36" s="309">
        <v>0</v>
      </c>
      <c r="Q36" s="309">
        <v>35</v>
      </c>
      <c r="R36" s="317">
        <v>35</v>
      </c>
      <c r="S36" s="309">
        <v>-35</v>
      </c>
    </row>
    <row r="37" spans="1:19" x14ac:dyDescent="0.2">
      <c r="A37" s="305" t="s">
        <v>1633</v>
      </c>
      <c r="B37" s="306" t="s">
        <v>3946</v>
      </c>
      <c r="C37" s="307" t="s">
        <v>233</v>
      </c>
      <c r="D37" s="306" t="s">
        <v>153</v>
      </c>
      <c r="E37" s="305" t="s">
        <v>3798</v>
      </c>
      <c r="F37" s="308">
        <v>41404</v>
      </c>
      <c r="G37" s="315">
        <v>0</v>
      </c>
      <c r="H37" s="309">
        <v>0</v>
      </c>
      <c r="I37" s="309">
        <v>0</v>
      </c>
      <c r="J37" s="309">
        <v>0</v>
      </c>
      <c r="K37" s="309">
        <v>0</v>
      </c>
      <c r="L37" s="309">
        <v>0</v>
      </c>
      <c r="M37" s="315">
        <v>57</v>
      </c>
      <c r="N37" s="309">
        <v>0</v>
      </c>
      <c r="O37" s="309">
        <v>0</v>
      </c>
      <c r="P37" s="309">
        <v>0</v>
      </c>
      <c r="Q37" s="309">
        <v>0</v>
      </c>
      <c r="R37" s="317">
        <v>57</v>
      </c>
      <c r="S37" s="309">
        <v>-57</v>
      </c>
    </row>
    <row r="38" spans="1:19" x14ac:dyDescent="0.2">
      <c r="A38" s="305" t="s">
        <v>1508</v>
      </c>
      <c r="B38" s="306" t="s">
        <v>3946</v>
      </c>
      <c r="C38" s="307" t="s">
        <v>474</v>
      </c>
      <c r="D38" s="306" t="s">
        <v>153</v>
      </c>
      <c r="E38" s="305" t="s">
        <v>3798</v>
      </c>
      <c r="F38" s="308">
        <v>42494</v>
      </c>
      <c r="G38" s="315">
        <v>0</v>
      </c>
      <c r="H38" s="309">
        <v>0</v>
      </c>
      <c r="I38" s="309">
        <v>0</v>
      </c>
      <c r="J38" s="309">
        <v>0</v>
      </c>
      <c r="K38" s="309">
        <v>0</v>
      </c>
      <c r="L38" s="309">
        <v>0</v>
      </c>
      <c r="M38" s="315">
        <v>409</v>
      </c>
      <c r="N38" s="309">
        <v>0</v>
      </c>
      <c r="O38" s="309">
        <v>0</v>
      </c>
      <c r="P38" s="309">
        <v>0</v>
      </c>
      <c r="Q38" s="309">
        <v>0</v>
      </c>
      <c r="R38" s="317">
        <v>409</v>
      </c>
      <c r="S38" s="309">
        <v>-409</v>
      </c>
    </row>
    <row r="39" spans="1:19" ht="22.5" x14ac:dyDescent="0.2">
      <c r="A39" s="305" t="s">
        <v>2097</v>
      </c>
      <c r="B39" s="306" t="s">
        <v>150</v>
      </c>
      <c r="C39" s="307" t="s">
        <v>270</v>
      </c>
      <c r="D39" s="306" t="s">
        <v>153</v>
      </c>
      <c r="E39" s="305" t="s">
        <v>3798</v>
      </c>
      <c r="F39" s="308">
        <v>42256</v>
      </c>
      <c r="G39" s="315">
        <v>0</v>
      </c>
      <c r="H39" s="309">
        <v>0</v>
      </c>
      <c r="I39" s="309">
        <v>0</v>
      </c>
      <c r="J39" s="309">
        <v>0</v>
      </c>
      <c r="K39" s="309">
        <v>0</v>
      </c>
      <c r="L39" s="309">
        <v>0</v>
      </c>
      <c r="M39" s="315">
        <v>0</v>
      </c>
      <c r="N39" s="309">
        <v>0</v>
      </c>
      <c r="O39" s="309">
        <v>116</v>
      </c>
      <c r="P39" s="309">
        <v>0</v>
      </c>
      <c r="Q39" s="309">
        <v>0</v>
      </c>
      <c r="R39" s="317">
        <v>116</v>
      </c>
      <c r="S39" s="309">
        <v>-116</v>
      </c>
    </row>
    <row r="40" spans="1:19" ht="56.25" x14ac:dyDescent="0.2">
      <c r="A40" s="305" t="s">
        <v>2823</v>
      </c>
      <c r="B40" s="306" t="s">
        <v>3947</v>
      </c>
      <c r="C40" s="307" t="s">
        <v>2824</v>
      </c>
      <c r="D40" s="306" t="s">
        <v>2826</v>
      </c>
      <c r="E40" s="305" t="s">
        <v>3798</v>
      </c>
      <c r="F40" s="308">
        <v>42774</v>
      </c>
      <c r="G40" s="315">
        <v>0</v>
      </c>
      <c r="H40" s="309">
        <v>0</v>
      </c>
      <c r="I40" s="309">
        <v>0</v>
      </c>
      <c r="J40" s="309">
        <v>0</v>
      </c>
      <c r="K40" s="309">
        <v>149</v>
      </c>
      <c r="L40" s="309">
        <v>149</v>
      </c>
      <c r="M40" s="315">
        <v>0</v>
      </c>
      <c r="N40" s="309">
        <v>0</v>
      </c>
      <c r="O40" s="309">
        <v>0</v>
      </c>
      <c r="P40" s="309">
        <v>0</v>
      </c>
      <c r="Q40" s="309">
        <v>0</v>
      </c>
      <c r="R40" s="317">
        <v>0</v>
      </c>
      <c r="S40" s="309">
        <v>149</v>
      </c>
    </row>
    <row r="41" spans="1:19" x14ac:dyDescent="0.2">
      <c r="A41" s="305"/>
      <c r="B41" s="306"/>
      <c r="C41" s="307"/>
      <c r="D41" s="306" t="s">
        <v>2827</v>
      </c>
      <c r="E41" s="305" t="s">
        <v>3798</v>
      </c>
      <c r="F41" s="308">
        <v>42774</v>
      </c>
      <c r="G41" s="315">
        <v>0</v>
      </c>
      <c r="H41" s="309">
        <v>0</v>
      </c>
      <c r="I41" s="309">
        <v>0</v>
      </c>
      <c r="J41" s="309">
        <v>0</v>
      </c>
      <c r="K41" s="309">
        <v>149</v>
      </c>
      <c r="L41" s="309">
        <v>149</v>
      </c>
      <c r="M41" s="315">
        <v>0</v>
      </c>
      <c r="N41" s="309">
        <v>0</v>
      </c>
      <c r="O41" s="309">
        <v>0</v>
      </c>
      <c r="P41" s="309">
        <v>0</v>
      </c>
      <c r="Q41" s="309">
        <v>0</v>
      </c>
      <c r="R41" s="317">
        <v>0</v>
      </c>
      <c r="S41" s="309">
        <v>149</v>
      </c>
    </row>
    <row r="42" spans="1:19" x14ac:dyDescent="0.2">
      <c r="A42" s="305"/>
      <c r="B42" s="306"/>
      <c r="C42" s="307"/>
      <c r="D42" s="306" t="s">
        <v>2840</v>
      </c>
      <c r="E42" s="305" t="s">
        <v>3798</v>
      </c>
      <c r="F42" s="308">
        <v>42774</v>
      </c>
      <c r="G42" s="315">
        <v>0</v>
      </c>
      <c r="H42" s="309">
        <v>0</v>
      </c>
      <c r="I42" s="309">
        <v>0</v>
      </c>
      <c r="J42" s="309">
        <v>157</v>
      </c>
      <c r="K42" s="309">
        <v>0</v>
      </c>
      <c r="L42" s="309">
        <v>157</v>
      </c>
      <c r="M42" s="315">
        <v>0</v>
      </c>
      <c r="N42" s="309">
        <v>0</v>
      </c>
      <c r="O42" s="309">
        <v>0</v>
      </c>
      <c r="P42" s="309">
        <v>0</v>
      </c>
      <c r="Q42" s="309">
        <v>0</v>
      </c>
      <c r="R42" s="317">
        <v>0</v>
      </c>
      <c r="S42" s="309">
        <v>157</v>
      </c>
    </row>
    <row r="43" spans="1:19" x14ac:dyDescent="0.2">
      <c r="A43" s="305"/>
      <c r="B43" s="306"/>
      <c r="C43" s="307"/>
      <c r="D43" s="306" t="s">
        <v>2843</v>
      </c>
      <c r="E43" s="305" t="s">
        <v>3798</v>
      </c>
      <c r="F43" s="308">
        <v>42774</v>
      </c>
      <c r="G43" s="315">
        <v>0</v>
      </c>
      <c r="H43" s="309">
        <v>0</v>
      </c>
      <c r="I43" s="309">
        <v>0</v>
      </c>
      <c r="J43" s="309">
        <v>0</v>
      </c>
      <c r="K43" s="309">
        <v>0</v>
      </c>
      <c r="L43" s="309">
        <v>0</v>
      </c>
      <c r="M43" s="315">
        <v>0</v>
      </c>
      <c r="N43" s="309">
        <v>0</v>
      </c>
      <c r="O43" s="309">
        <v>0</v>
      </c>
      <c r="P43" s="309">
        <v>0</v>
      </c>
      <c r="Q43" s="309">
        <v>3748</v>
      </c>
      <c r="R43" s="317">
        <v>3748</v>
      </c>
      <c r="S43" s="309">
        <v>-3748</v>
      </c>
    </row>
    <row r="44" spans="1:19" ht="22.5" x14ac:dyDescent="0.2">
      <c r="A44" s="305" t="s">
        <v>2182</v>
      </c>
      <c r="B44" s="306" t="s">
        <v>149</v>
      </c>
      <c r="C44" s="307" t="s">
        <v>586</v>
      </c>
      <c r="D44" s="306" t="s">
        <v>153</v>
      </c>
      <c r="E44" s="305" t="s">
        <v>3798</v>
      </c>
      <c r="F44" s="308">
        <v>42460</v>
      </c>
      <c r="G44" s="315">
        <v>0</v>
      </c>
      <c r="H44" s="309">
        <v>0</v>
      </c>
      <c r="I44" s="309">
        <v>0</v>
      </c>
      <c r="J44" s="309">
        <v>0</v>
      </c>
      <c r="K44" s="309">
        <v>0</v>
      </c>
      <c r="L44" s="309">
        <v>0</v>
      </c>
      <c r="M44" s="315">
        <v>0</v>
      </c>
      <c r="N44" s="309">
        <v>0</v>
      </c>
      <c r="O44" s="309">
        <v>2370</v>
      </c>
      <c r="P44" s="309">
        <v>0</v>
      </c>
      <c r="Q44" s="309">
        <v>0</v>
      </c>
      <c r="R44" s="317">
        <v>2370</v>
      </c>
      <c r="S44" s="309">
        <v>-2370</v>
      </c>
    </row>
    <row r="45" spans="1:19" ht="22.5" x14ac:dyDescent="0.2">
      <c r="A45" s="305" t="s">
        <v>1700</v>
      </c>
      <c r="B45" s="306" t="s">
        <v>3947</v>
      </c>
      <c r="C45" s="307" t="s">
        <v>1306</v>
      </c>
      <c r="D45" s="306" t="s">
        <v>153</v>
      </c>
      <c r="E45" s="305" t="s">
        <v>3798</v>
      </c>
      <c r="F45" s="308">
        <v>42265</v>
      </c>
      <c r="G45" s="315">
        <v>2339</v>
      </c>
      <c r="H45" s="309">
        <v>0</v>
      </c>
      <c r="I45" s="309">
        <v>0</v>
      </c>
      <c r="J45" s="309">
        <v>0</v>
      </c>
      <c r="K45" s="309">
        <v>0</v>
      </c>
      <c r="L45" s="309">
        <v>2339</v>
      </c>
      <c r="M45" s="315">
        <v>0</v>
      </c>
      <c r="N45" s="309">
        <v>0</v>
      </c>
      <c r="O45" s="309">
        <v>0</v>
      </c>
      <c r="P45" s="309">
        <v>0</v>
      </c>
      <c r="Q45" s="309">
        <v>0</v>
      </c>
      <c r="R45" s="317">
        <v>0</v>
      </c>
      <c r="S45" s="309">
        <v>2339</v>
      </c>
    </row>
    <row r="46" spans="1:19" x14ac:dyDescent="0.2">
      <c r="A46" s="305"/>
      <c r="B46" s="306"/>
      <c r="C46" s="307" t="s">
        <v>821</v>
      </c>
      <c r="D46" s="306" t="s">
        <v>153</v>
      </c>
      <c r="E46" s="305" t="s">
        <v>3798</v>
      </c>
      <c r="F46" s="308">
        <v>42667</v>
      </c>
      <c r="G46" s="315">
        <v>1885</v>
      </c>
      <c r="H46" s="309">
        <v>0</v>
      </c>
      <c r="I46" s="309">
        <v>0</v>
      </c>
      <c r="J46" s="309">
        <v>0</v>
      </c>
      <c r="K46" s="309">
        <v>0</v>
      </c>
      <c r="L46" s="309">
        <v>1885</v>
      </c>
      <c r="M46" s="315">
        <v>0</v>
      </c>
      <c r="N46" s="309">
        <v>0</v>
      </c>
      <c r="O46" s="309">
        <v>0</v>
      </c>
      <c r="P46" s="309">
        <v>0</v>
      </c>
      <c r="Q46" s="309">
        <v>0</v>
      </c>
      <c r="R46" s="317">
        <v>0</v>
      </c>
      <c r="S46" s="309">
        <v>1885</v>
      </c>
    </row>
    <row r="47" spans="1:19" x14ac:dyDescent="0.2">
      <c r="A47" s="305"/>
      <c r="B47" s="306"/>
      <c r="C47" s="307" t="s">
        <v>1126</v>
      </c>
      <c r="D47" s="306" t="s">
        <v>153</v>
      </c>
      <c r="E47" s="305" t="s">
        <v>3798</v>
      </c>
      <c r="F47" s="308">
        <v>42858</v>
      </c>
      <c r="G47" s="315">
        <v>459</v>
      </c>
      <c r="H47" s="309">
        <v>0</v>
      </c>
      <c r="I47" s="309">
        <v>0</v>
      </c>
      <c r="J47" s="309">
        <v>0</v>
      </c>
      <c r="K47" s="309">
        <v>0</v>
      </c>
      <c r="L47" s="309">
        <v>459</v>
      </c>
      <c r="M47" s="315">
        <v>394</v>
      </c>
      <c r="N47" s="309">
        <v>0</v>
      </c>
      <c r="O47" s="309">
        <v>0</v>
      </c>
      <c r="P47" s="309">
        <v>0</v>
      </c>
      <c r="Q47" s="309">
        <v>0</v>
      </c>
      <c r="R47" s="317">
        <v>394</v>
      </c>
      <c r="S47" s="309">
        <v>65</v>
      </c>
    </row>
    <row r="48" spans="1:19" ht="33.75" x14ac:dyDescent="0.2">
      <c r="A48" s="305" t="s">
        <v>2070</v>
      </c>
      <c r="B48" s="306" t="s">
        <v>3947</v>
      </c>
      <c r="C48" s="307" t="s">
        <v>380</v>
      </c>
      <c r="D48" s="306" t="s">
        <v>153</v>
      </c>
      <c r="E48" s="305" t="s">
        <v>3798</v>
      </c>
      <c r="F48" s="308">
        <v>42075</v>
      </c>
      <c r="G48" s="315">
        <v>0</v>
      </c>
      <c r="H48" s="309">
        <v>0</v>
      </c>
      <c r="I48" s="309">
        <v>844</v>
      </c>
      <c r="J48" s="309">
        <v>0</v>
      </c>
      <c r="K48" s="309">
        <v>0</v>
      </c>
      <c r="L48" s="309">
        <v>844</v>
      </c>
      <c r="M48" s="315">
        <v>0</v>
      </c>
      <c r="N48" s="309">
        <v>0</v>
      </c>
      <c r="O48" s="309">
        <v>4085</v>
      </c>
      <c r="P48" s="309">
        <v>0</v>
      </c>
      <c r="Q48" s="309">
        <v>0</v>
      </c>
      <c r="R48" s="317">
        <v>4085</v>
      </c>
      <c r="S48" s="309">
        <v>-3241</v>
      </c>
    </row>
    <row r="49" spans="1:19" ht="22.5" x14ac:dyDescent="0.2">
      <c r="A49" s="305" t="s">
        <v>2023</v>
      </c>
      <c r="B49" s="306" t="s">
        <v>3952</v>
      </c>
      <c r="C49" s="307" t="s">
        <v>386</v>
      </c>
      <c r="D49" s="306" t="s">
        <v>153</v>
      </c>
      <c r="E49" s="305" t="s">
        <v>3798</v>
      </c>
      <c r="F49" s="308">
        <v>41817</v>
      </c>
      <c r="G49" s="315">
        <v>0</v>
      </c>
      <c r="H49" s="309">
        <v>0</v>
      </c>
      <c r="I49" s="309">
        <v>0</v>
      </c>
      <c r="J49" s="309">
        <v>0</v>
      </c>
      <c r="K49" s="309">
        <v>0</v>
      </c>
      <c r="L49" s="309">
        <v>0</v>
      </c>
      <c r="M49" s="315">
        <v>2790</v>
      </c>
      <c r="N49" s="309">
        <v>0</v>
      </c>
      <c r="O49" s="309">
        <v>0</v>
      </c>
      <c r="P49" s="309">
        <v>0</v>
      </c>
      <c r="Q49" s="309">
        <v>0</v>
      </c>
      <c r="R49" s="317">
        <v>2790</v>
      </c>
      <c r="S49" s="309">
        <v>-2790</v>
      </c>
    </row>
    <row r="50" spans="1:19" ht="22.5" x14ac:dyDescent="0.2">
      <c r="A50" s="305" t="s">
        <v>2075</v>
      </c>
      <c r="B50" s="306" t="s">
        <v>3946</v>
      </c>
      <c r="C50" s="307" t="s">
        <v>279</v>
      </c>
      <c r="D50" s="306" t="s">
        <v>153</v>
      </c>
      <c r="E50" s="305" t="s">
        <v>3798</v>
      </c>
      <c r="F50" s="308">
        <v>42264</v>
      </c>
      <c r="G50" s="315">
        <v>117</v>
      </c>
      <c r="H50" s="309">
        <v>0</v>
      </c>
      <c r="I50" s="309">
        <v>0</v>
      </c>
      <c r="J50" s="309">
        <v>0</v>
      </c>
      <c r="K50" s="309">
        <v>0</v>
      </c>
      <c r="L50" s="309">
        <v>117</v>
      </c>
      <c r="M50" s="315">
        <v>0</v>
      </c>
      <c r="N50" s="309">
        <v>0</v>
      </c>
      <c r="O50" s="309">
        <v>0</v>
      </c>
      <c r="P50" s="309">
        <v>0</v>
      </c>
      <c r="Q50" s="309">
        <v>0</v>
      </c>
      <c r="R50" s="317">
        <v>0</v>
      </c>
      <c r="S50" s="309">
        <v>117</v>
      </c>
    </row>
    <row r="51" spans="1:19" ht="33.75" x14ac:dyDescent="0.2">
      <c r="A51" s="305" t="s">
        <v>1983</v>
      </c>
      <c r="B51" s="306" t="s">
        <v>3949</v>
      </c>
      <c r="C51" s="307" t="s">
        <v>493</v>
      </c>
      <c r="D51" s="306" t="s">
        <v>153</v>
      </c>
      <c r="E51" s="305" t="s">
        <v>3798</v>
      </c>
      <c r="F51" s="308">
        <v>42335</v>
      </c>
      <c r="G51" s="315">
        <v>186</v>
      </c>
      <c r="H51" s="309">
        <v>0</v>
      </c>
      <c r="I51" s="309">
        <v>0</v>
      </c>
      <c r="J51" s="309">
        <v>0</v>
      </c>
      <c r="K51" s="309">
        <v>0</v>
      </c>
      <c r="L51" s="309">
        <v>186</v>
      </c>
      <c r="M51" s="315">
        <v>3721</v>
      </c>
      <c r="N51" s="309">
        <v>0</v>
      </c>
      <c r="O51" s="309">
        <v>0</v>
      </c>
      <c r="P51" s="309">
        <v>0</v>
      </c>
      <c r="Q51" s="309">
        <v>0</v>
      </c>
      <c r="R51" s="317">
        <v>3721</v>
      </c>
      <c r="S51" s="309">
        <v>-3535</v>
      </c>
    </row>
    <row r="52" spans="1:19" ht="22.5" x14ac:dyDescent="0.2">
      <c r="A52" s="305" t="s">
        <v>1991</v>
      </c>
      <c r="B52" s="306" t="s">
        <v>2907</v>
      </c>
      <c r="C52" s="307" t="s">
        <v>482</v>
      </c>
      <c r="D52" s="306" t="s">
        <v>153</v>
      </c>
      <c r="E52" s="305" t="s">
        <v>421</v>
      </c>
      <c r="F52" s="308">
        <v>42263</v>
      </c>
      <c r="G52" s="315">
        <v>0</v>
      </c>
      <c r="H52" s="309">
        <v>0</v>
      </c>
      <c r="I52" s="309">
        <v>0</v>
      </c>
      <c r="J52" s="309">
        <v>0</v>
      </c>
      <c r="K52" s="309">
        <v>0</v>
      </c>
      <c r="L52" s="309">
        <v>0</v>
      </c>
      <c r="M52" s="315">
        <v>415</v>
      </c>
      <c r="N52" s="309">
        <v>0</v>
      </c>
      <c r="O52" s="309">
        <v>0</v>
      </c>
      <c r="P52" s="309">
        <v>0</v>
      </c>
      <c r="Q52" s="309">
        <v>0</v>
      </c>
      <c r="R52" s="317">
        <v>415</v>
      </c>
      <c r="S52" s="309">
        <v>-415</v>
      </c>
    </row>
    <row r="53" spans="1:19" ht="33.75" x14ac:dyDescent="0.2">
      <c r="A53" s="305" t="s">
        <v>1781</v>
      </c>
      <c r="B53" s="306" t="s">
        <v>3947</v>
      </c>
      <c r="C53" s="307" t="s">
        <v>1783</v>
      </c>
      <c r="D53" s="306" t="s">
        <v>153</v>
      </c>
      <c r="E53" s="305" t="s">
        <v>3798</v>
      </c>
      <c r="F53" s="308">
        <v>42810</v>
      </c>
      <c r="G53" s="315">
        <v>312</v>
      </c>
      <c r="H53" s="309">
        <v>0</v>
      </c>
      <c r="I53" s="309">
        <v>0</v>
      </c>
      <c r="J53" s="309">
        <v>0</v>
      </c>
      <c r="K53" s="309">
        <v>0</v>
      </c>
      <c r="L53" s="309">
        <v>312</v>
      </c>
      <c r="M53" s="315">
        <v>0</v>
      </c>
      <c r="N53" s="309">
        <v>0</v>
      </c>
      <c r="O53" s="309">
        <v>0</v>
      </c>
      <c r="P53" s="309">
        <v>0</v>
      </c>
      <c r="Q53" s="309">
        <v>9375</v>
      </c>
      <c r="R53" s="317">
        <v>9375</v>
      </c>
      <c r="S53" s="309">
        <v>-9063</v>
      </c>
    </row>
    <row r="54" spans="1:19" ht="22.5" x14ac:dyDescent="0.2">
      <c r="A54" s="305" t="s">
        <v>1323</v>
      </c>
      <c r="B54" s="306" t="s">
        <v>3945</v>
      </c>
      <c r="C54" s="307" t="s">
        <v>502</v>
      </c>
      <c r="D54" s="306" t="s">
        <v>153</v>
      </c>
      <c r="E54" s="305" t="s">
        <v>421</v>
      </c>
      <c r="F54" s="308">
        <v>42256</v>
      </c>
      <c r="G54" s="315">
        <v>0</v>
      </c>
      <c r="H54" s="309">
        <v>0</v>
      </c>
      <c r="I54" s="309">
        <v>0</v>
      </c>
      <c r="J54" s="309">
        <v>0</v>
      </c>
      <c r="K54" s="309">
        <v>0</v>
      </c>
      <c r="L54" s="309">
        <v>0</v>
      </c>
      <c r="M54" s="315">
        <v>63</v>
      </c>
      <c r="N54" s="309">
        <v>0</v>
      </c>
      <c r="O54" s="309">
        <v>0</v>
      </c>
      <c r="P54" s="309">
        <v>0</v>
      </c>
      <c r="Q54" s="309">
        <v>0</v>
      </c>
      <c r="R54" s="317">
        <v>63</v>
      </c>
      <c r="S54" s="309">
        <v>-63</v>
      </c>
    </row>
    <row r="55" spans="1:19" ht="45" x14ac:dyDescent="0.2">
      <c r="A55" s="305" t="s">
        <v>1517</v>
      </c>
      <c r="B55" s="306" t="s">
        <v>3943</v>
      </c>
      <c r="C55" s="307" t="s">
        <v>367</v>
      </c>
      <c r="D55" s="306" t="s">
        <v>153</v>
      </c>
      <c r="E55" s="305" t="s">
        <v>3798</v>
      </c>
      <c r="F55" s="308">
        <v>42185</v>
      </c>
      <c r="G55" s="315">
        <v>240</v>
      </c>
      <c r="H55" s="309">
        <v>0</v>
      </c>
      <c r="I55" s="309">
        <v>0</v>
      </c>
      <c r="J55" s="309">
        <v>0</v>
      </c>
      <c r="K55" s="309">
        <v>0</v>
      </c>
      <c r="L55" s="309">
        <v>240</v>
      </c>
      <c r="M55" s="315">
        <v>4491</v>
      </c>
      <c r="N55" s="309">
        <v>0</v>
      </c>
      <c r="O55" s="309">
        <v>0</v>
      </c>
      <c r="P55" s="309">
        <v>0</v>
      </c>
      <c r="Q55" s="309">
        <v>0</v>
      </c>
      <c r="R55" s="317">
        <v>4491</v>
      </c>
      <c r="S55" s="309">
        <v>-4251</v>
      </c>
    </row>
    <row r="56" spans="1:19" x14ac:dyDescent="0.2">
      <c r="A56" s="305" t="s">
        <v>1790</v>
      </c>
      <c r="B56" s="306" t="s">
        <v>3944</v>
      </c>
      <c r="C56" s="307" t="s">
        <v>1127</v>
      </c>
      <c r="D56" s="306" t="s">
        <v>153</v>
      </c>
      <c r="E56" s="305" t="s">
        <v>3798</v>
      </c>
      <c r="F56" s="308">
        <v>42836</v>
      </c>
      <c r="G56" s="315">
        <v>0</v>
      </c>
      <c r="H56" s="309">
        <v>0</v>
      </c>
      <c r="I56" s="309">
        <v>0</v>
      </c>
      <c r="J56" s="309">
        <v>0</v>
      </c>
      <c r="K56" s="309">
        <v>0</v>
      </c>
      <c r="L56" s="309">
        <v>0</v>
      </c>
      <c r="M56" s="315">
        <v>0</v>
      </c>
      <c r="N56" s="309">
        <v>0</v>
      </c>
      <c r="O56" s="309">
        <v>1031</v>
      </c>
      <c r="P56" s="309">
        <v>0</v>
      </c>
      <c r="Q56" s="309">
        <v>0</v>
      </c>
      <c r="R56" s="317">
        <v>1031</v>
      </c>
      <c r="S56" s="309">
        <v>-1031</v>
      </c>
    </row>
    <row r="57" spans="1:19" ht="45" x14ac:dyDescent="0.2">
      <c r="A57" s="305" t="s">
        <v>1322</v>
      </c>
      <c r="B57" s="306" t="s">
        <v>3943</v>
      </c>
      <c r="C57" s="307" t="s">
        <v>643</v>
      </c>
      <c r="D57" s="306" t="s">
        <v>153</v>
      </c>
      <c r="E57" s="305" t="s">
        <v>3798</v>
      </c>
      <c r="F57" s="308">
        <v>40588</v>
      </c>
      <c r="G57" s="315">
        <v>109</v>
      </c>
      <c r="H57" s="309">
        <v>0</v>
      </c>
      <c r="I57" s="309">
        <v>0</v>
      </c>
      <c r="J57" s="309">
        <v>0</v>
      </c>
      <c r="K57" s="309">
        <v>0</v>
      </c>
      <c r="L57" s="309">
        <v>109</v>
      </c>
      <c r="M57" s="315">
        <v>0</v>
      </c>
      <c r="N57" s="309">
        <v>0</v>
      </c>
      <c r="O57" s="309">
        <v>0</v>
      </c>
      <c r="P57" s="309">
        <v>0</v>
      </c>
      <c r="Q57" s="309">
        <v>0</v>
      </c>
      <c r="R57" s="317">
        <v>0</v>
      </c>
      <c r="S57" s="309">
        <v>109</v>
      </c>
    </row>
    <row r="58" spans="1:19" x14ac:dyDescent="0.2">
      <c r="A58" s="305" t="s">
        <v>2076</v>
      </c>
      <c r="B58" s="306" t="s">
        <v>150</v>
      </c>
      <c r="C58" s="307" t="s">
        <v>2077</v>
      </c>
      <c r="D58" s="306" t="s">
        <v>153</v>
      </c>
      <c r="E58" s="305" t="s">
        <v>3798</v>
      </c>
      <c r="F58" s="308">
        <v>42961</v>
      </c>
      <c r="G58" s="315">
        <v>0</v>
      </c>
      <c r="H58" s="309">
        <v>0</v>
      </c>
      <c r="I58" s="309">
        <v>0</v>
      </c>
      <c r="J58" s="309">
        <v>0</v>
      </c>
      <c r="K58" s="309">
        <v>0</v>
      </c>
      <c r="L58" s="309">
        <v>0</v>
      </c>
      <c r="M58" s="315">
        <v>29</v>
      </c>
      <c r="N58" s="309">
        <v>0</v>
      </c>
      <c r="O58" s="309">
        <v>0</v>
      </c>
      <c r="P58" s="309">
        <v>0</v>
      </c>
      <c r="Q58" s="309">
        <v>0</v>
      </c>
      <c r="R58" s="317">
        <v>29</v>
      </c>
      <c r="S58" s="309">
        <v>-29</v>
      </c>
    </row>
    <row r="59" spans="1:19" x14ac:dyDescent="0.2">
      <c r="A59" s="305" t="s">
        <v>1837</v>
      </c>
      <c r="B59" s="306" t="s">
        <v>3946</v>
      </c>
      <c r="C59" s="307" t="s">
        <v>66</v>
      </c>
      <c r="D59" s="306" t="s">
        <v>153</v>
      </c>
      <c r="E59" s="305" t="s">
        <v>3798</v>
      </c>
      <c r="F59" s="308">
        <v>40882</v>
      </c>
      <c r="G59" s="315">
        <v>83</v>
      </c>
      <c r="H59" s="309">
        <v>0</v>
      </c>
      <c r="I59" s="309">
        <v>0</v>
      </c>
      <c r="J59" s="309">
        <v>0</v>
      </c>
      <c r="K59" s="309">
        <v>0</v>
      </c>
      <c r="L59" s="309">
        <v>83</v>
      </c>
      <c r="M59" s="315">
        <v>1185</v>
      </c>
      <c r="N59" s="309">
        <v>0</v>
      </c>
      <c r="O59" s="309">
        <v>0</v>
      </c>
      <c r="P59" s="309">
        <v>0</v>
      </c>
      <c r="Q59" s="309">
        <v>0</v>
      </c>
      <c r="R59" s="317">
        <v>1185</v>
      </c>
      <c r="S59" s="309">
        <v>-1102</v>
      </c>
    </row>
    <row r="60" spans="1:19" ht="22.5" x14ac:dyDescent="0.2">
      <c r="A60" s="305" t="s">
        <v>1857</v>
      </c>
      <c r="B60" s="306" t="s">
        <v>2907</v>
      </c>
      <c r="C60" s="307" t="s">
        <v>666</v>
      </c>
      <c r="D60" s="306" t="s">
        <v>153</v>
      </c>
      <c r="E60" s="305" t="s">
        <v>421</v>
      </c>
      <c r="F60" s="308">
        <v>42543</v>
      </c>
      <c r="G60" s="315">
        <v>0</v>
      </c>
      <c r="H60" s="309">
        <v>0</v>
      </c>
      <c r="I60" s="309">
        <v>0</v>
      </c>
      <c r="J60" s="309">
        <v>0</v>
      </c>
      <c r="K60" s="309">
        <v>0</v>
      </c>
      <c r="L60" s="309">
        <v>0</v>
      </c>
      <c r="M60" s="315">
        <v>3723</v>
      </c>
      <c r="N60" s="309">
        <v>0</v>
      </c>
      <c r="O60" s="309">
        <v>0</v>
      </c>
      <c r="P60" s="309">
        <v>0</v>
      </c>
      <c r="Q60" s="309">
        <v>0</v>
      </c>
      <c r="R60" s="317">
        <v>3723</v>
      </c>
      <c r="S60" s="309">
        <v>-3723</v>
      </c>
    </row>
    <row r="61" spans="1:19" ht="22.5" x14ac:dyDescent="0.2">
      <c r="A61" s="305" t="s">
        <v>2143</v>
      </c>
      <c r="B61" s="306" t="s">
        <v>3951</v>
      </c>
      <c r="C61" s="307" t="s">
        <v>496</v>
      </c>
      <c r="D61" s="306" t="s">
        <v>153</v>
      </c>
      <c r="E61" s="305" t="s">
        <v>3798</v>
      </c>
      <c r="F61" s="308">
        <v>42282</v>
      </c>
      <c r="G61" s="315">
        <v>0</v>
      </c>
      <c r="H61" s="309">
        <v>0</v>
      </c>
      <c r="I61" s="309">
        <v>0</v>
      </c>
      <c r="J61" s="309">
        <v>0</v>
      </c>
      <c r="K61" s="309">
        <v>0</v>
      </c>
      <c r="L61" s="309">
        <v>0</v>
      </c>
      <c r="M61" s="315">
        <v>0</v>
      </c>
      <c r="N61" s="309">
        <v>0</v>
      </c>
      <c r="O61" s="309">
        <v>0</v>
      </c>
      <c r="P61" s="309">
        <v>0</v>
      </c>
      <c r="Q61" s="309">
        <v>38</v>
      </c>
      <c r="R61" s="317">
        <v>38</v>
      </c>
      <c r="S61" s="309">
        <v>-38</v>
      </c>
    </row>
    <row r="62" spans="1:19" ht="22.5" x14ac:dyDescent="0.2">
      <c r="A62" s="305" t="s">
        <v>2122</v>
      </c>
      <c r="B62" s="306" t="s">
        <v>2907</v>
      </c>
      <c r="C62" s="307" t="s">
        <v>438</v>
      </c>
      <c r="D62" s="306" t="s">
        <v>153</v>
      </c>
      <c r="E62" s="305" t="s">
        <v>3798</v>
      </c>
      <c r="F62" s="308">
        <v>42321</v>
      </c>
      <c r="G62" s="315">
        <v>0</v>
      </c>
      <c r="H62" s="309">
        <v>0</v>
      </c>
      <c r="I62" s="309">
        <v>0</v>
      </c>
      <c r="J62" s="309">
        <v>0</v>
      </c>
      <c r="K62" s="309">
        <v>4816</v>
      </c>
      <c r="L62" s="309">
        <v>4816</v>
      </c>
      <c r="M62" s="315">
        <v>0</v>
      </c>
      <c r="N62" s="309">
        <v>0</v>
      </c>
      <c r="O62" s="309">
        <v>0</v>
      </c>
      <c r="P62" s="309">
        <v>0</v>
      </c>
      <c r="Q62" s="309">
        <v>2510</v>
      </c>
      <c r="R62" s="317">
        <v>2510</v>
      </c>
      <c r="S62" s="309">
        <v>2306</v>
      </c>
    </row>
    <row r="63" spans="1:19" ht="45" x14ac:dyDescent="0.2">
      <c r="A63" s="305" t="s">
        <v>2377</v>
      </c>
      <c r="B63" s="306" t="s">
        <v>3946</v>
      </c>
      <c r="C63" s="307" t="s">
        <v>1210</v>
      </c>
      <c r="D63" s="306" t="s">
        <v>153</v>
      </c>
      <c r="E63" s="305" t="s">
        <v>3798</v>
      </c>
      <c r="F63" s="308">
        <v>43090</v>
      </c>
      <c r="G63" s="315">
        <v>108</v>
      </c>
      <c r="H63" s="309">
        <v>0</v>
      </c>
      <c r="I63" s="309">
        <v>0</v>
      </c>
      <c r="J63" s="309">
        <v>0</v>
      </c>
      <c r="K63" s="309">
        <v>0</v>
      </c>
      <c r="L63" s="309">
        <v>108</v>
      </c>
      <c r="M63" s="315">
        <v>1370</v>
      </c>
      <c r="N63" s="309">
        <v>0</v>
      </c>
      <c r="O63" s="309">
        <v>0</v>
      </c>
      <c r="P63" s="309">
        <v>0</v>
      </c>
      <c r="Q63" s="309">
        <v>0</v>
      </c>
      <c r="R63" s="317">
        <v>1370</v>
      </c>
      <c r="S63" s="309">
        <v>-1262</v>
      </c>
    </row>
    <row r="64" spans="1:19" x14ac:dyDescent="0.2">
      <c r="A64" s="305" t="s">
        <v>2101</v>
      </c>
      <c r="B64" s="306" t="s">
        <v>3945</v>
      </c>
      <c r="C64" s="307" t="s">
        <v>312</v>
      </c>
      <c r="D64" s="306" t="s">
        <v>153</v>
      </c>
      <c r="E64" s="305" t="s">
        <v>3798</v>
      </c>
      <c r="F64" s="308">
        <v>42116</v>
      </c>
      <c r="G64" s="315">
        <v>0</v>
      </c>
      <c r="H64" s="309">
        <v>0</v>
      </c>
      <c r="I64" s="309">
        <v>0</v>
      </c>
      <c r="J64" s="309">
        <v>0</v>
      </c>
      <c r="K64" s="309">
        <v>0</v>
      </c>
      <c r="L64" s="309">
        <v>0</v>
      </c>
      <c r="M64" s="315">
        <v>0</v>
      </c>
      <c r="N64" s="309">
        <v>0</v>
      </c>
      <c r="O64" s="309">
        <v>0</v>
      </c>
      <c r="P64" s="309">
        <v>904</v>
      </c>
      <c r="Q64" s="309">
        <v>0</v>
      </c>
      <c r="R64" s="317">
        <v>904</v>
      </c>
      <c r="S64" s="309">
        <v>-904</v>
      </c>
    </row>
    <row r="65" spans="1:19" ht="22.5" x14ac:dyDescent="0.2">
      <c r="A65" s="305" t="s">
        <v>2349</v>
      </c>
      <c r="B65" s="306" t="s">
        <v>3951</v>
      </c>
      <c r="C65" s="307" t="s">
        <v>727</v>
      </c>
      <c r="D65" s="306" t="s">
        <v>153</v>
      </c>
      <c r="E65" s="305" t="s">
        <v>3798</v>
      </c>
      <c r="F65" s="308">
        <v>42093</v>
      </c>
      <c r="G65" s="315">
        <v>0</v>
      </c>
      <c r="H65" s="309">
        <v>0</v>
      </c>
      <c r="I65" s="309">
        <v>97</v>
      </c>
      <c r="J65" s="309">
        <v>0</v>
      </c>
      <c r="K65" s="309">
        <v>0</v>
      </c>
      <c r="L65" s="309">
        <v>97</v>
      </c>
      <c r="M65" s="315">
        <v>0</v>
      </c>
      <c r="N65" s="309">
        <v>0</v>
      </c>
      <c r="O65" s="309">
        <v>0</v>
      </c>
      <c r="P65" s="309">
        <v>0</v>
      </c>
      <c r="Q65" s="309">
        <v>0</v>
      </c>
      <c r="R65" s="317">
        <v>0</v>
      </c>
      <c r="S65" s="309">
        <v>97</v>
      </c>
    </row>
    <row r="66" spans="1:19" ht="22.5" x14ac:dyDescent="0.2">
      <c r="A66" s="305" t="s">
        <v>2224</v>
      </c>
      <c r="B66" s="306" t="s">
        <v>2907</v>
      </c>
      <c r="C66" s="307" t="s">
        <v>675</v>
      </c>
      <c r="D66" s="306" t="s">
        <v>153</v>
      </c>
      <c r="E66" s="305" t="s">
        <v>3798</v>
      </c>
      <c r="F66" s="308">
        <v>42671</v>
      </c>
      <c r="G66" s="315">
        <v>0</v>
      </c>
      <c r="H66" s="309">
        <v>0</v>
      </c>
      <c r="I66" s="309">
        <v>0</v>
      </c>
      <c r="J66" s="309">
        <v>0</v>
      </c>
      <c r="K66" s="309">
        <v>0</v>
      </c>
      <c r="L66" s="309">
        <v>0</v>
      </c>
      <c r="M66" s="315">
        <v>0</v>
      </c>
      <c r="N66" s="309">
        <v>0</v>
      </c>
      <c r="O66" s="309">
        <v>0</v>
      </c>
      <c r="P66" s="309">
        <v>0</v>
      </c>
      <c r="Q66" s="309">
        <v>128</v>
      </c>
      <c r="R66" s="317">
        <v>128</v>
      </c>
      <c r="S66" s="309">
        <v>-128</v>
      </c>
    </row>
    <row r="67" spans="1:19" ht="33.75" x14ac:dyDescent="0.2">
      <c r="A67" s="305" t="s">
        <v>1755</v>
      </c>
      <c r="B67" s="306" t="s">
        <v>3950</v>
      </c>
      <c r="C67" s="307" t="s">
        <v>584</v>
      </c>
      <c r="D67" s="306" t="s">
        <v>153</v>
      </c>
      <c r="E67" s="305" t="s">
        <v>3798</v>
      </c>
      <c r="F67" s="308">
        <v>42517</v>
      </c>
      <c r="G67" s="315">
        <v>0</v>
      </c>
      <c r="H67" s="309">
        <v>0</v>
      </c>
      <c r="I67" s="309">
        <v>0</v>
      </c>
      <c r="J67" s="309">
        <v>0</v>
      </c>
      <c r="K67" s="309">
        <v>0</v>
      </c>
      <c r="L67" s="309">
        <v>0</v>
      </c>
      <c r="M67" s="315">
        <v>0</v>
      </c>
      <c r="N67" s="309">
        <v>0</v>
      </c>
      <c r="O67" s="309">
        <v>0</v>
      </c>
      <c r="P67" s="309">
        <v>0</v>
      </c>
      <c r="Q67" s="309">
        <v>89</v>
      </c>
      <c r="R67" s="317">
        <v>89</v>
      </c>
      <c r="S67" s="309">
        <v>-89</v>
      </c>
    </row>
    <row r="68" spans="1:19" ht="33.75" x14ac:dyDescent="0.2">
      <c r="A68" s="310" t="s">
        <v>1849</v>
      </c>
      <c r="B68" s="311" t="s">
        <v>3946</v>
      </c>
      <c r="C68" s="312" t="s">
        <v>1107</v>
      </c>
      <c r="D68" s="311" t="s">
        <v>153</v>
      </c>
      <c r="E68" s="310" t="s">
        <v>3798</v>
      </c>
      <c r="F68" s="313">
        <v>42985</v>
      </c>
      <c r="G68" s="316">
        <v>155</v>
      </c>
      <c r="H68" s="314">
        <v>0</v>
      </c>
      <c r="I68" s="314">
        <v>0</v>
      </c>
      <c r="J68" s="314">
        <v>0</v>
      </c>
      <c r="K68" s="314">
        <v>0</v>
      </c>
      <c r="L68" s="314">
        <v>155</v>
      </c>
      <c r="M68" s="316">
        <v>0</v>
      </c>
      <c r="N68" s="314">
        <v>0</v>
      </c>
      <c r="O68" s="314">
        <v>0</v>
      </c>
      <c r="P68" s="314">
        <v>0</v>
      </c>
      <c r="Q68" s="314">
        <v>1512</v>
      </c>
      <c r="R68" s="318">
        <v>1512</v>
      </c>
      <c r="S68" s="314">
        <v>-1357</v>
      </c>
    </row>
    <row r="69" spans="1:19" s="305" customFormat="1" ht="22.5" x14ac:dyDescent="0.2">
      <c r="A69" s="321" t="s">
        <v>1867</v>
      </c>
      <c r="B69" s="322" t="s">
        <v>3947</v>
      </c>
      <c r="C69" s="323" t="s">
        <v>1869</v>
      </c>
      <c r="D69" s="322" t="s">
        <v>1156</v>
      </c>
      <c r="E69" s="321" t="s">
        <v>3798</v>
      </c>
      <c r="F69" s="324">
        <v>41894</v>
      </c>
      <c r="G69" s="325">
        <v>0</v>
      </c>
      <c r="H69" s="326">
        <v>0</v>
      </c>
      <c r="I69" s="326">
        <v>0</v>
      </c>
      <c r="J69" s="326">
        <v>0</v>
      </c>
      <c r="K69" s="326">
        <v>0</v>
      </c>
      <c r="L69" s="326">
        <v>0</v>
      </c>
      <c r="M69" s="325">
        <v>0</v>
      </c>
      <c r="N69" s="326">
        <v>0</v>
      </c>
      <c r="O69" s="326">
        <v>0</v>
      </c>
      <c r="P69" s="326">
        <v>0</v>
      </c>
      <c r="Q69" s="326">
        <v>33607</v>
      </c>
      <c r="R69" s="327">
        <v>33607</v>
      </c>
      <c r="S69" s="326">
        <v>-33607</v>
      </c>
    </row>
    <row r="70" spans="1:19" x14ac:dyDescent="0.2">
      <c r="A70" s="321"/>
      <c r="B70" s="322"/>
      <c r="C70" s="323" t="s">
        <v>1871</v>
      </c>
      <c r="D70" s="322" t="s">
        <v>1873</v>
      </c>
      <c r="E70" s="321" t="s">
        <v>3798</v>
      </c>
      <c r="F70" s="324">
        <v>42880</v>
      </c>
      <c r="G70" s="325">
        <v>414</v>
      </c>
      <c r="H70" s="326">
        <v>0</v>
      </c>
      <c r="I70" s="326">
        <v>0</v>
      </c>
      <c r="J70" s="326">
        <v>0</v>
      </c>
      <c r="K70" s="326">
        <v>0</v>
      </c>
      <c r="L70" s="327">
        <v>414</v>
      </c>
      <c r="M70" s="326">
        <v>0</v>
      </c>
      <c r="N70" s="326">
        <v>0</v>
      </c>
      <c r="O70" s="326">
        <v>0</v>
      </c>
      <c r="P70" s="326">
        <v>0</v>
      </c>
      <c r="Q70" s="326">
        <v>0</v>
      </c>
      <c r="R70" s="327">
        <v>0</v>
      </c>
      <c r="S70" s="326">
        <v>414</v>
      </c>
    </row>
    <row r="71" spans="1:19" x14ac:dyDescent="0.2">
      <c r="A71" s="321"/>
      <c r="B71" s="322"/>
      <c r="C71" s="323"/>
      <c r="D71" s="322" t="s">
        <v>1874</v>
      </c>
      <c r="E71" s="321" t="s">
        <v>3798</v>
      </c>
      <c r="F71" s="324">
        <v>42880</v>
      </c>
      <c r="G71" s="325">
        <v>80</v>
      </c>
      <c r="H71" s="326">
        <v>0</v>
      </c>
      <c r="I71" s="326">
        <v>0</v>
      </c>
      <c r="J71" s="326">
        <v>0</v>
      </c>
      <c r="K71" s="326">
        <v>0</v>
      </c>
      <c r="L71" s="327">
        <v>80</v>
      </c>
      <c r="M71" s="326">
        <v>0</v>
      </c>
      <c r="N71" s="326">
        <v>0</v>
      </c>
      <c r="O71" s="326">
        <v>0</v>
      </c>
      <c r="P71" s="326">
        <v>0</v>
      </c>
      <c r="Q71" s="326">
        <v>0</v>
      </c>
      <c r="R71" s="327">
        <v>0</v>
      </c>
      <c r="S71" s="326">
        <v>80</v>
      </c>
    </row>
    <row r="72" spans="1:19" x14ac:dyDescent="0.2">
      <c r="A72" s="321"/>
      <c r="B72" s="322"/>
      <c r="C72" s="323"/>
      <c r="D72" s="322" t="s">
        <v>1875</v>
      </c>
      <c r="E72" s="321" t="s">
        <v>3798</v>
      </c>
      <c r="F72" s="324">
        <v>42880</v>
      </c>
      <c r="G72" s="325">
        <v>613</v>
      </c>
      <c r="H72" s="326">
        <v>0</v>
      </c>
      <c r="I72" s="326">
        <v>0</v>
      </c>
      <c r="J72" s="326">
        <v>0</v>
      </c>
      <c r="K72" s="326">
        <v>0</v>
      </c>
      <c r="L72" s="327">
        <v>613</v>
      </c>
      <c r="M72" s="326">
        <v>0</v>
      </c>
      <c r="N72" s="326">
        <v>0</v>
      </c>
      <c r="O72" s="326">
        <v>0</v>
      </c>
      <c r="P72" s="326">
        <v>0</v>
      </c>
      <c r="Q72" s="326">
        <v>0</v>
      </c>
      <c r="R72" s="327">
        <v>0</v>
      </c>
      <c r="S72" s="326">
        <v>613</v>
      </c>
    </row>
    <row r="73" spans="1:19" x14ac:dyDescent="0.2">
      <c r="A73" s="321"/>
      <c r="B73" s="322"/>
      <c r="C73" s="323" t="s">
        <v>1879</v>
      </c>
      <c r="D73" s="322" t="s">
        <v>1881</v>
      </c>
      <c r="E73" s="321" t="s">
        <v>3798</v>
      </c>
      <c r="F73" s="324">
        <v>42870</v>
      </c>
      <c r="G73" s="325">
        <v>802</v>
      </c>
      <c r="H73" s="326">
        <v>0</v>
      </c>
      <c r="I73" s="326">
        <v>0</v>
      </c>
      <c r="J73" s="326">
        <v>0</v>
      </c>
      <c r="K73" s="326">
        <v>0</v>
      </c>
      <c r="L73" s="327">
        <v>802</v>
      </c>
      <c r="M73" s="326">
        <v>0</v>
      </c>
      <c r="N73" s="326">
        <v>0</v>
      </c>
      <c r="O73" s="326">
        <v>0</v>
      </c>
      <c r="P73" s="326">
        <v>0</v>
      </c>
      <c r="Q73" s="326">
        <v>0</v>
      </c>
      <c r="R73" s="327">
        <v>0</v>
      </c>
      <c r="S73" s="326">
        <v>802</v>
      </c>
    </row>
    <row r="74" spans="1:19" ht="22.5" x14ac:dyDescent="0.2">
      <c r="A74" s="321" t="s">
        <v>1358</v>
      </c>
      <c r="B74" s="322" t="s">
        <v>3947</v>
      </c>
      <c r="C74" s="323" t="s">
        <v>1360</v>
      </c>
      <c r="D74" s="322" t="s">
        <v>153</v>
      </c>
      <c r="E74" s="321" t="s">
        <v>3798</v>
      </c>
      <c r="F74" s="324">
        <v>41877</v>
      </c>
      <c r="G74" s="325">
        <v>0</v>
      </c>
      <c r="H74" s="326">
        <v>0</v>
      </c>
      <c r="I74" s="326">
        <v>0</v>
      </c>
      <c r="J74" s="326">
        <v>0</v>
      </c>
      <c r="K74" s="326">
        <v>0</v>
      </c>
      <c r="L74" s="327">
        <v>0</v>
      </c>
      <c r="M74" s="326">
        <v>25389</v>
      </c>
      <c r="N74" s="326">
        <v>0</v>
      </c>
      <c r="O74" s="326">
        <v>0</v>
      </c>
      <c r="P74" s="326">
        <v>0</v>
      </c>
      <c r="Q74" s="326">
        <v>0</v>
      </c>
      <c r="R74" s="327">
        <v>25389</v>
      </c>
      <c r="S74" s="326">
        <v>-25389</v>
      </c>
    </row>
    <row r="75" spans="1:19" ht="33.75" x14ac:dyDescent="0.2">
      <c r="A75" s="321" t="s">
        <v>1809</v>
      </c>
      <c r="B75" s="322" t="s">
        <v>3940</v>
      </c>
      <c r="C75" s="323" t="s">
        <v>1120</v>
      </c>
      <c r="D75" s="322" t="s">
        <v>153</v>
      </c>
      <c r="E75" s="321" t="s">
        <v>421</v>
      </c>
      <c r="F75" s="324">
        <v>42723</v>
      </c>
      <c r="G75" s="325">
        <v>0</v>
      </c>
      <c r="H75" s="326">
        <v>0</v>
      </c>
      <c r="I75" s="326">
        <v>0</v>
      </c>
      <c r="J75" s="326">
        <v>0</v>
      </c>
      <c r="K75" s="326">
        <v>0</v>
      </c>
      <c r="L75" s="327">
        <v>0</v>
      </c>
      <c r="M75" s="326">
        <v>128</v>
      </c>
      <c r="N75" s="326">
        <v>0</v>
      </c>
      <c r="O75" s="326">
        <v>0</v>
      </c>
      <c r="P75" s="326">
        <v>0</v>
      </c>
      <c r="Q75" s="326">
        <v>0</v>
      </c>
      <c r="R75" s="327">
        <v>128</v>
      </c>
      <c r="S75" s="326">
        <v>-128</v>
      </c>
    </row>
    <row r="76" spans="1:19" x14ac:dyDescent="0.2">
      <c r="A76" s="321" t="s">
        <v>1719</v>
      </c>
      <c r="B76" s="322" t="s">
        <v>3942</v>
      </c>
      <c r="C76" s="323" t="s">
        <v>176</v>
      </c>
      <c r="D76" s="322" t="s">
        <v>153</v>
      </c>
      <c r="E76" s="321" t="s">
        <v>3798</v>
      </c>
      <c r="F76" s="324">
        <v>41200</v>
      </c>
      <c r="G76" s="325">
        <v>94</v>
      </c>
      <c r="H76" s="326">
        <v>0</v>
      </c>
      <c r="I76" s="326">
        <v>0</v>
      </c>
      <c r="J76" s="326">
        <v>0</v>
      </c>
      <c r="K76" s="326">
        <v>0</v>
      </c>
      <c r="L76" s="327">
        <v>94</v>
      </c>
      <c r="M76" s="326">
        <v>0</v>
      </c>
      <c r="N76" s="326">
        <v>0</v>
      </c>
      <c r="O76" s="326">
        <v>0</v>
      </c>
      <c r="P76" s="326">
        <v>0</v>
      </c>
      <c r="Q76" s="326">
        <v>0</v>
      </c>
      <c r="R76" s="327">
        <v>0</v>
      </c>
      <c r="S76" s="326">
        <v>94</v>
      </c>
    </row>
    <row r="77" spans="1:19" ht="56.25" x14ac:dyDescent="0.2">
      <c r="A77" s="321" t="s">
        <v>1713</v>
      </c>
      <c r="B77" s="322" t="s">
        <v>3944</v>
      </c>
      <c r="C77" s="323" t="s">
        <v>229</v>
      </c>
      <c r="D77" s="322" t="s">
        <v>153</v>
      </c>
      <c r="E77" s="321" t="s">
        <v>3798</v>
      </c>
      <c r="F77" s="324">
        <v>41614</v>
      </c>
      <c r="G77" s="325">
        <v>0</v>
      </c>
      <c r="H77" s="326">
        <v>0</v>
      </c>
      <c r="I77" s="326">
        <v>0</v>
      </c>
      <c r="J77" s="326">
        <v>212</v>
      </c>
      <c r="K77" s="326">
        <v>0</v>
      </c>
      <c r="L77" s="327">
        <v>212</v>
      </c>
      <c r="M77" s="326">
        <v>0</v>
      </c>
      <c r="N77" s="326">
        <v>0</v>
      </c>
      <c r="O77" s="326">
        <v>22859</v>
      </c>
      <c r="P77" s="326">
        <v>0</v>
      </c>
      <c r="Q77" s="326">
        <v>0</v>
      </c>
      <c r="R77" s="327">
        <v>22859</v>
      </c>
      <c r="S77" s="326">
        <v>-22647</v>
      </c>
    </row>
    <row r="78" spans="1:19" x14ac:dyDescent="0.2">
      <c r="A78" s="321"/>
      <c r="B78" s="322"/>
      <c r="C78" s="323" t="s">
        <v>1715</v>
      </c>
      <c r="D78" s="322" t="s">
        <v>153</v>
      </c>
      <c r="E78" s="321" t="s">
        <v>3798</v>
      </c>
      <c r="F78" s="324">
        <v>43076</v>
      </c>
      <c r="G78" s="325">
        <v>0</v>
      </c>
      <c r="H78" s="326">
        <v>0</v>
      </c>
      <c r="I78" s="326">
        <v>0</v>
      </c>
      <c r="J78" s="326">
        <v>336</v>
      </c>
      <c r="K78" s="326">
        <v>0</v>
      </c>
      <c r="L78" s="327">
        <v>336</v>
      </c>
      <c r="M78" s="326">
        <v>0</v>
      </c>
      <c r="N78" s="326">
        <v>0</v>
      </c>
      <c r="O78" s="326">
        <v>0</v>
      </c>
      <c r="P78" s="326">
        <v>212</v>
      </c>
      <c r="Q78" s="326">
        <v>0</v>
      </c>
      <c r="R78" s="327">
        <v>212</v>
      </c>
      <c r="S78" s="326">
        <v>124</v>
      </c>
    </row>
    <row r="79" spans="1:19" ht="22.5" x14ac:dyDescent="0.2">
      <c r="A79" s="321" t="s">
        <v>1773</v>
      </c>
      <c r="B79" s="322" t="s">
        <v>3947</v>
      </c>
      <c r="C79" s="323" t="s">
        <v>861</v>
      </c>
      <c r="D79" s="322" t="s">
        <v>1156</v>
      </c>
      <c r="E79" s="321" t="s">
        <v>3798</v>
      </c>
      <c r="F79" s="324">
        <v>42758</v>
      </c>
      <c r="G79" s="325">
        <v>0</v>
      </c>
      <c r="H79" s="326">
        <v>0</v>
      </c>
      <c r="I79" s="326">
        <v>0</v>
      </c>
      <c r="J79" s="326">
        <v>0</v>
      </c>
      <c r="K79" s="326">
        <v>0</v>
      </c>
      <c r="L79" s="327">
        <v>0</v>
      </c>
      <c r="M79" s="326">
        <v>0</v>
      </c>
      <c r="N79" s="326">
        <v>0</v>
      </c>
      <c r="O79" s="326">
        <v>0</v>
      </c>
      <c r="P79" s="326">
        <v>0</v>
      </c>
      <c r="Q79" s="326">
        <v>32314</v>
      </c>
      <c r="R79" s="327">
        <v>32314</v>
      </c>
      <c r="S79" s="326">
        <v>-32314</v>
      </c>
    </row>
    <row r="80" spans="1:19" ht="22.5" x14ac:dyDescent="0.2">
      <c r="A80" s="321" t="s">
        <v>1340</v>
      </c>
      <c r="B80" s="322" t="s">
        <v>149</v>
      </c>
      <c r="C80" s="323" t="s">
        <v>471</v>
      </c>
      <c r="D80" s="322" t="s">
        <v>153</v>
      </c>
      <c r="E80" s="321" t="s">
        <v>3798</v>
      </c>
      <c r="F80" s="324">
        <v>42373</v>
      </c>
      <c r="G80" s="325">
        <v>0</v>
      </c>
      <c r="H80" s="326">
        <v>0</v>
      </c>
      <c r="I80" s="326">
        <v>0</v>
      </c>
      <c r="J80" s="326">
        <v>0</v>
      </c>
      <c r="K80" s="326">
        <v>0</v>
      </c>
      <c r="L80" s="327">
        <v>0</v>
      </c>
      <c r="M80" s="326">
        <v>2365</v>
      </c>
      <c r="N80" s="326">
        <v>0</v>
      </c>
      <c r="O80" s="326">
        <v>0</v>
      </c>
      <c r="P80" s="326">
        <v>0</v>
      </c>
      <c r="Q80" s="326">
        <v>0</v>
      </c>
      <c r="R80" s="327">
        <v>2365</v>
      </c>
      <c r="S80" s="326">
        <v>-2365</v>
      </c>
    </row>
    <row r="81" spans="1:19" x14ac:dyDescent="0.2">
      <c r="A81" s="321" t="s">
        <v>1919</v>
      </c>
      <c r="B81" s="322" t="s">
        <v>3942</v>
      </c>
      <c r="C81" s="323" t="s">
        <v>361</v>
      </c>
      <c r="D81" s="322" t="s">
        <v>153</v>
      </c>
      <c r="E81" s="321" t="s">
        <v>3798</v>
      </c>
      <c r="F81" s="324">
        <v>41920</v>
      </c>
      <c r="G81" s="325">
        <v>0</v>
      </c>
      <c r="H81" s="326">
        <v>0</v>
      </c>
      <c r="I81" s="326">
        <v>0</v>
      </c>
      <c r="J81" s="326">
        <v>0</v>
      </c>
      <c r="K81" s="326">
        <v>0</v>
      </c>
      <c r="L81" s="327">
        <v>0</v>
      </c>
      <c r="M81" s="326">
        <v>0</v>
      </c>
      <c r="N81" s="326">
        <v>0</v>
      </c>
      <c r="O81" s="326">
        <v>0</v>
      </c>
      <c r="P81" s="326">
        <v>0</v>
      </c>
      <c r="Q81" s="326">
        <v>72</v>
      </c>
      <c r="R81" s="327">
        <v>72</v>
      </c>
      <c r="S81" s="326">
        <v>-72</v>
      </c>
    </row>
    <row r="82" spans="1:19" ht="22.5" x14ac:dyDescent="0.2">
      <c r="A82" s="321" t="s">
        <v>2320</v>
      </c>
      <c r="B82" s="322" t="s">
        <v>2904</v>
      </c>
      <c r="C82" s="323" t="s">
        <v>2321</v>
      </c>
      <c r="D82" s="322" t="s">
        <v>153</v>
      </c>
      <c r="E82" s="321" t="s">
        <v>3798</v>
      </c>
      <c r="F82" s="324">
        <v>42957</v>
      </c>
      <c r="G82" s="325">
        <v>60</v>
      </c>
      <c r="H82" s="326">
        <v>0</v>
      </c>
      <c r="I82" s="326">
        <v>0</v>
      </c>
      <c r="J82" s="326">
        <v>0</v>
      </c>
      <c r="K82" s="326">
        <v>0</v>
      </c>
      <c r="L82" s="327">
        <v>60</v>
      </c>
      <c r="M82" s="326">
        <v>0</v>
      </c>
      <c r="N82" s="326">
        <v>0</v>
      </c>
      <c r="O82" s="326">
        <v>0</v>
      </c>
      <c r="P82" s="326">
        <v>0</v>
      </c>
      <c r="Q82" s="326">
        <v>0</v>
      </c>
      <c r="R82" s="327">
        <v>0</v>
      </c>
      <c r="S82" s="326">
        <v>60</v>
      </c>
    </row>
    <row r="83" spans="1:19" ht="45" x14ac:dyDescent="0.2">
      <c r="A83" s="321" t="s">
        <v>1525</v>
      </c>
      <c r="B83" s="322" t="s">
        <v>3947</v>
      </c>
      <c r="C83" s="323" t="s">
        <v>1287</v>
      </c>
      <c r="D83" s="322" t="s">
        <v>2819</v>
      </c>
      <c r="E83" s="321" t="s">
        <v>3798</v>
      </c>
      <c r="F83" s="324">
        <v>42873</v>
      </c>
      <c r="G83" s="325">
        <v>63038</v>
      </c>
      <c r="H83" s="326">
        <v>0</v>
      </c>
      <c r="I83" s="326">
        <v>0</v>
      </c>
      <c r="J83" s="326">
        <v>0</v>
      </c>
      <c r="K83" s="326">
        <v>0</v>
      </c>
      <c r="L83" s="327">
        <v>63038</v>
      </c>
      <c r="M83" s="326">
        <v>0</v>
      </c>
      <c r="N83" s="326">
        <v>0</v>
      </c>
      <c r="O83" s="326">
        <v>0</v>
      </c>
      <c r="P83" s="326">
        <v>0</v>
      </c>
      <c r="Q83" s="326">
        <v>0</v>
      </c>
      <c r="R83" s="327">
        <v>0</v>
      </c>
      <c r="S83" s="326">
        <v>63038</v>
      </c>
    </row>
    <row r="84" spans="1:19" ht="33.75" x14ac:dyDescent="0.2">
      <c r="A84" s="321" t="s">
        <v>1864</v>
      </c>
      <c r="B84" s="322" t="s">
        <v>3944</v>
      </c>
      <c r="C84" s="323" t="s">
        <v>323</v>
      </c>
      <c r="D84" s="322" t="s">
        <v>153</v>
      </c>
      <c r="E84" s="321" t="s">
        <v>3798</v>
      </c>
      <c r="F84" s="324">
        <v>42193</v>
      </c>
      <c r="G84" s="325">
        <v>210</v>
      </c>
      <c r="H84" s="326">
        <v>0</v>
      </c>
      <c r="I84" s="326">
        <v>0</v>
      </c>
      <c r="J84" s="326">
        <v>0</v>
      </c>
      <c r="K84" s="326">
        <v>0</v>
      </c>
      <c r="L84" s="327">
        <v>210</v>
      </c>
      <c r="M84" s="326">
        <v>5684</v>
      </c>
      <c r="N84" s="326">
        <v>0</v>
      </c>
      <c r="O84" s="326">
        <v>0</v>
      </c>
      <c r="P84" s="326">
        <v>0</v>
      </c>
      <c r="Q84" s="326">
        <v>0</v>
      </c>
      <c r="R84" s="327">
        <v>5684</v>
      </c>
      <c r="S84" s="326">
        <v>-5474</v>
      </c>
    </row>
    <row r="85" spans="1:19" x14ac:dyDescent="0.2">
      <c r="A85" s="321"/>
      <c r="B85" s="322"/>
      <c r="C85" s="323" t="s">
        <v>865</v>
      </c>
      <c r="D85" s="322" t="s">
        <v>153</v>
      </c>
      <c r="E85" s="321" t="s">
        <v>3798</v>
      </c>
      <c r="F85" s="324">
        <v>42556</v>
      </c>
      <c r="G85" s="325">
        <v>92</v>
      </c>
      <c r="H85" s="326">
        <v>0</v>
      </c>
      <c r="I85" s="326">
        <v>0</v>
      </c>
      <c r="J85" s="326">
        <v>0</v>
      </c>
      <c r="K85" s="326">
        <v>0</v>
      </c>
      <c r="L85" s="327">
        <v>92</v>
      </c>
      <c r="M85" s="326">
        <v>81</v>
      </c>
      <c r="N85" s="326">
        <v>0</v>
      </c>
      <c r="O85" s="326">
        <v>0</v>
      </c>
      <c r="P85" s="326">
        <v>0</v>
      </c>
      <c r="Q85" s="326">
        <v>0</v>
      </c>
      <c r="R85" s="327">
        <v>81</v>
      </c>
      <c r="S85" s="326">
        <v>11</v>
      </c>
    </row>
    <row r="86" spans="1:19" ht="22.5" x14ac:dyDescent="0.2">
      <c r="A86" s="321" t="s">
        <v>1546</v>
      </c>
      <c r="B86" s="322" t="s">
        <v>3953</v>
      </c>
      <c r="C86" s="323" t="s">
        <v>68</v>
      </c>
      <c r="D86" s="322" t="s">
        <v>153</v>
      </c>
      <c r="E86" s="321" t="s">
        <v>3798</v>
      </c>
      <c r="F86" s="324">
        <v>40587</v>
      </c>
      <c r="G86" s="325">
        <v>200</v>
      </c>
      <c r="H86" s="326">
        <v>0</v>
      </c>
      <c r="I86" s="326">
        <v>0</v>
      </c>
      <c r="J86" s="326">
        <v>0</v>
      </c>
      <c r="K86" s="326">
        <v>0</v>
      </c>
      <c r="L86" s="327">
        <v>200</v>
      </c>
      <c r="M86" s="326">
        <v>0</v>
      </c>
      <c r="N86" s="326">
        <v>0</v>
      </c>
      <c r="O86" s="326">
        <v>0</v>
      </c>
      <c r="P86" s="326">
        <v>0</v>
      </c>
      <c r="Q86" s="326">
        <v>0</v>
      </c>
      <c r="R86" s="327">
        <v>0</v>
      </c>
      <c r="S86" s="326">
        <v>200</v>
      </c>
    </row>
    <row r="87" spans="1:19" ht="22.5" x14ac:dyDescent="0.2">
      <c r="A87" s="321" t="s">
        <v>2016</v>
      </c>
      <c r="B87" s="322" t="s">
        <v>3947</v>
      </c>
      <c r="C87" s="323" t="s">
        <v>260</v>
      </c>
      <c r="D87" s="322" t="s">
        <v>153</v>
      </c>
      <c r="E87" s="321" t="s">
        <v>3798</v>
      </c>
      <c r="F87" s="324">
        <v>42025</v>
      </c>
      <c r="G87" s="325">
        <v>1581</v>
      </c>
      <c r="H87" s="326">
        <v>0</v>
      </c>
      <c r="I87" s="326">
        <v>0</v>
      </c>
      <c r="J87" s="326">
        <v>0</v>
      </c>
      <c r="K87" s="326">
        <v>0</v>
      </c>
      <c r="L87" s="327">
        <v>1581</v>
      </c>
      <c r="M87" s="326">
        <v>2840</v>
      </c>
      <c r="N87" s="326">
        <v>0</v>
      </c>
      <c r="O87" s="326">
        <v>0</v>
      </c>
      <c r="P87" s="326">
        <v>0</v>
      </c>
      <c r="Q87" s="326">
        <v>0</v>
      </c>
      <c r="R87" s="327">
        <v>2840</v>
      </c>
      <c r="S87" s="326">
        <v>-1259</v>
      </c>
    </row>
    <row r="88" spans="1:19" ht="22.5" x14ac:dyDescent="0.2">
      <c r="A88" s="321" t="s">
        <v>1928</v>
      </c>
      <c r="B88" s="322" t="s">
        <v>3946</v>
      </c>
      <c r="C88" s="323" t="s">
        <v>896</v>
      </c>
      <c r="D88" s="322" t="s">
        <v>153</v>
      </c>
      <c r="E88" s="321" t="s">
        <v>3798</v>
      </c>
      <c r="F88" s="324">
        <v>42628</v>
      </c>
      <c r="G88" s="325">
        <v>290</v>
      </c>
      <c r="H88" s="326">
        <v>0</v>
      </c>
      <c r="I88" s="326">
        <v>0</v>
      </c>
      <c r="J88" s="326">
        <v>0</v>
      </c>
      <c r="K88" s="326">
        <v>0</v>
      </c>
      <c r="L88" s="327">
        <v>290</v>
      </c>
      <c r="M88" s="326">
        <v>215</v>
      </c>
      <c r="N88" s="326">
        <v>0</v>
      </c>
      <c r="O88" s="326">
        <v>0</v>
      </c>
      <c r="P88" s="326">
        <v>0</v>
      </c>
      <c r="Q88" s="326">
        <v>0</v>
      </c>
      <c r="R88" s="327">
        <v>215</v>
      </c>
      <c r="S88" s="326">
        <v>75</v>
      </c>
    </row>
    <row r="89" spans="1:19" ht="56.25" x14ac:dyDescent="0.2">
      <c r="A89" s="321" t="s">
        <v>2037</v>
      </c>
      <c r="B89" s="322" t="s">
        <v>3943</v>
      </c>
      <c r="C89" s="323" t="s">
        <v>335</v>
      </c>
      <c r="D89" s="322" t="s">
        <v>153</v>
      </c>
      <c r="E89" s="321" t="s">
        <v>421</v>
      </c>
      <c r="F89" s="324">
        <v>42060</v>
      </c>
      <c r="G89" s="325">
        <v>0</v>
      </c>
      <c r="H89" s="326">
        <v>0</v>
      </c>
      <c r="I89" s="326">
        <v>0</v>
      </c>
      <c r="J89" s="326">
        <v>0</v>
      </c>
      <c r="K89" s="326">
        <v>0</v>
      </c>
      <c r="L89" s="327">
        <v>0</v>
      </c>
      <c r="M89" s="326">
        <v>88</v>
      </c>
      <c r="N89" s="326">
        <v>0</v>
      </c>
      <c r="O89" s="326">
        <v>0</v>
      </c>
      <c r="P89" s="326">
        <v>0</v>
      </c>
      <c r="Q89" s="326">
        <v>0</v>
      </c>
      <c r="R89" s="327">
        <v>88</v>
      </c>
      <c r="S89" s="326">
        <v>-88</v>
      </c>
    </row>
    <row r="90" spans="1:19" ht="45" x14ac:dyDescent="0.2">
      <c r="A90" s="321" t="s">
        <v>2130</v>
      </c>
      <c r="B90" s="322" t="s">
        <v>3943</v>
      </c>
      <c r="C90" s="323" t="s">
        <v>599</v>
      </c>
      <c r="D90" s="322" t="s">
        <v>153</v>
      </c>
      <c r="E90" s="321" t="s">
        <v>421</v>
      </c>
      <c r="F90" s="324">
        <v>42443</v>
      </c>
      <c r="G90" s="325">
        <v>0</v>
      </c>
      <c r="H90" s="326">
        <v>0</v>
      </c>
      <c r="I90" s="326">
        <v>0</v>
      </c>
      <c r="J90" s="326">
        <v>0</v>
      </c>
      <c r="K90" s="326">
        <v>0</v>
      </c>
      <c r="L90" s="327">
        <v>0</v>
      </c>
      <c r="M90" s="326">
        <v>72</v>
      </c>
      <c r="N90" s="326">
        <v>0</v>
      </c>
      <c r="O90" s="326">
        <v>0</v>
      </c>
      <c r="P90" s="326">
        <v>0</v>
      </c>
      <c r="Q90" s="326">
        <v>0</v>
      </c>
      <c r="R90" s="327">
        <v>72</v>
      </c>
      <c r="S90" s="326">
        <v>-72</v>
      </c>
    </row>
    <row r="91" spans="1:19" x14ac:dyDescent="0.2">
      <c r="A91" s="328" t="s">
        <v>95</v>
      </c>
      <c r="B91" s="329"/>
      <c r="C91" s="330"/>
      <c r="D91" s="329"/>
      <c r="E91" s="328"/>
      <c r="F91" s="331"/>
      <c r="G91" s="332">
        <v>76551</v>
      </c>
      <c r="H91" s="333">
        <v>0</v>
      </c>
      <c r="I91" s="333">
        <v>941</v>
      </c>
      <c r="J91" s="333">
        <v>705</v>
      </c>
      <c r="K91" s="333">
        <v>5114</v>
      </c>
      <c r="L91" s="334">
        <v>83311</v>
      </c>
      <c r="M91" s="333">
        <v>57738</v>
      </c>
      <c r="N91" s="333">
        <v>0</v>
      </c>
      <c r="O91" s="333">
        <v>31850</v>
      </c>
      <c r="P91" s="333">
        <v>1796</v>
      </c>
      <c r="Q91" s="333">
        <v>90497</v>
      </c>
      <c r="R91" s="334">
        <v>181881</v>
      </c>
      <c r="S91" s="333">
        <v>-98570</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71"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S90"/>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2935</v>
      </c>
    </row>
    <row r="2" spans="1:19" x14ac:dyDescent="0.2">
      <c r="A2" s="77" t="s">
        <v>2941</v>
      </c>
      <c r="B2" s="446" t="s">
        <v>429</v>
      </c>
    </row>
    <row r="3" spans="1:19" x14ac:dyDescent="0.2">
      <c r="A3" s="77" t="s">
        <v>3968</v>
      </c>
      <c r="B3" s="446" t="s">
        <v>126</v>
      </c>
    </row>
    <row r="5" spans="1:19" x14ac:dyDescent="0.2">
      <c r="A5" s="77" t="s">
        <v>185</v>
      </c>
      <c r="B5" s="77" t="s">
        <v>3938</v>
      </c>
      <c r="C5" s="77" t="s">
        <v>2848</v>
      </c>
      <c r="D5" s="77" t="s">
        <v>2844</v>
      </c>
      <c r="E5" s="77" t="s">
        <v>3966</v>
      </c>
      <c r="F5" s="77" t="s">
        <v>13</v>
      </c>
      <c r="G5" s="446" t="s">
        <v>3955</v>
      </c>
      <c r="H5" s="446" t="s">
        <v>3956</v>
      </c>
      <c r="I5" s="446" t="s">
        <v>3957</v>
      </c>
      <c r="J5" s="446" t="s">
        <v>3958</v>
      </c>
      <c r="K5" s="446" t="s">
        <v>3959</v>
      </c>
      <c r="L5" s="446" t="s">
        <v>3960</v>
      </c>
      <c r="M5" s="446" t="s">
        <v>3961</v>
      </c>
      <c r="N5" s="446" t="s">
        <v>3962</v>
      </c>
      <c r="O5" s="446" t="s">
        <v>3963</v>
      </c>
      <c r="P5" s="446" t="s">
        <v>3964</v>
      </c>
      <c r="Q5" s="446" t="s">
        <v>3965</v>
      </c>
      <c r="R5" s="446" t="s">
        <v>2921</v>
      </c>
      <c r="S5" s="446" t="s">
        <v>2982</v>
      </c>
    </row>
    <row r="6" spans="1:19" x14ac:dyDescent="0.2">
      <c r="A6" s="446" t="s">
        <v>2601</v>
      </c>
      <c r="B6" s="446" t="s">
        <v>3943</v>
      </c>
      <c r="C6" s="446" t="s">
        <v>2602</v>
      </c>
      <c r="D6" s="446" t="s">
        <v>153</v>
      </c>
      <c r="E6" s="446" t="s">
        <v>3798</v>
      </c>
      <c r="F6" s="298">
        <v>43185</v>
      </c>
      <c r="G6" s="74">
        <v>0</v>
      </c>
      <c r="H6" s="74">
        <v>0</v>
      </c>
      <c r="I6" s="74">
        <v>0</v>
      </c>
      <c r="J6" s="74">
        <v>0</v>
      </c>
      <c r="K6" s="74">
        <v>0</v>
      </c>
      <c r="L6" s="74">
        <v>0</v>
      </c>
      <c r="M6" s="74">
        <v>0</v>
      </c>
      <c r="N6" s="74">
        <v>0</v>
      </c>
      <c r="O6" s="74">
        <v>0</v>
      </c>
      <c r="P6" s="74">
        <v>460</v>
      </c>
      <c r="Q6" s="74">
        <v>0</v>
      </c>
      <c r="R6" s="74">
        <v>460</v>
      </c>
      <c r="S6" s="74">
        <v>-460</v>
      </c>
    </row>
    <row r="7" spans="1:19" x14ac:dyDescent="0.2">
      <c r="A7" s="446" t="s">
        <v>2112</v>
      </c>
      <c r="B7" s="446" t="s">
        <v>149</v>
      </c>
      <c r="C7" s="446" t="s">
        <v>459</v>
      </c>
      <c r="D7" s="446" t="s">
        <v>153</v>
      </c>
      <c r="E7" s="446" t="s">
        <v>421</v>
      </c>
      <c r="F7" s="298">
        <v>42178</v>
      </c>
      <c r="G7" s="74">
        <v>0</v>
      </c>
      <c r="H7" s="74">
        <v>0</v>
      </c>
      <c r="I7" s="74">
        <v>0</v>
      </c>
      <c r="J7" s="74">
        <v>0</v>
      </c>
      <c r="K7" s="74">
        <v>0</v>
      </c>
      <c r="L7" s="74">
        <v>0</v>
      </c>
      <c r="M7" s="74">
        <v>130</v>
      </c>
      <c r="N7" s="74">
        <v>0</v>
      </c>
      <c r="O7" s="74">
        <v>0</v>
      </c>
      <c r="P7" s="74">
        <v>0</v>
      </c>
      <c r="Q7" s="74">
        <v>0</v>
      </c>
      <c r="R7" s="74">
        <v>130</v>
      </c>
      <c r="S7" s="74">
        <v>-130</v>
      </c>
    </row>
    <row r="8" spans="1:19" x14ac:dyDescent="0.2">
      <c r="C8" s="446" t="s">
        <v>748</v>
      </c>
      <c r="D8" s="446" t="s">
        <v>153</v>
      </c>
      <c r="E8" s="446" t="s">
        <v>3798</v>
      </c>
      <c r="F8" s="298">
        <v>42207</v>
      </c>
      <c r="G8" s="74">
        <v>101</v>
      </c>
      <c r="H8" s="74">
        <v>0</v>
      </c>
      <c r="I8" s="74">
        <v>0</v>
      </c>
      <c r="J8" s="74">
        <v>0</v>
      </c>
      <c r="K8" s="74">
        <v>0</v>
      </c>
      <c r="L8" s="74">
        <v>101</v>
      </c>
      <c r="M8" s="74">
        <v>0</v>
      </c>
      <c r="N8" s="74">
        <v>0</v>
      </c>
      <c r="O8" s="74">
        <v>0</v>
      </c>
      <c r="P8" s="74">
        <v>0</v>
      </c>
      <c r="Q8" s="74">
        <v>0</v>
      </c>
      <c r="R8" s="74">
        <v>0</v>
      </c>
      <c r="S8" s="74">
        <v>101</v>
      </c>
    </row>
    <row r="9" spans="1:19" x14ac:dyDescent="0.2">
      <c r="A9" s="446" t="s">
        <v>1587</v>
      </c>
      <c r="B9" s="446" t="s">
        <v>3951</v>
      </c>
      <c r="C9" s="446" t="s">
        <v>1032</v>
      </c>
      <c r="D9" s="446" t="s">
        <v>153</v>
      </c>
      <c r="E9" s="446" t="s">
        <v>3798</v>
      </c>
      <c r="F9" s="298">
        <v>42664</v>
      </c>
      <c r="G9" s="74">
        <v>0</v>
      </c>
      <c r="H9" s="74">
        <v>0</v>
      </c>
      <c r="I9" s="74">
        <v>0</v>
      </c>
      <c r="J9" s="74">
        <v>0</v>
      </c>
      <c r="K9" s="74">
        <v>0</v>
      </c>
      <c r="L9" s="74">
        <v>0</v>
      </c>
      <c r="M9" s="74">
        <v>34</v>
      </c>
      <c r="N9" s="74">
        <v>0</v>
      </c>
      <c r="O9" s="74">
        <v>0</v>
      </c>
      <c r="P9" s="74">
        <v>0</v>
      </c>
      <c r="Q9" s="74">
        <v>0</v>
      </c>
      <c r="R9" s="74">
        <v>34</v>
      </c>
      <c r="S9" s="74">
        <v>-34</v>
      </c>
    </row>
    <row r="10" spans="1:19" x14ac:dyDescent="0.2">
      <c r="A10" s="446" t="s">
        <v>1863</v>
      </c>
      <c r="B10" s="446" t="s">
        <v>2907</v>
      </c>
      <c r="C10" s="446" t="s">
        <v>875</v>
      </c>
      <c r="D10" s="446" t="s">
        <v>153</v>
      </c>
      <c r="E10" s="446" t="s">
        <v>421</v>
      </c>
      <c r="F10" s="298">
        <v>42559</v>
      </c>
      <c r="G10" s="74">
        <v>0</v>
      </c>
      <c r="H10" s="74">
        <v>0</v>
      </c>
      <c r="I10" s="74">
        <v>0</v>
      </c>
      <c r="J10" s="74">
        <v>0</v>
      </c>
      <c r="K10" s="74">
        <v>0</v>
      </c>
      <c r="L10" s="74">
        <v>0</v>
      </c>
      <c r="M10" s="74">
        <v>43</v>
      </c>
      <c r="N10" s="74">
        <v>0</v>
      </c>
      <c r="O10" s="74">
        <v>0</v>
      </c>
      <c r="P10" s="74">
        <v>0</v>
      </c>
      <c r="Q10" s="74">
        <v>0</v>
      </c>
      <c r="R10" s="74">
        <v>43</v>
      </c>
      <c r="S10" s="74">
        <v>-43</v>
      </c>
    </row>
    <row r="11" spans="1:19" x14ac:dyDescent="0.2">
      <c r="A11" s="446" t="s">
        <v>1957</v>
      </c>
      <c r="B11" s="446" t="s">
        <v>3946</v>
      </c>
      <c r="C11" s="446" t="s">
        <v>230</v>
      </c>
      <c r="D11" s="446" t="s">
        <v>153</v>
      </c>
      <c r="E11" s="446" t="s">
        <v>3798</v>
      </c>
      <c r="F11" s="298">
        <v>41404</v>
      </c>
      <c r="G11" s="74">
        <v>126</v>
      </c>
      <c r="H11" s="74">
        <v>0</v>
      </c>
      <c r="I11" s="74">
        <v>0</v>
      </c>
      <c r="J11" s="74">
        <v>0</v>
      </c>
      <c r="K11" s="74">
        <v>0</v>
      </c>
      <c r="L11" s="74">
        <v>126</v>
      </c>
      <c r="M11" s="74">
        <v>0</v>
      </c>
      <c r="N11" s="74">
        <v>0</v>
      </c>
      <c r="O11" s="74">
        <v>0</v>
      </c>
      <c r="P11" s="74">
        <v>0</v>
      </c>
      <c r="Q11" s="74">
        <v>0</v>
      </c>
      <c r="R11" s="74">
        <v>0</v>
      </c>
      <c r="S11" s="74">
        <v>126</v>
      </c>
    </row>
    <row r="12" spans="1:19" x14ac:dyDescent="0.2">
      <c r="A12" s="446" t="s">
        <v>2089</v>
      </c>
      <c r="B12" s="446" t="s">
        <v>3948</v>
      </c>
      <c r="C12" s="446" t="s">
        <v>300</v>
      </c>
      <c r="D12" s="446" t="s">
        <v>153</v>
      </c>
      <c r="E12" s="446" t="s">
        <v>3798</v>
      </c>
      <c r="F12" s="298">
        <v>42214</v>
      </c>
      <c r="G12" s="74">
        <v>0</v>
      </c>
      <c r="H12" s="74">
        <v>0</v>
      </c>
      <c r="I12" s="74">
        <v>0</v>
      </c>
      <c r="J12" s="74">
        <v>0</v>
      </c>
      <c r="K12" s="74">
        <v>0</v>
      </c>
      <c r="L12" s="74">
        <v>0</v>
      </c>
      <c r="M12" s="74">
        <v>110</v>
      </c>
      <c r="N12" s="74">
        <v>0</v>
      </c>
      <c r="O12" s="74">
        <v>570</v>
      </c>
      <c r="P12" s="74">
        <v>0</v>
      </c>
      <c r="Q12" s="74">
        <v>0</v>
      </c>
      <c r="R12" s="74">
        <v>680</v>
      </c>
      <c r="S12" s="74">
        <v>-680</v>
      </c>
    </row>
    <row r="13" spans="1:19" x14ac:dyDescent="0.2">
      <c r="A13" s="446" t="s">
        <v>1414</v>
      </c>
      <c r="B13" s="446" t="s">
        <v>3942</v>
      </c>
      <c r="C13" s="446" t="s">
        <v>1415</v>
      </c>
      <c r="D13" s="446" t="s">
        <v>153</v>
      </c>
      <c r="E13" s="446" t="s">
        <v>3798</v>
      </c>
      <c r="F13" s="298">
        <v>43186</v>
      </c>
      <c r="G13" s="74">
        <v>0</v>
      </c>
      <c r="H13" s="74">
        <v>0</v>
      </c>
      <c r="I13" s="74">
        <v>0</v>
      </c>
      <c r="J13" s="74">
        <v>0</v>
      </c>
      <c r="K13" s="74">
        <v>0</v>
      </c>
      <c r="L13" s="74">
        <v>0</v>
      </c>
      <c r="M13" s="74">
        <v>0</v>
      </c>
      <c r="N13" s="74">
        <v>0</v>
      </c>
      <c r="O13" s="74">
        <v>120</v>
      </c>
      <c r="P13" s="74">
        <v>0</v>
      </c>
      <c r="Q13" s="74">
        <v>0</v>
      </c>
      <c r="R13" s="74">
        <v>120</v>
      </c>
      <c r="S13" s="74">
        <v>-120</v>
      </c>
    </row>
    <row r="14" spans="1:19" x14ac:dyDescent="0.2">
      <c r="A14" s="446" t="s">
        <v>1672</v>
      </c>
      <c r="B14" s="446" t="s">
        <v>3943</v>
      </c>
      <c r="C14" s="446" t="s">
        <v>378</v>
      </c>
      <c r="D14" s="446" t="s">
        <v>153</v>
      </c>
      <c r="E14" s="446" t="s">
        <v>3798</v>
      </c>
      <c r="F14" s="298">
        <v>42179</v>
      </c>
      <c r="G14" s="74">
        <v>368</v>
      </c>
      <c r="H14" s="74">
        <v>0</v>
      </c>
      <c r="I14" s="74">
        <v>0</v>
      </c>
      <c r="J14" s="74">
        <v>0</v>
      </c>
      <c r="K14" s="74">
        <v>0</v>
      </c>
      <c r="L14" s="74">
        <v>368</v>
      </c>
      <c r="M14" s="74">
        <v>0</v>
      </c>
      <c r="N14" s="74">
        <v>0</v>
      </c>
      <c r="O14" s="74">
        <v>0</v>
      </c>
      <c r="P14" s="74">
        <v>0</v>
      </c>
      <c r="Q14" s="74">
        <v>0</v>
      </c>
      <c r="R14" s="74">
        <v>0</v>
      </c>
      <c r="S14" s="74">
        <v>368</v>
      </c>
    </row>
    <row r="15" spans="1:19" x14ac:dyDescent="0.2">
      <c r="A15" s="446" t="s">
        <v>1495</v>
      </c>
      <c r="B15" s="446" t="s">
        <v>3941</v>
      </c>
      <c r="C15" s="446" t="s">
        <v>1496</v>
      </c>
      <c r="D15" s="446" t="s">
        <v>153</v>
      </c>
      <c r="E15" s="446" t="s">
        <v>3798</v>
      </c>
      <c r="F15" s="298">
        <v>42978</v>
      </c>
      <c r="G15" s="74">
        <v>0</v>
      </c>
      <c r="H15" s="74">
        <v>0</v>
      </c>
      <c r="I15" s="74">
        <v>0</v>
      </c>
      <c r="J15" s="74">
        <v>0</v>
      </c>
      <c r="K15" s="74">
        <v>0</v>
      </c>
      <c r="L15" s="74">
        <v>0</v>
      </c>
      <c r="M15" s="74">
        <v>0</v>
      </c>
      <c r="N15" s="74">
        <v>0</v>
      </c>
      <c r="O15" s="74">
        <v>0</v>
      </c>
      <c r="P15" s="74">
        <v>0</v>
      </c>
      <c r="Q15" s="74">
        <v>66</v>
      </c>
      <c r="R15" s="74">
        <v>66</v>
      </c>
      <c r="S15" s="74">
        <v>-66</v>
      </c>
    </row>
    <row r="16" spans="1:19" x14ac:dyDescent="0.2">
      <c r="A16" s="446" t="s">
        <v>1808</v>
      </c>
      <c r="B16" s="446" t="s">
        <v>3942</v>
      </c>
      <c r="C16" s="446" t="s">
        <v>537</v>
      </c>
      <c r="D16" s="446" t="s">
        <v>153</v>
      </c>
      <c r="E16" s="446" t="s">
        <v>3798</v>
      </c>
      <c r="F16" s="298">
        <v>42486</v>
      </c>
      <c r="G16" s="74">
        <v>117</v>
      </c>
      <c r="H16" s="74">
        <v>0</v>
      </c>
      <c r="I16" s="74">
        <v>0</v>
      </c>
      <c r="J16" s="74">
        <v>0</v>
      </c>
      <c r="K16" s="74">
        <v>0</v>
      </c>
      <c r="L16" s="74">
        <v>117</v>
      </c>
      <c r="M16" s="74">
        <v>0</v>
      </c>
      <c r="N16" s="74">
        <v>0</v>
      </c>
      <c r="O16" s="74">
        <v>0</v>
      </c>
      <c r="P16" s="74">
        <v>0</v>
      </c>
      <c r="Q16" s="74">
        <v>0</v>
      </c>
      <c r="R16" s="74">
        <v>0</v>
      </c>
      <c r="S16" s="74">
        <v>117</v>
      </c>
    </row>
    <row r="17" spans="1:19" x14ac:dyDescent="0.2">
      <c r="A17" s="446" t="s">
        <v>1399</v>
      </c>
      <c r="B17" s="446" t="s">
        <v>3945</v>
      </c>
      <c r="C17" s="446" t="s">
        <v>514</v>
      </c>
      <c r="D17" s="446" t="s">
        <v>153</v>
      </c>
      <c r="E17" s="446" t="s">
        <v>3798</v>
      </c>
      <c r="F17" s="298">
        <v>42312</v>
      </c>
      <c r="G17" s="74">
        <v>336</v>
      </c>
      <c r="H17" s="74">
        <v>0</v>
      </c>
      <c r="I17" s="74">
        <v>0</v>
      </c>
      <c r="J17" s="74">
        <v>0</v>
      </c>
      <c r="K17" s="74">
        <v>0</v>
      </c>
      <c r="L17" s="74">
        <v>336</v>
      </c>
      <c r="M17" s="74">
        <v>56</v>
      </c>
      <c r="N17" s="74">
        <v>0</v>
      </c>
      <c r="O17" s="74">
        <v>0</v>
      </c>
      <c r="P17" s="74">
        <v>0</v>
      </c>
      <c r="Q17" s="74">
        <v>0</v>
      </c>
      <c r="R17" s="74">
        <v>56</v>
      </c>
      <c r="S17" s="74">
        <v>280</v>
      </c>
    </row>
    <row r="18" spans="1:19" x14ac:dyDescent="0.2">
      <c r="C18" s="446" t="s">
        <v>976</v>
      </c>
      <c r="D18" s="446" t="s">
        <v>153</v>
      </c>
      <c r="E18" s="446" t="s">
        <v>421</v>
      </c>
      <c r="F18" s="298">
        <v>42606</v>
      </c>
      <c r="G18" s="74">
        <v>0</v>
      </c>
      <c r="H18" s="74">
        <v>0</v>
      </c>
      <c r="I18" s="74">
        <v>0</v>
      </c>
      <c r="J18" s="74">
        <v>0</v>
      </c>
      <c r="K18" s="74">
        <v>0</v>
      </c>
      <c r="L18" s="74">
        <v>0</v>
      </c>
      <c r="M18" s="74">
        <v>180</v>
      </c>
      <c r="N18" s="74">
        <v>0</v>
      </c>
      <c r="O18" s="74">
        <v>0</v>
      </c>
      <c r="P18" s="74">
        <v>0</v>
      </c>
      <c r="Q18" s="74">
        <v>0</v>
      </c>
      <c r="R18" s="74">
        <v>180</v>
      </c>
      <c r="S18" s="74">
        <v>-180</v>
      </c>
    </row>
    <row r="19" spans="1:19" x14ac:dyDescent="0.2">
      <c r="A19" s="446" t="s">
        <v>1325</v>
      </c>
      <c r="B19" s="446" t="s">
        <v>3946</v>
      </c>
      <c r="C19" s="446" t="s">
        <v>1326</v>
      </c>
      <c r="D19" s="446" t="s">
        <v>153</v>
      </c>
      <c r="E19" s="446" t="s">
        <v>3798</v>
      </c>
      <c r="F19" s="298">
        <v>43013</v>
      </c>
      <c r="G19" s="74">
        <v>0</v>
      </c>
      <c r="H19" s="74">
        <v>0</v>
      </c>
      <c r="I19" s="74">
        <v>0</v>
      </c>
      <c r="J19" s="74">
        <v>0</v>
      </c>
      <c r="K19" s="74">
        <v>0</v>
      </c>
      <c r="L19" s="74">
        <v>0</v>
      </c>
      <c r="M19" s="74">
        <v>0</v>
      </c>
      <c r="N19" s="74">
        <v>0</v>
      </c>
      <c r="O19" s="74">
        <v>259</v>
      </c>
      <c r="P19" s="74">
        <v>0</v>
      </c>
      <c r="Q19" s="74">
        <v>0</v>
      </c>
      <c r="R19" s="74">
        <v>259</v>
      </c>
      <c r="S19" s="74">
        <v>-259</v>
      </c>
    </row>
    <row r="20" spans="1:19" x14ac:dyDescent="0.2">
      <c r="A20" s="446" t="s">
        <v>1345</v>
      </c>
      <c r="B20" s="446" t="s">
        <v>3947</v>
      </c>
      <c r="C20" s="446" t="s">
        <v>1135</v>
      </c>
      <c r="D20" s="446" t="s">
        <v>153</v>
      </c>
      <c r="E20" s="446" t="s">
        <v>3798</v>
      </c>
      <c r="F20" s="298">
        <v>42753</v>
      </c>
      <c r="G20" s="74">
        <v>0</v>
      </c>
      <c r="H20" s="74">
        <v>0</v>
      </c>
      <c r="I20" s="74">
        <v>0</v>
      </c>
      <c r="J20" s="74">
        <v>0</v>
      </c>
      <c r="K20" s="74">
        <v>0</v>
      </c>
      <c r="L20" s="74">
        <v>0</v>
      </c>
      <c r="M20" s="74">
        <v>0</v>
      </c>
      <c r="N20" s="74">
        <v>0</v>
      </c>
      <c r="O20" s="74">
        <v>0</v>
      </c>
      <c r="P20" s="74">
        <v>0</v>
      </c>
      <c r="Q20" s="74">
        <v>360</v>
      </c>
      <c r="R20" s="74">
        <v>360</v>
      </c>
      <c r="S20" s="74">
        <v>-360</v>
      </c>
    </row>
    <row r="21" spans="1:19" x14ac:dyDescent="0.2">
      <c r="A21" s="446" t="s">
        <v>1653</v>
      </c>
      <c r="B21" s="446" t="s">
        <v>3946</v>
      </c>
      <c r="C21" s="446" t="s">
        <v>1654</v>
      </c>
      <c r="D21" s="446" t="s">
        <v>153</v>
      </c>
      <c r="E21" s="446" t="s">
        <v>3798</v>
      </c>
      <c r="F21" s="298">
        <v>43034</v>
      </c>
      <c r="G21" s="74">
        <v>0</v>
      </c>
      <c r="H21" s="74">
        <v>0</v>
      </c>
      <c r="I21" s="74">
        <v>0</v>
      </c>
      <c r="J21" s="74">
        <v>0</v>
      </c>
      <c r="K21" s="74">
        <v>0</v>
      </c>
      <c r="L21" s="74">
        <v>0</v>
      </c>
      <c r="M21" s="74">
        <v>180</v>
      </c>
      <c r="N21" s="74">
        <v>0</v>
      </c>
      <c r="O21" s="74">
        <v>0</v>
      </c>
      <c r="P21" s="74">
        <v>0</v>
      </c>
      <c r="Q21" s="74">
        <v>0</v>
      </c>
      <c r="R21" s="74">
        <v>180</v>
      </c>
      <c r="S21" s="74">
        <v>-180</v>
      </c>
    </row>
    <row r="22" spans="1:19" x14ac:dyDescent="0.2">
      <c r="A22" s="446" t="s">
        <v>1861</v>
      </c>
      <c r="B22" s="446" t="s">
        <v>3946</v>
      </c>
      <c r="C22" s="446" t="s">
        <v>295</v>
      </c>
      <c r="D22" s="446" t="s">
        <v>153</v>
      </c>
      <c r="E22" s="446" t="s">
        <v>3798</v>
      </c>
      <c r="F22" s="298">
        <v>42230</v>
      </c>
      <c r="G22" s="74">
        <v>278</v>
      </c>
      <c r="H22" s="74">
        <v>0</v>
      </c>
      <c r="I22" s="74">
        <v>0</v>
      </c>
      <c r="J22" s="74">
        <v>0</v>
      </c>
      <c r="K22" s="74">
        <v>0</v>
      </c>
      <c r="L22" s="74">
        <v>278</v>
      </c>
      <c r="M22" s="74">
        <v>267</v>
      </c>
      <c r="N22" s="74">
        <v>0</v>
      </c>
      <c r="O22" s="74">
        <v>0</v>
      </c>
      <c r="P22" s="74">
        <v>0</v>
      </c>
      <c r="Q22" s="74">
        <v>0</v>
      </c>
      <c r="R22" s="74">
        <v>267</v>
      </c>
      <c r="S22" s="74">
        <v>11</v>
      </c>
    </row>
    <row r="23" spans="1:19" x14ac:dyDescent="0.2">
      <c r="A23" s="446" t="s">
        <v>2327</v>
      </c>
      <c r="B23" s="446" t="s">
        <v>3951</v>
      </c>
      <c r="C23" s="446" t="s">
        <v>1151</v>
      </c>
      <c r="D23" s="446" t="s">
        <v>153</v>
      </c>
      <c r="E23" s="446" t="s">
        <v>3798</v>
      </c>
      <c r="F23" s="298">
        <v>42825</v>
      </c>
      <c r="G23" s="74">
        <v>0</v>
      </c>
      <c r="H23" s="74">
        <v>0</v>
      </c>
      <c r="I23" s="74">
        <v>0</v>
      </c>
      <c r="J23" s="74">
        <v>0</v>
      </c>
      <c r="K23" s="74">
        <v>0</v>
      </c>
      <c r="L23" s="74">
        <v>0</v>
      </c>
      <c r="M23" s="74">
        <v>0</v>
      </c>
      <c r="N23" s="74">
        <v>0</v>
      </c>
      <c r="O23" s="74">
        <v>152</v>
      </c>
      <c r="P23" s="74">
        <v>0</v>
      </c>
      <c r="Q23" s="74">
        <v>109</v>
      </c>
      <c r="R23" s="74">
        <v>261</v>
      </c>
      <c r="S23" s="74">
        <v>-261</v>
      </c>
    </row>
    <row r="24" spans="1:19" x14ac:dyDescent="0.2">
      <c r="A24" s="446" t="s">
        <v>1736</v>
      </c>
      <c r="B24" s="446" t="s">
        <v>3942</v>
      </c>
      <c r="C24" s="446" t="s">
        <v>1737</v>
      </c>
      <c r="D24" s="446" t="s">
        <v>153</v>
      </c>
      <c r="E24" s="446" t="s">
        <v>421</v>
      </c>
      <c r="F24" s="298">
        <v>42919</v>
      </c>
      <c r="G24" s="74">
        <v>0</v>
      </c>
      <c r="H24" s="74">
        <v>0</v>
      </c>
      <c r="I24" s="74">
        <v>0</v>
      </c>
      <c r="J24" s="74">
        <v>0</v>
      </c>
      <c r="K24" s="74">
        <v>0</v>
      </c>
      <c r="L24" s="74">
        <v>0</v>
      </c>
      <c r="M24" s="74">
        <v>298</v>
      </c>
      <c r="N24" s="74">
        <v>0</v>
      </c>
      <c r="O24" s="74">
        <v>0</v>
      </c>
      <c r="P24" s="74">
        <v>0</v>
      </c>
      <c r="Q24" s="74">
        <v>0</v>
      </c>
      <c r="R24" s="74">
        <v>298</v>
      </c>
      <c r="S24" s="74">
        <v>-298</v>
      </c>
    </row>
    <row r="25" spans="1:19" x14ac:dyDescent="0.2">
      <c r="A25" s="446" t="s">
        <v>2090</v>
      </c>
      <c r="B25" s="446" t="s">
        <v>3948</v>
      </c>
      <c r="C25" s="446" t="s">
        <v>594</v>
      </c>
      <c r="D25" s="446" t="s">
        <v>153</v>
      </c>
      <c r="E25" s="446" t="s">
        <v>3798</v>
      </c>
      <c r="F25" s="298">
        <v>42552</v>
      </c>
      <c r="G25" s="74">
        <v>0</v>
      </c>
      <c r="H25" s="74">
        <v>0</v>
      </c>
      <c r="I25" s="74">
        <v>0</v>
      </c>
      <c r="J25" s="74">
        <v>0</v>
      </c>
      <c r="K25" s="74">
        <v>0</v>
      </c>
      <c r="L25" s="74">
        <v>0</v>
      </c>
      <c r="M25" s="74">
        <v>408</v>
      </c>
      <c r="N25" s="74">
        <v>0</v>
      </c>
      <c r="O25" s="74">
        <v>288</v>
      </c>
      <c r="P25" s="74">
        <v>0</v>
      </c>
      <c r="Q25" s="74">
        <v>0</v>
      </c>
      <c r="R25" s="74">
        <v>696</v>
      </c>
      <c r="S25" s="74">
        <v>-696</v>
      </c>
    </row>
    <row r="26" spans="1:19" x14ac:dyDescent="0.2">
      <c r="A26" s="446" t="s">
        <v>1573</v>
      </c>
      <c r="B26" s="446" t="s">
        <v>3947</v>
      </c>
      <c r="C26" s="446" t="s">
        <v>1576</v>
      </c>
      <c r="D26" s="446" t="s">
        <v>153</v>
      </c>
      <c r="E26" s="446" t="s">
        <v>3798</v>
      </c>
      <c r="F26" s="298">
        <v>43049</v>
      </c>
      <c r="G26" s="74">
        <v>1148</v>
      </c>
      <c r="H26" s="74">
        <v>0</v>
      </c>
      <c r="I26" s="74">
        <v>0</v>
      </c>
      <c r="J26" s="74">
        <v>0</v>
      </c>
      <c r="K26" s="74">
        <v>0</v>
      </c>
      <c r="L26" s="74">
        <v>1148</v>
      </c>
      <c r="M26" s="74">
        <v>0</v>
      </c>
      <c r="N26" s="74">
        <v>0</v>
      </c>
      <c r="O26" s="74">
        <v>0</v>
      </c>
      <c r="P26" s="74">
        <v>0</v>
      </c>
      <c r="Q26" s="74">
        <v>0</v>
      </c>
      <c r="R26" s="74">
        <v>0</v>
      </c>
      <c r="S26" s="74">
        <v>1148</v>
      </c>
    </row>
    <row r="27" spans="1:19" x14ac:dyDescent="0.2">
      <c r="A27" s="446" t="s">
        <v>2084</v>
      </c>
      <c r="B27" s="446" t="s">
        <v>3947</v>
      </c>
      <c r="C27" s="446" t="s">
        <v>515</v>
      </c>
      <c r="D27" s="446" t="s">
        <v>153</v>
      </c>
      <c r="E27" s="446" t="s">
        <v>3798</v>
      </c>
      <c r="F27" s="298">
        <v>42647</v>
      </c>
      <c r="G27" s="74">
        <v>123</v>
      </c>
      <c r="H27" s="74">
        <v>0</v>
      </c>
      <c r="I27" s="74">
        <v>0</v>
      </c>
      <c r="J27" s="74">
        <v>0</v>
      </c>
      <c r="K27" s="74">
        <v>0</v>
      </c>
      <c r="L27" s="74">
        <v>123</v>
      </c>
      <c r="M27" s="74">
        <v>0</v>
      </c>
      <c r="N27" s="74">
        <v>0</v>
      </c>
      <c r="O27" s="74">
        <v>0</v>
      </c>
      <c r="P27" s="74">
        <v>0</v>
      </c>
      <c r="Q27" s="74">
        <v>6534</v>
      </c>
      <c r="R27" s="74">
        <v>6534</v>
      </c>
      <c r="S27" s="74">
        <v>-6411</v>
      </c>
    </row>
    <row r="28" spans="1:19" x14ac:dyDescent="0.2">
      <c r="A28" s="446" t="s">
        <v>1644</v>
      </c>
      <c r="B28" s="446" t="s">
        <v>3947</v>
      </c>
      <c r="C28" s="446" t="s">
        <v>333</v>
      </c>
      <c r="D28" s="446" t="s">
        <v>153</v>
      </c>
      <c r="E28" s="446" t="s">
        <v>3798</v>
      </c>
      <c r="F28" s="298">
        <v>41949</v>
      </c>
      <c r="G28" s="74">
        <v>208</v>
      </c>
      <c r="H28" s="74">
        <v>0</v>
      </c>
      <c r="I28" s="74">
        <v>0</v>
      </c>
      <c r="J28" s="74">
        <v>0</v>
      </c>
      <c r="K28" s="74">
        <v>0</v>
      </c>
      <c r="L28" s="74">
        <v>208</v>
      </c>
      <c r="M28" s="74">
        <v>0</v>
      </c>
      <c r="N28" s="74">
        <v>0</v>
      </c>
      <c r="O28" s="74">
        <v>0</v>
      </c>
      <c r="P28" s="74">
        <v>0</v>
      </c>
      <c r="Q28" s="74">
        <v>0</v>
      </c>
      <c r="R28" s="74">
        <v>0</v>
      </c>
      <c r="S28" s="74">
        <v>208</v>
      </c>
    </row>
    <row r="29" spans="1:19" x14ac:dyDescent="0.2">
      <c r="A29" s="446" t="s">
        <v>2375</v>
      </c>
      <c r="B29" s="446" t="s">
        <v>3944</v>
      </c>
      <c r="C29" s="446" t="s">
        <v>1129</v>
      </c>
      <c r="D29" s="446" t="s">
        <v>153</v>
      </c>
      <c r="E29" s="446" t="s">
        <v>3798</v>
      </c>
      <c r="F29" s="298">
        <v>42888</v>
      </c>
      <c r="G29" s="74">
        <v>53</v>
      </c>
      <c r="H29" s="74">
        <v>0</v>
      </c>
      <c r="I29" s="74">
        <v>0</v>
      </c>
      <c r="J29" s="74">
        <v>0</v>
      </c>
      <c r="K29" s="74">
        <v>0</v>
      </c>
      <c r="L29" s="74">
        <v>53</v>
      </c>
      <c r="M29" s="74">
        <v>95</v>
      </c>
      <c r="N29" s="74">
        <v>0</v>
      </c>
      <c r="O29" s="74">
        <v>0</v>
      </c>
      <c r="P29" s="74">
        <v>0</v>
      </c>
      <c r="Q29" s="74">
        <v>0</v>
      </c>
      <c r="R29" s="74">
        <v>95</v>
      </c>
      <c r="S29" s="74">
        <v>-42</v>
      </c>
    </row>
    <row r="30" spans="1:19" x14ac:dyDescent="0.2">
      <c r="A30" s="446" t="s">
        <v>2298</v>
      </c>
      <c r="B30" s="446" t="s">
        <v>3944</v>
      </c>
      <c r="C30" s="446" t="s">
        <v>1137</v>
      </c>
      <c r="D30" s="446" t="s">
        <v>153</v>
      </c>
      <c r="E30" s="446" t="s">
        <v>3798</v>
      </c>
      <c r="F30" s="298">
        <v>42823</v>
      </c>
      <c r="G30" s="74">
        <v>56</v>
      </c>
      <c r="H30" s="74">
        <v>0</v>
      </c>
      <c r="I30" s="74">
        <v>0</v>
      </c>
      <c r="J30" s="74">
        <v>0</v>
      </c>
      <c r="K30" s="74">
        <v>0</v>
      </c>
      <c r="L30" s="74">
        <v>56</v>
      </c>
      <c r="M30" s="74">
        <v>228</v>
      </c>
      <c r="N30" s="74">
        <v>0</v>
      </c>
      <c r="O30" s="74">
        <v>0</v>
      </c>
      <c r="P30" s="74">
        <v>0</v>
      </c>
      <c r="Q30" s="74">
        <v>0</v>
      </c>
      <c r="R30" s="74">
        <v>228</v>
      </c>
      <c r="S30" s="74">
        <v>-172</v>
      </c>
    </row>
    <row r="31" spans="1:19" x14ac:dyDescent="0.2">
      <c r="C31" s="446" t="s">
        <v>1141</v>
      </c>
      <c r="D31" s="446" t="s">
        <v>153</v>
      </c>
      <c r="E31" s="446" t="s">
        <v>421</v>
      </c>
      <c r="F31" s="298">
        <v>42739</v>
      </c>
      <c r="G31" s="74">
        <v>0</v>
      </c>
      <c r="H31" s="74">
        <v>0</v>
      </c>
      <c r="I31" s="74">
        <v>0</v>
      </c>
      <c r="J31" s="74">
        <v>0</v>
      </c>
      <c r="K31" s="74">
        <v>0</v>
      </c>
      <c r="L31" s="74">
        <v>0</v>
      </c>
      <c r="M31" s="74">
        <v>50</v>
      </c>
      <c r="N31" s="74">
        <v>0</v>
      </c>
      <c r="O31" s="74">
        <v>0</v>
      </c>
      <c r="P31" s="74">
        <v>0</v>
      </c>
      <c r="Q31" s="74">
        <v>0</v>
      </c>
      <c r="R31" s="74">
        <v>50</v>
      </c>
      <c r="S31" s="74">
        <v>-50</v>
      </c>
    </row>
    <row r="32" spans="1:19" x14ac:dyDescent="0.2">
      <c r="A32" s="446" t="s">
        <v>1656</v>
      </c>
      <c r="B32" s="446" t="s">
        <v>2904</v>
      </c>
      <c r="C32" s="446" t="s">
        <v>485</v>
      </c>
      <c r="D32" s="446" t="s">
        <v>153</v>
      </c>
      <c r="E32" s="446" t="s">
        <v>3798</v>
      </c>
      <c r="F32" s="298">
        <v>42264</v>
      </c>
      <c r="G32" s="74">
        <v>0</v>
      </c>
      <c r="H32" s="74">
        <v>0</v>
      </c>
      <c r="I32" s="74">
        <v>0</v>
      </c>
      <c r="J32" s="74">
        <v>0</v>
      </c>
      <c r="K32" s="74">
        <v>0</v>
      </c>
      <c r="L32" s="74">
        <v>0</v>
      </c>
      <c r="M32" s="74">
        <v>0</v>
      </c>
      <c r="N32" s="74">
        <v>0</v>
      </c>
      <c r="O32" s="74">
        <v>0</v>
      </c>
      <c r="P32" s="74">
        <v>220</v>
      </c>
      <c r="Q32" s="74">
        <v>0</v>
      </c>
      <c r="R32" s="74">
        <v>220</v>
      </c>
      <c r="S32" s="74">
        <v>-220</v>
      </c>
    </row>
    <row r="33" spans="1:19" x14ac:dyDescent="0.2">
      <c r="A33" s="446" t="s">
        <v>2062</v>
      </c>
      <c r="B33" s="446" t="s">
        <v>3943</v>
      </c>
      <c r="C33" s="446" t="s">
        <v>326</v>
      </c>
      <c r="D33" s="446" t="s">
        <v>153</v>
      </c>
      <c r="E33" s="446" t="s">
        <v>3798</v>
      </c>
      <c r="F33" s="298">
        <v>42376</v>
      </c>
      <c r="G33" s="74">
        <v>170</v>
      </c>
      <c r="H33" s="74">
        <v>0</v>
      </c>
      <c r="I33" s="74">
        <v>0</v>
      </c>
      <c r="J33" s="74">
        <v>0</v>
      </c>
      <c r="K33" s="74">
        <v>0</v>
      </c>
      <c r="L33" s="74">
        <v>170</v>
      </c>
      <c r="M33" s="74">
        <v>0</v>
      </c>
      <c r="N33" s="74">
        <v>0</v>
      </c>
      <c r="O33" s="74">
        <v>0</v>
      </c>
      <c r="P33" s="74">
        <v>0</v>
      </c>
      <c r="Q33" s="74">
        <v>0</v>
      </c>
      <c r="R33" s="74">
        <v>0</v>
      </c>
      <c r="S33" s="74">
        <v>170</v>
      </c>
    </row>
    <row r="34" spans="1:19" x14ac:dyDescent="0.2">
      <c r="A34" s="446" t="s">
        <v>2038</v>
      </c>
      <c r="B34" s="446" t="s">
        <v>3942</v>
      </c>
      <c r="C34" s="446" t="s">
        <v>2039</v>
      </c>
      <c r="D34" s="446" t="s">
        <v>153</v>
      </c>
      <c r="E34" s="446" t="s">
        <v>421</v>
      </c>
      <c r="F34" s="298">
        <v>42993</v>
      </c>
      <c r="G34" s="74">
        <v>0</v>
      </c>
      <c r="H34" s="74">
        <v>0</v>
      </c>
      <c r="I34" s="74">
        <v>0</v>
      </c>
      <c r="J34" s="74">
        <v>0</v>
      </c>
      <c r="K34" s="74">
        <v>0</v>
      </c>
      <c r="L34" s="74">
        <v>0</v>
      </c>
      <c r="M34" s="74">
        <v>150</v>
      </c>
      <c r="N34" s="74">
        <v>0</v>
      </c>
      <c r="O34" s="74">
        <v>0</v>
      </c>
      <c r="P34" s="74">
        <v>0</v>
      </c>
      <c r="Q34" s="74">
        <v>0</v>
      </c>
      <c r="R34" s="74">
        <v>150</v>
      </c>
      <c r="S34" s="74">
        <v>-150</v>
      </c>
    </row>
    <row r="35" spans="1:19" x14ac:dyDescent="0.2">
      <c r="A35" s="446" t="s">
        <v>2002</v>
      </c>
      <c r="B35" s="446" t="s">
        <v>2907</v>
      </c>
      <c r="C35" s="446" t="s">
        <v>169</v>
      </c>
      <c r="D35" s="446" t="s">
        <v>153</v>
      </c>
      <c r="E35" s="446" t="s">
        <v>3798</v>
      </c>
      <c r="F35" s="298">
        <v>41558</v>
      </c>
      <c r="G35" s="74">
        <v>0</v>
      </c>
      <c r="H35" s="74">
        <v>0</v>
      </c>
      <c r="I35" s="74">
        <v>0</v>
      </c>
      <c r="J35" s="74">
        <v>0</v>
      </c>
      <c r="K35" s="74">
        <v>0</v>
      </c>
      <c r="L35" s="74">
        <v>0</v>
      </c>
      <c r="M35" s="74">
        <v>0</v>
      </c>
      <c r="N35" s="74">
        <v>0</v>
      </c>
      <c r="O35" s="74">
        <v>0</v>
      </c>
      <c r="P35" s="74">
        <v>0</v>
      </c>
      <c r="Q35" s="74">
        <v>35</v>
      </c>
      <c r="R35" s="74">
        <v>35</v>
      </c>
      <c r="S35" s="74">
        <v>-35</v>
      </c>
    </row>
    <row r="36" spans="1:19" x14ac:dyDescent="0.2">
      <c r="A36" s="446" t="s">
        <v>1633</v>
      </c>
      <c r="B36" s="446" t="s">
        <v>3946</v>
      </c>
      <c r="C36" s="446" t="s">
        <v>233</v>
      </c>
      <c r="D36" s="446" t="s">
        <v>153</v>
      </c>
      <c r="E36" s="446" t="s">
        <v>3798</v>
      </c>
      <c r="F36" s="298">
        <v>41404</v>
      </c>
      <c r="G36" s="74">
        <v>0</v>
      </c>
      <c r="H36" s="74">
        <v>0</v>
      </c>
      <c r="I36" s="74">
        <v>0</v>
      </c>
      <c r="J36" s="74">
        <v>0</v>
      </c>
      <c r="K36" s="74">
        <v>0</v>
      </c>
      <c r="L36" s="74">
        <v>0</v>
      </c>
      <c r="M36" s="74">
        <v>57</v>
      </c>
      <c r="N36" s="74">
        <v>0</v>
      </c>
      <c r="O36" s="74">
        <v>0</v>
      </c>
      <c r="P36" s="74">
        <v>0</v>
      </c>
      <c r="Q36" s="74">
        <v>0</v>
      </c>
      <c r="R36" s="74">
        <v>57</v>
      </c>
      <c r="S36" s="74">
        <v>-57</v>
      </c>
    </row>
    <row r="37" spans="1:19" x14ac:dyDescent="0.2">
      <c r="A37" s="446" t="s">
        <v>1508</v>
      </c>
      <c r="B37" s="446" t="s">
        <v>3946</v>
      </c>
      <c r="C37" s="446" t="s">
        <v>474</v>
      </c>
      <c r="D37" s="446" t="s">
        <v>153</v>
      </c>
      <c r="E37" s="446" t="s">
        <v>3798</v>
      </c>
      <c r="F37" s="298">
        <v>42494</v>
      </c>
      <c r="G37" s="74">
        <v>0</v>
      </c>
      <c r="H37" s="74">
        <v>0</v>
      </c>
      <c r="I37" s="74">
        <v>0</v>
      </c>
      <c r="J37" s="74">
        <v>0</v>
      </c>
      <c r="K37" s="74">
        <v>0</v>
      </c>
      <c r="L37" s="74">
        <v>0</v>
      </c>
      <c r="M37" s="74">
        <v>409</v>
      </c>
      <c r="N37" s="74">
        <v>0</v>
      </c>
      <c r="O37" s="74">
        <v>0</v>
      </c>
      <c r="P37" s="74">
        <v>0</v>
      </c>
      <c r="Q37" s="74">
        <v>0</v>
      </c>
      <c r="R37" s="74">
        <v>409</v>
      </c>
      <c r="S37" s="74">
        <v>-409</v>
      </c>
    </row>
    <row r="38" spans="1:19" x14ac:dyDescent="0.2">
      <c r="A38" s="446" t="s">
        <v>2097</v>
      </c>
      <c r="B38" s="446" t="s">
        <v>150</v>
      </c>
      <c r="C38" s="446" t="s">
        <v>270</v>
      </c>
      <c r="D38" s="446" t="s">
        <v>153</v>
      </c>
      <c r="E38" s="446" t="s">
        <v>3798</v>
      </c>
      <c r="F38" s="298">
        <v>42256</v>
      </c>
      <c r="G38" s="74">
        <v>0</v>
      </c>
      <c r="H38" s="74">
        <v>0</v>
      </c>
      <c r="I38" s="74">
        <v>0</v>
      </c>
      <c r="J38" s="74">
        <v>0</v>
      </c>
      <c r="K38" s="74">
        <v>0</v>
      </c>
      <c r="L38" s="74">
        <v>0</v>
      </c>
      <c r="M38" s="74">
        <v>0</v>
      </c>
      <c r="N38" s="74">
        <v>0</v>
      </c>
      <c r="O38" s="74">
        <v>116</v>
      </c>
      <c r="P38" s="74">
        <v>0</v>
      </c>
      <c r="Q38" s="74">
        <v>0</v>
      </c>
      <c r="R38" s="74">
        <v>116</v>
      </c>
      <c r="S38" s="74">
        <v>-116</v>
      </c>
    </row>
    <row r="39" spans="1:19" x14ac:dyDescent="0.2">
      <c r="A39" s="446" t="s">
        <v>2823</v>
      </c>
      <c r="B39" s="446" t="s">
        <v>3947</v>
      </c>
      <c r="C39" s="446" t="s">
        <v>2824</v>
      </c>
      <c r="D39" s="446" t="s">
        <v>2826</v>
      </c>
      <c r="E39" s="446" t="s">
        <v>3798</v>
      </c>
      <c r="F39" s="298">
        <v>42774</v>
      </c>
      <c r="G39" s="74">
        <v>0</v>
      </c>
      <c r="H39" s="74">
        <v>0</v>
      </c>
      <c r="I39" s="74">
        <v>0</v>
      </c>
      <c r="J39" s="74">
        <v>0</v>
      </c>
      <c r="K39" s="74">
        <v>149</v>
      </c>
      <c r="L39" s="74">
        <v>149</v>
      </c>
      <c r="M39" s="74">
        <v>0</v>
      </c>
      <c r="N39" s="74">
        <v>0</v>
      </c>
      <c r="O39" s="74">
        <v>0</v>
      </c>
      <c r="P39" s="74">
        <v>0</v>
      </c>
      <c r="Q39" s="74">
        <v>0</v>
      </c>
      <c r="R39" s="74">
        <v>0</v>
      </c>
      <c r="S39" s="74">
        <v>149</v>
      </c>
    </row>
    <row r="40" spans="1:19" x14ac:dyDescent="0.2">
      <c r="D40" s="446" t="s">
        <v>2827</v>
      </c>
      <c r="E40" s="446" t="s">
        <v>3798</v>
      </c>
      <c r="F40" s="298">
        <v>42774</v>
      </c>
      <c r="G40" s="74">
        <v>0</v>
      </c>
      <c r="H40" s="74">
        <v>0</v>
      </c>
      <c r="I40" s="74">
        <v>0</v>
      </c>
      <c r="J40" s="74">
        <v>0</v>
      </c>
      <c r="K40" s="74">
        <v>149</v>
      </c>
      <c r="L40" s="74">
        <v>149</v>
      </c>
      <c r="M40" s="74">
        <v>0</v>
      </c>
      <c r="N40" s="74">
        <v>0</v>
      </c>
      <c r="O40" s="74">
        <v>0</v>
      </c>
      <c r="P40" s="74">
        <v>0</v>
      </c>
      <c r="Q40" s="74">
        <v>0</v>
      </c>
      <c r="R40" s="74">
        <v>0</v>
      </c>
      <c r="S40" s="74">
        <v>149</v>
      </c>
    </row>
    <row r="41" spans="1:19" x14ac:dyDescent="0.2">
      <c r="D41" s="446" t="s">
        <v>2840</v>
      </c>
      <c r="E41" s="446" t="s">
        <v>3798</v>
      </c>
      <c r="F41" s="298">
        <v>42774</v>
      </c>
      <c r="G41" s="74">
        <v>0</v>
      </c>
      <c r="H41" s="74">
        <v>0</v>
      </c>
      <c r="I41" s="74">
        <v>0</v>
      </c>
      <c r="J41" s="74">
        <v>157</v>
      </c>
      <c r="K41" s="74">
        <v>0</v>
      </c>
      <c r="L41" s="74">
        <v>157</v>
      </c>
      <c r="M41" s="74">
        <v>0</v>
      </c>
      <c r="N41" s="74">
        <v>0</v>
      </c>
      <c r="O41" s="74">
        <v>0</v>
      </c>
      <c r="P41" s="74">
        <v>0</v>
      </c>
      <c r="Q41" s="74">
        <v>0</v>
      </c>
      <c r="R41" s="74">
        <v>0</v>
      </c>
      <c r="S41" s="74">
        <v>157</v>
      </c>
    </row>
    <row r="42" spans="1:19" x14ac:dyDescent="0.2">
      <c r="D42" s="446" t="s">
        <v>2843</v>
      </c>
      <c r="E42" s="446" t="s">
        <v>3798</v>
      </c>
      <c r="F42" s="298">
        <v>42774</v>
      </c>
      <c r="G42" s="74">
        <v>0</v>
      </c>
      <c r="H42" s="74">
        <v>0</v>
      </c>
      <c r="I42" s="74">
        <v>0</v>
      </c>
      <c r="J42" s="74">
        <v>0</v>
      </c>
      <c r="K42" s="74">
        <v>0</v>
      </c>
      <c r="L42" s="74">
        <v>0</v>
      </c>
      <c r="M42" s="74">
        <v>0</v>
      </c>
      <c r="N42" s="74">
        <v>0</v>
      </c>
      <c r="O42" s="74">
        <v>0</v>
      </c>
      <c r="P42" s="74">
        <v>0</v>
      </c>
      <c r="Q42" s="74">
        <v>3748</v>
      </c>
      <c r="R42" s="74">
        <v>3748</v>
      </c>
      <c r="S42" s="74">
        <v>-3748</v>
      </c>
    </row>
    <row r="43" spans="1:19" x14ac:dyDescent="0.2">
      <c r="A43" s="446" t="s">
        <v>2182</v>
      </c>
      <c r="B43" s="446" t="s">
        <v>149</v>
      </c>
      <c r="C43" s="446" t="s">
        <v>586</v>
      </c>
      <c r="D43" s="446" t="s">
        <v>153</v>
      </c>
      <c r="E43" s="446" t="s">
        <v>3798</v>
      </c>
      <c r="F43" s="298">
        <v>42460</v>
      </c>
      <c r="G43" s="74">
        <v>0</v>
      </c>
      <c r="H43" s="74">
        <v>0</v>
      </c>
      <c r="I43" s="74">
        <v>0</v>
      </c>
      <c r="J43" s="74">
        <v>0</v>
      </c>
      <c r="K43" s="74">
        <v>0</v>
      </c>
      <c r="L43" s="74">
        <v>0</v>
      </c>
      <c r="M43" s="74">
        <v>0</v>
      </c>
      <c r="N43" s="74">
        <v>0</v>
      </c>
      <c r="O43" s="74">
        <v>2370</v>
      </c>
      <c r="P43" s="74">
        <v>0</v>
      </c>
      <c r="Q43" s="74">
        <v>0</v>
      </c>
      <c r="R43" s="74">
        <v>2370</v>
      </c>
      <c r="S43" s="74">
        <v>-2370</v>
      </c>
    </row>
    <row r="44" spans="1:19" x14ac:dyDescent="0.2">
      <c r="A44" s="446" t="s">
        <v>1700</v>
      </c>
      <c r="B44" s="446" t="s">
        <v>3947</v>
      </c>
      <c r="C44" s="446" t="s">
        <v>1306</v>
      </c>
      <c r="D44" s="446" t="s">
        <v>153</v>
      </c>
      <c r="E44" s="446" t="s">
        <v>3798</v>
      </c>
      <c r="F44" s="298">
        <v>42265</v>
      </c>
      <c r="G44" s="74">
        <v>2339</v>
      </c>
      <c r="H44" s="74">
        <v>0</v>
      </c>
      <c r="I44" s="74">
        <v>0</v>
      </c>
      <c r="J44" s="74">
        <v>0</v>
      </c>
      <c r="K44" s="74">
        <v>0</v>
      </c>
      <c r="L44" s="74">
        <v>2339</v>
      </c>
      <c r="M44" s="74">
        <v>0</v>
      </c>
      <c r="N44" s="74">
        <v>0</v>
      </c>
      <c r="O44" s="74">
        <v>0</v>
      </c>
      <c r="P44" s="74">
        <v>0</v>
      </c>
      <c r="Q44" s="74">
        <v>0</v>
      </c>
      <c r="R44" s="74">
        <v>0</v>
      </c>
      <c r="S44" s="74">
        <v>2339</v>
      </c>
    </row>
    <row r="45" spans="1:19" x14ac:dyDescent="0.2">
      <c r="C45" s="446" t="s">
        <v>821</v>
      </c>
      <c r="D45" s="446" t="s">
        <v>153</v>
      </c>
      <c r="E45" s="446" t="s">
        <v>3798</v>
      </c>
      <c r="F45" s="298">
        <v>42667</v>
      </c>
      <c r="G45" s="74">
        <v>1885</v>
      </c>
      <c r="H45" s="74">
        <v>0</v>
      </c>
      <c r="I45" s="74">
        <v>0</v>
      </c>
      <c r="J45" s="74">
        <v>0</v>
      </c>
      <c r="K45" s="74">
        <v>0</v>
      </c>
      <c r="L45" s="74">
        <v>1885</v>
      </c>
      <c r="M45" s="74">
        <v>0</v>
      </c>
      <c r="N45" s="74">
        <v>0</v>
      </c>
      <c r="O45" s="74">
        <v>0</v>
      </c>
      <c r="P45" s="74">
        <v>0</v>
      </c>
      <c r="Q45" s="74">
        <v>0</v>
      </c>
      <c r="R45" s="74">
        <v>0</v>
      </c>
      <c r="S45" s="74">
        <v>1885</v>
      </c>
    </row>
    <row r="46" spans="1:19" x14ac:dyDescent="0.2">
      <c r="C46" s="446" t="s">
        <v>1126</v>
      </c>
      <c r="D46" s="446" t="s">
        <v>153</v>
      </c>
      <c r="E46" s="446" t="s">
        <v>3798</v>
      </c>
      <c r="F46" s="298">
        <v>42858</v>
      </c>
      <c r="G46" s="74">
        <v>459</v>
      </c>
      <c r="H46" s="74">
        <v>0</v>
      </c>
      <c r="I46" s="74">
        <v>0</v>
      </c>
      <c r="J46" s="74">
        <v>0</v>
      </c>
      <c r="K46" s="74">
        <v>0</v>
      </c>
      <c r="L46" s="74">
        <v>459</v>
      </c>
      <c r="M46" s="74">
        <v>394</v>
      </c>
      <c r="N46" s="74">
        <v>0</v>
      </c>
      <c r="O46" s="74">
        <v>0</v>
      </c>
      <c r="P46" s="74">
        <v>0</v>
      </c>
      <c r="Q46" s="74">
        <v>0</v>
      </c>
      <c r="R46" s="74">
        <v>394</v>
      </c>
      <c r="S46" s="74">
        <v>65</v>
      </c>
    </row>
    <row r="47" spans="1:19" x14ac:dyDescent="0.2">
      <c r="A47" s="446" t="s">
        <v>2070</v>
      </c>
      <c r="B47" s="446" t="s">
        <v>3947</v>
      </c>
      <c r="C47" s="446" t="s">
        <v>380</v>
      </c>
      <c r="D47" s="446" t="s">
        <v>153</v>
      </c>
      <c r="E47" s="446" t="s">
        <v>3798</v>
      </c>
      <c r="F47" s="298">
        <v>42075</v>
      </c>
      <c r="G47" s="74">
        <v>0</v>
      </c>
      <c r="H47" s="74">
        <v>0</v>
      </c>
      <c r="I47" s="74">
        <v>844</v>
      </c>
      <c r="J47" s="74">
        <v>0</v>
      </c>
      <c r="K47" s="74">
        <v>0</v>
      </c>
      <c r="L47" s="74">
        <v>844</v>
      </c>
      <c r="M47" s="74">
        <v>0</v>
      </c>
      <c r="N47" s="74">
        <v>0</v>
      </c>
      <c r="O47" s="74">
        <v>4085</v>
      </c>
      <c r="P47" s="74">
        <v>0</v>
      </c>
      <c r="Q47" s="74">
        <v>0</v>
      </c>
      <c r="R47" s="74">
        <v>4085</v>
      </c>
      <c r="S47" s="74">
        <v>-3241</v>
      </c>
    </row>
    <row r="48" spans="1:19" x14ac:dyDescent="0.2">
      <c r="A48" s="446" t="s">
        <v>2023</v>
      </c>
      <c r="B48" s="446" t="s">
        <v>3952</v>
      </c>
      <c r="C48" s="446" t="s">
        <v>386</v>
      </c>
      <c r="D48" s="446" t="s">
        <v>153</v>
      </c>
      <c r="E48" s="446" t="s">
        <v>3798</v>
      </c>
      <c r="F48" s="298">
        <v>41817</v>
      </c>
      <c r="G48" s="74">
        <v>0</v>
      </c>
      <c r="H48" s="74">
        <v>0</v>
      </c>
      <c r="I48" s="74">
        <v>0</v>
      </c>
      <c r="J48" s="74">
        <v>0</v>
      </c>
      <c r="K48" s="74">
        <v>0</v>
      </c>
      <c r="L48" s="74">
        <v>0</v>
      </c>
      <c r="M48" s="74">
        <v>2790</v>
      </c>
      <c r="N48" s="74">
        <v>0</v>
      </c>
      <c r="O48" s="74">
        <v>0</v>
      </c>
      <c r="P48" s="74">
        <v>0</v>
      </c>
      <c r="Q48" s="74">
        <v>0</v>
      </c>
      <c r="R48" s="74">
        <v>2790</v>
      </c>
      <c r="S48" s="74">
        <v>-2790</v>
      </c>
    </row>
    <row r="49" spans="1:19" x14ac:dyDescent="0.2">
      <c r="A49" s="446" t="s">
        <v>2075</v>
      </c>
      <c r="B49" s="446" t="s">
        <v>3946</v>
      </c>
      <c r="C49" s="446" t="s">
        <v>279</v>
      </c>
      <c r="D49" s="446" t="s">
        <v>153</v>
      </c>
      <c r="E49" s="446" t="s">
        <v>3798</v>
      </c>
      <c r="F49" s="298">
        <v>42264</v>
      </c>
      <c r="G49" s="74">
        <v>117</v>
      </c>
      <c r="H49" s="74">
        <v>0</v>
      </c>
      <c r="I49" s="74">
        <v>0</v>
      </c>
      <c r="J49" s="74">
        <v>0</v>
      </c>
      <c r="K49" s="74">
        <v>0</v>
      </c>
      <c r="L49" s="74">
        <v>117</v>
      </c>
      <c r="M49" s="74">
        <v>0</v>
      </c>
      <c r="N49" s="74">
        <v>0</v>
      </c>
      <c r="O49" s="74">
        <v>0</v>
      </c>
      <c r="P49" s="74">
        <v>0</v>
      </c>
      <c r="Q49" s="74">
        <v>0</v>
      </c>
      <c r="R49" s="74">
        <v>0</v>
      </c>
      <c r="S49" s="74">
        <v>117</v>
      </c>
    </row>
    <row r="50" spans="1:19" x14ac:dyDescent="0.2">
      <c r="A50" s="446" t="s">
        <v>1983</v>
      </c>
      <c r="B50" s="446" t="s">
        <v>3949</v>
      </c>
      <c r="C50" s="446" t="s">
        <v>493</v>
      </c>
      <c r="D50" s="446" t="s">
        <v>153</v>
      </c>
      <c r="E50" s="446" t="s">
        <v>3798</v>
      </c>
      <c r="F50" s="298">
        <v>42335</v>
      </c>
      <c r="G50" s="74">
        <v>186</v>
      </c>
      <c r="H50" s="74">
        <v>0</v>
      </c>
      <c r="I50" s="74">
        <v>0</v>
      </c>
      <c r="J50" s="74">
        <v>0</v>
      </c>
      <c r="K50" s="74">
        <v>0</v>
      </c>
      <c r="L50" s="74">
        <v>186</v>
      </c>
      <c r="M50" s="74">
        <v>3721</v>
      </c>
      <c r="N50" s="74">
        <v>0</v>
      </c>
      <c r="O50" s="74">
        <v>0</v>
      </c>
      <c r="P50" s="74">
        <v>0</v>
      </c>
      <c r="Q50" s="74">
        <v>0</v>
      </c>
      <c r="R50" s="74">
        <v>3721</v>
      </c>
      <c r="S50" s="74">
        <v>-3535</v>
      </c>
    </row>
    <row r="51" spans="1:19" x14ac:dyDescent="0.2">
      <c r="A51" s="446" t="s">
        <v>1991</v>
      </c>
      <c r="B51" s="446" t="s">
        <v>2907</v>
      </c>
      <c r="C51" s="446" t="s">
        <v>482</v>
      </c>
      <c r="D51" s="446" t="s">
        <v>153</v>
      </c>
      <c r="E51" s="446" t="s">
        <v>421</v>
      </c>
      <c r="F51" s="298">
        <v>42263</v>
      </c>
      <c r="G51" s="74">
        <v>0</v>
      </c>
      <c r="H51" s="74">
        <v>0</v>
      </c>
      <c r="I51" s="74">
        <v>0</v>
      </c>
      <c r="J51" s="74">
        <v>0</v>
      </c>
      <c r="K51" s="74">
        <v>0</v>
      </c>
      <c r="L51" s="74">
        <v>0</v>
      </c>
      <c r="M51" s="74">
        <v>415</v>
      </c>
      <c r="N51" s="74">
        <v>0</v>
      </c>
      <c r="O51" s="74">
        <v>0</v>
      </c>
      <c r="P51" s="74">
        <v>0</v>
      </c>
      <c r="Q51" s="74">
        <v>0</v>
      </c>
      <c r="R51" s="74">
        <v>415</v>
      </c>
      <c r="S51" s="74">
        <v>-415</v>
      </c>
    </row>
    <row r="52" spans="1:19" x14ac:dyDescent="0.2">
      <c r="A52" s="446" t="s">
        <v>1781</v>
      </c>
      <c r="B52" s="446" t="s">
        <v>3947</v>
      </c>
      <c r="C52" s="446" t="s">
        <v>1783</v>
      </c>
      <c r="D52" s="446" t="s">
        <v>153</v>
      </c>
      <c r="E52" s="446" t="s">
        <v>3798</v>
      </c>
      <c r="F52" s="298">
        <v>42810</v>
      </c>
      <c r="G52" s="74">
        <v>312</v>
      </c>
      <c r="H52" s="74">
        <v>0</v>
      </c>
      <c r="I52" s="74">
        <v>0</v>
      </c>
      <c r="J52" s="74">
        <v>0</v>
      </c>
      <c r="K52" s="74">
        <v>0</v>
      </c>
      <c r="L52" s="74">
        <v>312</v>
      </c>
      <c r="M52" s="74">
        <v>0</v>
      </c>
      <c r="N52" s="74">
        <v>0</v>
      </c>
      <c r="O52" s="74">
        <v>0</v>
      </c>
      <c r="P52" s="74">
        <v>0</v>
      </c>
      <c r="Q52" s="74">
        <v>9375</v>
      </c>
      <c r="R52" s="74">
        <v>9375</v>
      </c>
      <c r="S52" s="74">
        <v>-9063</v>
      </c>
    </row>
    <row r="53" spans="1:19" x14ac:dyDescent="0.2">
      <c r="A53" s="446" t="s">
        <v>1323</v>
      </c>
      <c r="B53" s="446" t="s">
        <v>3945</v>
      </c>
      <c r="C53" s="446" t="s">
        <v>502</v>
      </c>
      <c r="D53" s="446" t="s">
        <v>153</v>
      </c>
      <c r="E53" s="446" t="s">
        <v>421</v>
      </c>
      <c r="F53" s="298">
        <v>42256</v>
      </c>
      <c r="G53" s="74">
        <v>0</v>
      </c>
      <c r="H53" s="74">
        <v>0</v>
      </c>
      <c r="I53" s="74">
        <v>0</v>
      </c>
      <c r="J53" s="74">
        <v>0</v>
      </c>
      <c r="K53" s="74">
        <v>0</v>
      </c>
      <c r="L53" s="74">
        <v>0</v>
      </c>
      <c r="M53" s="74">
        <v>63</v>
      </c>
      <c r="N53" s="74">
        <v>0</v>
      </c>
      <c r="O53" s="74">
        <v>0</v>
      </c>
      <c r="P53" s="74">
        <v>0</v>
      </c>
      <c r="Q53" s="74">
        <v>0</v>
      </c>
      <c r="R53" s="74">
        <v>63</v>
      </c>
      <c r="S53" s="74">
        <v>-63</v>
      </c>
    </row>
    <row r="54" spans="1:19" x14ac:dyDescent="0.2">
      <c r="A54" s="446" t="s">
        <v>1517</v>
      </c>
      <c r="B54" s="446" t="s">
        <v>3943</v>
      </c>
      <c r="C54" s="446" t="s">
        <v>367</v>
      </c>
      <c r="D54" s="446" t="s">
        <v>153</v>
      </c>
      <c r="E54" s="446" t="s">
        <v>3798</v>
      </c>
      <c r="F54" s="298">
        <v>42185</v>
      </c>
      <c r="G54" s="74">
        <v>240</v>
      </c>
      <c r="H54" s="74">
        <v>0</v>
      </c>
      <c r="I54" s="74">
        <v>0</v>
      </c>
      <c r="J54" s="74">
        <v>0</v>
      </c>
      <c r="K54" s="74">
        <v>0</v>
      </c>
      <c r="L54" s="74">
        <v>240</v>
      </c>
      <c r="M54" s="74">
        <v>4491</v>
      </c>
      <c r="N54" s="74">
        <v>0</v>
      </c>
      <c r="O54" s="74">
        <v>0</v>
      </c>
      <c r="P54" s="74">
        <v>0</v>
      </c>
      <c r="Q54" s="74">
        <v>0</v>
      </c>
      <c r="R54" s="74">
        <v>4491</v>
      </c>
      <c r="S54" s="74">
        <v>-4251</v>
      </c>
    </row>
    <row r="55" spans="1:19" x14ac:dyDescent="0.2">
      <c r="A55" s="446" t="s">
        <v>1790</v>
      </c>
      <c r="B55" s="446" t="s">
        <v>3944</v>
      </c>
      <c r="C55" s="446" t="s">
        <v>1127</v>
      </c>
      <c r="D55" s="446" t="s">
        <v>153</v>
      </c>
      <c r="E55" s="446" t="s">
        <v>3798</v>
      </c>
      <c r="F55" s="298">
        <v>42836</v>
      </c>
      <c r="G55" s="74">
        <v>0</v>
      </c>
      <c r="H55" s="74">
        <v>0</v>
      </c>
      <c r="I55" s="74">
        <v>0</v>
      </c>
      <c r="J55" s="74">
        <v>0</v>
      </c>
      <c r="K55" s="74">
        <v>0</v>
      </c>
      <c r="L55" s="74">
        <v>0</v>
      </c>
      <c r="M55" s="74">
        <v>0</v>
      </c>
      <c r="N55" s="74">
        <v>0</v>
      </c>
      <c r="O55" s="74">
        <v>1031</v>
      </c>
      <c r="P55" s="74">
        <v>0</v>
      </c>
      <c r="Q55" s="74">
        <v>0</v>
      </c>
      <c r="R55" s="74">
        <v>1031</v>
      </c>
      <c r="S55" s="74">
        <v>-1031</v>
      </c>
    </row>
    <row r="56" spans="1:19" x14ac:dyDescent="0.2">
      <c r="A56" s="446" t="s">
        <v>1322</v>
      </c>
      <c r="B56" s="446" t="s">
        <v>3943</v>
      </c>
      <c r="C56" s="446" t="s">
        <v>643</v>
      </c>
      <c r="D56" s="446" t="s">
        <v>153</v>
      </c>
      <c r="E56" s="446" t="s">
        <v>3798</v>
      </c>
      <c r="F56" s="298">
        <v>40588</v>
      </c>
      <c r="G56" s="74">
        <v>109</v>
      </c>
      <c r="H56" s="74">
        <v>0</v>
      </c>
      <c r="I56" s="74">
        <v>0</v>
      </c>
      <c r="J56" s="74">
        <v>0</v>
      </c>
      <c r="K56" s="74">
        <v>0</v>
      </c>
      <c r="L56" s="74">
        <v>109</v>
      </c>
      <c r="M56" s="74">
        <v>0</v>
      </c>
      <c r="N56" s="74">
        <v>0</v>
      </c>
      <c r="O56" s="74">
        <v>0</v>
      </c>
      <c r="P56" s="74">
        <v>0</v>
      </c>
      <c r="Q56" s="74">
        <v>0</v>
      </c>
      <c r="R56" s="74">
        <v>0</v>
      </c>
      <c r="S56" s="74">
        <v>109</v>
      </c>
    </row>
    <row r="57" spans="1:19" x14ac:dyDescent="0.2">
      <c r="A57" s="446" t="s">
        <v>2076</v>
      </c>
      <c r="B57" s="446" t="s">
        <v>150</v>
      </c>
      <c r="C57" s="446" t="s">
        <v>2077</v>
      </c>
      <c r="D57" s="446" t="s">
        <v>153</v>
      </c>
      <c r="E57" s="446" t="s">
        <v>3798</v>
      </c>
      <c r="F57" s="298">
        <v>42961</v>
      </c>
      <c r="G57" s="74">
        <v>0</v>
      </c>
      <c r="H57" s="74">
        <v>0</v>
      </c>
      <c r="I57" s="74">
        <v>0</v>
      </c>
      <c r="J57" s="74">
        <v>0</v>
      </c>
      <c r="K57" s="74">
        <v>0</v>
      </c>
      <c r="L57" s="74">
        <v>0</v>
      </c>
      <c r="M57" s="74">
        <v>29</v>
      </c>
      <c r="N57" s="74">
        <v>0</v>
      </c>
      <c r="O57" s="74">
        <v>0</v>
      </c>
      <c r="P57" s="74">
        <v>0</v>
      </c>
      <c r="Q57" s="74">
        <v>0</v>
      </c>
      <c r="R57" s="74">
        <v>29</v>
      </c>
      <c r="S57" s="74">
        <v>-29</v>
      </c>
    </row>
    <row r="58" spans="1:19" x14ac:dyDescent="0.2">
      <c r="A58" s="446" t="s">
        <v>1837</v>
      </c>
      <c r="B58" s="446" t="s">
        <v>3946</v>
      </c>
      <c r="C58" s="446" t="s">
        <v>66</v>
      </c>
      <c r="D58" s="446" t="s">
        <v>153</v>
      </c>
      <c r="E58" s="446" t="s">
        <v>3798</v>
      </c>
      <c r="F58" s="298">
        <v>40882</v>
      </c>
      <c r="G58" s="74">
        <v>83</v>
      </c>
      <c r="H58" s="74">
        <v>0</v>
      </c>
      <c r="I58" s="74">
        <v>0</v>
      </c>
      <c r="J58" s="74">
        <v>0</v>
      </c>
      <c r="K58" s="74">
        <v>0</v>
      </c>
      <c r="L58" s="74">
        <v>83</v>
      </c>
      <c r="M58" s="74">
        <v>1185</v>
      </c>
      <c r="N58" s="74">
        <v>0</v>
      </c>
      <c r="O58" s="74">
        <v>0</v>
      </c>
      <c r="P58" s="74">
        <v>0</v>
      </c>
      <c r="Q58" s="74">
        <v>0</v>
      </c>
      <c r="R58" s="74">
        <v>1185</v>
      </c>
      <c r="S58" s="74">
        <v>-1102</v>
      </c>
    </row>
    <row r="59" spans="1:19" x14ac:dyDescent="0.2">
      <c r="A59" s="446" t="s">
        <v>1857</v>
      </c>
      <c r="B59" s="446" t="s">
        <v>2907</v>
      </c>
      <c r="C59" s="446" t="s">
        <v>666</v>
      </c>
      <c r="D59" s="446" t="s">
        <v>153</v>
      </c>
      <c r="E59" s="446" t="s">
        <v>421</v>
      </c>
      <c r="F59" s="298">
        <v>42543</v>
      </c>
      <c r="G59" s="74">
        <v>0</v>
      </c>
      <c r="H59" s="74">
        <v>0</v>
      </c>
      <c r="I59" s="74">
        <v>0</v>
      </c>
      <c r="J59" s="74">
        <v>0</v>
      </c>
      <c r="K59" s="74">
        <v>0</v>
      </c>
      <c r="L59" s="74">
        <v>0</v>
      </c>
      <c r="M59" s="74">
        <v>3723</v>
      </c>
      <c r="N59" s="74">
        <v>0</v>
      </c>
      <c r="O59" s="74">
        <v>0</v>
      </c>
      <c r="P59" s="74">
        <v>0</v>
      </c>
      <c r="Q59" s="74">
        <v>0</v>
      </c>
      <c r="R59" s="74">
        <v>3723</v>
      </c>
      <c r="S59" s="74">
        <v>-3723</v>
      </c>
    </row>
    <row r="60" spans="1:19" x14ac:dyDescent="0.2">
      <c r="A60" s="446" t="s">
        <v>2143</v>
      </c>
      <c r="B60" s="446" t="s">
        <v>3951</v>
      </c>
      <c r="C60" s="446" t="s">
        <v>496</v>
      </c>
      <c r="D60" s="446" t="s">
        <v>153</v>
      </c>
      <c r="E60" s="446" t="s">
        <v>3798</v>
      </c>
      <c r="F60" s="298">
        <v>42282</v>
      </c>
      <c r="G60" s="74">
        <v>0</v>
      </c>
      <c r="H60" s="74">
        <v>0</v>
      </c>
      <c r="I60" s="74">
        <v>0</v>
      </c>
      <c r="J60" s="74">
        <v>0</v>
      </c>
      <c r="K60" s="74">
        <v>0</v>
      </c>
      <c r="L60" s="74">
        <v>0</v>
      </c>
      <c r="M60" s="74">
        <v>0</v>
      </c>
      <c r="N60" s="74">
        <v>0</v>
      </c>
      <c r="O60" s="74">
        <v>0</v>
      </c>
      <c r="P60" s="74">
        <v>0</v>
      </c>
      <c r="Q60" s="74">
        <v>38</v>
      </c>
      <c r="R60" s="74">
        <v>38</v>
      </c>
      <c r="S60" s="74">
        <v>-38</v>
      </c>
    </row>
    <row r="61" spans="1:19" x14ac:dyDescent="0.2">
      <c r="A61" s="446" t="s">
        <v>2122</v>
      </c>
      <c r="B61" s="446" t="s">
        <v>2907</v>
      </c>
      <c r="C61" s="446" t="s">
        <v>438</v>
      </c>
      <c r="D61" s="446" t="s">
        <v>153</v>
      </c>
      <c r="E61" s="446" t="s">
        <v>3798</v>
      </c>
      <c r="F61" s="298">
        <v>42321</v>
      </c>
      <c r="G61" s="74">
        <v>0</v>
      </c>
      <c r="H61" s="74">
        <v>0</v>
      </c>
      <c r="I61" s="74">
        <v>0</v>
      </c>
      <c r="J61" s="74">
        <v>0</v>
      </c>
      <c r="K61" s="74">
        <v>4816</v>
      </c>
      <c r="L61" s="74">
        <v>4816</v>
      </c>
      <c r="M61" s="74">
        <v>0</v>
      </c>
      <c r="N61" s="74">
        <v>0</v>
      </c>
      <c r="O61" s="74">
        <v>0</v>
      </c>
      <c r="P61" s="74">
        <v>0</v>
      </c>
      <c r="Q61" s="74">
        <v>2510</v>
      </c>
      <c r="R61" s="74">
        <v>2510</v>
      </c>
      <c r="S61" s="74">
        <v>2306</v>
      </c>
    </row>
    <row r="62" spans="1:19" x14ac:dyDescent="0.2">
      <c r="A62" s="446" t="s">
        <v>2377</v>
      </c>
      <c r="B62" s="446" t="s">
        <v>3946</v>
      </c>
      <c r="C62" s="446" t="s">
        <v>1210</v>
      </c>
      <c r="D62" s="446" t="s">
        <v>153</v>
      </c>
      <c r="E62" s="446" t="s">
        <v>3798</v>
      </c>
      <c r="F62" s="298">
        <v>43090</v>
      </c>
      <c r="G62" s="74">
        <v>108</v>
      </c>
      <c r="H62" s="74">
        <v>0</v>
      </c>
      <c r="I62" s="74">
        <v>0</v>
      </c>
      <c r="J62" s="74">
        <v>0</v>
      </c>
      <c r="K62" s="74">
        <v>0</v>
      </c>
      <c r="L62" s="74">
        <v>108</v>
      </c>
      <c r="M62" s="74">
        <v>1370</v>
      </c>
      <c r="N62" s="74">
        <v>0</v>
      </c>
      <c r="O62" s="74">
        <v>0</v>
      </c>
      <c r="P62" s="74">
        <v>0</v>
      </c>
      <c r="Q62" s="74">
        <v>0</v>
      </c>
      <c r="R62" s="74">
        <v>1370</v>
      </c>
      <c r="S62" s="74">
        <v>-1262</v>
      </c>
    </row>
    <row r="63" spans="1:19" x14ac:dyDescent="0.2">
      <c r="A63" s="446" t="s">
        <v>2101</v>
      </c>
      <c r="B63" s="446" t="s">
        <v>3945</v>
      </c>
      <c r="C63" s="446" t="s">
        <v>312</v>
      </c>
      <c r="D63" s="446" t="s">
        <v>153</v>
      </c>
      <c r="E63" s="446" t="s">
        <v>3798</v>
      </c>
      <c r="F63" s="298">
        <v>42116</v>
      </c>
      <c r="G63" s="74">
        <v>0</v>
      </c>
      <c r="H63" s="74">
        <v>0</v>
      </c>
      <c r="I63" s="74">
        <v>0</v>
      </c>
      <c r="J63" s="74">
        <v>0</v>
      </c>
      <c r="K63" s="74">
        <v>0</v>
      </c>
      <c r="L63" s="74">
        <v>0</v>
      </c>
      <c r="M63" s="74">
        <v>0</v>
      </c>
      <c r="N63" s="74">
        <v>0</v>
      </c>
      <c r="O63" s="74">
        <v>0</v>
      </c>
      <c r="P63" s="74">
        <v>904</v>
      </c>
      <c r="Q63" s="74">
        <v>0</v>
      </c>
      <c r="R63" s="74">
        <v>904</v>
      </c>
      <c r="S63" s="74">
        <v>-904</v>
      </c>
    </row>
    <row r="64" spans="1:19" x14ac:dyDescent="0.2">
      <c r="A64" s="446" t="s">
        <v>2349</v>
      </c>
      <c r="B64" s="446" t="s">
        <v>3951</v>
      </c>
      <c r="C64" s="446" t="s">
        <v>727</v>
      </c>
      <c r="D64" s="446" t="s">
        <v>153</v>
      </c>
      <c r="E64" s="446" t="s">
        <v>3798</v>
      </c>
      <c r="F64" s="298">
        <v>42093</v>
      </c>
      <c r="G64" s="74">
        <v>0</v>
      </c>
      <c r="H64" s="74">
        <v>0</v>
      </c>
      <c r="I64" s="74">
        <v>97</v>
      </c>
      <c r="J64" s="74">
        <v>0</v>
      </c>
      <c r="K64" s="74">
        <v>0</v>
      </c>
      <c r="L64" s="74">
        <v>97</v>
      </c>
      <c r="M64" s="74">
        <v>0</v>
      </c>
      <c r="N64" s="74">
        <v>0</v>
      </c>
      <c r="O64" s="74">
        <v>0</v>
      </c>
      <c r="P64" s="74">
        <v>0</v>
      </c>
      <c r="Q64" s="74">
        <v>0</v>
      </c>
      <c r="R64" s="74">
        <v>0</v>
      </c>
      <c r="S64" s="74">
        <v>97</v>
      </c>
    </row>
    <row r="65" spans="1:19" x14ac:dyDescent="0.2">
      <c r="A65" s="446" t="s">
        <v>2224</v>
      </c>
      <c r="B65" s="446" t="s">
        <v>2907</v>
      </c>
      <c r="C65" s="446" t="s">
        <v>675</v>
      </c>
      <c r="D65" s="446" t="s">
        <v>153</v>
      </c>
      <c r="E65" s="446" t="s">
        <v>3798</v>
      </c>
      <c r="F65" s="298">
        <v>42671</v>
      </c>
      <c r="G65" s="74">
        <v>0</v>
      </c>
      <c r="H65" s="74">
        <v>0</v>
      </c>
      <c r="I65" s="74">
        <v>0</v>
      </c>
      <c r="J65" s="74">
        <v>0</v>
      </c>
      <c r="K65" s="74">
        <v>0</v>
      </c>
      <c r="L65" s="74">
        <v>0</v>
      </c>
      <c r="M65" s="74">
        <v>0</v>
      </c>
      <c r="N65" s="74">
        <v>0</v>
      </c>
      <c r="O65" s="74">
        <v>0</v>
      </c>
      <c r="P65" s="74">
        <v>0</v>
      </c>
      <c r="Q65" s="74">
        <v>128</v>
      </c>
      <c r="R65" s="74">
        <v>128</v>
      </c>
      <c r="S65" s="74">
        <v>-128</v>
      </c>
    </row>
    <row r="66" spans="1:19" x14ac:dyDescent="0.2">
      <c r="A66" s="446" t="s">
        <v>1755</v>
      </c>
      <c r="B66" s="446" t="s">
        <v>3950</v>
      </c>
      <c r="C66" s="446" t="s">
        <v>584</v>
      </c>
      <c r="D66" s="446" t="s">
        <v>153</v>
      </c>
      <c r="E66" s="446" t="s">
        <v>3798</v>
      </c>
      <c r="F66" s="298">
        <v>42517</v>
      </c>
      <c r="G66" s="74">
        <v>0</v>
      </c>
      <c r="H66" s="74">
        <v>0</v>
      </c>
      <c r="I66" s="74">
        <v>0</v>
      </c>
      <c r="J66" s="74">
        <v>0</v>
      </c>
      <c r="K66" s="74">
        <v>0</v>
      </c>
      <c r="L66" s="74">
        <v>0</v>
      </c>
      <c r="M66" s="74">
        <v>0</v>
      </c>
      <c r="N66" s="74">
        <v>0</v>
      </c>
      <c r="O66" s="74">
        <v>0</v>
      </c>
      <c r="P66" s="74">
        <v>0</v>
      </c>
      <c r="Q66" s="74">
        <v>89</v>
      </c>
      <c r="R66" s="74">
        <v>89</v>
      </c>
      <c r="S66" s="74">
        <v>-89</v>
      </c>
    </row>
    <row r="67" spans="1:19" x14ac:dyDescent="0.2">
      <c r="A67" s="446" t="s">
        <v>1849</v>
      </c>
      <c r="B67" s="446" t="s">
        <v>3946</v>
      </c>
      <c r="C67" s="446" t="s">
        <v>1107</v>
      </c>
      <c r="D67" s="446" t="s">
        <v>153</v>
      </c>
      <c r="E67" s="446" t="s">
        <v>3798</v>
      </c>
      <c r="F67" s="298">
        <v>42985</v>
      </c>
      <c r="G67" s="74">
        <v>155</v>
      </c>
      <c r="H67" s="74">
        <v>0</v>
      </c>
      <c r="I67" s="74">
        <v>0</v>
      </c>
      <c r="J67" s="74">
        <v>0</v>
      </c>
      <c r="K67" s="74">
        <v>0</v>
      </c>
      <c r="L67" s="74">
        <v>155</v>
      </c>
      <c r="M67" s="74">
        <v>0</v>
      </c>
      <c r="N67" s="74">
        <v>0</v>
      </c>
      <c r="O67" s="74">
        <v>0</v>
      </c>
      <c r="P67" s="74">
        <v>0</v>
      </c>
      <c r="Q67" s="74">
        <v>1512</v>
      </c>
      <c r="R67" s="74">
        <v>1512</v>
      </c>
      <c r="S67" s="74">
        <v>-1357</v>
      </c>
    </row>
    <row r="68" spans="1:19" x14ac:dyDescent="0.2">
      <c r="A68" s="446" t="s">
        <v>1867</v>
      </c>
      <c r="B68" s="446" t="s">
        <v>3947</v>
      </c>
      <c r="C68" s="446" t="s">
        <v>1869</v>
      </c>
      <c r="D68" s="446" t="s">
        <v>1156</v>
      </c>
      <c r="E68" s="446" t="s">
        <v>3798</v>
      </c>
      <c r="F68" s="298">
        <v>41894</v>
      </c>
      <c r="G68" s="74">
        <v>0</v>
      </c>
      <c r="H68" s="74">
        <v>0</v>
      </c>
      <c r="I68" s="74">
        <v>0</v>
      </c>
      <c r="J68" s="74">
        <v>0</v>
      </c>
      <c r="K68" s="74">
        <v>0</v>
      </c>
      <c r="L68" s="74">
        <v>0</v>
      </c>
      <c r="M68" s="74">
        <v>0</v>
      </c>
      <c r="N68" s="74">
        <v>0</v>
      </c>
      <c r="O68" s="74">
        <v>0</v>
      </c>
      <c r="P68" s="74">
        <v>0</v>
      </c>
      <c r="Q68" s="74">
        <v>33607</v>
      </c>
      <c r="R68" s="74">
        <v>33607</v>
      </c>
      <c r="S68" s="74">
        <v>-33607</v>
      </c>
    </row>
    <row r="69" spans="1:19" x14ac:dyDescent="0.2">
      <c r="C69" s="446" t="s">
        <v>1871</v>
      </c>
      <c r="D69" s="446" t="s">
        <v>1873</v>
      </c>
      <c r="E69" s="446" t="s">
        <v>3798</v>
      </c>
      <c r="F69" s="298">
        <v>42880</v>
      </c>
      <c r="G69" s="74">
        <v>414</v>
      </c>
      <c r="H69" s="74">
        <v>0</v>
      </c>
      <c r="I69" s="74">
        <v>0</v>
      </c>
      <c r="J69" s="74">
        <v>0</v>
      </c>
      <c r="K69" s="74">
        <v>0</v>
      </c>
      <c r="L69" s="74">
        <v>414</v>
      </c>
      <c r="M69" s="74">
        <v>0</v>
      </c>
      <c r="N69" s="74">
        <v>0</v>
      </c>
      <c r="O69" s="74">
        <v>0</v>
      </c>
      <c r="P69" s="74">
        <v>0</v>
      </c>
      <c r="Q69" s="74">
        <v>0</v>
      </c>
      <c r="R69" s="74">
        <v>0</v>
      </c>
      <c r="S69" s="74">
        <v>414</v>
      </c>
    </row>
    <row r="70" spans="1:19" x14ac:dyDescent="0.2">
      <c r="D70" s="446" t="s">
        <v>1874</v>
      </c>
      <c r="E70" s="446" t="s">
        <v>3798</v>
      </c>
      <c r="F70" s="298">
        <v>42880</v>
      </c>
      <c r="G70" s="74">
        <v>80</v>
      </c>
      <c r="H70" s="74">
        <v>0</v>
      </c>
      <c r="I70" s="74">
        <v>0</v>
      </c>
      <c r="J70" s="74">
        <v>0</v>
      </c>
      <c r="K70" s="74">
        <v>0</v>
      </c>
      <c r="L70" s="74">
        <v>80</v>
      </c>
      <c r="M70" s="74">
        <v>0</v>
      </c>
      <c r="N70" s="74">
        <v>0</v>
      </c>
      <c r="O70" s="74">
        <v>0</v>
      </c>
      <c r="P70" s="74">
        <v>0</v>
      </c>
      <c r="Q70" s="74">
        <v>0</v>
      </c>
      <c r="R70" s="74">
        <v>0</v>
      </c>
      <c r="S70" s="74">
        <v>80</v>
      </c>
    </row>
    <row r="71" spans="1:19" x14ac:dyDescent="0.2">
      <c r="D71" s="446" t="s">
        <v>1875</v>
      </c>
      <c r="E71" s="446" t="s">
        <v>3798</v>
      </c>
      <c r="F71" s="298">
        <v>42880</v>
      </c>
      <c r="G71" s="74">
        <v>613</v>
      </c>
      <c r="H71" s="74">
        <v>0</v>
      </c>
      <c r="I71" s="74">
        <v>0</v>
      </c>
      <c r="J71" s="74">
        <v>0</v>
      </c>
      <c r="K71" s="74">
        <v>0</v>
      </c>
      <c r="L71" s="74">
        <v>613</v>
      </c>
      <c r="M71" s="74">
        <v>0</v>
      </c>
      <c r="N71" s="74">
        <v>0</v>
      </c>
      <c r="O71" s="74">
        <v>0</v>
      </c>
      <c r="P71" s="74">
        <v>0</v>
      </c>
      <c r="Q71" s="74">
        <v>0</v>
      </c>
      <c r="R71" s="74">
        <v>0</v>
      </c>
      <c r="S71" s="74">
        <v>613</v>
      </c>
    </row>
    <row r="72" spans="1:19" x14ac:dyDescent="0.2">
      <c r="C72" s="446" t="s">
        <v>1879</v>
      </c>
      <c r="D72" s="446" t="s">
        <v>1881</v>
      </c>
      <c r="E72" s="446" t="s">
        <v>3798</v>
      </c>
      <c r="F72" s="298">
        <v>42870</v>
      </c>
      <c r="G72" s="74">
        <v>802</v>
      </c>
      <c r="H72" s="74">
        <v>0</v>
      </c>
      <c r="I72" s="74">
        <v>0</v>
      </c>
      <c r="J72" s="74">
        <v>0</v>
      </c>
      <c r="K72" s="74">
        <v>0</v>
      </c>
      <c r="L72" s="74">
        <v>802</v>
      </c>
      <c r="M72" s="74">
        <v>0</v>
      </c>
      <c r="N72" s="74">
        <v>0</v>
      </c>
      <c r="O72" s="74">
        <v>0</v>
      </c>
      <c r="P72" s="74">
        <v>0</v>
      </c>
      <c r="Q72" s="74">
        <v>0</v>
      </c>
      <c r="R72" s="74">
        <v>0</v>
      </c>
      <c r="S72" s="74">
        <v>802</v>
      </c>
    </row>
    <row r="73" spans="1:19" x14ac:dyDescent="0.2">
      <c r="A73" s="446" t="s">
        <v>1358</v>
      </c>
      <c r="B73" s="446" t="s">
        <v>3947</v>
      </c>
      <c r="C73" s="446" t="s">
        <v>1360</v>
      </c>
      <c r="D73" s="446" t="s">
        <v>153</v>
      </c>
      <c r="E73" s="446" t="s">
        <v>3798</v>
      </c>
      <c r="F73" s="298">
        <v>41877</v>
      </c>
      <c r="G73" s="74">
        <v>0</v>
      </c>
      <c r="H73" s="74">
        <v>0</v>
      </c>
      <c r="I73" s="74">
        <v>0</v>
      </c>
      <c r="J73" s="74">
        <v>0</v>
      </c>
      <c r="K73" s="74">
        <v>0</v>
      </c>
      <c r="L73" s="74">
        <v>0</v>
      </c>
      <c r="M73" s="74">
        <v>25389</v>
      </c>
      <c r="N73" s="74">
        <v>0</v>
      </c>
      <c r="O73" s="74">
        <v>0</v>
      </c>
      <c r="P73" s="74">
        <v>0</v>
      </c>
      <c r="Q73" s="74">
        <v>0</v>
      </c>
      <c r="R73" s="74">
        <v>25389</v>
      </c>
      <c r="S73" s="74">
        <v>-25389</v>
      </c>
    </row>
    <row r="74" spans="1:19" x14ac:dyDescent="0.2">
      <c r="A74" s="446" t="s">
        <v>1809</v>
      </c>
      <c r="B74" s="446" t="s">
        <v>3940</v>
      </c>
      <c r="C74" s="446" t="s">
        <v>1120</v>
      </c>
      <c r="D74" s="446" t="s">
        <v>153</v>
      </c>
      <c r="E74" s="446" t="s">
        <v>421</v>
      </c>
      <c r="F74" s="298">
        <v>42723</v>
      </c>
      <c r="G74" s="74">
        <v>0</v>
      </c>
      <c r="H74" s="74">
        <v>0</v>
      </c>
      <c r="I74" s="74">
        <v>0</v>
      </c>
      <c r="J74" s="74">
        <v>0</v>
      </c>
      <c r="K74" s="74">
        <v>0</v>
      </c>
      <c r="L74" s="74">
        <v>0</v>
      </c>
      <c r="M74" s="74">
        <v>128</v>
      </c>
      <c r="N74" s="74">
        <v>0</v>
      </c>
      <c r="O74" s="74">
        <v>0</v>
      </c>
      <c r="P74" s="74">
        <v>0</v>
      </c>
      <c r="Q74" s="74">
        <v>0</v>
      </c>
      <c r="R74" s="74">
        <v>128</v>
      </c>
      <c r="S74" s="74">
        <v>-128</v>
      </c>
    </row>
    <row r="75" spans="1:19" x14ac:dyDescent="0.2">
      <c r="A75" s="446" t="s">
        <v>1719</v>
      </c>
      <c r="B75" s="446" t="s">
        <v>3942</v>
      </c>
      <c r="C75" s="446" t="s">
        <v>176</v>
      </c>
      <c r="D75" s="446" t="s">
        <v>153</v>
      </c>
      <c r="E75" s="446" t="s">
        <v>3798</v>
      </c>
      <c r="F75" s="298">
        <v>41200</v>
      </c>
      <c r="G75" s="74">
        <v>94</v>
      </c>
      <c r="H75" s="74">
        <v>0</v>
      </c>
      <c r="I75" s="74">
        <v>0</v>
      </c>
      <c r="J75" s="74">
        <v>0</v>
      </c>
      <c r="K75" s="74">
        <v>0</v>
      </c>
      <c r="L75" s="74">
        <v>94</v>
      </c>
      <c r="M75" s="74">
        <v>0</v>
      </c>
      <c r="N75" s="74">
        <v>0</v>
      </c>
      <c r="O75" s="74">
        <v>0</v>
      </c>
      <c r="P75" s="74">
        <v>0</v>
      </c>
      <c r="Q75" s="74">
        <v>0</v>
      </c>
      <c r="R75" s="74">
        <v>0</v>
      </c>
      <c r="S75" s="74">
        <v>94</v>
      </c>
    </row>
    <row r="76" spans="1:19" x14ac:dyDescent="0.2">
      <c r="A76" s="446" t="s">
        <v>1713</v>
      </c>
      <c r="B76" s="446" t="s">
        <v>3944</v>
      </c>
      <c r="C76" s="446" t="s">
        <v>229</v>
      </c>
      <c r="D76" s="446" t="s">
        <v>153</v>
      </c>
      <c r="E76" s="446" t="s">
        <v>3798</v>
      </c>
      <c r="F76" s="298">
        <v>41614</v>
      </c>
      <c r="G76" s="74">
        <v>0</v>
      </c>
      <c r="H76" s="74">
        <v>0</v>
      </c>
      <c r="I76" s="74">
        <v>0</v>
      </c>
      <c r="J76" s="74">
        <v>212</v>
      </c>
      <c r="K76" s="74">
        <v>0</v>
      </c>
      <c r="L76" s="74">
        <v>212</v>
      </c>
      <c r="M76" s="74">
        <v>0</v>
      </c>
      <c r="N76" s="74">
        <v>0</v>
      </c>
      <c r="O76" s="74">
        <v>22859</v>
      </c>
      <c r="P76" s="74">
        <v>0</v>
      </c>
      <c r="Q76" s="74">
        <v>0</v>
      </c>
      <c r="R76" s="74">
        <v>22859</v>
      </c>
      <c r="S76" s="74">
        <v>-22647</v>
      </c>
    </row>
    <row r="77" spans="1:19" x14ac:dyDescent="0.2">
      <c r="C77" s="446" t="s">
        <v>1715</v>
      </c>
      <c r="D77" s="446" t="s">
        <v>153</v>
      </c>
      <c r="E77" s="446" t="s">
        <v>3798</v>
      </c>
      <c r="F77" s="298">
        <v>43076</v>
      </c>
      <c r="G77" s="74">
        <v>0</v>
      </c>
      <c r="H77" s="74">
        <v>0</v>
      </c>
      <c r="I77" s="74">
        <v>0</v>
      </c>
      <c r="J77" s="74">
        <v>336</v>
      </c>
      <c r="K77" s="74">
        <v>0</v>
      </c>
      <c r="L77" s="74">
        <v>336</v>
      </c>
      <c r="M77" s="74">
        <v>0</v>
      </c>
      <c r="N77" s="74">
        <v>0</v>
      </c>
      <c r="O77" s="74">
        <v>0</v>
      </c>
      <c r="P77" s="74">
        <v>212</v>
      </c>
      <c r="Q77" s="74">
        <v>0</v>
      </c>
      <c r="R77" s="74">
        <v>212</v>
      </c>
      <c r="S77" s="74">
        <v>124</v>
      </c>
    </row>
    <row r="78" spans="1:19" x14ac:dyDescent="0.2">
      <c r="A78" s="446" t="s">
        <v>1773</v>
      </c>
      <c r="B78" s="446" t="s">
        <v>3947</v>
      </c>
      <c r="C78" s="446" t="s">
        <v>861</v>
      </c>
      <c r="D78" s="446" t="s">
        <v>1156</v>
      </c>
      <c r="E78" s="446" t="s">
        <v>3798</v>
      </c>
      <c r="F78" s="298">
        <v>42758</v>
      </c>
      <c r="G78" s="74">
        <v>0</v>
      </c>
      <c r="H78" s="74">
        <v>0</v>
      </c>
      <c r="I78" s="74">
        <v>0</v>
      </c>
      <c r="J78" s="74">
        <v>0</v>
      </c>
      <c r="K78" s="74">
        <v>0</v>
      </c>
      <c r="L78" s="74">
        <v>0</v>
      </c>
      <c r="M78" s="74">
        <v>0</v>
      </c>
      <c r="N78" s="74">
        <v>0</v>
      </c>
      <c r="O78" s="74">
        <v>0</v>
      </c>
      <c r="P78" s="74">
        <v>0</v>
      </c>
      <c r="Q78" s="74">
        <v>32314</v>
      </c>
      <c r="R78" s="74">
        <v>32314</v>
      </c>
      <c r="S78" s="74">
        <v>-32314</v>
      </c>
    </row>
    <row r="79" spans="1:19" x14ac:dyDescent="0.2">
      <c r="A79" s="446" t="s">
        <v>1340</v>
      </c>
      <c r="B79" s="446" t="s">
        <v>149</v>
      </c>
      <c r="C79" s="446" t="s">
        <v>471</v>
      </c>
      <c r="D79" s="446" t="s">
        <v>153</v>
      </c>
      <c r="E79" s="446" t="s">
        <v>3798</v>
      </c>
      <c r="F79" s="298">
        <v>42373</v>
      </c>
      <c r="G79" s="74">
        <v>0</v>
      </c>
      <c r="H79" s="74">
        <v>0</v>
      </c>
      <c r="I79" s="74">
        <v>0</v>
      </c>
      <c r="J79" s="74">
        <v>0</v>
      </c>
      <c r="K79" s="74">
        <v>0</v>
      </c>
      <c r="L79" s="74">
        <v>0</v>
      </c>
      <c r="M79" s="74">
        <v>2365</v>
      </c>
      <c r="N79" s="74">
        <v>0</v>
      </c>
      <c r="O79" s="74">
        <v>0</v>
      </c>
      <c r="P79" s="74">
        <v>0</v>
      </c>
      <c r="Q79" s="74">
        <v>0</v>
      </c>
      <c r="R79" s="74">
        <v>2365</v>
      </c>
      <c r="S79" s="74">
        <v>-2365</v>
      </c>
    </row>
    <row r="80" spans="1:19" x14ac:dyDescent="0.2">
      <c r="A80" s="446" t="s">
        <v>1919</v>
      </c>
      <c r="B80" s="446" t="s">
        <v>3942</v>
      </c>
      <c r="C80" s="446" t="s">
        <v>361</v>
      </c>
      <c r="D80" s="446" t="s">
        <v>153</v>
      </c>
      <c r="E80" s="446" t="s">
        <v>3798</v>
      </c>
      <c r="F80" s="298">
        <v>41920</v>
      </c>
      <c r="G80" s="74">
        <v>0</v>
      </c>
      <c r="H80" s="74">
        <v>0</v>
      </c>
      <c r="I80" s="74">
        <v>0</v>
      </c>
      <c r="J80" s="74">
        <v>0</v>
      </c>
      <c r="K80" s="74">
        <v>0</v>
      </c>
      <c r="L80" s="74">
        <v>0</v>
      </c>
      <c r="M80" s="74">
        <v>0</v>
      </c>
      <c r="N80" s="74">
        <v>0</v>
      </c>
      <c r="O80" s="74">
        <v>0</v>
      </c>
      <c r="P80" s="74">
        <v>0</v>
      </c>
      <c r="Q80" s="74">
        <v>72</v>
      </c>
      <c r="R80" s="74">
        <v>72</v>
      </c>
      <c r="S80" s="74">
        <v>-72</v>
      </c>
    </row>
    <row r="81" spans="1:19" x14ac:dyDescent="0.2">
      <c r="A81" s="446" t="s">
        <v>2320</v>
      </c>
      <c r="B81" s="446" t="s">
        <v>2904</v>
      </c>
      <c r="C81" s="446" t="s">
        <v>2321</v>
      </c>
      <c r="D81" s="446" t="s">
        <v>153</v>
      </c>
      <c r="E81" s="446" t="s">
        <v>3798</v>
      </c>
      <c r="F81" s="298">
        <v>42957</v>
      </c>
      <c r="G81" s="74">
        <v>60</v>
      </c>
      <c r="H81" s="74">
        <v>0</v>
      </c>
      <c r="I81" s="74">
        <v>0</v>
      </c>
      <c r="J81" s="74">
        <v>0</v>
      </c>
      <c r="K81" s="74">
        <v>0</v>
      </c>
      <c r="L81" s="74">
        <v>60</v>
      </c>
      <c r="M81" s="74">
        <v>0</v>
      </c>
      <c r="N81" s="74">
        <v>0</v>
      </c>
      <c r="O81" s="74">
        <v>0</v>
      </c>
      <c r="P81" s="74">
        <v>0</v>
      </c>
      <c r="Q81" s="74">
        <v>0</v>
      </c>
      <c r="R81" s="74">
        <v>0</v>
      </c>
      <c r="S81" s="74">
        <v>60</v>
      </c>
    </row>
    <row r="82" spans="1:19" x14ac:dyDescent="0.2">
      <c r="A82" s="446" t="s">
        <v>1525</v>
      </c>
      <c r="B82" s="446" t="s">
        <v>3947</v>
      </c>
      <c r="C82" s="446" t="s">
        <v>1287</v>
      </c>
      <c r="D82" s="446" t="s">
        <v>2819</v>
      </c>
      <c r="E82" s="446" t="s">
        <v>3798</v>
      </c>
      <c r="F82" s="298">
        <v>42873</v>
      </c>
      <c r="G82" s="74">
        <v>63038</v>
      </c>
      <c r="H82" s="74">
        <v>0</v>
      </c>
      <c r="I82" s="74">
        <v>0</v>
      </c>
      <c r="J82" s="74">
        <v>0</v>
      </c>
      <c r="K82" s="74">
        <v>0</v>
      </c>
      <c r="L82" s="74">
        <v>63038</v>
      </c>
      <c r="M82" s="74">
        <v>0</v>
      </c>
      <c r="N82" s="74">
        <v>0</v>
      </c>
      <c r="O82" s="74">
        <v>0</v>
      </c>
      <c r="P82" s="74">
        <v>0</v>
      </c>
      <c r="Q82" s="74">
        <v>0</v>
      </c>
      <c r="R82" s="74">
        <v>0</v>
      </c>
      <c r="S82" s="74">
        <v>63038</v>
      </c>
    </row>
    <row r="83" spans="1:19" x14ac:dyDescent="0.2">
      <c r="A83" s="446" t="s">
        <v>1864</v>
      </c>
      <c r="B83" s="446" t="s">
        <v>3944</v>
      </c>
      <c r="C83" s="446" t="s">
        <v>323</v>
      </c>
      <c r="D83" s="446" t="s">
        <v>153</v>
      </c>
      <c r="E83" s="446" t="s">
        <v>3798</v>
      </c>
      <c r="F83" s="298">
        <v>42193</v>
      </c>
      <c r="G83" s="74">
        <v>210</v>
      </c>
      <c r="H83" s="74">
        <v>0</v>
      </c>
      <c r="I83" s="74">
        <v>0</v>
      </c>
      <c r="J83" s="74">
        <v>0</v>
      </c>
      <c r="K83" s="74">
        <v>0</v>
      </c>
      <c r="L83" s="74">
        <v>210</v>
      </c>
      <c r="M83" s="74">
        <v>5684</v>
      </c>
      <c r="N83" s="74">
        <v>0</v>
      </c>
      <c r="O83" s="74">
        <v>0</v>
      </c>
      <c r="P83" s="74">
        <v>0</v>
      </c>
      <c r="Q83" s="74">
        <v>0</v>
      </c>
      <c r="R83" s="74">
        <v>5684</v>
      </c>
      <c r="S83" s="74">
        <v>-5474</v>
      </c>
    </row>
    <row r="84" spans="1:19" x14ac:dyDescent="0.2">
      <c r="C84" s="446" t="s">
        <v>865</v>
      </c>
      <c r="D84" s="446" t="s">
        <v>153</v>
      </c>
      <c r="E84" s="446" t="s">
        <v>3798</v>
      </c>
      <c r="F84" s="298">
        <v>42556</v>
      </c>
      <c r="G84" s="74">
        <v>92</v>
      </c>
      <c r="H84" s="74">
        <v>0</v>
      </c>
      <c r="I84" s="74">
        <v>0</v>
      </c>
      <c r="J84" s="74">
        <v>0</v>
      </c>
      <c r="K84" s="74">
        <v>0</v>
      </c>
      <c r="L84" s="74">
        <v>92</v>
      </c>
      <c r="M84" s="74">
        <v>81</v>
      </c>
      <c r="N84" s="74">
        <v>0</v>
      </c>
      <c r="O84" s="74">
        <v>0</v>
      </c>
      <c r="P84" s="74">
        <v>0</v>
      </c>
      <c r="Q84" s="74">
        <v>0</v>
      </c>
      <c r="R84" s="74">
        <v>81</v>
      </c>
      <c r="S84" s="74">
        <v>11</v>
      </c>
    </row>
    <row r="85" spans="1:19" x14ac:dyDescent="0.2">
      <c r="A85" s="446" t="s">
        <v>1546</v>
      </c>
      <c r="B85" s="446" t="s">
        <v>3953</v>
      </c>
      <c r="C85" s="446" t="s">
        <v>68</v>
      </c>
      <c r="D85" s="446" t="s">
        <v>153</v>
      </c>
      <c r="E85" s="446" t="s">
        <v>3798</v>
      </c>
      <c r="F85" s="298">
        <v>40587</v>
      </c>
      <c r="G85" s="74">
        <v>200</v>
      </c>
      <c r="H85" s="74">
        <v>0</v>
      </c>
      <c r="I85" s="74">
        <v>0</v>
      </c>
      <c r="J85" s="74">
        <v>0</v>
      </c>
      <c r="K85" s="74">
        <v>0</v>
      </c>
      <c r="L85" s="74">
        <v>200</v>
      </c>
      <c r="M85" s="74">
        <v>0</v>
      </c>
      <c r="N85" s="74">
        <v>0</v>
      </c>
      <c r="O85" s="74">
        <v>0</v>
      </c>
      <c r="P85" s="74">
        <v>0</v>
      </c>
      <c r="Q85" s="74">
        <v>0</v>
      </c>
      <c r="R85" s="74">
        <v>0</v>
      </c>
      <c r="S85" s="74">
        <v>200</v>
      </c>
    </row>
    <row r="86" spans="1:19" x14ac:dyDescent="0.2">
      <c r="A86" s="446" t="s">
        <v>2016</v>
      </c>
      <c r="B86" s="446" t="s">
        <v>3947</v>
      </c>
      <c r="C86" s="446" t="s">
        <v>260</v>
      </c>
      <c r="D86" s="446" t="s">
        <v>153</v>
      </c>
      <c r="E86" s="446" t="s">
        <v>3798</v>
      </c>
      <c r="F86" s="298">
        <v>42025</v>
      </c>
      <c r="G86" s="74">
        <v>1581</v>
      </c>
      <c r="H86" s="74">
        <v>0</v>
      </c>
      <c r="I86" s="74">
        <v>0</v>
      </c>
      <c r="J86" s="74">
        <v>0</v>
      </c>
      <c r="K86" s="74">
        <v>0</v>
      </c>
      <c r="L86" s="74">
        <v>1581</v>
      </c>
      <c r="M86" s="74">
        <v>2840</v>
      </c>
      <c r="N86" s="74">
        <v>0</v>
      </c>
      <c r="O86" s="74">
        <v>0</v>
      </c>
      <c r="P86" s="74">
        <v>0</v>
      </c>
      <c r="Q86" s="74">
        <v>0</v>
      </c>
      <c r="R86" s="74">
        <v>2840</v>
      </c>
      <c r="S86" s="74">
        <v>-1259</v>
      </c>
    </row>
    <row r="87" spans="1:19" x14ac:dyDescent="0.2">
      <c r="A87" s="446" t="s">
        <v>1928</v>
      </c>
      <c r="B87" s="446" t="s">
        <v>3946</v>
      </c>
      <c r="C87" s="446" t="s">
        <v>896</v>
      </c>
      <c r="D87" s="446" t="s">
        <v>153</v>
      </c>
      <c r="E87" s="446" t="s">
        <v>3798</v>
      </c>
      <c r="F87" s="298">
        <v>42628</v>
      </c>
      <c r="G87" s="74">
        <v>290</v>
      </c>
      <c r="H87" s="74">
        <v>0</v>
      </c>
      <c r="I87" s="74">
        <v>0</v>
      </c>
      <c r="J87" s="74">
        <v>0</v>
      </c>
      <c r="K87" s="74">
        <v>0</v>
      </c>
      <c r="L87" s="74">
        <v>290</v>
      </c>
      <c r="M87" s="74">
        <v>215</v>
      </c>
      <c r="N87" s="74">
        <v>0</v>
      </c>
      <c r="O87" s="74">
        <v>0</v>
      </c>
      <c r="P87" s="74">
        <v>0</v>
      </c>
      <c r="Q87" s="74">
        <v>0</v>
      </c>
      <c r="R87" s="74">
        <v>215</v>
      </c>
      <c r="S87" s="74">
        <v>75</v>
      </c>
    </row>
    <row r="88" spans="1:19" x14ac:dyDescent="0.2">
      <c r="A88" s="446" t="s">
        <v>2037</v>
      </c>
      <c r="B88" s="446" t="s">
        <v>3943</v>
      </c>
      <c r="C88" s="446" t="s">
        <v>335</v>
      </c>
      <c r="D88" s="446" t="s">
        <v>153</v>
      </c>
      <c r="E88" s="446" t="s">
        <v>421</v>
      </c>
      <c r="F88" s="298">
        <v>42060</v>
      </c>
      <c r="G88" s="74">
        <v>0</v>
      </c>
      <c r="H88" s="74">
        <v>0</v>
      </c>
      <c r="I88" s="74">
        <v>0</v>
      </c>
      <c r="J88" s="74">
        <v>0</v>
      </c>
      <c r="K88" s="74">
        <v>0</v>
      </c>
      <c r="L88" s="74">
        <v>0</v>
      </c>
      <c r="M88" s="74">
        <v>88</v>
      </c>
      <c r="N88" s="74">
        <v>0</v>
      </c>
      <c r="O88" s="74">
        <v>0</v>
      </c>
      <c r="P88" s="74">
        <v>0</v>
      </c>
      <c r="Q88" s="74">
        <v>0</v>
      </c>
      <c r="R88" s="74">
        <v>88</v>
      </c>
      <c r="S88" s="74">
        <v>-88</v>
      </c>
    </row>
    <row r="89" spans="1:19" x14ac:dyDescent="0.2">
      <c r="A89" s="446" t="s">
        <v>2130</v>
      </c>
      <c r="B89" s="446" t="s">
        <v>3943</v>
      </c>
      <c r="C89" s="446" t="s">
        <v>599</v>
      </c>
      <c r="D89" s="446" t="s">
        <v>153</v>
      </c>
      <c r="E89" s="446" t="s">
        <v>421</v>
      </c>
      <c r="F89" s="298">
        <v>42443</v>
      </c>
      <c r="G89" s="74">
        <v>0</v>
      </c>
      <c r="H89" s="74">
        <v>0</v>
      </c>
      <c r="I89" s="74">
        <v>0</v>
      </c>
      <c r="J89" s="74">
        <v>0</v>
      </c>
      <c r="K89" s="74">
        <v>0</v>
      </c>
      <c r="L89" s="74">
        <v>0</v>
      </c>
      <c r="M89" s="74">
        <v>72</v>
      </c>
      <c r="N89" s="74">
        <v>0</v>
      </c>
      <c r="O89" s="74">
        <v>0</v>
      </c>
      <c r="P89" s="74">
        <v>0</v>
      </c>
      <c r="Q89" s="74">
        <v>0</v>
      </c>
      <c r="R89" s="74">
        <v>72</v>
      </c>
      <c r="S89" s="74">
        <v>-72</v>
      </c>
    </row>
    <row r="90" spans="1:19" x14ac:dyDescent="0.2">
      <c r="A90" s="446" t="s">
        <v>95</v>
      </c>
      <c r="G90" s="74">
        <v>76551</v>
      </c>
      <c r="H90" s="74">
        <v>0</v>
      </c>
      <c r="I90" s="74">
        <v>941</v>
      </c>
      <c r="J90" s="74">
        <v>705</v>
      </c>
      <c r="K90" s="74">
        <v>5114</v>
      </c>
      <c r="L90" s="74">
        <v>83311</v>
      </c>
      <c r="M90" s="74">
        <v>57738</v>
      </c>
      <c r="N90" s="74">
        <v>0</v>
      </c>
      <c r="O90" s="74">
        <v>31850</v>
      </c>
      <c r="P90" s="74">
        <v>1796</v>
      </c>
      <c r="Q90" s="74">
        <v>90497</v>
      </c>
      <c r="R90" s="74">
        <v>181881</v>
      </c>
      <c r="S90" s="74">
        <v>-98570</v>
      </c>
    </row>
  </sheetData>
  <conditionalFormatting sqref="D1:D1048576">
    <cfRule type="cellIs" dxfId="70"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S103"/>
  <sheetViews>
    <sheetView workbookViewId="0"/>
  </sheetViews>
  <sheetFormatPr defaultRowHeight="11.25" x14ac:dyDescent="0.2"/>
  <cols>
    <col min="1" max="1" width="22.5703125" style="339" customWidth="1"/>
    <col min="2" max="2" width="10.85546875" style="299" customWidth="1"/>
    <col min="3" max="3" width="9.42578125" style="300" customWidth="1"/>
    <col min="4" max="4" width="8.85546875" style="299" customWidth="1"/>
    <col min="5" max="5" width="10.85546875" style="301" customWidth="1"/>
    <col min="6" max="6" width="8.85546875" style="302" customWidth="1"/>
    <col min="7" max="7" width="6.7109375" style="303" customWidth="1"/>
    <col min="8" max="11" width="6.28515625" style="303" customWidth="1"/>
    <col min="12" max="13" width="6.7109375" style="303" customWidth="1"/>
    <col min="14" max="17" width="6.28515625" style="303" customWidth="1"/>
    <col min="18" max="19" width="6.7109375" style="303" customWidth="1"/>
    <col min="20" max="16384" width="9.140625" style="301"/>
  </cols>
  <sheetData>
    <row r="1" spans="1:19" ht="15.75" x14ac:dyDescent="0.2">
      <c r="A1" s="336" t="s">
        <v>3937</v>
      </c>
    </row>
    <row r="2" spans="1:19" ht="12" customHeight="1" x14ac:dyDescent="0.2">
      <c r="A2" s="341" t="s">
        <v>3889</v>
      </c>
    </row>
    <row r="3" spans="1:19" ht="12.75" x14ac:dyDescent="0.2">
      <c r="A3" s="341"/>
    </row>
    <row r="4" spans="1:19" s="310" customFormat="1" ht="12.75" customHeight="1" x14ac:dyDescent="0.2">
      <c r="A4" s="826" t="s">
        <v>185</v>
      </c>
      <c r="B4" s="828" t="s">
        <v>3938</v>
      </c>
      <c r="C4" s="827" t="s">
        <v>2848</v>
      </c>
      <c r="D4" s="829" t="s">
        <v>3973</v>
      </c>
      <c r="E4" s="826" t="s">
        <v>3970</v>
      </c>
      <c r="F4" s="836"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30"/>
      <c r="E5" s="826"/>
      <c r="F5" s="836"/>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31"/>
      <c r="E6" s="826"/>
      <c r="F6" s="836"/>
      <c r="G6" s="536" t="s">
        <v>97</v>
      </c>
      <c r="H6" s="304" t="s">
        <v>98</v>
      </c>
      <c r="I6" s="304" t="s">
        <v>99</v>
      </c>
      <c r="J6" s="304" t="s">
        <v>100</v>
      </c>
      <c r="K6" s="304" t="s">
        <v>101</v>
      </c>
      <c r="L6" s="304" t="s">
        <v>95</v>
      </c>
      <c r="M6" s="536" t="s">
        <v>97</v>
      </c>
      <c r="N6" s="304" t="s">
        <v>98</v>
      </c>
      <c r="O6" s="304" t="s">
        <v>99</v>
      </c>
      <c r="P6" s="304" t="s">
        <v>100</v>
      </c>
      <c r="Q6" s="304" t="s">
        <v>101</v>
      </c>
      <c r="R6" s="537" t="s">
        <v>95</v>
      </c>
      <c r="S6" s="835"/>
    </row>
    <row r="7" spans="1:19" ht="33.75" x14ac:dyDescent="0.2">
      <c r="A7" s="344" t="s">
        <v>2274</v>
      </c>
      <c r="B7" s="342" t="s">
        <v>2904</v>
      </c>
      <c r="C7" s="343" t="s">
        <v>2275</v>
      </c>
      <c r="D7" s="342" t="s">
        <v>153</v>
      </c>
      <c r="E7" s="344" t="s">
        <v>3798</v>
      </c>
      <c r="F7" s="522">
        <v>42941</v>
      </c>
      <c r="G7" s="523">
        <v>0</v>
      </c>
      <c r="H7" s="346">
        <v>0</v>
      </c>
      <c r="I7" s="346">
        <v>107</v>
      </c>
      <c r="J7" s="346">
        <v>107</v>
      </c>
      <c r="K7" s="346">
        <v>108</v>
      </c>
      <c r="L7" s="346">
        <v>322</v>
      </c>
      <c r="M7" s="523">
        <v>0</v>
      </c>
      <c r="N7" s="346">
        <v>0</v>
      </c>
      <c r="O7" s="346">
        <v>0</v>
      </c>
      <c r="P7" s="346">
        <v>0</v>
      </c>
      <c r="Q7" s="346">
        <v>0</v>
      </c>
      <c r="R7" s="347">
        <v>0</v>
      </c>
      <c r="S7" s="346">
        <v>322</v>
      </c>
    </row>
    <row r="8" spans="1:19" ht="22.5" x14ac:dyDescent="0.2">
      <c r="A8" s="305" t="s">
        <v>1381</v>
      </c>
      <c r="B8" s="306" t="s">
        <v>3950</v>
      </c>
      <c r="C8" s="307" t="s">
        <v>1382</v>
      </c>
      <c r="D8" s="306" t="s">
        <v>153</v>
      </c>
      <c r="E8" s="305" t="s">
        <v>3798</v>
      </c>
      <c r="F8" s="308">
        <v>43032</v>
      </c>
      <c r="G8" s="315">
        <v>0</v>
      </c>
      <c r="H8" s="309">
        <v>0</v>
      </c>
      <c r="I8" s="309">
        <v>0</v>
      </c>
      <c r="J8" s="309">
        <v>0</v>
      </c>
      <c r="K8" s="309">
        <v>0</v>
      </c>
      <c r="L8" s="309">
        <v>0</v>
      </c>
      <c r="M8" s="315">
        <v>0</v>
      </c>
      <c r="N8" s="309">
        <v>0</v>
      </c>
      <c r="O8" s="309">
        <v>0</v>
      </c>
      <c r="P8" s="309">
        <v>21</v>
      </c>
      <c r="Q8" s="309">
        <v>0</v>
      </c>
      <c r="R8" s="317">
        <v>21</v>
      </c>
      <c r="S8" s="309">
        <v>-21</v>
      </c>
    </row>
    <row r="9" spans="1:19" x14ac:dyDescent="0.2">
      <c r="A9" s="305" t="s">
        <v>2390</v>
      </c>
      <c r="B9" s="306" t="s">
        <v>149</v>
      </c>
      <c r="C9" s="307" t="s">
        <v>1246</v>
      </c>
      <c r="D9" s="306" t="s">
        <v>153</v>
      </c>
      <c r="E9" s="305" t="s">
        <v>3798</v>
      </c>
      <c r="F9" s="308">
        <v>42835</v>
      </c>
      <c r="G9" s="315">
        <v>0</v>
      </c>
      <c r="H9" s="309">
        <v>0</v>
      </c>
      <c r="I9" s="309">
        <v>0</v>
      </c>
      <c r="J9" s="309">
        <v>0</v>
      </c>
      <c r="K9" s="309">
        <v>0</v>
      </c>
      <c r="L9" s="309">
        <v>0</v>
      </c>
      <c r="M9" s="315">
        <v>0</v>
      </c>
      <c r="N9" s="309">
        <v>0</v>
      </c>
      <c r="O9" s="309">
        <v>0</v>
      </c>
      <c r="P9" s="309">
        <v>0</v>
      </c>
      <c r="Q9" s="309">
        <v>164</v>
      </c>
      <c r="R9" s="317">
        <v>164</v>
      </c>
      <c r="S9" s="309">
        <v>-164</v>
      </c>
    </row>
    <row r="10" spans="1:19" x14ac:dyDescent="0.2">
      <c r="A10" s="305" t="s">
        <v>2366</v>
      </c>
      <c r="B10" s="306" t="s">
        <v>150</v>
      </c>
      <c r="C10" s="307" t="s">
        <v>1038</v>
      </c>
      <c r="D10" s="306" t="s">
        <v>153</v>
      </c>
      <c r="E10" s="305" t="s">
        <v>3798</v>
      </c>
      <c r="F10" s="308">
        <v>43053</v>
      </c>
      <c r="G10" s="315">
        <v>0</v>
      </c>
      <c r="H10" s="309">
        <v>0</v>
      </c>
      <c r="I10" s="309">
        <v>0</v>
      </c>
      <c r="J10" s="309">
        <v>0</v>
      </c>
      <c r="K10" s="309">
        <v>0</v>
      </c>
      <c r="L10" s="309">
        <v>0</v>
      </c>
      <c r="M10" s="315">
        <v>635</v>
      </c>
      <c r="N10" s="309">
        <v>0</v>
      </c>
      <c r="O10" s="309">
        <v>0</v>
      </c>
      <c r="P10" s="309">
        <v>0</v>
      </c>
      <c r="Q10" s="309">
        <v>0</v>
      </c>
      <c r="R10" s="317">
        <v>635</v>
      </c>
      <c r="S10" s="309">
        <v>-635</v>
      </c>
    </row>
    <row r="11" spans="1:19" x14ac:dyDescent="0.2">
      <c r="A11" s="305" t="s">
        <v>2705</v>
      </c>
      <c r="B11" s="306" t="s">
        <v>3944</v>
      </c>
      <c r="C11" s="307" t="s">
        <v>2706</v>
      </c>
      <c r="D11" s="306" t="s">
        <v>153</v>
      </c>
      <c r="E11" s="305" t="s">
        <v>3798</v>
      </c>
      <c r="F11" s="308">
        <v>43179</v>
      </c>
      <c r="G11" s="315">
        <v>15</v>
      </c>
      <c r="H11" s="309">
        <v>0</v>
      </c>
      <c r="I11" s="309">
        <v>0</v>
      </c>
      <c r="J11" s="309">
        <v>0</v>
      </c>
      <c r="K11" s="309">
        <v>0</v>
      </c>
      <c r="L11" s="309">
        <v>15</v>
      </c>
      <c r="M11" s="315">
        <v>0</v>
      </c>
      <c r="N11" s="309">
        <v>0</v>
      </c>
      <c r="O11" s="309">
        <v>0</v>
      </c>
      <c r="P11" s="309">
        <v>0</v>
      </c>
      <c r="Q11" s="309">
        <v>0</v>
      </c>
      <c r="R11" s="317">
        <v>0</v>
      </c>
      <c r="S11" s="309">
        <v>15</v>
      </c>
    </row>
    <row r="12" spans="1:19" ht="22.5" x14ac:dyDescent="0.2">
      <c r="A12" s="305" t="s">
        <v>2598</v>
      </c>
      <c r="B12" s="306" t="s">
        <v>3946</v>
      </c>
      <c r="C12" s="307" t="s">
        <v>2599</v>
      </c>
      <c r="D12" s="306" t="s">
        <v>153</v>
      </c>
      <c r="E12" s="305" t="s">
        <v>3798</v>
      </c>
      <c r="F12" s="308">
        <v>43188</v>
      </c>
      <c r="G12" s="315">
        <v>0</v>
      </c>
      <c r="H12" s="309">
        <v>0</v>
      </c>
      <c r="I12" s="309">
        <v>0</v>
      </c>
      <c r="J12" s="309">
        <v>0</v>
      </c>
      <c r="K12" s="309">
        <v>0</v>
      </c>
      <c r="L12" s="309">
        <v>0</v>
      </c>
      <c r="M12" s="315">
        <v>0</v>
      </c>
      <c r="N12" s="309">
        <v>0</v>
      </c>
      <c r="O12" s="309">
        <v>29</v>
      </c>
      <c r="P12" s="309">
        <v>0</v>
      </c>
      <c r="Q12" s="309">
        <v>0</v>
      </c>
      <c r="R12" s="317">
        <v>29</v>
      </c>
      <c r="S12" s="309">
        <v>-29</v>
      </c>
    </row>
    <row r="13" spans="1:19" ht="22.5" x14ac:dyDescent="0.2">
      <c r="A13" s="305" t="s">
        <v>1329</v>
      </c>
      <c r="B13" s="306" t="s">
        <v>3943</v>
      </c>
      <c r="C13" s="307" t="s">
        <v>1331</v>
      </c>
      <c r="D13" s="306" t="s">
        <v>153</v>
      </c>
      <c r="E13" s="305" t="s">
        <v>3798</v>
      </c>
      <c r="F13" s="308">
        <v>43034</v>
      </c>
      <c r="G13" s="315">
        <v>334</v>
      </c>
      <c r="H13" s="309">
        <v>0</v>
      </c>
      <c r="I13" s="309">
        <v>0</v>
      </c>
      <c r="J13" s="309">
        <v>0</v>
      </c>
      <c r="K13" s="309">
        <v>0</v>
      </c>
      <c r="L13" s="309">
        <v>334</v>
      </c>
      <c r="M13" s="315">
        <v>0</v>
      </c>
      <c r="N13" s="309">
        <v>0</v>
      </c>
      <c r="O13" s="309">
        <v>0</v>
      </c>
      <c r="P13" s="309">
        <v>0</v>
      </c>
      <c r="Q13" s="309">
        <v>0</v>
      </c>
      <c r="R13" s="317">
        <v>0</v>
      </c>
      <c r="S13" s="309">
        <v>334</v>
      </c>
    </row>
    <row r="14" spans="1:19" x14ac:dyDescent="0.2">
      <c r="A14" s="305" t="s">
        <v>2107</v>
      </c>
      <c r="B14" s="306" t="s">
        <v>3942</v>
      </c>
      <c r="C14" s="307" t="s">
        <v>318</v>
      </c>
      <c r="D14" s="306" t="s">
        <v>153</v>
      </c>
      <c r="E14" s="305" t="s">
        <v>3798</v>
      </c>
      <c r="F14" s="308">
        <v>42123</v>
      </c>
      <c r="G14" s="315">
        <v>0</v>
      </c>
      <c r="H14" s="309">
        <v>0</v>
      </c>
      <c r="I14" s="309">
        <v>0</v>
      </c>
      <c r="J14" s="309">
        <v>0</v>
      </c>
      <c r="K14" s="309">
        <v>0</v>
      </c>
      <c r="L14" s="309">
        <v>0</v>
      </c>
      <c r="M14" s="315">
        <v>62</v>
      </c>
      <c r="N14" s="309">
        <v>0</v>
      </c>
      <c r="O14" s="309">
        <v>0</v>
      </c>
      <c r="P14" s="309">
        <v>0</v>
      </c>
      <c r="Q14" s="309">
        <v>0</v>
      </c>
      <c r="R14" s="317">
        <v>62</v>
      </c>
      <c r="S14" s="309">
        <v>-62</v>
      </c>
    </row>
    <row r="15" spans="1:19" x14ac:dyDescent="0.2">
      <c r="A15" s="305" t="s">
        <v>2319</v>
      </c>
      <c r="B15" s="306" t="s">
        <v>3948</v>
      </c>
      <c r="C15" s="307" t="s">
        <v>1304</v>
      </c>
      <c r="D15" s="306" t="s">
        <v>153</v>
      </c>
      <c r="E15" s="305" t="s">
        <v>3798</v>
      </c>
      <c r="F15" s="308">
        <v>42790</v>
      </c>
      <c r="G15" s="315">
        <v>0</v>
      </c>
      <c r="H15" s="309">
        <v>0</v>
      </c>
      <c r="I15" s="309">
        <v>0</v>
      </c>
      <c r="J15" s="309">
        <v>0</v>
      </c>
      <c r="K15" s="309">
        <v>0</v>
      </c>
      <c r="L15" s="309">
        <v>0</v>
      </c>
      <c r="M15" s="315">
        <v>690</v>
      </c>
      <c r="N15" s="309">
        <v>0</v>
      </c>
      <c r="O15" s="309">
        <v>0</v>
      </c>
      <c r="P15" s="309">
        <v>0</v>
      </c>
      <c r="Q15" s="309">
        <v>0</v>
      </c>
      <c r="R15" s="317">
        <v>690</v>
      </c>
      <c r="S15" s="309">
        <v>-690</v>
      </c>
    </row>
    <row r="16" spans="1:19" x14ac:dyDescent="0.2">
      <c r="A16" s="305" t="s">
        <v>2529</v>
      </c>
      <c r="B16" s="306" t="s">
        <v>150</v>
      </c>
      <c r="C16" s="307" t="s">
        <v>2530</v>
      </c>
      <c r="D16" s="306" t="s">
        <v>153</v>
      </c>
      <c r="E16" s="305" t="s">
        <v>3798</v>
      </c>
      <c r="F16" s="308">
        <v>43158</v>
      </c>
      <c r="G16" s="315">
        <v>0</v>
      </c>
      <c r="H16" s="309">
        <v>0</v>
      </c>
      <c r="I16" s="309">
        <v>0</v>
      </c>
      <c r="J16" s="309">
        <v>0</v>
      </c>
      <c r="K16" s="309">
        <v>0</v>
      </c>
      <c r="L16" s="309">
        <v>0</v>
      </c>
      <c r="M16" s="315">
        <v>0</v>
      </c>
      <c r="N16" s="309">
        <v>0</v>
      </c>
      <c r="O16" s="309">
        <v>0</v>
      </c>
      <c r="P16" s="309">
        <v>541</v>
      </c>
      <c r="Q16" s="309">
        <v>0</v>
      </c>
      <c r="R16" s="317">
        <v>541</v>
      </c>
      <c r="S16" s="309">
        <v>-541</v>
      </c>
    </row>
    <row r="17" spans="1:19" ht="22.5" x14ac:dyDescent="0.2">
      <c r="A17" s="305" t="s">
        <v>2654</v>
      </c>
      <c r="B17" s="306" t="s">
        <v>3943</v>
      </c>
      <c r="C17" s="307" t="s">
        <v>2655</v>
      </c>
      <c r="D17" s="306" t="s">
        <v>153</v>
      </c>
      <c r="E17" s="305" t="s">
        <v>3798</v>
      </c>
      <c r="F17" s="308">
        <v>43147</v>
      </c>
      <c r="G17" s="315">
        <v>66</v>
      </c>
      <c r="H17" s="309">
        <v>0</v>
      </c>
      <c r="I17" s="309">
        <v>0</v>
      </c>
      <c r="J17" s="309">
        <v>0</v>
      </c>
      <c r="K17" s="309">
        <v>0</v>
      </c>
      <c r="L17" s="309">
        <v>66</v>
      </c>
      <c r="M17" s="315">
        <v>0</v>
      </c>
      <c r="N17" s="309">
        <v>0</v>
      </c>
      <c r="O17" s="309">
        <v>0</v>
      </c>
      <c r="P17" s="309">
        <v>0</v>
      </c>
      <c r="Q17" s="309">
        <v>0</v>
      </c>
      <c r="R17" s="317">
        <v>0</v>
      </c>
      <c r="S17" s="309">
        <v>66</v>
      </c>
    </row>
    <row r="18" spans="1:19" x14ac:dyDescent="0.2">
      <c r="A18" s="305" t="s">
        <v>2409</v>
      </c>
      <c r="B18" s="306" t="s">
        <v>3946</v>
      </c>
      <c r="C18" s="307" t="s">
        <v>2410</v>
      </c>
      <c r="D18" s="306" t="s">
        <v>153</v>
      </c>
      <c r="E18" s="305" t="s">
        <v>3798</v>
      </c>
      <c r="F18" s="308">
        <v>42912</v>
      </c>
      <c r="G18" s="315">
        <v>199</v>
      </c>
      <c r="H18" s="309">
        <v>0</v>
      </c>
      <c r="I18" s="309">
        <v>0</v>
      </c>
      <c r="J18" s="309">
        <v>0</v>
      </c>
      <c r="K18" s="309">
        <v>0</v>
      </c>
      <c r="L18" s="309">
        <v>199</v>
      </c>
      <c r="M18" s="315">
        <v>499</v>
      </c>
      <c r="N18" s="309">
        <v>0</v>
      </c>
      <c r="O18" s="309">
        <v>0</v>
      </c>
      <c r="P18" s="309">
        <v>0</v>
      </c>
      <c r="Q18" s="309">
        <v>0</v>
      </c>
      <c r="R18" s="317">
        <v>499</v>
      </c>
      <c r="S18" s="309">
        <v>-300</v>
      </c>
    </row>
    <row r="19" spans="1:19" x14ac:dyDescent="0.2">
      <c r="A19" s="305" t="s">
        <v>1372</v>
      </c>
      <c r="B19" s="306" t="s">
        <v>3944</v>
      </c>
      <c r="C19" s="307" t="s">
        <v>240</v>
      </c>
      <c r="D19" s="306" t="s">
        <v>153</v>
      </c>
      <c r="E19" s="305" t="s">
        <v>3798</v>
      </c>
      <c r="F19" s="308">
        <v>41530</v>
      </c>
      <c r="G19" s="315">
        <v>91</v>
      </c>
      <c r="H19" s="309">
        <v>0</v>
      </c>
      <c r="I19" s="309">
        <v>0</v>
      </c>
      <c r="J19" s="309">
        <v>0</v>
      </c>
      <c r="K19" s="309">
        <v>0</v>
      </c>
      <c r="L19" s="309">
        <v>91</v>
      </c>
      <c r="M19" s="315">
        <v>0</v>
      </c>
      <c r="N19" s="309">
        <v>0</v>
      </c>
      <c r="O19" s="309">
        <v>0</v>
      </c>
      <c r="P19" s="309">
        <v>0</v>
      </c>
      <c r="Q19" s="309">
        <v>0</v>
      </c>
      <c r="R19" s="317">
        <v>0</v>
      </c>
      <c r="S19" s="309">
        <v>91</v>
      </c>
    </row>
    <row r="20" spans="1:19" x14ac:dyDescent="0.2">
      <c r="A20" s="305" t="s">
        <v>1472</v>
      </c>
      <c r="B20" s="306" t="s">
        <v>2907</v>
      </c>
      <c r="C20" s="307" t="s">
        <v>1080</v>
      </c>
      <c r="D20" s="306" t="s">
        <v>153</v>
      </c>
      <c r="E20" s="305" t="s">
        <v>3798</v>
      </c>
      <c r="F20" s="308">
        <v>42713</v>
      </c>
      <c r="G20" s="315">
        <v>360</v>
      </c>
      <c r="H20" s="309">
        <v>0</v>
      </c>
      <c r="I20" s="309">
        <v>0</v>
      </c>
      <c r="J20" s="309">
        <v>0</v>
      </c>
      <c r="K20" s="309">
        <v>0</v>
      </c>
      <c r="L20" s="309">
        <v>360</v>
      </c>
      <c r="M20" s="315">
        <v>0</v>
      </c>
      <c r="N20" s="309">
        <v>0</v>
      </c>
      <c r="O20" s="309">
        <v>0</v>
      </c>
      <c r="P20" s="309">
        <v>0</v>
      </c>
      <c r="Q20" s="309">
        <v>0</v>
      </c>
      <c r="R20" s="317">
        <v>0</v>
      </c>
      <c r="S20" s="309">
        <v>360</v>
      </c>
    </row>
    <row r="21" spans="1:19" x14ac:dyDescent="0.2">
      <c r="A21" s="305" t="s">
        <v>2491</v>
      </c>
      <c r="B21" s="306" t="s">
        <v>3947</v>
      </c>
      <c r="C21" s="307" t="s">
        <v>2492</v>
      </c>
      <c r="D21" s="306" t="s">
        <v>153</v>
      </c>
      <c r="E21" s="305" t="s">
        <v>3798</v>
      </c>
      <c r="F21" s="308">
        <v>42984</v>
      </c>
      <c r="G21" s="315">
        <v>0</v>
      </c>
      <c r="H21" s="309">
        <v>0</v>
      </c>
      <c r="I21" s="309">
        <v>0</v>
      </c>
      <c r="J21" s="309">
        <v>0</v>
      </c>
      <c r="K21" s="309">
        <v>73</v>
      </c>
      <c r="L21" s="309">
        <v>73</v>
      </c>
      <c r="M21" s="315">
        <v>0</v>
      </c>
      <c r="N21" s="309">
        <v>0</v>
      </c>
      <c r="O21" s="309">
        <v>0</v>
      </c>
      <c r="P21" s="309">
        <v>0</v>
      </c>
      <c r="Q21" s="309">
        <v>0</v>
      </c>
      <c r="R21" s="317">
        <v>0</v>
      </c>
      <c r="S21" s="309">
        <v>73</v>
      </c>
    </row>
    <row r="22" spans="1:19" x14ac:dyDescent="0.2">
      <c r="A22" s="305" t="s">
        <v>1989</v>
      </c>
      <c r="B22" s="306" t="s">
        <v>3950</v>
      </c>
      <c r="C22" s="307" t="s">
        <v>664</v>
      </c>
      <c r="D22" s="306" t="s">
        <v>153</v>
      </c>
      <c r="E22" s="305" t="s">
        <v>3798</v>
      </c>
      <c r="F22" s="308">
        <v>42667</v>
      </c>
      <c r="G22" s="315">
        <v>0</v>
      </c>
      <c r="H22" s="309">
        <v>0</v>
      </c>
      <c r="I22" s="309">
        <v>0</v>
      </c>
      <c r="J22" s="309">
        <v>0</v>
      </c>
      <c r="K22" s="309">
        <v>0</v>
      </c>
      <c r="L22" s="309">
        <v>0</v>
      </c>
      <c r="M22" s="315">
        <v>35</v>
      </c>
      <c r="N22" s="309">
        <v>0</v>
      </c>
      <c r="O22" s="309">
        <v>0</v>
      </c>
      <c r="P22" s="309">
        <v>0</v>
      </c>
      <c r="Q22" s="309">
        <v>0</v>
      </c>
      <c r="R22" s="317">
        <v>35</v>
      </c>
      <c r="S22" s="309">
        <v>-35</v>
      </c>
    </row>
    <row r="23" spans="1:19" x14ac:dyDescent="0.2">
      <c r="A23" s="305" t="s">
        <v>1404</v>
      </c>
      <c r="B23" s="306" t="s">
        <v>3942</v>
      </c>
      <c r="C23" s="307" t="s">
        <v>348</v>
      </c>
      <c r="D23" s="306" t="s">
        <v>153</v>
      </c>
      <c r="E23" s="305" t="s">
        <v>3798</v>
      </c>
      <c r="F23" s="308">
        <v>42094</v>
      </c>
      <c r="G23" s="315">
        <v>0</v>
      </c>
      <c r="H23" s="309">
        <v>0</v>
      </c>
      <c r="I23" s="309">
        <v>0</v>
      </c>
      <c r="J23" s="309">
        <v>0</v>
      </c>
      <c r="K23" s="309">
        <v>0</v>
      </c>
      <c r="L23" s="309">
        <v>0</v>
      </c>
      <c r="M23" s="315">
        <v>0</v>
      </c>
      <c r="N23" s="309">
        <v>0</v>
      </c>
      <c r="O23" s="309">
        <v>0</v>
      </c>
      <c r="P23" s="309">
        <v>0</v>
      </c>
      <c r="Q23" s="309">
        <v>48</v>
      </c>
      <c r="R23" s="317">
        <v>48</v>
      </c>
      <c r="S23" s="309">
        <v>-48</v>
      </c>
    </row>
    <row r="24" spans="1:19" x14ac:dyDescent="0.2">
      <c r="A24" s="305" t="s">
        <v>2355</v>
      </c>
      <c r="B24" s="306" t="s">
        <v>3952</v>
      </c>
      <c r="C24" s="307" t="s">
        <v>1101</v>
      </c>
      <c r="D24" s="306" t="s">
        <v>153</v>
      </c>
      <c r="E24" s="305" t="s">
        <v>3798</v>
      </c>
      <c r="F24" s="308">
        <v>42879</v>
      </c>
      <c r="G24" s="315">
        <v>124</v>
      </c>
      <c r="H24" s="309">
        <v>0</v>
      </c>
      <c r="I24" s="309">
        <v>0</v>
      </c>
      <c r="J24" s="309">
        <v>0</v>
      </c>
      <c r="K24" s="309">
        <v>0</v>
      </c>
      <c r="L24" s="309">
        <v>124</v>
      </c>
      <c r="M24" s="315">
        <v>224</v>
      </c>
      <c r="N24" s="309">
        <v>0</v>
      </c>
      <c r="O24" s="309">
        <v>0</v>
      </c>
      <c r="P24" s="309">
        <v>0</v>
      </c>
      <c r="Q24" s="309">
        <v>0</v>
      </c>
      <c r="R24" s="317">
        <v>224</v>
      </c>
      <c r="S24" s="309">
        <v>-100</v>
      </c>
    </row>
    <row r="25" spans="1:19" x14ac:dyDescent="0.2">
      <c r="A25" s="305" t="s">
        <v>2303</v>
      </c>
      <c r="B25" s="306" t="s">
        <v>3952</v>
      </c>
      <c r="C25" s="307" t="s">
        <v>1084</v>
      </c>
      <c r="D25" s="306" t="s">
        <v>153</v>
      </c>
      <c r="E25" s="305" t="s">
        <v>3798</v>
      </c>
      <c r="F25" s="308">
        <v>42704</v>
      </c>
      <c r="G25" s="315">
        <v>0</v>
      </c>
      <c r="H25" s="309">
        <v>0</v>
      </c>
      <c r="I25" s="309">
        <v>0</v>
      </c>
      <c r="J25" s="309">
        <v>0</v>
      </c>
      <c r="K25" s="309">
        <v>0</v>
      </c>
      <c r="L25" s="309">
        <v>0</v>
      </c>
      <c r="M25" s="315">
        <v>0</v>
      </c>
      <c r="N25" s="309">
        <v>0</v>
      </c>
      <c r="O25" s="309">
        <v>0</v>
      </c>
      <c r="P25" s="309">
        <v>0</v>
      </c>
      <c r="Q25" s="309">
        <v>131</v>
      </c>
      <c r="R25" s="317">
        <v>131</v>
      </c>
      <c r="S25" s="309">
        <v>-131</v>
      </c>
    </row>
    <row r="26" spans="1:19" ht="33.75" x14ac:dyDescent="0.2">
      <c r="A26" s="305" t="s">
        <v>2253</v>
      </c>
      <c r="B26" s="306" t="s">
        <v>3944</v>
      </c>
      <c r="C26" s="307" t="s">
        <v>1290</v>
      </c>
      <c r="D26" s="306" t="s">
        <v>153</v>
      </c>
      <c r="E26" s="305" t="s">
        <v>3798</v>
      </c>
      <c r="F26" s="308">
        <v>43069</v>
      </c>
      <c r="G26" s="315">
        <v>288</v>
      </c>
      <c r="H26" s="309">
        <v>0</v>
      </c>
      <c r="I26" s="309">
        <v>0</v>
      </c>
      <c r="J26" s="309">
        <v>0</v>
      </c>
      <c r="K26" s="309">
        <v>0</v>
      </c>
      <c r="L26" s="309">
        <v>288</v>
      </c>
      <c r="M26" s="315">
        <v>2866</v>
      </c>
      <c r="N26" s="309">
        <v>0</v>
      </c>
      <c r="O26" s="309">
        <v>0</v>
      </c>
      <c r="P26" s="309">
        <v>0</v>
      </c>
      <c r="Q26" s="309">
        <v>0</v>
      </c>
      <c r="R26" s="317">
        <v>2866</v>
      </c>
      <c r="S26" s="309">
        <v>-2578</v>
      </c>
    </row>
    <row r="27" spans="1:19" ht="33.75" x14ac:dyDescent="0.2">
      <c r="A27" s="305" t="s">
        <v>2247</v>
      </c>
      <c r="B27" s="306" t="s">
        <v>3940</v>
      </c>
      <c r="C27" s="307" t="s">
        <v>2248</v>
      </c>
      <c r="D27" s="306" t="s">
        <v>153</v>
      </c>
      <c r="E27" s="305" t="s">
        <v>3798</v>
      </c>
      <c r="F27" s="308">
        <v>43068</v>
      </c>
      <c r="G27" s="315">
        <v>0</v>
      </c>
      <c r="H27" s="309">
        <v>0</v>
      </c>
      <c r="I27" s="309">
        <v>0</v>
      </c>
      <c r="J27" s="309">
        <v>0</v>
      </c>
      <c r="K27" s="309">
        <v>0</v>
      </c>
      <c r="L27" s="309">
        <v>0</v>
      </c>
      <c r="M27" s="315">
        <v>0</v>
      </c>
      <c r="N27" s="309">
        <v>0</v>
      </c>
      <c r="O27" s="309">
        <v>0</v>
      </c>
      <c r="P27" s="309">
        <v>0</v>
      </c>
      <c r="Q27" s="309">
        <v>73</v>
      </c>
      <c r="R27" s="317">
        <v>73</v>
      </c>
      <c r="S27" s="309">
        <v>-73</v>
      </c>
    </row>
    <row r="28" spans="1:19" ht="22.5" x14ac:dyDescent="0.2">
      <c r="A28" s="305" t="s">
        <v>1955</v>
      </c>
      <c r="B28" s="306" t="s">
        <v>3951</v>
      </c>
      <c r="C28" s="307" t="s">
        <v>870</v>
      </c>
      <c r="D28" s="306" t="s">
        <v>153</v>
      </c>
      <c r="E28" s="305" t="s">
        <v>3798</v>
      </c>
      <c r="F28" s="308">
        <v>42634</v>
      </c>
      <c r="G28" s="315">
        <v>392</v>
      </c>
      <c r="H28" s="309">
        <v>0</v>
      </c>
      <c r="I28" s="309">
        <v>0</v>
      </c>
      <c r="J28" s="309">
        <v>0</v>
      </c>
      <c r="K28" s="309">
        <v>0</v>
      </c>
      <c r="L28" s="309">
        <v>392</v>
      </c>
      <c r="M28" s="315">
        <v>396</v>
      </c>
      <c r="N28" s="309">
        <v>0</v>
      </c>
      <c r="O28" s="309">
        <v>0</v>
      </c>
      <c r="P28" s="309">
        <v>0</v>
      </c>
      <c r="Q28" s="309">
        <v>0</v>
      </c>
      <c r="R28" s="317">
        <v>396</v>
      </c>
      <c r="S28" s="309">
        <v>-4</v>
      </c>
    </row>
    <row r="29" spans="1:19" x14ac:dyDescent="0.2">
      <c r="A29" s="305" t="s">
        <v>1921</v>
      </c>
      <c r="B29" s="306" t="s">
        <v>3947</v>
      </c>
      <c r="C29" s="307" t="s">
        <v>613</v>
      </c>
      <c r="D29" s="306" t="s">
        <v>153</v>
      </c>
      <c r="E29" s="305" t="s">
        <v>3798</v>
      </c>
      <c r="F29" s="308">
        <v>42451</v>
      </c>
      <c r="G29" s="315">
        <v>0</v>
      </c>
      <c r="H29" s="309">
        <v>0</v>
      </c>
      <c r="I29" s="309">
        <v>0</v>
      </c>
      <c r="J29" s="309">
        <v>186</v>
      </c>
      <c r="K29" s="309">
        <v>0</v>
      </c>
      <c r="L29" s="309">
        <v>186</v>
      </c>
      <c r="M29" s="315">
        <v>0</v>
      </c>
      <c r="N29" s="309">
        <v>0</v>
      </c>
      <c r="O29" s="309">
        <v>0</v>
      </c>
      <c r="P29" s="309">
        <v>0</v>
      </c>
      <c r="Q29" s="309">
        <v>186</v>
      </c>
      <c r="R29" s="317">
        <v>186</v>
      </c>
      <c r="S29" s="309">
        <v>0</v>
      </c>
    </row>
    <row r="30" spans="1:19" x14ac:dyDescent="0.2">
      <c r="A30" s="305" t="s">
        <v>1823</v>
      </c>
      <c r="B30" s="306" t="s">
        <v>3951</v>
      </c>
      <c r="C30" s="307" t="s">
        <v>714</v>
      </c>
      <c r="D30" s="306" t="s">
        <v>153</v>
      </c>
      <c r="E30" s="305" t="s">
        <v>3798</v>
      </c>
      <c r="F30" s="308">
        <v>42482</v>
      </c>
      <c r="G30" s="315">
        <v>327</v>
      </c>
      <c r="H30" s="309">
        <v>0</v>
      </c>
      <c r="I30" s="309">
        <v>0</v>
      </c>
      <c r="J30" s="309">
        <v>0</v>
      </c>
      <c r="K30" s="309">
        <v>0</v>
      </c>
      <c r="L30" s="309">
        <v>327</v>
      </c>
      <c r="M30" s="315">
        <v>327</v>
      </c>
      <c r="N30" s="309">
        <v>0</v>
      </c>
      <c r="O30" s="309">
        <v>0</v>
      </c>
      <c r="P30" s="309">
        <v>0</v>
      </c>
      <c r="Q30" s="309">
        <v>0</v>
      </c>
      <c r="R30" s="317">
        <v>327</v>
      </c>
      <c r="S30" s="309">
        <v>0</v>
      </c>
    </row>
    <row r="31" spans="1:19" ht="33.75" x14ac:dyDescent="0.2">
      <c r="A31" s="305" t="s">
        <v>2293</v>
      </c>
      <c r="B31" s="306" t="s">
        <v>3947</v>
      </c>
      <c r="C31" s="307" t="s">
        <v>673</v>
      </c>
      <c r="D31" s="306" t="s">
        <v>153</v>
      </c>
      <c r="E31" s="305" t="s">
        <v>3798</v>
      </c>
      <c r="F31" s="308">
        <v>42674</v>
      </c>
      <c r="G31" s="315">
        <v>61</v>
      </c>
      <c r="H31" s="309">
        <v>0</v>
      </c>
      <c r="I31" s="309">
        <v>0</v>
      </c>
      <c r="J31" s="309">
        <v>0</v>
      </c>
      <c r="K31" s="309">
        <v>0</v>
      </c>
      <c r="L31" s="309">
        <v>61</v>
      </c>
      <c r="M31" s="315">
        <v>0</v>
      </c>
      <c r="N31" s="309">
        <v>0</v>
      </c>
      <c r="O31" s="309">
        <v>0</v>
      </c>
      <c r="P31" s="309">
        <v>0</v>
      </c>
      <c r="Q31" s="309">
        <v>0</v>
      </c>
      <c r="R31" s="317">
        <v>0</v>
      </c>
      <c r="S31" s="309">
        <v>61</v>
      </c>
    </row>
    <row r="32" spans="1:19" x14ac:dyDescent="0.2">
      <c r="A32" s="305" t="s">
        <v>1935</v>
      </c>
      <c r="B32" s="306" t="s">
        <v>3950</v>
      </c>
      <c r="C32" s="307" t="s">
        <v>1064</v>
      </c>
      <c r="D32" s="306" t="s">
        <v>153</v>
      </c>
      <c r="E32" s="305" t="s">
        <v>3798</v>
      </c>
      <c r="F32" s="308">
        <v>42724</v>
      </c>
      <c r="G32" s="315">
        <v>0</v>
      </c>
      <c r="H32" s="309">
        <v>0</v>
      </c>
      <c r="I32" s="309">
        <v>160</v>
      </c>
      <c r="J32" s="309">
        <v>0</v>
      </c>
      <c r="K32" s="309">
        <v>0</v>
      </c>
      <c r="L32" s="309">
        <v>160</v>
      </c>
      <c r="M32" s="315">
        <v>0</v>
      </c>
      <c r="N32" s="309">
        <v>0</v>
      </c>
      <c r="O32" s="309">
        <v>80</v>
      </c>
      <c r="P32" s="309">
        <v>0</v>
      </c>
      <c r="Q32" s="309">
        <v>0</v>
      </c>
      <c r="R32" s="317">
        <v>80</v>
      </c>
      <c r="S32" s="309">
        <v>80</v>
      </c>
    </row>
    <row r="33" spans="1:19" ht="22.5" x14ac:dyDescent="0.2">
      <c r="A33" s="305" t="s">
        <v>1487</v>
      </c>
      <c r="B33" s="306" t="s">
        <v>3952</v>
      </c>
      <c r="C33" s="307" t="s">
        <v>859</v>
      </c>
      <c r="D33" s="306" t="s">
        <v>153</v>
      </c>
      <c r="E33" s="305" t="s">
        <v>3798</v>
      </c>
      <c r="F33" s="308">
        <v>42641</v>
      </c>
      <c r="G33" s="315">
        <v>0</v>
      </c>
      <c r="H33" s="309">
        <v>0</v>
      </c>
      <c r="I33" s="309">
        <v>0</v>
      </c>
      <c r="J33" s="309">
        <v>0</v>
      </c>
      <c r="K33" s="309">
        <v>0</v>
      </c>
      <c r="L33" s="309">
        <v>0</v>
      </c>
      <c r="M33" s="315">
        <v>62</v>
      </c>
      <c r="N33" s="309">
        <v>0</v>
      </c>
      <c r="O33" s="309">
        <v>0</v>
      </c>
      <c r="P33" s="309">
        <v>0</v>
      </c>
      <c r="Q33" s="309">
        <v>0</v>
      </c>
      <c r="R33" s="317">
        <v>62</v>
      </c>
      <c r="S33" s="309">
        <v>-62</v>
      </c>
    </row>
    <row r="34" spans="1:19" x14ac:dyDescent="0.2">
      <c r="A34" s="305" t="s">
        <v>2395</v>
      </c>
      <c r="B34" s="306" t="s">
        <v>3946</v>
      </c>
      <c r="C34" s="307" t="s">
        <v>1200</v>
      </c>
      <c r="D34" s="306" t="s">
        <v>153</v>
      </c>
      <c r="E34" s="305" t="s">
        <v>3798</v>
      </c>
      <c r="F34" s="308">
        <v>42909</v>
      </c>
      <c r="G34" s="315">
        <v>91</v>
      </c>
      <c r="H34" s="309">
        <v>0</v>
      </c>
      <c r="I34" s="309">
        <v>0</v>
      </c>
      <c r="J34" s="309">
        <v>0</v>
      </c>
      <c r="K34" s="309">
        <v>0</v>
      </c>
      <c r="L34" s="309">
        <v>91</v>
      </c>
      <c r="M34" s="315">
        <v>0</v>
      </c>
      <c r="N34" s="309">
        <v>0</v>
      </c>
      <c r="O34" s="309">
        <v>0</v>
      </c>
      <c r="P34" s="309">
        <v>0</v>
      </c>
      <c r="Q34" s="309">
        <v>0</v>
      </c>
      <c r="R34" s="317">
        <v>0</v>
      </c>
      <c r="S34" s="309">
        <v>91</v>
      </c>
    </row>
    <row r="35" spans="1:19" x14ac:dyDescent="0.2">
      <c r="A35" s="305" t="s">
        <v>2019</v>
      </c>
      <c r="B35" s="306" t="s">
        <v>3948</v>
      </c>
      <c r="C35" s="307" t="s">
        <v>389</v>
      </c>
      <c r="D35" s="306" t="s">
        <v>153</v>
      </c>
      <c r="E35" s="305" t="s">
        <v>3798</v>
      </c>
      <c r="F35" s="308">
        <v>41780</v>
      </c>
      <c r="G35" s="315">
        <v>0</v>
      </c>
      <c r="H35" s="309">
        <v>0</v>
      </c>
      <c r="I35" s="309">
        <v>0</v>
      </c>
      <c r="J35" s="309">
        <v>0</v>
      </c>
      <c r="K35" s="309">
        <v>0</v>
      </c>
      <c r="L35" s="309">
        <v>0</v>
      </c>
      <c r="M35" s="315">
        <v>13</v>
      </c>
      <c r="N35" s="309">
        <v>0</v>
      </c>
      <c r="O35" s="309">
        <v>0</v>
      </c>
      <c r="P35" s="309">
        <v>0</v>
      </c>
      <c r="Q35" s="309">
        <v>0</v>
      </c>
      <c r="R35" s="317">
        <v>13</v>
      </c>
      <c r="S35" s="309">
        <v>-13</v>
      </c>
    </row>
    <row r="36" spans="1:19" x14ac:dyDescent="0.2">
      <c r="A36" s="305" t="s">
        <v>1950</v>
      </c>
      <c r="B36" s="306" t="s">
        <v>3944</v>
      </c>
      <c r="C36" s="307" t="s">
        <v>523</v>
      </c>
      <c r="D36" s="306" t="s">
        <v>153</v>
      </c>
      <c r="E36" s="305" t="s">
        <v>3798</v>
      </c>
      <c r="F36" s="308">
        <v>42396</v>
      </c>
      <c r="G36" s="315">
        <v>0</v>
      </c>
      <c r="H36" s="309">
        <v>0</v>
      </c>
      <c r="I36" s="309">
        <v>0</v>
      </c>
      <c r="J36" s="309">
        <v>0</v>
      </c>
      <c r="K36" s="309">
        <v>0</v>
      </c>
      <c r="L36" s="309">
        <v>0</v>
      </c>
      <c r="M36" s="315">
        <v>88</v>
      </c>
      <c r="N36" s="309">
        <v>0</v>
      </c>
      <c r="O36" s="309">
        <v>54</v>
      </c>
      <c r="P36" s="309">
        <v>0</v>
      </c>
      <c r="Q36" s="309">
        <v>45</v>
      </c>
      <c r="R36" s="317">
        <v>187</v>
      </c>
      <c r="S36" s="309">
        <v>-187</v>
      </c>
    </row>
    <row r="37" spans="1:19" x14ac:dyDescent="0.2">
      <c r="A37" s="305" t="s">
        <v>2271</v>
      </c>
      <c r="B37" s="306" t="s">
        <v>149</v>
      </c>
      <c r="C37" s="307" t="s">
        <v>2272</v>
      </c>
      <c r="D37" s="306" t="s">
        <v>153</v>
      </c>
      <c r="E37" s="305" t="s">
        <v>3798</v>
      </c>
      <c r="F37" s="308">
        <v>43032</v>
      </c>
      <c r="G37" s="315">
        <v>0</v>
      </c>
      <c r="H37" s="309">
        <v>0</v>
      </c>
      <c r="I37" s="309">
        <v>0</v>
      </c>
      <c r="J37" s="309">
        <v>0</v>
      </c>
      <c r="K37" s="309">
        <v>0</v>
      </c>
      <c r="L37" s="309">
        <v>0</v>
      </c>
      <c r="M37" s="315">
        <v>0</v>
      </c>
      <c r="N37" s="309">
        <v>0</v>
      </c>
      <c r="O37" s="309">
        <v>196</v>
      </c>
      <c r="P37" s="309">
        <v>0</v>
      </c>
      <c r="Q37" s="309">
        <v>0</v>
      </c>
      <c r="R37" s="317">
        <v>196</v>
      </c>
      <c r="S37" s="309">
        <v>-196</v>
      </c>
    </row>
    <row r="38" spans="1:19" x14ac:dyDescent="0.2">
      <c r="A38" s="305" t="s">
        <v>2521</v>
      </c>
      <c r="B38" s="306" t="s">
        <v>149</v>
      </c>
      <c r="C38" s="307" t="s">
        <v>2522</v>
      </c>
      <c r="D38" s="306" t="s">
        <v>153</v>
      </c>
      <c r="E38" s="305" t="s">
        <v>3798</v>
      </c>
      <c r="F38" s="308">
        <v>43063</v>
      </c>
      <c r="G38" s="315">
        <v>76</v>
      </c>
      <c r="H38" s="309">
        <v>0</v>
      </c>
      <c r="I38" s="309">
        <v>0</v>
      </c>
      <c r="J38" s="309">
        <v>0</v>
      </c>
      <c r="K38" s="309">
        <v>0</v>
      </c>
      <c r="L38" s="309">
        <v>76</v>
      </c>
      <c r="M38" s="315">
        <v>0</v>
      </c>
      <c r="N38" s="309">
        <v>0</v>
      </c>
      <c r="O38" s="309">
        <v>0</v>
      </c>
      <c r="P38" s="309">
        <v>121</v>
      </c>
      <c r="Q38" s="309">
        <v>0</v>
      </c>
      <c r="R38" s="317">
        <v>121</v>
      </c>
      <c r="S38" s="309">
        <v>-45</v>
      </c>
    </row>
    <row r="39" spans="1:19" x14ac:dyDescent="0.2">
      <c r="A39" s="305" t="s">
        <v>1740</v>
      </c>
      <c r="B39" s="306" t="s">
        <v>3952</v>
      </c>
      <c r="C39" s="307" t="s">
        <v>1741</v>
      </c>
      <c r="D39" s="306" t="s">
        <v>153</v>
      </c>
      <c r="E39" s="305" t="s">
        <v>3798</v>
      </c>
      <c r="F39" s="308">
        <v>42989</v>
      </c>
      <c r="G39" s="315">
        <v>80</v>
      </c>
      <c r="H39" s="309">
        <v>0</v>
      </c>
      <c r="I39" s="309">
        <v>0</v>
      </c>
      <c r="J39" s="309">
        <v>0</v>
      </c>
      <c r="K39" s="309">
        <v>0</v>
      </c>
      <c r="L39" s="309">
        <v>80</v>
      </c>
      <c r="M39" s="315">
        <v>0</v>
      </c>
      <c r="N39" s="309">
        <v>0</v>
      </c>
      <c r="O39" s="309">
        <v>0</v>
      </c>
      <c r="P39" s="309">
        <v>0</v>
      </c>
      <c r="Q39" s="309">
        <v>0</v>
      </c>
      <c r="R39" s="317">
        <v>0</v>
      </c>
      <c r="S39" s="309">
        <v>80</v>
      </c>
    </row>
    <row r="40" spans="1:19" ht="22.5" x14ac:dyDescent="0.2">
      <c r="A40" s="305" t="s">
        <v>2147</v>
      </c>
      <c r="B40" s="306" t="s">
        <v>3946</v>
      </c>
      <c r="C40" s="307" t="s">
        <v>866</v>
      </c>
      <c r="D40" s="306" t="s">
        <v>153</v>
      </c>
      <c r="E40" s="305" t="s">
        <v>3798</v>
      </c>
      <c r="F40" s="308">
        <v>42543</v>
      </c>
      <c r="G40" s="315">
        <v>0</v>
      </c>
      <c r="H40" s="309">
        <v>0</v>
      </c>
      <c r="I40" s="309">
        <v>0</v>
      </c>
      <c r="J40" s="309">
        <v>0</v>
      </c>
      <c r="K40" s="309">
        <v>0</v>
      </c>
      <c r="L40" s="309">
        <v>0</v>
      </c>
      <c r="M40" s="315">
        <v>54</v>
      </c>
      <c r="N40" s="309">
        <v>0</v>
      </c>
      <c r="O40" s="309">
        <v>0</v>
      </c>
      <c r="P40" s="309">
        <v>0</v>
      </c>
      <c r="Q40" s="309">
        <v>0</v>
      </c>
      <c r="R40" s="317">
        <v>54</v>
      </c>
      <c r="S40" s="309">
        <v>-54</v>
      </c>
    </row>
    <row r="41" spans="1:19" x14ac:dyDescent="0.2">
      <c r="A41" s="305" t="s">
        <v>1464</v>
      </c>
      <c r="B41" s="306" t="s">
        <v>2904</v>
      </c>
      <c r="C41" s="307" t="s">
        <v>1166</v>
      </c>
      <c r="D41" s="306" t="s">
        <v>153</v>
      </c>
      <c r="E41" s="305" t="s">
        <v>3798</v>
      </c>
      <c r="F41" s="308">
        <v>42879</v>
      </c>
      <c r="G41" s="315">
        <v>67</v>
      </c>
      <c r="H41" s="309">
        <v>0</v>
      </c>
      <c r="I41" s="309">
        <v>0</v>
      </c>
      <c r="J41" s="309">
        <v>0</v>
      </c>
      <c r="K41" s="309">
        <v>0</v>
      </c>
      <c r="L41" s="309">
        <v>67</v>
      </c>
      <c r="M41" s="315">
        <v>0</v>
      </c>
      <c r="N41" s="309">
        <v>0</v>
      </c>
      <c r="O41" s="309">
        <v>0</v>
      </c>
      <c r="P41" s="309">
        <v>0</v>
      </c>
      <c r="Q41" s="309">
        <v>0</v>
      </c>
      <c r="R41" s="317">
        <v>0</v>
      </c>
      <c r="S41" s="309">
        <v>67</v>
      </c>
    </row>
    <row r="42" spans="1:19" ht="22.5" x14ac:dyDescent="0.2">
      <c r="A42" s="305" t="s">
        <v>1704</v>
      </c>
      <c r="B42" s="306" t="s">
        <v>3946</v>
      </c>
      <c r="C42" s="307" t="s">
        <v>307</v>
      </c>
      <c r="D42" s="306" t="s">
        <v>153</v>
      </c>
      <c r="E42" s="305" t="s">
        <v>3798</v>
      </c>
      <c r="F42" s="308">
        <v>42489</v>
      </c>
      <c r="G42" s="315">
        <v>0</v>
      </c>
      <c r="H42" s="309">
        <v>0</v>
      </c>
      <c r="I42" s="309">
        <v>0</v>
      </c>
      <c r="J42" s="309">
        <v>0</v>
      </c>
      <c r="K42" s="309">
        <v>0</v>
      </c>
      <c r="L42" s="309">
        <v>0</v>
      </c>
      <c r="M42" s="315">
        <v>128</v>
      </c>
      <c r="N42" s="309">
        <v>0</v>
      </c>
      <c r="O42" s="309">
        <v>0</v>
      </c>
      <c r="P42" s="309">
        <v>0</v>
      </c>
      <c r="Q42" s="309">
        <v>0</v>
      </c>
      <c r="R42" s="317">
        <v>128</v>
      </c>
      <c r="S42" s="309">
        <v>-128</v>
      </c>
    </row>
    <row r="43" spans="1:19" x14ac:dyDescent="0.2">
      <c r="A43" s="305" t="s">
        <v>1956</v>
      </c>
      <c r="B43" s="306" t="s">
        <v>150</v>
      </c>
      <c r="C43" s="307" t="s">
        <v>1017</v>
      </c>
      <c r="D43" s="306" t="s">
        <v>153</v>
      </c>
      <c r="E43" s="305" t="s">
        <v>3798</v>
      </c>
      <c r="F43" s="308">
        <v>42873</v>
      </c>
      <c r="G43" s="315">
        <v>0</v>
      </c>
      <c r="H43" s="309">
        <v>0</v>
      </c>
      <c r="I43" s="309">
        <v>0</v>
      </c>
      <c r="J43" s="309">
        <v>0</v>
      </c>
      <c r="K43" s="309">
        <v>0</v>
      </c>
      <c r="L43" s="309">
        <v>0</v>
      </c>
      <c r="M43" s="315">
        <v>0</v>
      </c>
      <c r="N43" s="309">
        <v>0</v>
      </c>
      <c r="O43" s="309">
        <v>95</v>
      </c>
      <c r="P43" s="309">
        <v>0</v>
      </c>
      <c r="Q43" s="309">
        <v>0</v>
      </c>
      <c r="R43" s="317">
        <v>95</v>
      </c>
      <c r="S43" s="309">
        <v>-95</v>
      </c>
    </row>
    <row r="44" spans="1:19" ht="22.5" x14ac:dyDescent="0.2">
      <c r="A44" s="305" t="s">
        <v>1477</v>
      </c>
      <c r="B44" s="306" t="s">
        <v>3942</v>
      </c>
      <c r="C44" s="307" t="s">
        <v>1478</v>
      </c>
      <c r="D44" s="306" t="s">
        <v>153</v>
      </c>
      <c r="E44" s="305" t="s">
        <v>3798</v>
      </c>
      <c r="F44" s="308">
        <v>43040</v>
      </c>
      <c r="G44" s="315">
        <v>70</v>
      </c>
      <c r="H44" s="309">
        <v>0</v>
      </c>
      <c r="I44" s="309">
        <v>0</v>
      </c>
      <c r="J44" s="309">
        <v>0</v>
      </c>
      <c r="K44" s="309">
        <v>0</v>
      </c>
      <c r="L44" s="309">
        <v>70</v>
      </c>
      <c r="M44" s="315">
        <v>0</v>
      </c>
      <c r="N44" s="309">
        <v>0</v>
      </c>
      <c r="O44" s="309">
        <v>0</v>
      </c>
      <c r="P44" s="309">
        <v>31</v>
      </c>
      <c r="Q44" s="309">
        <v>0</v>
      </c>
      <c r="R44" s="317">
        <v>31</v>
      </c>
      <c r="S44" s="309">
        <v>39</v>
      </c>
    </row>
    <row r="45" spans="1:19" x14ac:dyDescent="0.2">
      <c r="A45" s="305" t="s">
        <v>1815</v>
      </c>
      <c r="B45" s="306" t="s">
        <v>3944</v>
      </c>
      <c r="C45" s="307" t="s">
        <v>608</v>
      </c>
      <c r="D45" s="306" t="s">
        <v>153</v>
      </c>
      <c r="E45" s="305" t="s">
        <v>3798</v>
      </c>
      <c r="F45" s="308">
        <v>42446</v>
      </c>
      <c r="G45" s="315">
        <v>80</v>
      </c>
      <c r="H45" s="309">
        <v>0</v>
      </c>
      <c r="I45" s="309">
        <v>0</v>
      </c>
      <c r="J45" s="309">
        <v>0</v>
      </c>
      <c r="K45" s="309">
        <v>0</v>
      </c>
      <c r="L45" s="309">
        <v>80</v>
      </c>
      <c r="M45" s="315">
        <v>0</v>
      </c>
      <c r="N45" s="309">
        <v>0</v>
      </c>
      <c r="O45" s="309">
        <v>0</v>
      </c>
      <c r="P45" s="309">
        <v>0</v>
      </c>
      <c r="Q45" s="309">
        <v>0</v>
      </c>
      <c r="R45" s="317">
        <v>0</v>
      </c>
      <c r="S45" s="309">
        <v>80</v>
      </c>
    </row>
    <row r="46" spans="1:19" x14ac:dyDescent="0.2">
      <c r="A46" s="305" t="s">
        <v>2211</v>
      </c>
      <c r="B46" s="306" t="s">
        <v>3942</v>
      </c>
      <c r="C46" s="307" t="s">
        <v>624</v>
      </c>
      <c r="D46" s="306" t="s">
        <v>153</v>
      </c>
      <c r="E46" s="305" t="s">
        <v>3798</v>
      </c>
      <c r="F46" s="308">
        <v>42527</v>
      </c>
      <c r="G46" s="315">
        <v>0</v>
      </c>
      <c r="H46" s="309">
        <v>0</v>
      </c>
      <c r="I46" s="309">
        <v>0</v>
      </c>
      <c r="J46" s="309">
        <v>0</v>
      </c>
      <c r="K46" s="309">
        <v>0</v>
      </c>
      <c r="L46" s="309">
        <v>0</v>
      </c>
      <c r="M46" s="315">
        <v>43</v>
      </c>
      <c r="N46" s="309">
        <v>0</v>
      </c>
      <c r="O46" s="309">
        <v>0</v>
      </c>
      <c r="P46" s="309">
        <v>0</v>
      </c>
      <c r="Q46" s="309">
        <v>0</v>
      </c>
      <c r="R46" s="317">
        <v>43</v>
      </c>
      <c r="S46" s="309">
        <v>-43</v>
      </c>
    </row>
    <row r="47" spans="1:19" x14ac:dyDescent="0.2">
      <c r="A47" s="305" t="s">
        <v>2604</v>
      </c>
      <c r="B47" s="306" t="s">
        <v>3951</v>
      </c>
      <c r="C47" s="307" t="s">
        <v>2605</v>
      </c>
      <c r="D47" s="306" t="s">
        <v>153</v>
      </c>
      <c r="E47" s="305" t="s">
        <v>3798</v>
      </c>
      <c r="F47" s="308">
        <v>43153</v>
      </c>
      <c r="G47" s="315">
        <v>0</v>
      </c>
      <c r="H47" s="309">
        <v>0</v>
      </c>
      <c r="I47" s="309">
        <v>0</v>
      </c>
      <c r="J47" s="309">
        <v>0</v>
      </c>
      <c r="K47" s="309">
        <v>0</v>
      </c>
      <c r="L47" s="309">
        <v>0</v>
      </c>
      <c r="M47" s="315">
        <v>17</v>
      </c>
      <c r="N47" s="309">
        <v>0</v>
      </c>
      <c r="O47" s="309">
        <v>0</v>
      </c>
      <c r="P47" s="309">
        <v>0</v>
      </c>
      <c r="Q47" s="309">
        <v>0</v>
      </c>
      <c r="R47" s="317">
        <v>17</v>
      </c>
      <c r="S47" s="309">
        <v>-17</v>
      </c>
    </row>
    <row r="48" spans="1:19" x14ac:dyDescent="0.2">
      <c r="A48" s="305" t="s">
        <v>2206</v>
      </c>
      <c r="B48" s="306" t="s">
        <v>3949</v>
      </c>
      <c r="C48" s="307" t="s">
        <v>807</v>
      </c>
      <c r="D48" s="306" t="s">
        <v>153</v>
      </c>
      <c r="E48" s="305" t="s">
        <v>3798</v>
      </c>
      <c r="F48" s="308">
        <v>42537</v>
      </c>
      <c r="G48" s="315">
        <v>0</v>
      </c>
      <c r="H48" s="309">
        <v>0</v>
      </c>
      <c r="I48" s="309">
        <v>0</v>
      </c>
      <c r="J48" s="309">
        <v>0</v>
      </c>
      <c r="K48" s="309">
        <v>0</v>
      </c>
      <c r="L48" s="309">
        <v>0</v>
      </c>
      <c r="M48" s="315">
        <v>0</v>
      </c>
      <c r="N48" s="309">
        <v>0</v>
      </c>
      <c r="O48" s="309">
        <v>0</v>
      </c>
      <c r="P48" s="309">
        <v>0</v>
      </c>
      <c r="Q48" s="309">
        <v>83</v>
      </c>
      <c r="R48" s="317">
        <v>83</v>
      </c>
      <c r="S48" s="309">
        <v>-83</v>
      </c>
    </row>
    <row r="49" spans="1:19" ht="22.5" x14ac:dyDescent="0.2">
      <c r="A49" s="305" t="s">
        <v>2164</v>
      </c>
      <c r="B49" s="306" t="s">
        <v>3952</v>
      </c>
      <c r="C49" s="307" t="s">
        <v>547</v>
      </c>
      <c r="D49" s="306" t="s">
        <v>153</v>
      </c>
      <c r="E49" s="305" t="s">
        <v>3798</v>
      </c>
      <c r="F49" s="308">
        <v>42381</v>
      </c>
      <c r="G49" s="315">
        <v>0</v>
      </c>
      <c r="H49" s="309">
        <v>0</v>
      </c>
      <c r="I49" s="309">
        <v>0</v>
      </c>
      <c r="J49" s="309">
        <v>0</v>
      </c>
      <c r="K49" s="309">
        <v>0</v>
      </c>
      <c r="L49" s="309">
        <v>0</v>
      </c>
      <c r="M49" s="315">
        <v>0</v>
      </c>
      <c r="N49" s="309">
        <v>0</v>
      </c>
      <c r="O49" s="309">
        <v>0</v>
      </c>
      <c r="P49" s="309">
        <v>0</v>
      </c>
      <c r="Q49" s="309">
        <v>49</v>
      </c>
      <c r="R49" s="317">
        <v>49</v>
      </c>
      <c r="S49" s="309">
        <v>-49</v>
      </c>
    </row>
    <row r="50" spans="1:19" x14ac:dyDescent="0.2">
      <c r="A50" s="305" t="s">
        <v>1976</v>
      </c>
      <c r="B50" s="306" t="s">
        <v>3947</v>
      </c>
      <c r="C50" s="307" t="s">
        <v>627</v>
      </c>
      <c r="D50" s="306" t="s">
        <v>153</v>
      </c>
      <c r="E50" s="305" t="s">
        <v>3798</v>
      </c>
      <c r="F50" s="308">
        <v>42614</v>
      </c>
      <c r="G50" s="315">
        <v>0</v>
      </c>
      <c r="H50" s="309">
        <v>0</v>
      </c>
      <c r="I50" s="309">
        <v>0</v>
      </c>
      <c r="J50" s="309">
        <v>0</v>
      </c>
      <c r="K50" s="309">
        <v>0</v>
      </c>
      <c r="L50" s="309">
        <v>0</v>
      </c>
      <c r="M50" s="315">
        <v>540</v>
      </c>
      <c r="N50" s="309">
        <v>0</v>
      </c>
      <c r="O50" s="309">
        <v>0</v>
      </c>
      <c r="P50" s="309">
        <v>0</v>
      </c>
      <c r="Q50" s="309">
        <v>0</v>
      </c>
      <c r="R50" s="317">
        <v>540</v>
      </c>
      <c r="S50" s="309">
        <v>-540</v>
      </c>
    </row>
    <row r="51" spans="1:19" x14ac:dyDescent="0.2">
      <c r="A51" s="305" t="s">
        <v>1768</v>
      </c>
      <c r="B51" s="306" t="s">
        <v>149</v>
      </c>
      <c r="C51" s="307" t="s">
        <v>751</v>
      </c>
      <c r="D51" s="306" t="s">
        <v>153</v>
      </c>
      <c r="E51" s="305" t="s">
        <v>3798</v>
      </c>
      <c r="F51" s="308">
        <v>42212</v>
      </c>
      <c r="G51" s="315">
        <v>0</v>
      </c>
      <c r="H51" s="309">
        <v>0</v>
      </c>
      <c r="I51" s="309">
        <v>0</v>
      </c>
      <c r="J51" s="309">
        <v>0</v>
      </c>
      <c r="K51" s="309">
        <v>18</v>
      </c>
      <c r="L51" s="309">
        <v>18</v>
      </c>
      <c r="M51" s="315">
        <v>0</v>
      </c>
      <c r="N51" s="309">
        <v>0</v>
      </c>
      <c r="O51" s="309">
        <v>0</v>
      </c>
      <c r="P51" s="309">
        <v>0</v>
      </c>
      <c r="Q51" s="309">
        <v>0</v>
      </c>
      <c r="R51" s="317">
        <v>0</v>
      </c>
      <c r="S51" s="309">
        <v>18</v>
      </c>
    </row>
    <row r="52" spans="1:19" x14ac:dyDescent="0.2">
      <c r="A52" s="305" t="s">
        <v>1743</v>
      </c>
      <c r="B52" s="306" t="s">
        <v>3943</v>
      </c>
      <c r="C52" s="307" t="s">
        <v>267</v>
      </c>
      <c r="D52" s="306" t="s">
        <v>153</v>
      </c>
      <c r="E52" s="305" t="s">
        <v>3798</v>
      </c>
      <c r="F52" s="308">
        <v>42345</v>
      </c>
      <c r="G52" s="315">
        <v>2036</v>
      </c>
      <c r="H52" s="309">
        <v>0</v>
      </c>
      <c r="I52" s="309">
        <v>0</v>
      </c>
      <c r="J52" s="309">
        <v>0</v>
      </c>
      <c r="K52" s="309">
        <v>0</v>
      </c>
      <c r="L52" s="309">
        <v>2036</v>
      </c>
      <c r="M52" s="315">
        <v>0</v>
      </c>
      <c r="N52" s="309">
        <v>0</v>
      </c>
      <c r="O52" s="309">
        <v>0</v>
      </c>
      <c r="P52" s="309">
        <v>0</v>
      </c>
      <c r="Q52" s="309">
        <v>0</v>
      </c>
      <c r="R52" s="317">
        <v>0</v>
      </c>
      <c r="S52" s="309">
        <v>2036</v>
      </c>
    </row>
    <row r="53" spans="1:19" x14ac:dyDescent="0.2">
      <c r="A53" s="305"/>
      <c r="B53" s="306"/>
      <c r="C53" s="307" t="s">
        <v>790</v>
      </c>
      <c r="D53" s="306" t="s">
        <v>153</v>
      </c>
      <c r="E53" s="305" t="s">
        <v>3798</v>
      </c>
      <c r="F53" s="308">
        <v>42423</v>
      </c>
      <c r="G53" s="315">
        <v>669</v>
      </c>
      <c r="H53" s="309">
        <v>0</v>
      </c>
      <c r="I53" s="309">
        <v>0</v>
      </c>
      <c r="J53" s="309">
        <v>0</v>
      </c>
      <c r="K53" s="309">
        <v>0</v>
      </c>
      <c r="L53" s="309">
        <v>669</v>
      </c>
      <c r="M53" s="315">
        <v>0</v>
      </c>
      <c r="N53" s="309">
        <v>0</v>
      </c>
      <c r="O53" s="309">
        <v>0</v>
      </c>
      <c r="P53" s="309">
        <v>0</v>
      </c>
      <c r="Q53" s="309">
        <v>0</v>
      </c>
      <c r="R53" s="317">
        <v>0</v>
      </c>
      <c r="S53" s="309">
        <v>669</v>
      </c>
    </row>
    <row r="54" spans="1:19" x14ac:dyDescent="0.2">
      <c r="A54" s="305"/>
      <c r="B54" s="306"/>
      <c r="C54" s="307" t="s">
        <v>621</v>
      </c>
      <c r="D54" s="306" t="s">
        <v>153</v>
      </c>
      <c r="E54" s="305" t="s">
        <v>3798</v>
      </c>
      <c r="F54" s="308">
        <v>42517</v>
      </c>
      <c r="G54" s="315">
        <v>26</v>
      </c>
      <c r="H54" s="309">
        <v>0</v>
      </c>
      <c r="I54" s="309">
        <v>0</v>
      </c>
      <c r="J54" s="309">
        <v>0</v>
      </c>
      <c r="K54" s="309">
        <v>0</v>
      </c>
      <c r="L54" s="309">
        <v>26</v>
      </c>
      <c r="M54" s="315">
        <v>0</v>
      </c>
      <c r="N54" s="309">
        <v>0</v>
      </c>
      <c r="O54" s="309">
        <v>0</v>
      </c>
      <c r="P54" s="309">
        <v>0</v>
      </c>
      <c r="Q54" s="309">
        <v>97</v>
      </c>
      <c r="R54" s="317">
        <v>97</v>
      </c>
      <c r="S54" s="309">
        <v>-71</v>
      </c>
    </row>
    <row r="55" spans="1:19" x14ac:dyDescent="0.2">
      <c r="A55" s="305" t="s">
        <v>1488</v>
      </c>
      <c r="B55" s="306" t="s">
        <v>3951</v>
      </c>
      <c r="C55" s="307" t="s">
        <v>1489</v>
      </c>
      <c r="D55" s="306" t="s">
        <v>153</v>
      </c>
      <c r="E55" s="305" t="s">
        <v>3798</v>
      </c>
      <c r="F55" s="308">
        <v>43063</v>
      </c>
      <c r="G55" s="315">
        <v>0</v>
      </c>
      <c r="H55" s="309">
        <v>0</v>
      </c>
      <c r="I55" s="309">
        <v>0</v>
      </c>
      <c r="J55" s="309">
        <v>0</v>
      </c>
      <c r="K55" s="309">
        <v>0</v>
      </c>
      <c r="L55" s="309">
        <v>0</v>
      </c>
      <c r="M55" s="315">
        <v>0</v>
      </c>
      <c r="N55" s="309">
        <v>0</v>
      </c>
      <c r="O55" s="309">
        <v>83</v>
      </c>
      <c r="P55" s="309">
        <v>0</v>
      </c>
      <c r="Q55" s="309">
        <v>0</v>
      </c>
      <c r="R55" s="317">
        <v>83</v>
      </c>
      <c r="S55" s="309">
        <v>-83</v>
      </c>
    </row>
    <row r="56" spans="1:19" ht="22.5" x14ac:dyDescent="0.2">
      <c r="A56" s="305" t="s">
        <v>1369</v>
      </c>
      <c r="B56" s="306" t="s">
        <v>2907</v>
      </c>
      <c r="C56" s="307" t="s">
        <v>1370</v>
      </c>
      <c r="D56" s="306" t="s">
        <v>153</v>
      </c>
      <c r="E56" s="305" t="s">
        <v>3798</v>
      </c>
      <c r="F56" s="308">
        <v>43007</v>
      </c>
      <c r="G56" s="315">
        <v>63</v>
      </c>
      <c r="H56" s="309">
        <v>0</v>
      </c>
      <c r="I56" s="309">
        <v>0</v>
      </c>
      <c r="J56" s="309">
        <v>0</v>
      </c>
      <c r="K56" s="309">
        <v>0</v>
      </c>
      <c r="L56" s="309">
        <v>63</v>
      </c>
      <c r="M56" s="315">
        <v>0</v>
      </c>
      <c r="N56" s="309">
        <v>0</v>
      </c>
      <c r="O56" s="309">
        <v>0</v>
      </c>
      <c r="P56" s="309">
        <v>0</v>
      </c>
      <c r="Q56" s="309">
        <v>0</v>
      </c>
      <c r="R56" s="317">
        <v>0</v>
      </c>
      <c r="S56" s="309">
        <v>63</v>
      </c>
    </row>
    <row r="57" spans="1:19" ht="22.5" x14ac:dyDescent="0.2">
      <c r="A57" s="305" t="s">
        <v>2251</v>
      </c>
      <c r="B57" s="306" t="s">
        <v>3951</v>
      </c>
      <c r="C57" s="307" t="s">
        <v>915</v>
      </c>
      <c r="D57" s="306" t="s">
        <v>153</v>
      </c>
      <c r="E57" s="305" t="s">
        <v>3798</v>
      </c>
      <c r="F57" s="308">
        <v>42598</v>
      </c>
      <c r="G57" s="315">
        <v>0</v>
      </c>
      <c r="H57" s="309">
        <v>0</v>
      </c>
      <c r="I57" s="309">
        <v>0</v>
      </c>
      <c r="J57" s="309">
        <v>0</v>
      </c>
      <c r="K57" s="309">
        <v>0</v>
      </c>
      <c r="L57" s="309">
        <v>0</v>
      </c>
      <c r="M57" s="315">
        <v>155</v>
      </c>
      <c r="N57" s="309">
        <v>0</v>
      </c>
      <c r="O57" s="309">
        <v>0</v>
      </c>
      <c r="P57" s="309">
        <v>0</v>
      </c>
      <c r="Q57" s="309">
        <v>0</v>
      </c>
      <c r="R57" s="317">
        <v>155</v>
      </c>
      <c r="S57" s="309">
        <v>-155</v>
      </c>
    </row>
    <row r="58" spans="1:19" ht="33.75" x14ac:dyDescent="0.2">
      <c r="A58" s="305" t="s">
        <v>1698</v>
      </c>
      <c r="B58" s="306" t="s">
        <v>3946</v>
      </c>
      <c r="C58" s="307" t="s">
        <v>1190</v>
      </c>
      <c r="D58" s="306" t="s">
        <v>153</v>
      </c>
      <c r="E58" s="305" t="s">
        <v>3798</v>
      </c>
      <c r="F58" s="308">
        <v>42790</v>
      </c>
      <c r="G58" s="315">
        <v>222</v>
      </c>
      <c r="H58" s="309">
        <v>0</v>
      </c>
      <c r="I58" s="309">
        <v>0</v>
      </c>
      <c r="J58" s="309">
        <v>0</v>
      </c>
      <c r="K58" s="309">
        <v>0</v>
      </c>
      <c r="L58" s="317">
        <v>222</v>
      </c>
      <c r="M58" s="315">
        <v>50</v>
      </c>
      <c r="N58" s="309">
        <v>0</v>
      </c>
      <c r="O58" s="309">
        <v>0</v>
      </c>
      <c r="P58" s="309">
        <v>0</v>
      </c>
      <c r="Q58" s="309">
        <v>0</v>
      </c>
      <c r="R58" s="317">
        <v>50</v>
      </c>
      <c r="S58" s="309">
        <v>172</v>
      </c>
    </row>
    <row r="59" spans="1:19" ht="22.5" x14ac:dyDescent="0.2">
      <c r="A59" s="305" t="s">
        <v>1563</v>
      </c>
      <c r="B59" s="306" t="s">
        <v>3947</v>
      </c>
      <c r="C59" s="307" t="s">
        <v>1192</v>
      </c>
      <c r="D59" s="306" t="s">
        <v>153</v>
      </c>
      <c r="E59" s="305" t="s">
        <v>3798</v>
      </c>
      <c r="F59" s="308">
        <v>42776</v>
      </c>
      <c r="G59" s="315">
        <v>0</v>
      </c>
      <c r="H59" s="309">
        <v>0</v>
      </c>
      <c r="I59" s="309">
        <v>0</v>
      </c>
      <c r="J59" s="309">
        <v>0</v>
      </c>
      <c r="K59" s="309">
        <v>182</v>
      </c>
      <c r="L59" s="317">
        <v>182</v>
      </c>
      <c r="M59" s="315">
        <v>177</v>
      </c>
      <c r="N59" s="309">
        <v>0</v>
      </c>
      <c r="O59" s="309">
        <v>0</v>
      </c>
      <c r="P59" s="309">
        <v>0</v>
      </c>
      <c r="Q59" s="309">
        <v>0</v>
      </c>
      <c r="R59" s="317">
        <v>177</v>
      </c>
      <c r="S59" s="309">
        <v>5</v>
      </c>
    </row>
    <row r="60" spans="1:19" ht="45" x14ac:dyDescent="0.2">
      <c r="A60" s="305" t="s">
        <v>1335</v>
      </c>
      <c r="B60" s="306" t="s">
        <v>3948</v>
      </c>
      <c r="C60" s="307" t="s">
        <v>986</v>
      </c>
      <c r="D60" s="306" t="s">
        <v>153</v>
      </c>
      <c r="E60" s="305" t="s">
        <v>3798</v>
      </c>
      <c r="F60" s="308">
        <v>42989</v>
      </c>
      <c r="G60" s="315">
        <v>1248</v>
      </c>
      <c r="H60" s="309">
        <v>0</v>
      </c>
      <c r="I60" s="309">
        <v>0</v>
      </c>
      <c r="J60" s="309">
        <v>0</v>
      </c>
      <c r="K60" s="309">
        <v>0</v>
      </c>
      <c r="L60" s="317">
        <v>1248</v>
      </c>
      <c r="M60" s="315">
        <v>0</v>
      </c>
      <c r="N60" s="309">
        <v>0</v>
      </c>
      <c r="O60" s="309">
        <v>0</v>
      </c>
      <c r="P60" s="309">
        <v>0</v>
      </c>
      <c r="Q60" s="309">
        <v>0</v>
      </c>
      <c r="R60" s="317">
        <v>0</v>
      </c>
      <c r="S60" s="309">
        <v>1248</v>
      </c>
    </row>
    <row r="61" spans="1:19" ht="45" x14ac:dyDescent="0.2">
      <c r="A61" s="305" t="s">
        <v>1770</v>
      </c>
      <c r="B61" s="306" t="s">
        <v>3947</v>
      </c>
      <c r="C61" s="307" t="s">
        <v>967</v>
      </c>
      <c r="D61" s="306" t="s">
        <v>153</v>
      </c>
      <c r="E61" s="305" t="s">
        <v>3798</v>
      </c>
      <c r="F61" s="308">
        <v>42695</v>
      </c>
      <c r="G61" s="315">
        <v>405</v>
      </c>
      <c r="H61" s="309">
        <v>405</v>
      </c>
      <c r="I61" s="309">
        <v>405</v>
      </c>
      <c r="J61" s="309">
        <v>0</v>
      </c>
      <c r="K61" s="309">
        <v>0</v>
      </c>
      <c r="L61" s="317">
        <v>1215</v>
      </c>
      <c r="M61" s="315">
        <v>0</v>
      </c>
      <c r="N61" s="309">
        <v>0</v>
      </c>
      <c r="O61" s="309">
        <v>2196</v>
      </c>
      <c r="P61" s="309">
        <v>0</v>
      </c>
      <c r="Q61" s="309">
        <v>2171</v>
      </c>
      <c r="R61" s="317">
        <v>4367</v>
      </c>
      <c r="S61" s="309">
        <v>-3152</v>
      </c>
    </row>
    <row r="62" spans="1:19" ht="22.5" x14ac:dyDescent="0.2">
      <c r="A62" s="305" t="s">
        <v>2004</v>
      </c>
      <c r="B62" s="306" t="s">
        <v>3946</v>
      </c>
      <c r="C62" s="307" t="s">
        <v>311</v>
      </c>
      <c r="D62" s="306" t="s">
        <v>153</v>
      </c>
      <c r="E62" s="305" t="s">
        <v>3798</v>
      </c>
      <c r="F62" s="308">
        <v>42291</v>
      </c>
      <c r="G62" s="315">
        <v>2225</v>
      </c>
      <c r="H62" s="309">
        <v>0</v>
      </c>
      <c r="I62" s="309">
        <v>0</v>
      </c>
      <c r="J62" s="309">
        <v>0</v>
      </c>
      <c r="K62" s="309">
        <v>0</v>
      </c>
      <c r="L62" s="317">
        <v>2225</v>
      </c>
      <c r="M62" s="315">
        <v>6480</v>
      </c>
      <c r="N62" s="309">
        <v>0</v>
      </c>
      <c r="O62" s="309">
        <v>0</v>
      </c>
      <c r="P62" s="309">
        <v>0</v>
      </c>
      <c r="Q62" s="309">
        <v>0</v>
      </c>
      <c r="R62" s="317">
        <v>6480</v>
      </c>
      <c r="S62" s="309">
        <v>-4255</v>
      </c>
    </row>
    <row r="63" spans="1:19" x14ac:dyDescent="0.2">
      <c r="A63" s="305"/>
      <c r="B63" s="306"/>
      <c r="C63" s="307" t="s">
        <v>978</v>
      </c>
      <c r="D63" s="306" t="s">
        <v>153</v>
      </c>
      <c r="E63" s="305" t="s">
        <v>3798</v>
      </c>
      <c r="F63" s="308">
        <v>42628</v>
      </c>
      <c r="G63" s="315">
        <v>9596</v>
      </c>
      <c r="H63" s="309">
        <v>0</v>
      </c>
      <c r="I63" s="309">
        <v>0</v>
      </c>
      <c r="J63" s="309">
        <v>0</v>
      </c>
      <c r="K63" s="309">
        <v>0</v>
      </c>
      <c r="L63" s="317">
        <v>9596</v>
      </c>
      <c r="M63" s="315">
        <v>6480</v>
      </c>
      <c r="N63" s="309">
        <v>0</v>
      </c>
      <c r="O63" s="309">
        <v>0</v>
      </c>
      <c r="P63" s="309">
        <v>0</v>
      </c>
      <c r="Q63" s="309">
        <v>0</v>
      </c>
      <c r="R63" s="317">
        <v>6480</v>
      </c>
      <c r="S63" s="309">
        <v>3116</v>
      </c>
    </row>
    <row r="64" spans="1:19" ht="22.5" x14ac:dyDescent="0.2">
      <c r="A64" s="305" t="s">
        <v>1991</v>
      </c>
      <c r="B64" s="306" t="s">
        <v>2907</v>
      </c>
      <c r="C64" s="307" t="s">
        <v>1277</v>
      </c>
      <c r="D64" s="306" t="s">
        <v>153</v>
      </c>
      <c r="E64" s="305" t="s">
        <v>3798</v>
      </c>
      <c r="F64" s="308">
        <v>42894</v>
      </c>
      <c r="G64" s="315">
        <v>3228</v>
      </c>
      <c r="H64" s="309">
        <v>0</v>
      </c>
      <c r="I64" s="309">
        <v>0</v>
      </c>
      <c r="J64" s="309">
        <v>0</v>
      </c>
      <c r="K64" s="309">
        <v>0</v>
      </c>
      <c r="L64" s="317">
        <v>3228</v>
      </c>
      <c r="M64" s="315">
        <v>4502</v>
      </c>
      <c r="N64" s="309">
        <v>0</v>
      </c>
      <c r="O64" s="309">
        <v>0</v>
      </c>
      <c r="P64" s="309">
        <v>0</v>
      </c>
      <c r="Q64" s="309">
        <v>0</v>
      </c>
      <c r="R64" s="317">
        <v>4502</v>
      </c>
      <c r="S64" s="309">
        <v>-1274</v>
      </c>
    </row>
    <row r="65" spans="1:19" ht="22.5" x14ac:dyDescent="0.2">
      <c r="A65" s="305" t="s">
        <v>1671</v>
      </c>
      <c r="B65" s="306" t="s">
        <v>2907</v>
      </c>
      <c r="C65" s="307" t="s">
        <v>290</v>
      </c>
      <c r="D65" s="306" t="s">
        <v>153</v>
      </c>
      <c r="E65" s="305" t="s">
        <v>3798</v>
      </c>
      <c r="F65" s="308">
        <v>42087</v>
      </c>
      <c r="G65" s="315">
        <v>0</v>
      </c>
      <c r="H65" s="309">
        <v>0</v>
      </c>
      <c r="I65" s="309">
        <v>0</v>
      </c>
      <c r="J65" s="309">
        <v>0</v>
      </c>
      <c r="K65" s="309">
        <v>0</v>
      </c>
      <c r="L65" s="317">
        <v>0</v>
      </c>
      <c r="M65" s="315">
        <v>252</v>
      </c>
      <c r="N65" s="309">
        <v>0</v>
      </c>
      <c r="O65" s="309">
        <v>0</v>
      </c>
      <c r="P65" s="309">
        <v>0</v>
      </c>
      <c r="Q65" s="309">
        <v>0</v>
      </c>
      <c r="R65" s="317">
        <v>252</v>
      </c>
      <c r="S65" s="309">
        <v>-252</v>
      </c>
    </row>
    <row r="66" spans="1:19" ht="22.5" x14ac:dyDescent="0.2">
      <c r="A66" s="305" t="s">
        <v>2208</v>
      </c>
      <c r="B66" s="306" t="s">
        <v>2904</v>
      </c>
      <c r="C66" s="307" t="s">
        <v>2209</v>
      </c>
      <c r="D66" s="306" t="s">
        <v>153</v>
      </c>
      <c r="E66" s="305" t="s">
        <v>3798</v>
      </c>
      <c r="F66" s="308">
        <v>43027</v>
      </c>
      <c r="G66" s="315">
        <v>0</v>
      </c>
      <c r="H66" s="309">
        <v>0</v>
      </c>
      <c r="I66" s="309">
        <v>0</v>
      </c>
      <c r="J66" s="309">
        <v>0</v>
      </c>
      <c r="K66" s="309">
        <v>0</v>
      </c>
      <c r="L66" s="317">
        <v>0</v>
      </c>
      <c r="M66" s="315">
        <v>233</v>
      </c>
      <c r="N66" s="309">
        <v>0</v>
      </c>
      <c r="O66" s="309">
        <v>0</v>
      </c>
      <c r="P66" s="309">
        <v>0</v>
      </c>
      <c r="Q66" s="309">
        <v>0</v>
      </c>
      <c r="R66" s="317">
        <v>233</v>
      </c>
      <c r="S66" s="309">
        <v>-233</v>
      </c>
    </row>
    <row r="67" spans="1:19" ht="22.5" x14ac:dyDescent="0.2">
      <c r="A67" s="305" t="s">
        <v>1337</v>
      </c>
      <c r="B67" s="306" t="s">
        <v>3949</v>
      </c>
      <c r="C67" s="307" t="s">
        <v>1338</v>
      </c>
      <c r="D67" s="306" t="s">
        <v>153</v>
      </c>
      <c r="E67" s="305" t="s">
        <v>3798</v>
      </c>
      <c r="F67" s="308">
        <v>42929</v>
      </c>
      <c r="G67" s="315">
        <v>0</v>
      </c>
      <c r="H67" s="309">
        <v>0</v>
      </c>
      <c r="I67" s="309">
        <v>0</v>
      </c>
      <c r="J67" s="309">
        <v>0</v>
      </c>
      <c r="K67" s="309">
        <v>0</v>
      </c>
      <c r="L67" s="317">
        <v>0</v>
      </c>
      <c r="M67" s="315">
        <v>0</v>
      </c>
      <c r="N67" s="309">
        <v>0</v>
      </c>
      <c r="O67" s="309">
        <v>0</v>
      </c>
      <c r="P67" s="309">
        <v>0</v>
      </c>
      <c r="Q67" s="309">
        <v>69</v>
      </c>
      <c r="R67" s="317">
        <v>69</v>
      </c>
      <c r="S67" s="309">
        <v>-69</v>
      </c>
    </row>
    <row r="68" spans="1:19" ht="33.75" x14ac:dyDescent="0.2">
      <c r="A68" s="310" t="s">
        <v>2477</v>
      </c>
      <c r="B68" s="311" t="s">
        <v>3940</v>
      </c>
      <c r="C68" s="312" t="s">
        <v>2478</v>
      </c>
      <c r="D68" s="311" t="s">
        <v>153</v>
      </c>
      <c r="E68" s="310" t="s">
        <v>3798</v>
      </c>
      <c r="F68" s="313">
        <v>42947</v>
      </c>
      <c r="G68" s="316">
        <v>263</v>
      </c>
      <c r="H68" s="314">
        <v>0</v>
      </c>
      <c r="I68" s="314">
        <v>0</v>
      </c>
      <c r="J68" s="314">
        <v>0</v>
      </c>
      <c r="K68" s="314">
        <v>0</v>
      </c>
      <c r="L68" s="318">
        <v>263</v>
      </c>
      <c r="M68" s="316">
        <v>0</v>
      </c>
      <c r="N68" s="314">
        <v>0</v>
      </c>
      <c r="O68" s="314">
        <v>0</v>
      </c>
      <c r="P68" s="314">
        <v>0</v>
      </c>
      <c r="Q68" s="314">
        <v>0</v>
      </c>
      <c r="R68" s="318">
        <v>0</v>
      </c>
      <c r="S68" s="314">
        <v>263</v>
      </c>
    </row>
    <row r="69" spans="1:19" s="305" customFormat="1" ht="22.5" x14ac:dyDescent="0.2">
      <c r="A69" s="321" t="s">
        <v>1400</v>
      </c>
      <c r="B69" s="322" t="s">
        <v>3952</v>
      </c>
      <c r="C69" s="323" t="s">
        <v>324</v>
      </c>
      <c r="D69" s="322" t="s">
        <v>153</v>
      </c>
      <c r="E69" s="321" t="s">
        <v>3798</v>
      </c>
      <c r="F69" s="324">
        <v>41976</v>
      </c>
      <c r="G69" s="325">
        <v>0</v>
      </c>
      <c r="H69" s="326">
        <v>0</v>
      </c>
      <c r="I69" s="326">
        <v>0</v>
      </c>
      <c r="J69" s="326">
        <v>0</v>
      </c>
      <c r="K69" s="326">
        <v>0</v>
      </c>
      <c r="L69" s="327">
        <v>0</v>
      </c>
      <c r="M69" s="325">
        <v>0</v>
      </c>
      <c r="N69" s="326">
        <v>0</v>
      </c>
      <c r="O69" s="326">
        <v>0</v>
      </c>
      <c r="P69" s="326">
        <v>715</v>
      </c>
      <c r="Q69" s="326">
        <v>0</v>
      </c>
      <c r="R69" s="327">
        <v>715</v>
      </c>
      <c r="S69" s="326">
        <v>-715</v>
      </c>
    </row>
    <row r="70" spans="1:19" ht="22.5" x14ac:dyDescent="0.2">
      <c r="A70" s="305" t="s">
        <v>1807</v>
      </c>
      <c r="B70" s="306" t="s">
        <v>149</v>
      </c>
      <c r="C70" s="307" t="s">
        <v>1281</v>
      </c>
      <c r="D70" s="306" t="s">
        <v>153</v>
      </c>
      <c r="E70" s="305" t="s">
        <v>3798</v>
      </c>
      <c r="F70" s="308">
        <v>42846</v>
      </c>
      <c r="G70" s="315">
        <v>0</v>
      </c>
      <c r="H70" s="309">
        <v>0</v>
      </c>
      <c r="I70" s="309">
        <v>0</v>
      </c>
      <c r="J70" s="309">
        <v>0</v>
      </c>
      <c r="K70" s="309">
        <v>0</v>
      </c>
      <c r="L70" s="317">
        <v>0</v>
      </c>
      <c r="M70" s="315">
        <v>0</v>
      </c>
      <c r="N70" s="309">
        <v>0</v>
      </c>
      <c r="O70" s="309">
        <v>0</v>
      </c>
      <c r="P70" s="309">
        <v>0</v>
      </c>
      <c r="Q70" s="309">
        <v>30</v>
      </c>
      <c r="R70" s="317">
        <v>30</v>
      </c>
      <c r="S70" s="309">
        <v>-30</v>
      </c>
    </row>
    <row r="71" spans="1:19" ht="22.5" x14ac:dyDescent="0.2">
      <c r="A71" s="305" t="s">
        <v>1348</v>
      </c>
      <c r="B71" s="306" t="s">
        <v>2907</v>
      </c>
      <c r="C71" s="307" t="s">
        <v>1349</v>
      </c>
      <c r="D71" s="306" t="s">
        <v>153</v>
      </c>
      <c r="E71" s="305" t="s">
        <v>3798</v>
      </c>
      <c r="F71" s="308">
        <v>43125</v>
      </c>
      <c r="G71" s="315">
        <v>40</v>
      </c>
      <c r="H71" s="309">
        <v>0</v>
      </c>
      <c r="I71" s="309">
        <v>59</v>
      </c>
      <c r="J71" s="309">
        <v>0</v>
      </c>
      <c r="K71" s="309">
        <v>0</v>
      </c>
      <c r="L71" s="317">
        <v>99</v>
      </c>
      <c r="M71" s="315">
        <v>0</v>
      </c>
      <c r="N71" s="309">
        <v>0</v>
      </c>
      <c r="O71" s="309">
        <v>0</v>
      </c>
      <c r="P71" s="309">
        <v>0</v>
      </c>
      <c r="Q71" s="309">
        <v>59</v>
      </c>
      <c r="R71" s="317">
        <v>59</v>
      </c>
      <c r="S71" s="309">
        <v>40</v>
      </c>
    </row>
    <row r="72" spans="1:19" ht="22.5" x14ac:dyDescent="0.2">
      <c r="A72" s="305" t="s">
        <v>1507</v>
      </c>
      <c r="B72" s="306" t="s">
        <v>3951</v>
      </c>
      <c r="C72" s="307" t="s">
        <v>1233</v>
      </c>
      <c r="D72" s="306" t="s">
        <v>153</v>
      </c>
      <c r="E72" s="305" t="s">
        <v>3798</v>
      </c>
      <c r="F72" s="308">
        <v>42831</v>
      </c>
      <c r="G72" s="315">
        <v>0</v>
      </c>
      <c r="H72" s="309">
        <v>0</v>
      </c>
      <c r="I72" s="309">
        <v>0</v>
      </c>
      <c r="J72" s="309">
        <v>0</v>
      </c>
      <c r="K72" s="309">
        <v>0</v>
      </c>
      <c r="L72" s="317">
        <v>0</v>
      </c>
      <c r="M72" s="315">
        <v>56</v>
      </c>
      <c r="N72" s="309">
        <v>0</v>
      </c>
      <c r="O72" s="309">
        <v>0</v>
      </c>
      <c r="P72" s="309">
        <v>0</v>
      </c>
      <c r="Q72" s="309">
        <v>0</v>
      </c>
      <c r="R72" s="317">
        <v>56</v>
      </c>
      <c r="S72" s="309">
        <v>-56</v>
      </c>
    </row>
    <row r="73" spans="1:19" ht="22.5" x14ac:dyDescent="0.2">
      <c r="A73" s="305" t="s">
        <v>1484</v>
      </c>
      <c r="B73" s="306" t="s">
        <v>3952</v>
      </c>
      <c r="C73" s="307" t="s">
        <v>1485</v>
      </c>
      <c r="D73" s="306" t="s">
        <v>153</v>
      </c>
      <c r="E73" s="305" t="s">
        <v>3798</v>
      </c>
      <c r="F73" s="308">
        <v>42919</v>
      </c>
      <c r="G73" s="315">
        <v>0</v>
      </c>
      <c r="H73" s="309">
        <v>0</v>
      </c>
      <c r="I73" s="309">
        <v>0</v>
      </c>
      <c r="J73" s="309">
        <v>0</v>
      </c>
      <c r="K73" s="309">
        <v>31</v>
      </c>
      <c r="L73" s="317">
        <v>31</v>
      </c>
      <c r="M73" s="315">
        <v>0</v>
      </c>
      <c r="N73" s="309">
        <v>0</v>
      </c>
      <c r="O73" s="309">
        <v>0</v>
      </c>
      <c r="P73" s="309">
        <v>0</v>
      </c>
      <c r="Q73" s="309">
        <v>0</v>
      </c>
      <c r="R73" s="317">
        <v>0</v>
      </c>
      <c r="S73" s="309">
        <v>31</v>
      </c>
    </row>
    <row r="74" spans="1:19" ht="22.5" x14ac:dyDescent="0.2">
      <c r="A74" s="305" t="s">
        <v>1816</v>
      </c>
      <c r="B74" s="306" t="s">
        <v>3943</v>
      </c>
      <c r="C74" s="307" t="s">
        <v>314</v>
      </c>
      <c r="D74" s="306" t="s">
        <v>153</v>
      </c>
      <c r="E74" s="305" t="s">
        <v>3798</v>
      </c>
      <c r="F74" s="308">
        <v>42153</v>
      </c>
      <c r="G74" s="315">
        <v>0</v>
      </c>
      <c r="H74" s="309">
        <v>0</v>
      </c>
      <c r="I74" s="309">
        <v>0</v>
      </c>
      <c r="J74" s="309">
        <v>0</v>
      </c>
      <c r="K74" s="309">
        <v>0</v>
      </c>
      <c r="L74" s="317">
        <v>0</v>
      </c>
      <c r="M74" s="315">
        <v>64</v>
      </c>
      <c r="N74" s="309">
        <v>0</v>
      </c>
      <c r="O74" s="309">
        <v>0</v>
      </c>
      <c r="P74" s="309">
        <v>0</v>
      </c>
      <c r="Q74" s="309">
        <v>0</v>
      </c>
      <c r="R74" s="317">
        <v>64</v>
      </c>
      <c r="S74" s="309">
        <v>-64</v>
      </c>
    </row>
    <row r="75" spans="1:19" ht="22.5" x14ac:dyDescent="0.2">
      <c r="A75" s="305" t="s">
        <v>2457</v>
      </c>
      <c r="B75" s="306" t="s">
        <v>2904</v>
      </c>
      <c r="C75" s="307" t="s">
        <v>2458</v>
      </c>
      <c r="D75" s="306" t="s">
        <v>153</v>
      </c>
      <c r="E75" s="305" t="s">
        <v>3798</v>
      </c>
      <c r="F75" s="308">
        <v>43084</v>
      </c>
      <c r="G75" s="315">
        <v>530</v>
      </c>
      <c r="H75" s="309">
        <v>0</v>
      </c>
      <c r="I75" s="309">
        <v>0</v>
      </c>
      <c r="J75" s="309">
        <v>190</v>
      </c>
      <c r="K75" s="309">
        <v>190</v>
      </c>
      <c r="L75" s="317">
        <v>910</v>
      </c>
      <c r="M75" s="315">
        <v>0</v>
      </c>
      <c r="N75" s="309">
        <v>0</v>
      </c>
      <c r="O75" s="309">
        <v>0</v>
      </c>
      <c r="P75" s="309">
        <v>0</v>
      </c>
      <c r="Q75" s="309">
        <v>0</v>
      </c>
      <c r="R75" s="317">
        <v>0</v>
      </c>
      <c r="S75" s="309">
        <v>910</v>
      </c>
    </row>
    <row r="76" spans="1:19" ht="22.5" x14ac:dyDescent="0.2">
      <c r="A76" s="305" t="s">
        <v>1867</v>
      </c>
      <c r="B76" s="306" t="s">
        <v>3947</v>
      </c>
      <c r="C76" s="307" t="s">
        <v>1876</v>
      </c>
      <c r="D76" s="306" t="s">
        <v>1878</v>
      </c>
      <c r="E76" s="305" t="s">
        <v>3971</v>
      </c>
      <c r="F76" s="308">
        <v>42865</v>
      </c>
      <c r="G76" s="315">
        <v>29</v>
      </c>
      <c r="H76" s="309">
        <v>0</v>
      </c>
      <c r="I76" s="309">
        <v>0</v>
      </c>
      <c r="J76" s="309">
        <v>0</v>
      </c>
      <c r="K76" s="309">
        <v>0</v>
      </c>
      <c r="L76" s="317">
        <v>29</v>
      </c>
      <c r="M76" s="315">
        <v>0</v>
      </c>
      <c r="N76" s="309">
        <v>0</v>
      </c>
      <c r="O76" s="309">
        <v>0</v>
      </c>
      <c r="P76" s="309">
        <v>0</v>
      </c>
      <c r="Q76" s="309">
        <v>0</v>
      </c>
      <c r="R76" s="317">
        <v>0</v>
      </c>
      <c r="S76" s="309">
        <v>29</v>
      </c>
    </row>
    <row r="77" spans="1:19" x14ac:dyDescent="0.2">
      <c r="A77" s="305"/>
      <c r="B77" s="306"/>
      <c r="C77" s="307" t="s">
        <v>1882</v>
      </c>
      <c r="D77" s="306" t="s">
        <v>1884</v>
      </c>
      <c r="E77" s="305" t="s">
        <v>3798</v>
      </c>
      <c r="F77" s="308">
        <v>42921</v>
      </c>
      <c r="G77" s="315">
        <v>18336</v>
      </c>
      <c r="H77" s="309">
        <v>0</v>
      </c>
      <c r="I77" s="309">
        <v>0</v>
      </c>
      <c r="J77" s="309">
        <v>0</v>
      </c>
      <c r="K77" s="309">
        <v>0</v>
      </c>
      <c r="L77" s="317">
        <v>18336</v>
      </c>
      <c r="M77" s="315">
        <v>0</v>
      </c>
      <c r="N77" s="309">
        <v>0</v>
      </c>
      <c r="O77" s="309">
        <v>0</v>
      </c>
      <c r="P77" s="309">
        <v>0</v>
      </c>
      <c r="Q77" s="309">
        <v>0</v>
      </c>
      <c r="R77" s="317">
        <v>0</v>
      </c>
      <c r="S77" s="309">
        <v>18336</v>
      </c>
    </row>
    <row r="78" spans="1:19" ht="45" x14ac:dyDescent="0.2">
      <c r="A78" s="305" t="s">
        <v>1682</v>
      </c>
      <c r="B78" s="306" t="s">
        <v>3947</v>
      </c>
      <c r="C78" s="307" t="s">
        <v>354</v>
      </c>
      <c r="D78" s="306" t="s">
        <v>1684</v>
      </c>
      <c r="E78" s="305" t="s">
        <v>3971</v>
      </c>
      <c r="F78" s="308">
        <v>42046</v>
      </c>
      <c r="G78" s="315">
        <v>1042</v>
      </c>
      <c r="H78" s="309">
        <v>0</v>
      </c>
      <c r="I78" s="309">
        <v>0</v>
      </c>
      <c r="J78" s="309">
        <v>0</v>
      </c>
      <c r="K78" s="309">
        <v>0</v>
      </c>
      <c r="L78" s="317">
        <v>1042</v>
      </c>
      <c r="M78" s="315">
        <v>0</v>
      </c>
      <c r="N78" s="309">
        <v>0</v>
      </c>
      <c r="O78" s="309">
        <v>0</v>
      </c>
      <c r="P78" s="309">
        <v>0</v>
      </c>
      <c r="Q78" s="309">
        <v>0</v>
      </c>
      <c r="R78" s="317">
        <v>0</v>
      </c>
      <c r="S78" s="309">
        <v>1042</v>
      </c>
    </row>
    <row r="79" spans="1:19" ht="22.5" x14ac:dyDescent="0.2">
      <c r="A79" s="305"/>
      <c r="B79" s="306"/>
      <c r="C79" s="307"/>
      <c r="D79" s="306" t="s">
        <v>1685</v>
      </c>
      <c r="E79" s="305" t="s">
        <v>3971</v>
      </c>
      <c r="F79" s="308">
        <v>42046</v>
      </c>
      <c r="G79" s="315">
        <v>158</v>
      </c>
      <c r="H79" s="309">
        <v>0</v>
      </c>
      <c r="I79" s="309">
        <v>0</v>
      </c>
      <c r="J79" s="309">
        <v>0</v>
      </c>
      <c r="K79" s="309">
        <v>0</v>
      </c>
      <c r="L79" s="317">
        <v>158</v>
      </c>
      <c r="M79" s="315">
        <v>0</v>
      </c>
      <c r="N79" s="309">
        <v>0</v>
      </c>
      <c r="O79" s="309">
        <v>0</v>
      </c>
      <c r="P79" s="309">
        <v>0</v>
      </c>
      <c r="Q79" s="309">
        <v>0</v>
      </c>
      <c r="R79" s="317">
        <v>0</v>
      </c>
      <c r="S79" s="309">
        <v>158</v>
      </c>
    </row>
    <row r="80" spans="1:19" ht="33.75" x14ac:dyDescent="0.2">
      <c r="A80" s="305"/>
      <c r="B80" s="306"/>
      <c r="C80" s="307"/>
      <c r="D80" s="306" t="s">
        <v>1689</v>
      </c>
      <c r="E80" s="305" t="s">
        <v>3971</v>
      </c>
      <c r="F80" s="308">
        <v>42046</v>
      </c>
      <c r="G80" s="315">
        <v>11423</v>
      </c>
      <c r="H80" s="309">
        <v>0</v>
      </c>
      <c r="I80" s="309">
        <v>0</v>
      </c>
      <c r="J80" s="309">
        <v>0</v>
      </c>
      <c r="K80" s="309">
        <v>0</v>
      </c>
      <c r="L80" s="317">
        <v>11423</v>
      </c>
      <c r="M80" s="315">
        <v>0</v>
      </c>
      <c r="N80" s="309">
        <v>0</v>
      </c>
      <c r="O80" s="309">
        <v>0</v>
      </c>
      <c r="P80" s="309">
        <v>0</v>
      </c>
      <c r="Q80" s="309">
        <v>0</v>
      </c>
      <c r="R80" s="317">
        <v>0</v>
      </c>
      <c r="S80" s="309">
        <v>11423</v>
      </c>
    </row>
    <row r="81" spans="1:19" ht="22.5" x14ac:dyDescent="0.2">
      <c r="A81" s="305" t="s">
        <v>1333</v>
      </c>
      <c r="B81" s="306" t="s">
        <v>3947</v>
      </c>
      <c r="C81" s="307" t="s">
        <v>439</v>
      </c>
      <c r="D81" s="306" t="s">
        <v>153</v>
      </c>
      <c r="E81" s="305" t="s">
        <v>3798</v>
      </c>
      <c r="F81" s="308">
        <v>42230</v>
      </c>
      <c r="G81" s="315">
        <v>0</v>
      </c>
      <c r="H81" s="309">
        <v>0</v>
      </c>
      <c r="I81" s="309">
        <v>0</v>
      </c>
      <c r="J81" s="309">
        <v>0</v>
      </c>
      <c r="K81" s="309">
        <v>0</v>
      </c>
      <c r="L81" s="317">
        <v>0</v>
      </c>
      <c r="M81" s="315">
        <v>239</v>
      </c>
      <c r="N81" s="309">
        <v>0</v>
      </c>
      <c r="O81" s="309">
        <v>0</v>
      </c>
      <c r="P81" s="309">
        <v>0</v>
      </c>
      <c r="Q81" s="309">
        <v>0</v>
      </c>
      <c r="R81" s="317">
        <v>239</v>
      </c>
      <c r="S81" s="309">
        <v>-239</v>
      </c>
    </row>
    <row r="82" spans="1:19" ht="33.75" x14ac:dyDescent="0.2">
      <c r="A82" s="305" t="s">
        <v>1318</v>
      </c>
      <c r="B82" s="306" t="s">
        <v>3943</v>
      </c>
      <c r="C82" s="307" t="s">
        <v>1319</v>
      </c>
      <c r="D82" s="306" t="s">
        <v>153</v>
      </c>
      <c r="E82" s="305" t="s">
        <v>3798</v>
      </c>
      <c r="F82" s="308">
        <v>43087</v>
      </c>
      <c r="G82" s="315">
        <v>0</v>
      </c>
      <c r="H82" s="309">
        <v>0</v>
      </c>
      <c r="I82" s="309">
        <v>0</v>
      </c>
      <c r="J82" s="309">
        <v>0</v>
      </c>
      <c r="K82" s="309">
        <v>0</v>
      </c>
      <c r="L82" s="317">
        <v>0</v>
      </c>
      <c r="M82" s="315">
        <v>354</v>
      </c>
      <c r="N82" s="309">
        <v>0</v>
      </c>
      <c r="O82" s="309">
        <v>0</v>
      </c>
      <c r="P82" s="309">
        <v>0</v>
      </c>
      <c r="Q82" s="309">
        <v>0</v>
      </c>
      <c r="R82" s="317">
        <v>354</v>
      </c>
      <c r="S82" s="309">
        <v>-354</v>
      </c>
    </row>
    <row r="83" spans="1:19" x14ac:dyDescent="0.2">
      <c r="A83" s="305" t="s">
        <v>1493</v>
      </c>
      <c r="B83" s="306" t="s">
        <v>3944</v>
      </c>
      <c r="C83" s="307" t="s">
        <v>1015</v>
      </c>
      <c r="D83" s="306" t="s">
        <v>153</v>
      </c>
      <c r="E83" s="305" t="s">
        <v>3798</v>
      </c>
      <c r="F83" s="308">
        <v>42691</v>
      </c>
      <c r="G83" s="315">
        <v>128</v>
      </c>
      <c r="H83" s="309">
        <v>0</v>
      </c>
      <c r="I83" s="309">
        <v>0</v>
      </c>
      <c r="J83" s="309">
        <v>0</v>
      </c>
      <c r="K83" s="309">
        <v>0</v>
      </c>
      <c r="L83" s="317">
        <v>128</v>
      </c>
      <c r="M83" s="315">
        <v>0</v>
      </c>
      <c r="N83" s="309">
        <v>0</v>
      </c>
      <c r="O83" s="309">
        <v>0</v>
      </c>
      <c r="P83" s="309">
        <v>0</v>
      </c>
      <c r="Q83" s="309">
        <v>0</v>
      </c>
      <c r="R83" s="317">
        <v>0</v>
      </c>
      <c r="S83" s="309">
        <v>128</v>
      </c>
    </row>
    <row r="84" spans="1:19" ht="22.5" x14ac:dyDescent="0.2">
      <c r="A84" s="305" t="s">
        <v>1962</v>
      </c>
      <c r="B84" s="306" t="s">
        <v>2904</v>
      </c>
      <c r="C84" s="307" t="s">
        <v>431</v>
      </c>
      <c r="D84" s="306" t="s">
        <v>153</v>
      </c>
      <c r="E84" s="305" t="s">
        <v>3798</v>
      </c>
      <c r="F84" s="308">
        <v>41411</v>
      </c>
      <c r="G84" s="315">
        <v>0</v>
      </c>
      <c r="H84" s="309">
        <v>0</v>
      </c>
      <c r="I84" s="309">
        <v>52</v>
      </c>
      <c r="J84" s="309">
        <v>0</v>
      </c>
      <c r="K84" s="309">
        <v>0</v>
      </c>
      <c r="L84" s="317">
        <v>52</v>
      </c>
      <c r="M84" s="315">
        <v>0</v>
      </c>
      <c r="N84" s="309">
        <v>0</v>
      </c>
      <c r="O84" s="309">
        <v>0</v>
      </c>
      <c r="P84" s="309">
        <v>0</v>
      </c>
      <c r="Q84" s="309">
        <v>0</v>
      </c>
      <c r="R84" s="317">
        <v>0</v>
      </c>
      <c r="S84" s="309">
        <v>52</v>
      </c>
    </row>
    <row r="85" spans="1:19" x14ac:dyDescent="0.2">
      <c r="A85" s="305" t="s">
        <v>2098</v>
      </c>
      <c r="B85" s="306" t="s">
        <v>3951</v>
      </c>
      <c r="C85" s="307" t="s">
        <v>2099</v>
      </c>
      <c r="D85" s="306" t="s">
        <v>153</v>
      </c>
      <c r="E85" s="305" t="s">
        <v>3798</v>
      </c>
      <c r="F85" s="308">
        <v>42892</v>
      </c>
      <c r="G85" s="315">
        <v>0</v>
      </c>
      <c r="H85" s="309">
        <v>0</v>
      </c>
      <c r="I85" s="309">
        <v>0</v>
      </c>
      <c r="J85" s="309">
        <v>0</v>
      </c>
      <c r="K85" s="309">
        <v>0</v>
      </c>
      <c r="L85" s="317">
        <v>0</v>
      </c>
      <c r="M85" s="315">
        <v>40</v>
      </c>
      <c r="N85" s="309">
        <v>0</v>
      </c>
      <c r="O85" s="309">
        <v>0</v>
      </c>
      <c r="P85" s="309">
        <v>0</v>
      </c>
      <c r="Q85" s="309">
        <v>0</v>
      </c>
      <c r="R85" s="317">
        <v>40</v>
      </c>
      <c r="S85" s="309">
        <v>-40</v>
      </c>
    </row>
    <row r="86" spans="1:19" ht="22.5" x14ac:dyDescent="0.2">
      <c r="A86" s="305" t="s">
        <v>1334</v>
      </c>
      <c r="B86" s="306" t="s">
        <v>3944</v>
      </c>
      <c r="C86" s="307" t="s">
        <v>535</v>
      </c>
      <c r="D86" s="306" t="s">
        <v>153</v>
      </c>
      <c r="E86" s="305" t="s">
        <v>3798</v>
      </c>
      <c r="F86" s="308">
        <v>42395</v>
      </c>
      <c r="G86" s="315">
        <v>0</v>
      </c>
      <c r="H86" s="309">
        <v>0</v>
      </c>
      <c r="I86" s="309">
        <v>0</v>
      </c>
      <c r="J86" s="309">
        <v>0</v>
      </c>
      <c r="K86" s="309">
        <v>1472</v>
      </c>
      <c r="L86" s="317">
        <v>1472</v>
      </c>
      <c r="M86" s="315">
        <v>0</v>
      </c>
      <c r="N86" s="309">
        <v>0</v>
      </c>
      <c r="O86" s="309">
        <v>0</v>
      </c>
      <c r="P86" s="309">
        <v>0</v>
      </c>
      <c r="Q86" s="309">
        <v>0</v>
      </c>
      <c r="R86" s="317">
        <v>0</v>
      </c>
      <c r="S86" s="309">
        <v>1472</v>
      </c>
    </row>
    <row r="87" spans="1:19" ht="22.5" x14ac:dyDescent="0.2">
      <c r="A87" s="305" t="s">
        <v>2218</v>
      </c>
      <c r="B87" s="306" t="s">
        <v>3943</v>
      </c>
      <c r="C87" s="307" t="s">
        <v>1052</v>
      </c>
      <c r="D87" s="306" t="s">
        <v>153</v>
      </c>
      <c r="E87" s="305" t="s">
        <v>3798</v>
      </c>
      <c r="F87" s="308">
        <v>42955</v>
      </c>
      <c r="G87" s="315">
        <v>61</v>
      </c>
      <c r="H87" s="309">
        <v>0</v>
      </c>
      <c r="I87" s="309">
        <v>0</v>
      </c>
      <c r="J87" s="309">
        <v>0</v>
      </c>
      <c r="K87" s="309">
        <v>0</v>
      </c>
      <c r="L87" s="317">
        <v>61</v>
      </c>
      <c r="M87" s="315">
        <v>0</v>
      </c>
      <c r="N87" s="309">
        <v>0</v>
      </c>
      <c r="O87" s="309">
        <v>0</v>
      </c>
      <c r="P87" s="309">
        <v>0</v>
      </c>
      <c r="Q87" s="309">
        <v>0</v>
      </c>
      <c r="R87" s="317">
        <v>0</v>
      </c>
      <c r="S87" s="309">
        <v>61</v>
      </c>
    </row>
    <row r="88" spans="1:19" ht="22.5" x14ac:dyDescent="0.2">
      <c r="A88" s="305" t="s">
        <v>2376</v>
      </c>
      <c r="B88" s="306" t="s">
        <v>3950</v>
      </c>
      <c r="C88" s="307" t="s">
        <v>1250</v>
      </c>
      <c r="D88" s="306" t="s">
        <v>153</v>
      </c>
      <c r="E88" s="305" t="s">
        <v>3798</v>
      </c>
      <c r="F88" s="308">
        <v>42828</v>
      </c>
      <c r="G88" s="315">
        <v>0</v>
      </c>
      <c r="H88" s="309">
        <v>0</v>
      </c>
      <c r="I88" s="309">
        <v>0</v>
      </c>
      <c r="J88" s="309">
        <v>0</v>
      </c>
      <c r="K88" s="309">
        <v>0</v>
      </c>
      <c r="L88" s="317">
        <v>0</v>
      </c>
      <c r="M88" s="315">
        <v>0</v>
      </c>
      <c r="N88" s="309">
        <v>0</v>
      </c>
      <c r="O88" s="309">
        <v>0</v>
      </c>
      <c r="P88" s="309">
        <v>0</v>
      </c>
      <c r="Q88" s="309">
        <v>124</v>
      </c>
      <c r="R88" s="317">
        <v>124</v>
      </c>
      <c r="S88" s="309">
        <v>-124</v>
      </c>
    </row>
    <row r="89" spans="1:19" ht="45" x14ac:dyDescent="0.2">
      <c r="A89" s="305" t="s">
        <v>1525</v>
      </c>
      <c r="B89" s="306" t="s">
        <v>3947</v>
      </c>
      <c r="C89" s="307" t="s">
        <v>653</v>
      </c>
      <c r="D89" s="306" t="s">
        <v>1532</v>
      </c>
      <c r="E89" s="305" t="s">
        <v>3971</v>
      </c>
      <c r="F89" s="308">
        <v>42682</v>
      </c>
      <c r="G89" s="315">
        <v>39791</v>
      </c>
      <c r="H89" s="309">
        <v>0</v>
      </c>
      <c r="I89" s="309">
        <v>0</v>
      </c>
      <c r="J89" s="309">
        <v>0</v>
      </c>
      <c r="K89" s="309">
        <v>0</v>
      </c>
      <c r="L89" s="317">
        <v>39791</v>
      </c>
      <c r="M89" s="315">
        <v>0</v>
      </c>
      <c r="N89" s="309">
        <v>0</v>
      </c>
      <c r="O89" s="309">
        <v>0</v>
      </c>
      <c r="P89" s="309">
        <v>0</v>
      </c>
      <c r="Q89" s="309">
        <v>0</v>
      </c>
      <c r="R89" s="317">
        <v>0</v>
      </c>
      <c r="S89" s="309">
        <v>39791</v>
      </c>
    </row>
    <row r="90" spans="1:19" ht="22.5" x14ac:dyDescent="0.2">
      <c r="A90" s="305"/>
      <c r="B90" s="306"/>
      <c r="C90" s="307"/>
      <c r="D90" s="306" t="s">
        <v>1534</v>
      </c>
      <c r="E90" s="305" t="s">
        <v>3971</v>
      </c>
      <c r="F90" s="308">
        <v>42682</v>
      </c>
      <c r="G90" s="315">
        <v>47596</v>
      </c>
      <c r="H90" s="309">
        <v>0</v>
      </c>
      <c r="I90" s="309">
        <v>0</v>
      </c>
      <c r="J90" s="309">
        <v>0</v>
      </c>
      <c r="K90" s="309">
        <v>0</v>
      </c>
      <c r="L90" s="317">
        <v>47596</v>
      </c>
      <c r="M90" s="315">
        <v>0</v>
      </c>
      <c r="N90" s="309">
        <v>0</v>
      </c>
      <c r="O90" s="309">
        <v>0</v>
      </c>
      <c r="P90" s="309">
        <v>0</v>
      </c>
      <c r="Q90" s="309">
        <v>0</v>
      </c>
      <c r="R90" s="317">
        <v>0</v>
      </c>
      <c r="S90" s="309">
        <v>47596</v>
      </c>
    </row>
    <row r="91" spans="1:19" ht="33.75" x14ac:dyDescent="0.2">
      <c r="A91" s="305" t="s">
        <v>2334</v>
      </c>
      <c r="B91" s="306" t="s">
        <v>3947</v>
      </c>
      <c r="C91" s="307" t="s">
        <v>1143</v>
      </c>
      <c r="D91" s="306" t="s">
        <v>153</v>
      </c>
      <c r="E91" s="305" t="s">
        <v>3798</v>
      </c>
      <c r="F91" s="308">
        <v>42741</v>
      </c>
      <c r="G91" s="315">
        <v>1</v>
      </c>
      <c r="H91" s="309">
        <v>0</v>
      </c>
      <c r="I91" s="309">
        <v>0</v>
      </c>
      <c r="J91" s="309">
        <v>0</v>
      </c>
      <c r="K91" s="309">
        <v>0</v>
      </c>
      <c r="L91" s="317">
        <v>1</v>
      </c>
      <c r="M91" s="315">
        <v>0</v>
      </c>
      <c r="N91" s="309">
        <v>0</v>
      </c>
      <c r="O91" s="309">
        <v>0</v>
      </c>
      <c r="P91" s="309">
        <v>0</v>
      </c>
      <c r="Q91" s="309">
        <v>0</v>
      </c>
      <c r="R91" s="317">
        <v>0</v>
      </c>
      <c r="S91" s="309">
        <v>1</v>
      </c>
    </row>
    <row r="92" spans="1:19" ht="22.5" x14ac:dyDescent="0.2">
      <c r="A92" s="305" t="s">
        <v>2072</v>
      </c>
      <c r="B92" s="306" t="s">
        <v>3951</v>
      </c>
      <c r="C92" s="307" t="s">
        <v>1056</v>
      </c>
      <c r="D92" s="306" t="s">
        <v>153</v>
      </c>
      <c r="E92" s="305" t="s">
        <v>3798</v>
      </c>
      <c r="F92" s="308">
        <v>42824</v>
      </c>
      <c r="G92" s="315">
        <v>161</v>
      </c>
      <c r="H92" s="309">
        <v>0</v>
      </c>
      <c r="I92" s="309">
        <v>0</v>
      </c>
      <c r="J92" s="309">
        <v>0</v>
      </c>
      <c r="K92" s="309">
        <v>0</v>
      </c>
      <c r="L92" s="317">
        <v>161</v>
      </c>
      <c r="M92" s="315">
        <v>0</v>
      </c>
      <c r="N92" s="309">
        <v>0</v>
      </c>
      <c r="O92" s="309">
        <v>0</v>
      </c>
      <c r="P92" s="309">
        <v>0</v>
      </c>
      <c r="Q92" s="309">
        <v>0</v>
      </c>
      <c r="R92" s="317">
        <v>0</v>
      </c>
      <c r="S92" s="309">
        <v>161</v>
      </c>
    </row>
    <row r="93" spans="1:19" ht="22.5" x14ac:dyDescent="0.2">
      <c r="A93" s="305" t="s">
        <v>2506</v>
      </c>
      <c r="B93" s="306" t="s">
        <v>3943</v>
      </c>
      <c r="C93" s="307" t="s">
        <v>2507</v>
      </c>
      <c r="D93" s="306" t="s">
        <v>153</v>
      </c>
      <c r="E93" s="305" t="s">
        <v>3798</v>
      </c>
      <c r="F93" s="308">
        <v>42969</v>
      </c>
      <c r="G93" s="315">
        <v>0</v>
      </c>
      <c r="H93" s="309">
        <v>0</v>
      </c>
      <c r="I93" s="309">
        <v>0</v>
      </c>
      <c r="J93" s="309">
        <v>0</v>
      </c>
      <c r="K93" s="309">
        <v>0</v>
      </c>
      <c r="L93" s="317">
        <v>0</v>
      </c>
      <c r="M93" s="315">
        <v>44</v>
      </c>
      <c r="N93" s="309">
        <v>0</v>
      </c>
      <c r="O93" s="309">
        <v>0</v>
      </c>
      <c r="P93" s="309">
        <v>0</v>
      </c>
      <c r="Q93" s="309">
        <v>0</v>
      </c>
      <c r="R93" s="317">
        <v>44</v>
      </c>
      <c r="S93" s="309">
        <v>-44</v>
      </c>
    </row>
    <row r="94" spans="1:19" ht="22.5" x14ac:dyDescent="0.2">
      <c r="A94" s="305" t="s">
        <v>1408</v>
      </c>
      <c r="B94" s="306" t="s">
        <v>3953</v>
      </c>
      <c r="C94" s="307" t="s">
        <v>1409</v>
      </c>
      <c r="D94" s="306" t="s">
        <v>153</v>
      </c>
      <c r="E94" s="305" t="s">
        <v>3798</v>
      </c>
      <c r="F94" s="308">
        <v>43010</v>
      </c>
      <c r="G94" s="315">
        <v>0</v>
      </c>
      <c r="H94" s="309">
        <v>0</v>
      </c>
      <c r="I94" s="309">
        <v>0</v>
      </c>
      <c r="J94" s="309">
        <v>0</v>
      </c>
      <c r="K94" s="309">
        <v>0</v>
      </c>
      <c r="L94" s="317">
        <v>0</v>
      </c>
      <c r="M94" s="315">
        <v>862</v>
      </c>
      <c r="N94" s="309">
        <v>0</v>
      </c>
      <c r="O94" s="309">
        <v>0</v>
      </c>
      <c r="P94" s="309">
        <v>0</v>
      </c>
      <c r="Q94" s="309">
        <v>0</v>
      </c>
      <c r="R94" s="317">
        <v>862</v>
      </c>
      <c r="S94" s="309">
        <v>-862</v>
      </c>
    </row>
    <row r="95" spans="1:19" ht="22.5" x14ac:dyDescent="0.2">
      <c r="A95" s="305" t="s">
        <v>2160</v>
      </c>
      <c r="B95" s="306" t="s">
        <v>3943</v>
      </c>
      <c r="C95" s="307" t="s">
        <v>521</v>
      </c>
      <c r="D95" s="306" t="s">
        <v>153</v>
      </c>
      <c r="E95" s="305" t="s">
        <v>3798</v>
      </c>
      <c r="F95" s="308">
        <v>42320</v>
      </c>
      <c r="G95" s="315">
        <v>0</v>
      </c>
      <c r="H95" s="309">
        <v>0</v>
      </c>
      <c r="I95" s="309">
        <v>0</v>
      </c>
      <c r="J95" s="309">
        <v>0</v>
      </c>
      <c r="K95" s="309">
        <v>0</v>
      </c>
      <c r="L95" s="317">
        <v>0</v>
      </c>
      <c r="M95" s="315">
        <v>0</v>
      </c>
      <c r="N95" s="309">
        <v>0</v>
      </c>
      <c r="O95" s="309">
        <v>0</v>
      </c>
      <c r="P95" s="309">
        <v>90</v>
      </c>
      <c r="Q95" s="309">
        <v>0</v>
      </c>
      <c r="R95" s="317">
        <v>90</v>
      </c>
      <c r="S95" s="309">
        <v>-90</v>
      </c>
    </row>
    <row r="96" spans="1:19" ht="22.5" x14ac:dyDescent="0.2">
      <c r="A96" s="305" t="s">
        <v>2379</v>
      </c>
      <c r="B96" s="306" t="s">
        <v>149</v>
      </c>
      <c r="C96" s="307" t="s">
        <v>1253</v>
      </c>
      <c r="D96" s="306" t="s">
        <v>153</v>
      </c>
      <c r="E96" s="305" t="s">
        <v>3798</v>
      </c>
      <c r="F96" s="308">
        <v>42978</v>
      </c>
      <c r="G96" s="315">
        <v>0</v>
      </c>
      <c r="H96" s="309">
        <v>0</v>
      </c>
      <c r="I96" s="309">
        <v>0</v>
      </c>
      <c r="J96" s="309">
        <v>0</v>
      </c>
      <c r="K96" s="309">
        <v>0</v>
      </c>
      <c r="L96" s="317">
        <v>0</v>
      </c>
      <c r="M96" s="315">
        <v>154</v>
      </c>
      <c r="N96" s="309">
        <v>0</v>
      </c>
      <c r="O96" s="309">
        <v>0</v>
      </c>
      <c r="P96" s="309">
        <v>0</v>
      </c>
      <c r="Q96" s="309">
        <v>0</v>
      </c>
      <c r="R96" s="317">
        <v>154</v>
      </c>
      <c r="S96" s="309">
        <v>-154</v>
      </c>
    </row>
    <row r="97" spans="1:19" ht="22.5" x14ac:dyDescent="0.2">
      <c r="A97" s="305" t="s">
        <v>2430</v>
      </c>
      <c r="B97" s="306" t="s">
        <v>3943</v>
      </c>
      <c r="C97" s="307" t="s">
        <v>2431</v>
      </c>
      <c r="D97" s="306" t="s">
        <v>153</v>
      </c>
      <c r="E97" s="305" t="s">
        <v>3798</v>
      </c>
      <c r="F97" s="308">
        <v>42879</v>
      </c>
      <c r="G97" s="315">
        <v>0</v>
      </c>
      <c r="H97" s="309">
        <v>0</v>
      </c>
      <c r="I97" s="309">
        <v>0</v>
      </c>
      <c r="J97" s="309">
        <v>0</v>
      </c>
      <c r="K97" s="309">
        <v>0</v>
      </c>
      <c r="L97" s="317">
        <v>0</v>
      </c>
      <c r="M97" s="315">
        <v>87</v>
      </c>
      <c r="N97" s="309">
        <v>0</v>
      </c>
      <c r="O97" s="309">
        <v>0</v>
      </c>
      <c r="P97" s="309">
        <v>0</v>
      </c>
      <c r="Q97" s="309">
        <v>0</v>
      </c>
      <c r="R97" s="317">
        <v>87</v>
      </c>
      <c r="S97" s="309">
        <v>-87</v>
      </c>
    </row>
    <row r="98" spans="1:19" x14ac:dyDescent="0.2">
      <c r="A98" s="305" t="s">
        <v>2243</v>
      </c>
      <c r="B98" s="306" t="s">
        <v>3946</v>
      </c>
      <c r="C98" s="307" t="s">
        <v>894</v>
      </c>
      <c r="D98" s="306" t="s">
        <v>153</v>
      </c>
      <c r="E98" s="305" t="s">
        <v>3798</v>
      </c>
      <c r="F98" s="308">
        <v>42573</v>
      </c>
      <c r="G98" s="315">
        <v>0</v>
      </c>
      <c r="H98" s="309">
        <v>0</v>
      </c>
      <c r="I98" s="309">
        <v>0</v>
      </c>
      <c r="J98" s="309">
        <v>0</v>
      </c>
      <c r="K98" s="309">
        <v>0</v>
      </c>
      <c r="L98" s="317">
        <v>0</v>
      </c>
      <c r="M98" s="315">
        <v>92</v>
      </c>
      <c r="N98" s="309">
        <v>0</v>
      </c>
      <c r="O98" s="309">
        <v>0</v>
      </c>
      <c r="P98" s="309">
        <v>0</v>
      </c>
      <c r="Q98" s="309">
        <v>0</v>
      </c>
      <c r="R98" s="317">
        <v>92</v>
      </c>
      <c r="S98" s="309">
        <v>-92</v>
      </c>
    </row>
    <row r="99" spans="1:19" ht="33.75" x14ac:dyDescent="0.2">
      <c r="A99" s="305" t="s">
        <v>2547</v>
      </c>
      <c r="B99" s="306" t="s">
        <v>2904</v>
      </c>
      <c r="C99" s="307" t="s">
        <v>2548</v>
      </c>
      <c r="D99" s="306" t="s">
        <v>153</v>
      </c>
      <c r="E99" s="305" t="s">
        <v>3798</v>
      </c>
      <c r="F99" s="308">
        <v>43122</v>
      </c>
      <c r="G99" s="315">
        <v>0</v>
      </c>
      <c r="H99" s="309">
        <v>0</v>
      </c>
      <c r="I99" s="309">
        <v>0</v>
      </c>
      <c r="J99" s="309">
        <v>0</v>
      </c>
      <c r="K99" s="309">
        <v>187</v>
      </c>
      <c r="L99" s="317">
        <v>187</v>
      </c>
      <c r="M99" s="315">
        <v>0</v>
      </c>
      <c r="N99" s="309">
        <v>0</v>
      </c>
      <c r="O99" s="309">
        <v>0</v>
      </c>
      <c r="P99" s="309">
        <v>0</v>
      </c>
      <c r="Q99" s="309">
        <v>10</v>
      </c>
      <c r="R99" s="317">
        <v>10</v>
      </c>
      <c r="S99" s="309">
        <v>177</v>
      </c>
    </row>
    <row r="100" spans="1:19" x14ac:dyDescent="0.2">
      <c r="A100" s="305" t="s">
        <v>1711</v>
      </c>
      <c r="B100" s="306" t="s">
        <v>3943</v>
      </c>
      <c r="C100" s="307" t="s">
        <v>633</v>
      </c>
      <c r="D100" s="306" t="s">
        <v>153</v>
      </c>
      <c r="E100" s="305" t="s">
        <v>3798</v>
      </c>
      <c r="F100" s="308">
        <v>42478</v>
      </c>
      <c r="G100" s="315">
        <v>230</v>
      </c>
      <c r="H100" s="309">
        <v>0</v>
      </c>
      <c r="I100" s="309">
        <v>0</v>
      </c>
      <c r="J100" s="309">
        <v>0</v>
      </c>
      <c r="K100" s="309">
        <v>0</v>
      </c>
      <c r="L100" s="317">
        <v>230</v>
      </c>
      <c r="M100" s="315">
        <v>312</v>
      </c>
      <c r="N100" s="309">
        <v>0</v>
      </c>
      <c r="O100" s="309">
        <v>0</v>
      </c>
      <c r="P100" s="309">
        <v>0</v>
      </c>
      <c r="Q100" s="309">
        <v>0</v>
      </c>
      <c r="R100" s="317">
        <v>312</v>
      </c>
      <c r="S100" s="309">
        <v>-82</v>
      </c>
    </row>
    <row r="101" spans="1:19" ht="22.5" x14ac:dyDescent="0.2">
      <c r="A101" s="305" t="s">
        <v>2301</v>
      </c>
      <c r="B101" s="306" t="s">
        <v>3943</v>
      </c>
      <c r="C101" s="307" t="s">
        <v>655</v>
      </c>
      <c r="D101" s="306" t="s">
        <v>153</v>
      </c>
      <c r="E101" s="305" t="s">
        <v>3798</v>
      </c>
      <c r="F101" s="308">
        <v>42640</v>
      </c>
      <c r="G101" s="315">
        <v>310</v>
      </c>
      <c r="H101" s="309">
        <v>0</v>
      </c>
      <c r="I101" s="309">
        <v>0</v>
      </c>
      <c r="J101" s="309">
        <v>0</v>
      </c>
      <c r="K101" s="309">
        <v>0</v>
      </c>
      <c r="L101" s="317">
        <v>310</v>
      </c>
      <c r="M101" s="315">
        <v>0</v>
      </c>
      <c r="N101" s="309">
        <v>0</v>
      </c>
      <c r="O101" s="309">
        <v>0</v>
      </c>
      <c r="P101" s="309">
        <v>0</v>
      </c>
      <c r="Q101" s="309">
        <v>0</v>
      </c>
      <c r="R101" s="317">
        <v>0</v>
      </c>
      <c r="S101" s="309">
        <v>310</v>
      </c>
    </row>
    <row r="102" spans="1:19" ht="33.75" x14ac:dyDescent="0.2">
      <c r="A102" s="305" t="s">
        <v>2636</v>
      </c>
      <c r="B102" s="306" t="s">
        <v>3948</v>
      </c>
      <c r="C102" s="307" t="s">
        <v>2637</v>
      </c>
      <c r="D102" s="306" t="s">
        <v>153</v>
      </c>
      <c r="E102" s="305" t="s">
        <v>3798</v>
      </c>
      <c r="F102" s="308">
        <v>43144</v>
      </c>
      <c r="G102" s="315">
        <v>51</v>
      </c>
      <c r="H102" s="309">
        <v>0</v>
      </c>
      <c r="I102" s="309">
        <v>0</v>
      </c>
      <c r="J102" s="309">
        <v>0</v>
      </c>
      <c r="K102" s="309">
        <v>0</v>
      </c>
      <c r="L102" s="317">
        <v>51</v>
      </c>
      <c r="M102" s="315">
        <v>0</v>
      </c>
      <c r="N102" s="309">
        <v>0</v>
      </c>
      <c r="O102" s="309">
        <v>0</v>
      </c>
      <c r="P102" s="309">
        <v>0</v>
      </c>
      <c r="Q102" s="309">
        <v>0</v>
      </c>
      <c r="R102" s="317">
        <v>0</v>
      </c>
      <c r="S102" s="309">
        <v>51</v>
      </c>
    </row>
    <row r="103" spans="1:19" x14ac:dyDescent="0.2">
      <c r="A103" s="328" t="s">
        <v>95</v>
      </c>
      <c r="B103" s="329"/>
      <c r="C103" s="330"/>
      <c r="D103" s="329"/>
      <c r="E103" s="328"/>
      <c r="F103" s="331"/>
      <c r="G103" s="332">
        <v>142589</v>
      </c>
      <c r="H103" s="333">
        <v>405</v>
      </c>
      <c r="I103" s="333">
        <v>783</v>
      </c>
      <c r="J103" s="333">
        <v>483</v>
      </c>
      <c r="K103" s="333">
        <v>2261</v>
      </c>
      <c r="L103" s="334">
        <v>146521</v>
      </c>
      <c r="M103" s="332">
        <v>27312</v>
      </c>
      <c r="N103" s="333">
        <v>0</v>
      </c>
      <c r="O103" s="333">
        <v>2733</v>
      </c>
      <c r="P103" s="333">
        <v>1519</v>
      </c>
      <c r="Q103" s="333">
        <v>3339</v>
      </c>
      <c r="R103" s="334">
        <v>34903</v>
      </c>
      <c r="S103" s="333">
        <v>111618</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68"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S103"/>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2937</v>
      </c>
    </row>
    <row r="2" spans="1:19" x14ac:dyDescent="0.2">
      <c r="A2" s="77" t="s">
        <v>2940</v>
      </c>
      <c r="B2" s="446" t="s">
        <v>3972</v>
      </c>
    </row>
    <row r="3" spans="1:19" x14ac:dyDescent="0.2">
      <c r="A3" s="77" t="s">
        <v>2941</v>
      </c>
      <c r="B3" s="446" t="s">
        <v>429</v>
      </c>
    </row>
    <row r="4" spans="1:19" x14ac:dyDescent="0.2">
      <c r="A4" s="77" t="s">
        <v>3968</v>
      </c>
      <c r="B4" s="446" t="s">
        <v>126</v>
      </c>
    </row>
    <row r="6" spans="1:19" x14ac:dyDescent="0.2">
      <c r="A6" s="77" t="s">
        <v>185</v>
      </c>
      <c r="B6" s="77" t="s">
        <v>3938</v>
      </c>
      <c r="C6" s="77" t="s">
        <v>2848</v>
      </c>
      <c r="D6" s="77" t="s">
        <v>2844</v>
      </c>
      <c r="E6" s="77" t="s">
        <v>3966</v>
      </c>
      <c r="F6" s="77" t="s">
        <v>13</v>
      </c>
      <c r="G6" s="446" t="s">
        <v>3955</v>
      </c>
      <c r="H6" s="446" t="s">
        <v>3956</v>
      </c>
      <c r="I6" s="446" t="s">
        <v>3957</v>
      </c>
      <c r="J6" s="446" t="s">
        <v>3958</v>
      </c>
      <c r="K6" s="446" t="s">
        <v>3959</v>
      </c>
      <c r="L6" s="446" t="s">
        <v>3960</v>
      </c>
      <c r="M6" s="446" t="s">
        <v>3961</v>
      </c>
      <c r="N6" s="446" t="s">
        <v>3962</v>
      </c>
      <c r="O6" s="446" t="s">
        <v>3963</v>
      </c>
      <c r="P6" s="446" t="s">
        <v>3964</v>
      </c>
      <c r="Q6" s="446" t="s">
        <v>3965</v>
      </c>
      <c r="R6" s="446" t="s">
        <v>2921</v>
      </c>
      <c r="S6" s="446" t="s">
        <v>2982</v>
      </c>
    </row>
    <row r="7" spans="1:19" x14ac:dyDescent="0.2">
      <c r="A7" s="446" t="s">
        <v>2274</v>
      </c>
      <c r="B7" s="446" t="s">
        <v>2904</v>
      </c>
      <c r="C7" s="446" t="s">
        <v>2275</v>
      </c>
      <c r="D7" s="446" t="s">
        <v>153</v>
      </c>
      <c r="E7" s="446" t="s">
        <v>3798</v>
      </c>
      <c r="F7" s="298">
        <v>42941</v>
      </c>
      <c r="G7" s="74">
        <v>0</v>
      </c>
      <c r="H7" s="74">
        <v>0</v>
      </c>
      <c r="I7" s="74">
        <v>107</v>
      </c>
      <c r="J7" s="74">
        <v>107</v>
      </c>
      <c r="K7" s="74">
        <v>108</v>
      </c>
      <c r="L7" s="74">
        <v>322</v>
      </c>
      <c r="M7" s="74">
        <v>0</v>
      </c>
      <c r="N7" s="74">
        <v>0</v>
      </c>
      <c r="O7" s="74">
        <v>0</v>
      </c>
      <c r="P7" s="74">
        <v>0</v>
      </c>
      <c r="Q7" s="74">
        <v>0</v>
      </c>
      <c r="R7" s="74">
        <v>0</v>
      </c>
      <c r="S7" s="74">
        <v>322</v>
      </c>
    </row>
    <row r="8" spans="1:19" x14ac:dyDescent="0.2">
      <c r="A8" s="446" t="s">
        <v>1381</v>
      </c>
      <c r="B8" s="446" t="s">
        <v>3950</v>
      </c>
      <c r="C8" s="446" t="s">
        <v>1382</v>
      </c>
      <c r="D8" s="446" t="s">
        <v>153</v>
      </c>
      <c r="E8" s="446" t="s">
        <v>3798</v>
      </c>
      <c r="F8" s="298">
        <v>43032</v>
      </c>
      <c r="G8" s="74">
        <v>0</v>
      </c>
      <c r="H8" s="74">
        <v>0</v>
      </c>
      <c r="I8" s="74">
        <v>0</v>
      </c>
      <c r="J8" s="74">
        <v>0</v>
      </c>
      <c r="K8" s="74">
        <v>0</v>
      </c>
      <c r="L8" s="74">
        <v>0</v>
      </c>
      <c r="M8" s="74">
        <v>0</v>
      </c>
      <c r="N8" s="74">
        <v>0</v>
      </c>
      <c r="O8" s="74">
        <v>0</v>
      </c>
      <c r="P8" s="74">
        <v>21</v>
      </c>
      <c r="Q8" s="74">
        <v>0</v>
      </c>
      <c r="R8" s="74">
        <v>21</v>
      </c>
      <c r="S8" s="74">
        <v>-21</v>
      </c>
    </row>
    <row r="9" spans="1:19" x14ac:dyDescent="0.2">
      <c r="A9" s="446" t="s">
        <v>2390</v>
      </c>
      <c r="B9" s="446" t="s">
        <v>149</v>
      </c>
      <c r="C9" s="446" t="s">
        <v>1246</v>
      </c>
      <c r="D9" s="446" t="s">
        <v>153</v>
      </c>
      <c r="E9" s="446" t="s">
        <v>3798</v>
      </c>
      <c r="F9" s="298">
        <v>42835</v>
      </c>
      <c r="G9" s="74">
        <v>0</v>
      </c>
      <c r="H9" s="74">
        <v>0</v>
      </c>
      <c r="I9" s="74">
        <v>0</v>
      </c>
      <c r="J9" s="74">
        <v>0</v>
      </c>
      <c r="K9" s="74">
        <v>0</v>
      </c>
      <c r="L9" s="74">
        <v>0</v>
      </c>
      <c r="M9" s="74">
        <v>0</v>
      </c>
      <c r="N9" s="74">
        <v>0</v>
      </c>
      <c r="O9" s="74">
        <v>0</v>
      </c>
      <c r="P9" s="74">
        <v>0</v>
      </c>
      <c r="Q9" s="74">
        <v>164</v>
      </c>
      <c r="R9" s="74">
        <v>164</v>
      </c>
      <c r="S9" s="74">
        <v>-164</v>
      </c>
    </row>
    <row r="10" spans="1:19" x14ac:dyDescent="0.2">
      <c r="A10" s="446" t="s">
        <v>2366</v>
      </c>
      <c r="B10" s="446" t="s">
        <v>150</v>
      </c>
      <c r="C10" s="446" t="s">
        <v>1038</v>
      </c>
      <c r="D10" s="446" t="s">
        <v>153</v>
      </c>
      <c r="E10" s="446" t="s">
        <v>3798</v>
      </c>
      <c r="F10" s="298">
        <v>43053</v>
      </c>
      <c r="G10" s="74">
        <v>0</v>
      </c>
      <c r="H10" s="74">
        <v>0</v>
      </c>
      <c r="I10" s="74">
        <v>0</v>
      </c>
      <c r="J10" s="74">
        <v>0</v>
      </c>
      <c r="K10" s="74">
        <v>0</v>
      </c>
      <c r="L10" s="74">
        <v>0</v>
      </c>
      <c r="M10" s="74">
        <v>635</v>
      </c>
      <c r="N10" s="74">
        <v>0</v>
      </c>
      <c r="O10" s="74">
        <v>0</v>
      </c>
      <c r="P10" s="74">
        <v>0</v>
      </c>
      <c r="Q10" s="74">
        <v>0</v>
      </c>
      <c r="R10" s="74">
        <v>635</v>
      </c>
      <c r="S10" s="74">
        <v>-635</v>
      </c>
    </row>
    <row r="11" spans="1:19" x14ac:dyDescent="0.2">
      <c r="A11" s="446" t="s">
        <v>2705</v>
      </c>
      <c r="B11" s="446" t="s">
        <v>3944</v>
      </c>
      <c r="C11" s="446" t="s">
        <v>2706</v>
      </c>
      <c r="D11" s="446" t="s">
        <v>153</v>
      </c>
      <c r="E11" s="446" t="s">
        <v>3798</v>
      </c>
      <c r="F11" s="298">
        <v>43179</v>
      </c>
      <c r="G11" s="74">
        <v>15</v>
      </c>
      <c r="H11" s="74">
        <v>0</v>
      </c>
      <c r="I11" s="74">
        <v>0</v>
      </c>
      <c r="J11" s="74">
        <v>0</v>
      </c>
      <c r="K11" s="74">
        <v>0</v>
      </c>
      <c r="L11" s="74">
        <v>15</v>
      </c>
      <c r="M11" s="74">
        <v>0</v>
      </c>
      <c r="N11" s="74">
        <v>0</v>
      </c>
      <c r="O11" s="74">
        <v>0</v>
      </c>
      <c r="P11" s="74">
        <v>0</v>
      </c>
      <c r="Q11" s="74">
        <v>0</v>
      </c>
      <c r="R11" s="74">
        <v>0</v>
      </c>
      <c r="S11" s="74">
        <v>15</v>
      </c>
    </row>
    <row r="12" spans="1:19" x14ac:dyDescent="0.2">
      <c r="A12" s="446" t="s">
        <v>2598</v>
      </c>
      <c r="B12" s="446" t="s">
        <v>3946</v>
      </c>
      <c r="C12" s="446" t="s">
        <v>2599</v>
      </c>
      <c r="D12" s="446" t="s">
        <v>153</v>
      </c>
      <c r="E12" s="446" t="s">
        <v>3798</v>
      </c>
      <c r="F12" s="298">
        <v>43188</v>
      </c>
      <c r="G12" s="74">
        <v>0</v>
      </c>
      <c r="H12" s="74">
        <v>0</v>
      </c>
      <c r="I12" s="74">
        <v>0</v>
      </c>
      <c r="J12" s="74">
        <v>0</v>
      </c>
      <c r="K12" s="74">
        <v>0</v>
      </c>
      <c r="L12" s="74">
        <v>0</v>
      </c>
      <c r="M12" s="74">
        <v>0</v>
      </c>
      <c r="N12" s="74">
        <v>0</v>
      </c>
      <c r="O12" s="74">
        <v>29</v>
      </c>
      <c r="P12" s="74">
        <v>0</v>
      </c>
      <c r="Q12" s="74">
        <v>0</v>
      </c>
      <c r="R12" s="74">
        <v>29</v>
      </c>
      <c r="S12" s="74">
        <v>-29</v>
      </c>
    </row>
    <row r="13" spans="1:19" x14ac:dyDescent="0.2">
      <c r="A13" s="446" t="s">
        <v>1329</v>
      </c>
      <c r="B13" s="446" t="s">
        <v>3943</v>
      </c>
      <c r="C13" s="446" t="s">
        <v>1331</v>
      </c>
      <c r="D13" s="446" t="s">
        <v>153</v>
      </c>
      <c r="E13" s="446" t="s">
        <v>3798</v>
      </c>
      <c r="F13" s="298">
        <v>43034</v>
      </c>
      <c r="G13" s="74">
        <v>334</v>
      </c>
      <c r="H13" s="74">
        <v>0</v>
      </c>
      <c r="I13" s="74">
        <v>0</v>
      </c>
      <c r="J13" s="74">
        <v>0</v>
      </c>
      <c r="K13" s="74">
        <v>0</v>
      </c>
      <c r="L13" s="74">
        <v>334</v>
      </c>
      <c r="M13" s="74">
        <v>0</v>
      </c>
      <c r="N13" s="74">
        <v>0</v>
      </c>
      <c r="O13" s="74">
        <v>0</v>
      </c>
      <c r="P13" s="74">
        <v>0</v>
      </c>
      <c r="Q13" s="74">
        <v>0</v>
      </c>
      <c r="R13" s="74">
        <v>0</v>
      </c>
      <c r="S13" s="74">
        <v>334</v>
      </c>
    </row>
    <row r="14" spans="1:19" x14ac:dyDescent="0.2">
      <c r="A14" s="446" t="s">
        <v>2107</v>
      </c>
      <c r="B14" s="446" t="s">
        <v>3942</v>
      </c>
      <c r="C14" s="446" t="s">
        <v>318</v>
      </c>
      <c r="D14" s="446" t="s">
        <v>153</v>
      </c>
      <c r="E14" s="446" t="s">
        <v>3798</v>
      </c>
      <c r="F14" s="298">
        <v>42123</v>
      </c>
      <c r="G14" s="74">
        <v>0</v>
      </c>
      <c r="H14" s="74">
        <v>0</v>
      </c>
      <c r="I14" s="74">
        <v>0</v>
      </c>
      <c r="J14" s="74">
        <v>0</v>
      </c>
      <c r="K14" s="74">
        <v>0</v>
      </c>
      <c r="L14" s="74">
        <v>0</v>
      </c>
      <c r="M14" s="74">
        <v>62</v>
      </c>
      <c r="N14" s="74">
        <v>0</v>
      </c>
      <c r="O14" s="74">
        <v>0</v>
      </c>
      <c r="P14" s="74">
        <v>0</v>
      </c>
      <c r="Q14" s="74">
        <v>0</v>
      </c>
      <c r="R14" s="74">
        <v>62</v>
      </c>
      <c r="S14" s="74">
        <v>-62</v>
      </c>
    </row>
    <row r="15" spans="1:19" x14ac:dyDescent="0.2">
      <c r="A15" s="446" t="s">
        <v>2319</v>
      </c>
      <c r="B15" s="446" t="s">
        <v>3948</v>
      </c>
      <c r="C15" s="446" t="s">
        <v>1304</v>
      </c>
      <c r="D15" s="446" t="s">
        <v>153</v>
      </c>
      <c r="E15" s="446" t="s">
        <v>3798</v>
      </c>
      <c r="F15" s="298">
        <v>42790</v>
      </c>
      <c r="G15" s="74">
        <v>0</v>
      </c>
      <c r="H15" s="74">
        <v>0</v>
      </c>
      <c r="I15" s="74">
        <v>0</v>
      </c>
      <c r="J15" s="74">
        <v>0</v>
      </c>
      <c r="K15" s="74">
        <v>0</v>
      </c>
      <c r="L15" s="74">
        <v>0</v>
      </c>
      <c r="M15" s="74">
        <v>690</v>
      </c>
      <c r="N15" s="74">
        <v>0</v>
      </c>
      <c r="O15" s="74">
        <v>0</v>
      </c>
      <c r="P15" s="74">
        <v>0</v>
      </c>
      <c r="Q15" s="74">
        <v>0</v>
      </c>
      <c r="R15" s="74">
        <v>690</v>
      </c>
      <c r="S15" s="74">
        <v>-690</v>
      </c>
    </row>
    <row r="16" spans="1:19" x14ac:dyDescent="0.2">
      <c r="A16" s="446" t="s">
        <v>2529</v>
      </c>
      <c r="B16" s="446" t="s">
        <v>150</v>
      </c>
      <c r="C16" s="446" t="s">
        <v>2530</v>
      </c>
      <c r="D16" s="446" t="s">
        <v>153</v>
      </c>
      <c r="E16" s="446" t="s">
        <v>3798</v>
      </c>
      <c r="F16" s="298">
        <v>43158</v>
      </c>
      <c r="G16" s="74">
        <v>0</v>
      </c>
      <c r="H16" s="74">
        <v>0</v>
      </c>
      <c r="I16" s="74">
        <v>0</v>
      </c>
      <c r="J16" s="74">
        <v>0</v>
      </c>
      <c r="K16" s="74">
        <v>0</v>
      </c>
      <c r="L16" s="74">
        <v>0</v>
      </c>
      <c r="M16" s="74">
        <v>0</v>
      </c>
      <c r="N16" s="74">
        <v>0</v>
      </c>
      <c r="O16" s="74">
        <v>0</v>
      </c>
      <c r="P16" s="74">
        <v>541</v>
      </c>
      <c r="Q16" s="74">
        <v>0</v>
      </c>
      <c r="R16" s="74">
        <v>541</v>
      </c>
      <c r="S16" s="74">
        <v>-541</v>
      </c>
    </row>
    <row r="17" spans="1:19" x14ac:dyDescent="0.2">
      <c r="A17" s="446" t="s">
        <v>2654</v>
      </c>
      <c r="B17" s="446" t="s">
        <v>3943</v>
      </c>
      <c r="C17" s="446" t="s">
        <v>2655</v>
      </c>
      <c r="D17" s="446" t="s">
        <v>153</v>
      </c>
      <c r="E17" s="446" t="s">
        <v>3798</v>
      </c>
      <c r="F17" s="298">
        <v>43147</v>
      </c>
      <c r="G17" s="74">
        <v>66</v>
      </c>
      <c r="H17" s="74">
        <v>0</v>
      </c>
      <c r="I17" s="74">
        <v>0</v>
      </c>
      <c r="J17" s="74">
        <v>0</v>
      </c>
      <c r="K17" s="74">
        <v>0</v>
      </c>
      <c r="L17" s="74">
        <v>66</v>
      </c>
      <c r="M17" s="74">
        <v>0</v>
      </c>
      <c r="N17" s="74">
        <v>0</v>
      </c>
      <c r="O17" s="74">
        <v>0</v>
      </c>
      <c r="P17" s="74">
        <v>0</v>
      </c>
      <c r="Q17" s="74">
        <v>0</v>
      </c>
      <c r="R17" s="74">
        <v>0</v>
      </c>
      <c r="S17" s="74">
        <v>66</v>
      </c>
    </row>
    <row r="18" spans="1:19" x14ac:dyDescent="0.2">
      <c r="A18" s="446" t="s">
        <v>2409</v>
      </c>
      <c r="B18" s="446" t="s">
        <v>3946</v>
      </c>
      <c r="C18" s="446" t="s">
        <v>2410</v>
      </c>
      <c r="D18" s="446" t="s">
        <v>153</v>
      </c>
      <c r="E18" s="446" t="s">
        <v>3798</v>
      </c>
      <c r="F18" s="298">
        <v>42912</v>
      </c>
      <c r="G18" s="74">
        <v>199</v>
      </c>
      <c r="H18" s="74">
        <v>0</v>
      </c>
      <c r="I18" s="74">
        <v>0</v>
      </c>
      <c r="J18" s="74">
        <v>0</v>
      </c>
      <c r="K18" s="74">
        <v>0</v>
      </c>
      <c r="L18" s="74">
        <v>199</v>
      </c>
      <c r="M18" s="74">
        <v>499</v>
      </c>
      <c r="N18" s="74">
        <v>0</v>
      </c>
      <c r="O18" s="74">
        <v>0</v>
      </c>
      <c r="P18" s="74">
        <v>0</v>
      </c>
      <c r="Q18" s="74">
        <v>0</v>
      </c>
      <c r="R18" s="74">
        <v>499</v>
      </c>
      <c r="S18" s="74">
        <v>-300</v>
      </c>
    </row>
    <row r="19" spans="1:19" x14ac:dyDescent="0.2">
      <c r="A19" s="446" t="s">
        <v>1372</v>
      </c>
      <c r="B19" s="446" t="s">
        <v>3944</v>
      </c>
      <c r="C19" s="446" t="s">
        <v>240</v>
      </c>
      <c r="D19" s="446" t="s">
        <v>153</v>
      </c>
      <c r="E19" s="446" t="s">
        <v>3798</v>
      </c>
      <c r="F19" s="298">
        <v>41530</v>
      </c>
      <c r="G19" s="74">
        <v>91</v>
      </c>
      <c r="H19" s="74">
        <v>0</v>
      </c>
      <c r="I19" s="74">
        <v>0</v>
      </c>
      <c r="J19" s="74">
        <v>0</v>
      </c>
      <c r="K19" s="74">
        <v>0</v>
      </c>
      <c r="L19" s="74">
        <v>91</v>
      </c>
      <c r="M19" s="74">
        <v>0</v>
      </c>
      <c r="N19" s="74">
        <v>0</v>
      </c>
      <c r="O19" s="74">
        <v>0</v>
      </c>
      <c r="P19" s="74">
        <v>0</v>
      </c>
      <c r="Q19" s="74">
        <v>0</v>
      </c>
      <c r="R19" s="74">
        <v>0</v>
      </c>
      <c r="S19" s="74">
        <v>91</v>
      </c>
    </row>
    <row r="20" spans="1:19" x14ac:dyDescent="0.2">
      <c r="A20" s="446" t="s">
        <v>1472</v>
      </c>
      <c r="B20" s="446" t="s">
        <v>2907</v>
      </c>
      <c r="C20" s="446" t="s">
        <v>1080</v>
      </c>
      <c r="D20" s="446" t="s">
        <v>153</v>
      </c>
      <c r="E20" s="446" t="s">
        <v>3798</v>
      </c>
      <c r="F20" s="298">
        <v>42713</v>
      </c>
      <c r="G20" s="74">
        <v>360</v>
      </c>
      <c r="H20" s="74">
        <v>0</v>
      </c>
      <c r="I20" s="74">
        <v>0</v>
      </c>
      <c r="J20" s="74">
        <v>0</v>
      </c>
      <c r="K20" s="74">
        <v>0</v>
      </c>
      <c r="L20" s="74">
        <v>360</v>
      </c>
      <c r="M20" s="74">
        <v>0</v>
      </c>
      <c r="N20" s="74">
        <v>0</v>
      </c>
      <c r="O20" s="74">
        <v>0</v>
      </c>
      <c r="P20" s="74">
        <v>0</v>
      </c>
      <c r="Q20" s="74">
        <v>0</v>
      </c>
      <c r="R20" s="74">
        <v>0</v>
      </c>
      <c r="S20" s="74">
        <v>360</v>
      </c>
    </row>
    <row r="21" spans="1:19" x14ac:dyDescent="0.2">
      <c r="A21" s="446" t="s">
        <v>2491</v>
      </c>
      <c r="B21" s="446" t="s">
        <v>3947</v>
      </c>
      <c r="C21" s="446" t="s">
        <v>2492</v>
      </c>
      <c r="D21" s="446" t="s">
        <v>153</v>
      </c>
      <c r="E21" s="446" t="s">
        <v>3798</v>
      </c>
      <c r="F21" s="298">
        <v>42984</v>
      </c>
      <c r="G21" s="74">
        <v>0</v>
      </c>
      <c r="H21" s="74">
        <v>0</v>
      </c>
      <c r="I21" s="74">
        <v>0</v>
      </c>
      <c r="J21" s="74">
        <v>0</v>
      </c>
      <c r="K21" s="74">
        <v>73</v>
      </c>
      <c r="L21" s="74">
        <v>73</v>
      </c>
      <c r="M21" s="74">
        <v>0</v>
      </c>
      <c r="N21" s="74">
        <v>0</v>
      </c>
      <c r="O21" s="74">
        <v>0</v>
      </c>
      <c r="P21" s="74">
        <v>0</v>
      </c>
      <c r="Q21" s="74">
        <v>0</v>
      </c>
      <c r="R21" s="74">
        <v>0</v>
      </c>
      <c r="S21" s="74">
        <v>73</v>
      </c>
    </row>
    <row r="22" spans="1:19" x14ac:dyDescent="0.2">
      <c r="A22" s="446" t="s">
        <v>1989</v>
      </c>
      <c r="B22" s="446" t="s">
        <v>3950</v>
      </c>
      <c r="C22" s="446" t="s">
        <v>664</v>
      </c>
      <c r="D22" s="446" t="s">
        <v>153</v>
      </c>
      <c r="E22" s="446" t="s">
        <v>3798</v>
      </c>
      <c r="F22" s="298">
        <v>42667</v>
      </c>
      <c r="G22" s="74">
        <v>0</v>
      </c>
      <c r="H22" s="74">
        <v>0</v>
      </c>
      <c r="I22" s="74">
        <v>0</v>
      </c>
      <c r="J22" s="74">
        <v>0</v>
      </c>
      <c r="K22" s="74">
        <v>0</v>
      </c>
      <c r="L22" s="74">
        <v>0</v>
      </c>
      <c r="M22" s="74">
        <v>35</v>
      </c>
      <c r="N22" s="74">
        <v>0</v>
      </c>
      <c r="O22" s="74">
        <v>0</v>
      </c>
      <c r="P22" s="74">
        <v>0</v>
      </c>
      <c r="Q22" s="74">
        <v>0</v>
      </c>
      <c r="R22" s="74">
        <v>35</v>
      </c>
      <c r="S22" s="74">
        <v>-35</v>
      </c>
    </row>
    <row r="23" spans="1:19" x14ac:dyDescent="0.2">
      <c r="A23" s="446" t="s">
        <v>1404</v>
      </c>
      <c r="B23" s="446" t="s">
        <v>3942</v>
      </c>
      <c r="C23" s="446" t="s">
        <v>348</v>
      </c>
      <c r="D23" s="446" t="s">
        <v>153</v>
      </c>
      <c r="E23" s="446" t="s">
        <v>3798</v>
      </c>
      <c r="F23" s="298">
        <v>42094</v>
      </c>
      <c r="G23" s="74">
        <v>0</v>
      </c>
      <c r="H23" s="74">
        <v>0</v>
      </c>
      <c r="I23" s="74">
        <v>0</v>
      </c>
      <c r="J23" s="74">
        <v>0</v>
      </c>
      <c r="K23" s="74">
        <v>0</v>
      </c>
      <c r="L23" s="74">
        <v>0</v>
      </c>
      <c r="M23" s="74">
        <v>0</v>
      </c>
      <c r="N23" s="74">
        <v>0</v>
      </c>
      <c r="O23" s="74">
        <v>0</v>
      </c>
      <c r="P23" s="74">
        <v>0</v>
      </c>
      <c r="Q23" s="74">
        <v>48</v>
      </c>
      <c r="R23" s="74">
        <v>48</v>
      </c>
      <c r="S23" s="74">
        <v>-48</v>
      </c>
    </row>
    <row r="24" spans="1:19" x14ac:dyDescent="0.2">
      <c r="A24" s="446" t="s">
        <v>2355</v>
      </c>
      <c r="B24" s="446" t="s">
        <v>3952</v>
      </c>
      <c r="C24" s="446" t="s">
        <v>1101</v>
      </c>
      <c r="D24" s="446" t="s">
        <v>153</v>
      </c>
      <c r="E24" s="446" t="s">
        <v>3798</v>
      </c>
      <c r="F24" s="298">
        <v>42879</v>
      </c>
      <c r="G24" s="74">
        <v>124</v>
      </c>
      <c r="H24" s="74">
        <v>0</v>
      </c>
      <c r="I24" s="74">
        <v>0</v>
      </c>
      <c r="J24" s="74">
        <v>0</v>
      </c>
      <c r="K24" s="74">
        <v>0</v>
      </c>
      <c r="L24" s="74">
        <v>124</v>
      </c>
      <c r="M24" s="74">
        <v>224</v>
      </c>
      <c r="N24" s="74">
        <v>0</v>
      </c>
      <c r="O24" s="74">
        <v>0</v>
      </c>
      <c r="P24" s="74">
        <v>0</v>
      </c>
      <c r="Q24" s="74">
        <v>0</v>
      </c>
      <c r="R24" s="74">
        <v>224</v>
      </c>
      <c r="S24" s="74">
        <v>-100</v>
      </c>
    </row>
    <row r="25" spans="1:19" x14ac:dyDescent="0.2">
      <c r="A25" s="446" t="s">
        <v>2303</v>
      </c>
      <c r="B25" s="446" t="s">
        <v>3952</v>
      </c>
      <c r="C25" s="446" t="s">
        <v>1084</v>
      </c>
      <c r="D25" s="446" t="s">
        <v>153</v>
      </c>
      <c r="E25" s="446" t="s">
        <v>3798</v>
      </c>
      <c r="F25" s="298">
        <v>42704</v>
      </c>
      <c r="G25" s="74">
        <v>0</v>
      </c>
      <c r="H25" s="74">
        <v>0</v>
      </c>
      <c r="I25" s="74">
        <v>0</v>
      </c>
      <c r="J25" s="74">
        <v>0</v>
      </c>
      <c r="K25" s="74">
        <v>0</v>
      </c>
      <c r="L25" s="74">
        <v>0</v>
      </c>
      <c r="M25" s="74">
        <v>0</v>
      </c>
      <c r="N25" s="74">
        <v>0</v>
      </c>
      <c r="O25" s="74">
        <v>0</v>
      </c>
      <c r="P25" s="74">
        <v>0</v>
      </c>
      <c r="Q25" s="74">
        <v>131</v>
      </c>
      <c r="R25" s="74">
        <v>131</v>
      </c>
      <c r="S25" s="74">
        <v>-131</v>
      </c>
    </row>
    <row r="26" spans="1:19" x14ac:dyDescent="0.2">
      <c r="A26" s="446" t="s">
        <v>2253</v>
      </c>
      <c r="B26" s="446" t="s">
        <v>3944</v>
      </c>
      <c r="C26" s="446" t="s">
        <v>1290</v>
      </c>
      <c r="D26" s="446" t="s">
        <v>153</v>
      </c>
      <c r="E26" s="446" t="s">
        <v>3798</v>
      </c>
      <c r="F26" s="298">
        <v>43069</v>
      </c>
      <c r="G26" s="74">
        <v>288</v>
      </c>
      <c r="H26" s="74">
        <v>0</v>
      </c>
      <c r="I26" s="74">
        <v>0</v>
      </c>
      <c r="J26" s="74">
        <v>0</v>
      </c>
      <c r="K26" s="74">
        <v>0</v>
      </c>
      <c r="L26" s="74">
        <v>288</v>
      </c>
      <c r="M26" s="74">
        <v>2866</v>
      </c>
      <c r="N26" s="74">
        <v>0</v>
      </c>
      <c r="O26" s="74">
        <v>0</v>
      </c>
      <c r="P26" s="74">
        <v>0</v>
      </c>
      <c r="Q26" s="74">
        <v>0</v>
      </c>
      <c r="R26" s="74">
        <v>2866</v>
      </c>
      <c r="S26" s="74">
        <v>-2578</v>
      </c>
    </row>
    <row r="27" spans="1:19" x14ac:dyDescent="0.2">
      <c r="A27" s="446" t="s">
        <v>2247</v>
      </c>
      <c r="B27" s="446" t="s">
        <v>3940</v>
      </c>
      <c r="C27" s="446" t="s">
        <v>2248</v>
      </c>
      <c r="D27" s="446" t="s">
        <v>153</v>
      </c>
      <c r="E27" s="446" t="s">
        <v>3798</v>
      </c>
      <c r="F27" s="298">
        <v>43068</v>
      </c>
      <c r="G27" s="74">
        <v>0</v>
      </c>
      <c r="H27" s="74">
        <v>0</v>
      </c>
      <c r="I27" s="74">
        <v>0</v>
      </c>
      <c r="J27" s="74">
        <v>0</v>
      </c>
      <c r="K27" s="74">
        <v>0</v>
      </c>
      <c r="L27" s="74">
        <v>0</v>
      </c>
      <c r="M27" s="74">
        <v>0</v>
      </c>
      <c r="N27" s="74">
        <v>0</v>
      </c>
      <c r="O27" s="74">
        <v>0</v>
      </c>
      <c r="P27" s="74">
        <v>0</v>
      </c>
      <c r="Q27" s="74">
        <v>73</v>
      </c>
      <c r="R27" s="74">
        <v>73</v>
      </c>
      <c r="S27" s="74">
        <v>-73</v>
      </c>
    </row>
    <row r="28" spans="1:19" x14ac:dyDescent="0.2">
      <c r="A28" s="446" t="s">
        <v>1955</v>
      </c>
      <c r="B28" s="446" t="s">
        <v>3951</v>
      </c>
      <c r="C28" s="446" t="s">
        <v>870</v>
      </c>
      <c r="D28" s="446" t="s">
        <v>153</v>
      </c>
      <c r="E28" s="446" t="s">
        <v>3798</v>
      </c>
      <c r="F28" s="298">
        <v>42634</v>
      </c>
      <c r="G28" s="74">
        <v>392</v>
      </c>
      <c r="H28" s="74">
        <v>0</v>
      </c>
      <c r="I28" s="74">
        <v>0</v>
      </c>
      <c r="J28" s="74">
        <v>0</v>
      </c>
      <c r="K28" s="74">
        <v>0</v>
      </c>
      <c r="L28" s="74">
        <v>392</v>
      </c>
      <c r="M28" s="74">
        <v>396</v>
      </c>
      <c r="N28" s="74">
        <v>0</v>
      </c>
      <c r="O28" s="74">
        <v>0</v>
      </c>
      <c r="P28" s="74">
        <v>0</v>
      </c>
      <c r="Q28" s="74">
        <v>0</v>
      </c>
      <c r="R28" s="74">
        <v>396</v>
      </c>
      <c r="S28" s="74">
        <v>-4</v>
      </c>
    </row>
    <row r="29" spans="1:19" x14ac:dyDescent="0.2">
      <c r="A29" s="446" t="s">
        <v>1921</v>
      </c>
      <c r="B29" s="446" t="s">
        <v>3947</v>
      </c>
      <c r="C29" s="446" t="s">
        <v>613</v>
      </c>
      <c r="D29" s="446" t="s">
        <v>153</v>
      </c>
      <c r="E29" s="446" t="s">
        <v>3798</v>
      </c>
      <c r="F29" s="298">
        <v>42451</v>
      </c>
      <c r="G29" s="74">
        <v>0</v>
      </c>
      <c r="H29" s="74">
        <v>0</v>
      </c>
      <c r="I29" s="74">
        <v>0</v>
      </c>
      <c r="J29" s="74">
        <v>186</v>
      </c>
      <c r="K29" s="74">
        <v>0</v>
      </c>
      <c r="L29" s="74">
        <v>186</v>
      </c>
      <c r="M29" s="74">
        <v>0</v>
      </c>
      <c r="N29" s="74">
        <v>0</v>
      </c>
      <c r="O29" s="74">
        <v>0</v>
      </c>
      <c r="P29" s="74">
        <v>0</v>
      </c>
      <c r="Q29" s="74">
        <v>186</v>
      </c>
      <c r="R29" s="74">
        <v>186</v>
      </c>
      <c r="S29" s="74">
        <v>0</v>
      </c>
    </row>
    <row r="30" spans="1:19" x14ac:dyDescent="0.2">
      <c r="A30" s="446" t="s">
        <v>1823</v>
      </c>
      <c r="B30" s="446" t="s">
        <v>3951</v>
      </c>
      <c r="C30" s="446" t="s">
        <v>714</v>
      </c>
      <c r="D30" s="446" t="s">
        <v>153</v>
      </c>
      <c r="E30" s="446" t="s">
        <v>3798</v>
      </c>
      <c r="F30" s="298">
        <v>42482</v>
      </c>
      <c r="G30" s="74">
        <v>327</v>
      </c>
      <c r="H30" s="74">
        <v>0</v>
      </c>
      <c r="I30" s="74">
        <v>0</v>
      </c>
      <c r="J30" s="74">
        <v>0</v>
      </c>
      <c r="K30" s="74">
        <v>0</v>
      </c>
      <c r="L30" s="74">
        <v>327</v>
      </c>
      <c r="M30" s="74">
        <v>327</v>
      </c>
      <c r="N30" s="74">
        <v>0</v>
      </c>
      <c r="O30" s="74">
        <v>0</v>
      </c>
      <c r="P30" s="74">
        <v>0</v>
      </c>
      <c r="Q30" s="74">
        <v>0</v>
      </c>
      <c r="R30" s="74">
        <v>327</v>
      </c>
      <c r="S30" s="74">
        <v>0</v>
      </c>
    </row>
    <row r="31" spans="1:19" x14ac:dyDescent="0.2">
      <c r="A31" s="446" t="s">
        <v>2293</v>
      </c>
      <c r="B31" s="446" t="s">
        <v>3947</v>
      </c>
      <c r="C31" s="446" t="s">
        <v>673</v>
      </c>
      <c r="D31" s="446" t="s">
        <v>153</v>
      </c>
      <c r="E31" s="446" t="s">
        <v>3798</v>
      </c>
      <c r="F31" s="298">
        <v>42674</v>
      </c>
      <c r="G31" s="74">
        <v>61</v>
      </c>
      <c r="H31" s="74">
        <v>0</v>
      </c>
      <c r="I31" s="74">
        <v>0</v>
      </c>
      <c r="J31" s="74">
        <v>0</v>
      </c>
      <c r="K31" s="74">
        <v>0</v>
      </c>
      <c r="L31" s="74">
        <v>61</v>
      </c>
      <c r="M31" s="74">
        <v>0</v>
      </c>
      <c r="N31" s="74">
        <v>0</v>
      </c>
      <c r="O31" s="74">
        <v>0</v>
      </c>
      <c r="P31" s="74">
        <v>0</v>
      </c>
      <c r="Q31" s="74">
        <v>0</v>
      </c>
      <c r="R31" s="74">
        <v>0</v>
      </c>
      <c r="S31" s="74">
        <v>61</v>
      </c>
    </row>
    <row r="32" spans="1:19" x14ac:dyDescent="0.2">
      <c r="A32" s="446" t="s">
        <v>1935</v>
      </c>
      <c r="B32" s="446" t="s">
        <v>3950</v>
      </c>
      <c r="C32" s="446" t="s">
        <v>1064</v>
      </c>
      <c r="D32" s="446" t="s">
        <v>153</v>
      </c>
      <c r="E32" s="446" t="s">
        <v>3798</v>
      </c>
      <c r="F32" s="298">
        <v>42724</v>
      </c>
      <c r="G32" s="74">
        <v>0</v>
      </c>
      <c r="H32" s="74">
        <v>0</v>
      </c>
      <c r="I32" s="74">
        <v>160</v>
      </c>
      <c r="J32" s="74">
        <v>0</v>
      </c>
      <c r="K32" s="74">
        <v>0</v>
      </c>
      <c r="L32" s="74">
        <v>160</v>
      </c>
      <c r="M32" s="74">
        <v>0</v>
      </c>
      <c r="N32" s="74">
        <v>0</v>
      </c>
      <c r="O32" s="74">
        <v>80</v>
      </c>
      <c r="P32" s="74">
        <v>0</v>
      </c>
      <c r="Q32" s="74">
        <v>0</v>
      </c>
      <c r="R32" s="74">
        <v>80</v>
      </c>
      <c r="S32" s="74">
        <v>80</v>
      </c>
    </row>
    <row r="33" spans="1:19" x14ac:dyDescent="0.2">
      <c r="A33" s="446" t="s">
        <v>1487</v>
      </c>
      <c r="B33" s="446" t="s">
        <v>3952</v>
      </c>
      <c r="C33" s="446" t="s">
        <v>859</v>
      </c>
      <c r="D33" s="446" t="s">
        <v>153</v>
      </c>
      <c r="E33" s="446" t="s">
        <v>3798</v>
      </c>
      <c r="F33" s="298">
        <v>42641</v>
      </c>
      <c r="G33" s="74">
        <v>0</v>
      </c>
      <c r="H33" s="74">
        <v>0</v>
      </c>
      <c r="I33" s="74">
        <v>0</v>
      </c>
      <c r="J33" s="74">
        <v>0</v>
      </c>
      <c r="K33" s="74">
        <v>0</v>
      </c>
      <c r="L33" s="74">
        <v>0</v>
      </c>
      <c r="M33" s="74">
        <v>62</v>
      </c>
      <c r="N33" s="74">
        <v>0</v>
      </c>
      <c r="O33" s="74">
        <v>0</v>
      </c>
      <c r="P33" s="74">
        <v>0</v>
      </c>
      <c r="Q33" s="74">
        <v>0</v>
      </c>
      <c r="R33" s="74">
        <v>62</v>
      </c>
      <c r="S33" s="74">
        <v>-62</v>
      </c>
    </row>
    <row r="34" spans="1:19" x14ac:dyDescent="0.2">
      <c r="A34" s="446" t="s">
        <v>2395</v>
      </c>
      <c r="B34" s="446" t="s">
        <v>3946</v>
      </c>
      <c r="C34" s="446" t="s">
        <v>1200</v>
      </c>
      <c r="D34" s="446" t="s">
        <v>153</v>
      </c>
      <c r="E34" s="446" t="s">
        <v>3798</v>
      </c>
      <c r="F34" s="298">
        <v>42909</v>
      </c>
      <c r="G34" s="74">
        <v>91</v>
      </c>
      <c r="H34" s="74">
        <v>0</v>
      </c>
      <c r="I34" s="74">
        <v>0</v>
      </c>
      <c r="J34" s="74">
        <v>0</v>
      </c>
      <c r="K34" s="74">
        <v>0</v>
      </c>
      <c r="L34" s="74">
        <v>91</v>
      </c>
      <c r="M34" s="74">
        <v>0</v>
      </c>
      <c r="N34" s="74">
        <v>0</v>
      </c>
      <c r="O34" s="74">
        <v>0</v>
      </c>
      <c r="P34" s="74">
        <v>0</v>
      </c>
      <c r="Q34" s="74">
        <v>0</v>
      </c>
      <c r="R34" s="74">
        <v>0</v>
      </c>
      <c r="S34" s="74">
        <v>91</v>
      </c>
    </row>
    <row r="35" spans="1:19" x14ac:dyDescent="0.2">
      <c r="A35" s="446" t="s">
        <v>2019</v>
      </c>
      <c r="B35" s="446" t="s">
        <v>3948</v>
      </c>
      <c r="C35" s="446" t="s">
        <v>389</v>
      </c>
      <c r="D35" s="446" t="s">
        <v>153</v>
      </c>
      <c r="E35" s="446" t="s">
        <v>3798</v>
      </c>
      <c r="F35" s="298">
        <v>41780</v>
      </c>
      <c r="G35" s="74">
        <v>0</v>
      </c>
      <c r="H35" s="74">
        <v>0</v>
      </c>
      <c r="I35" s="74">
        <v>0</v>
      </c>
      <c r="J35" s="74">
        <v>0</v>
      </c>
      <c r="K35" s="74">
        <v>0</v>
      </c>
      <c r="L35" s="74">
        <v>0</v>
      </c>
      <c r="M35" s="74">
        <v>13</v>
      </c>
      <c r="N35" s="74">
        <v>0</v>
      </c>
      <c r="O35" s="74">
        <v>0</v>
      </c>
      <c r="P35" s="74">
        <v>0</v>
      </c>
      <c r="Q35" s="74">
        <v>0</v>
      </c>
      <c r="R35" s="74">
        <v>13</v>
      </c>
      <c r="S35" s="74">
        <v>-13</v>
      </c>
    </row>
    <row r="36" spans="1:19" x14ac:dyDescent="0.2">
      <c r="A36" s="446" t="s">
        <v>1950</v>
      </c>
      <c r="B36" s="446" t="s">
        <v>3944</v>
      </c>
      <c r="C36" s="446" t="s">
        <v>523</v>
      </c>
      <c r="D36" s="446" t="s">
        <v>153</v>
      </c>
      <c r="E36" s="446" t="s">
        <v>3798</v>
      </c>
      <c r="F36" s="298">
        <v>42396</v>
      </c>
      <c r="G36" s="74">
        <v>0</v>
      </c>
      <c r="H36" s="74">
        <v>0</v>
      </c>
      <c r="I36" s="74">
        <v>0</v>
      </c>
      <c r="J36" s="74">
        <v>0</v>
      </c>
      <c r="K36" s="74">
        <v>0</v>
      </c>
      <c r="L36" s="74">
        <v>0</v>
      </c>
      <c r="M36" s="74">
        <v>88</v>
      </c>
      <c r="N36" s="74">
        <v>0</v>
      </c>
      <c r="O36" s="74">
        <v>54</v>
      </c>
      <c r="P36" s="74">
        <v>0</v>
      </c>
      <c r="Q36" s="74">
        <v>45</v>
      </c>
      <c r="R36" s="74">
        <v>187</v>
      </c>
      <c r="S36" s="74">
        <v>-187</v>
      </c>
    </row>
    <row r="37" spans="1:19" x14ac:dyDescent="0.2">
      <c r="A37" s="446" t="s">
        <v>2271</v>
      </c>
      <c r="B37" s="446" t="s">
        <v>149</v>
      </c>
      <c r="C37" s="446" t="s">
        <v>2272</v>
      </c>
      <c r="D37" s="446" t="s">
        <v>153</v>
      </c>
      <c r="E37" s="446" t="s">
        <v>3798</v>
      </c>
      <c r="F37" s="298">
        <v>43032</v>
      </c>
      <c r="G37" s="74">
        <v>0</v>
      </c>
      <c r="H37" s="74">
        <v>0</v>
      </c>
      <c r="I37" s="74">
        <v>0</v>
      </c>
      <c r="J37" s="74">
        <v>0</v>
      </c>
      <c r="K37" s="74">
        <v>0</v>
      </c>
      <c r="L37" s="74">
        <v>0</v>
      </c>
      <c r="M37" s="74">
        <v>0</v>
      </c>
      <c r="N37" s="74">
        <v>0</v>
      </c>
      <c r="O37" s="74">
        <v>196</v>
      </c>
      <c r="P37" s="74">
        <v>0</v>
      </c>
      <c r="Q37" s="74">
        <v>0</v>
      </c>
      <c r="R37" s="74">
        <v>196</v>
      </c>
      <c r="S37" s="74">
        <v>-196</v>
      </c>
    </row>
    <row r="38" spans="1:19" x14ac:dyDescent="0.2">
      <c r="A38" s="446" t="s">
        <v>2521</v>
      </c>
      <c r="B38" s="446" t="s">
        <v>149</v>
      </c>
      <c r="C38" s="446" t="s">
        <v>2522</v>
      </c>
      <c r="D38" s="446" t="s">
        <v>153</v>
      </c>
      <c r="E38" s="446" t="s">
        <v>3798</v>
      </c>
      <c r="F38" s="298">
        <v>43063</v>
      </c>
      <c r="G38" s="74">
        <v>76</v>
      </c>
      <c r="H38" s="74">
        <v>0</v>
      </c>
      <c r="I38" s="74">
        <v>0</v>
      </c>
      <c r="J38" s="74">
        <v>0</v>
      </c>
      <c r="K38" s="74">
        <v>0</v>
      </c>
      <c r="L38" s="74">
        <v>76</v>
      </c>
      <c r="M38" s="74">
        <v>0</v>
      </c>
      <c r="N38" s="74">
        <v>0</v>
      </c>
      <c r="O38" s="74">
        <v>0</v>
      </c>
      <c r="P38" s="74">
        <v>121</v>
      </c>
      <c r="Q38" s="74">
        <v>0</v>
      </c>
      <c r="R38" s="74">
        <v>121</v>
      </c>
      <c r="S38" s="74">
        <v>-45</v>
      </c>
    </row>
    <row r="39" spans="1:19" x14ac:dyDescent="0.2">
      <c r="A39" s="446" t="s">
        <v>1740</v>
      </c>
      <c r="B39" s="446" t="s">
        <v>3952</v>
      </c>
      <c r="C39" s="446" t="s">
        <v>1741</v>
      </c>
      <c r="D39" s="446" t="s">
        <v>153</v>
      </c>
      <c r="E39" s="446" t="s">
        <v>3798</v>
      </c>
      <c r="F39" s="298">
        <v>42989</v>
      </c>
      <c r="G39" s="74">
        <v>80</v>
      </c>
      <c r="H39" s="74">
        <v>0</v>
      </c>
      <c r="I39" s="74">
        <v>0</v>
      </c>
      <c r="J39" s="74">
        <v>0</v>
      </c>
      <c r="K39" s="74">
        <v>0</v>
      </c>
      <c r="L39" s="74">
        <v>80</v>
      </c>
      <c r="M39" s="74">
        <v>0</v>
      </c>
      <c r="N39" s="74">
        <v>0</v>
      </c>
      <c r="O39" s="74">
        <v>0</v>
      </c>
      <c r="P39" s="74">
        <v>0</v>
      </c>
      <c r="Q39" s="74">
        <v>0</v>
      </c>
      <c r="R39" s="74">
        <v>0</v>
      </c>
      <c r="S39" s="74">
        <v>80</v>
      </c>
    </row>
    <row r="40" spans="1:19" x14ac:dyDescent="0.2">
      <c r="A40" s="446" t="s">
        <v>2147</v>
      </c>
      <c r="B40" s="446" t="s">
        <v>3946</v>
      </c>
      <c r="C40" s="446" t="s">
        <v>866</v>
      </c>
      <c r="D40" s="446" t="s">
        <v>153</v>
      </c>
      <c r="E40" s="446" t="s">
        <v>3798</v>
      </c>
      <c r="F40" s="298">
        <v>42543</v>
      </c>
      <c r="G40" s="74">
        <v>0</v>
      </c>
      <c r="H40" s="74">
        <v>0</v>
      </c>
      <c r="I40" s="74">
        <v>0</v>
      </c>
      <c r="J40" s="74">
        <v>0</v>
      </c>
      <c r="K40" s="74">
        <v>0</v>
      </c>
      <c r="L40" s="74">
        <v>0</v>
      </c>
      <c r="M40" s="74">
        <v>54</v>
      </c>
      <c r="N40" s="74">
        <v>0</v>
      </c>
      <c r="O40" s="74">
        <v>0</v>
      </c>
      <c r="P40" s="74">
        <v>0</v>
      </c>
      <c r="Q40" s="74">
        <v>0</v>
      </c>
      <c r="R40" s="74">
        <v>54</v>
      </c>
      <c r="S40" s="74">
        <v>-54</v>
      </c>
    </row>
    <row r="41" spans="1:19" x14ac:dyDescent="0.2">
      <c r="A41" s="446" t="s">
        <v>1464</v>
      </c>
      <c r="B41" s="446" t="s">
        <v>2904</v>
      </c>
      <c r="C41" s="446" t="s">
        <v>1166</v>
      </c>
      <c r="D41" s="446" t="s">
        <v>153</v>
      </c>
      <c r="E41" s="446" t="s">
        <v>3798</v>
      </c>
      <c r="F41" s="298">
        <v>42879</v>
      </c>
      <c r="G41" s="74">
        <v>67</v>
      </c>
      <c r="H41" s="74">
        <v>0</v>
      </c>
      <c r="I41" s="74">
        <v>0</v>
      </c>
      <c r="J41" s="74">
        <v>0</v>
      </c>
      <c r="K41" s="74">
        <v>0</v>
      </c>
      <c r="L41" s="74">
        <v>67</v>
      </c>
      <c r="M41" s="74">
        <v>0</v>
      </c>
      <c r="N41" s="74">
        <v>0</v>
      </c>
      <c r="O41" s="74">
        <v>0</v>
      </c>
      <c r="P41" s="74">
        <v>0</v>
      </c>
      <c r="Q41" s="74">
        <v>0</v>
      </c>
      <c r="R41" s="74">
        <v>0</v>
      </c>
      <c r="S41" s="74">
        <v>67</v>
      </c>
    </row>
    <row r="42" spans="1:19" x14ac:dyDescent="0.2">
      <c r="A42" s="446" t="s">
        <v>1704</v>
      </c>
      <c r="B42" s="446" t="s">
        <v>3946</v>
      </c>
      <c r="C42" s="446" t="s">
        <v>307</v>
      </c>
      <c r="D42" s="446" t="s">
        <v>153</v>
      </c>
      <c r="E42" s="446" t="s">
        <v>3798</v>
      </c>
      <c r="F42" s="298">
        <v>42489</v>
      </c>
      <c r="G42" s="74">
        <v>0</v>
      </c>
      <c r="H42" s="74">
        <v>0</v>
      </c>
      <c r="I42" s="74">
        <v>0</v>
      </c>
      <c r="J42" s="74">
        <v>0</v>
      </c>
      <c r="K42" s="74">
        <v>0</v>
      </c>
      <c r="L42" s="74">
        <v>0</v>
      </c>
      <c r="M42" s="74">
        <v>128</v>
      </c>
      <c r="N42" s="74">
        <v>0</v>
      </c>
      <c r="O42" s="74">
        <v>0</v>
      </c>
      <c r="P42" s="74">
        <v>0</v>
      </c>
      <c r="Q42" s="74">
        <v>0</v>
      </c>
      <c r="R42" s="74">
        <v>128</v>
      </c>
      <c r="S42" s="74">
        <v>-128</v>
      </c>
    </row>
    <row r="43" spans="1:19" x14ac:dyDescent="0.2">
      <c r="A43" s="446" t="s">
        <v>1956</v>
      </c>
      <c r="B43" s="446" t="s">
        <v>150</v>
      </c>
      <c r="C43" s="446" t="s">
        <v>1017</v>
      </c>
      <c r="D43" s="446" t="s">
        <v>153</v>
      </c>
      <c r="E43" s="446" t="s">
        <v>3798</v>
      </c>
      <c r="F43" s="298">
        <v>42873</v>
      </c>
      <c r="G43" s="74">
        <v>0</v>
      </c>
      <c r="H43" s="74">
        <v>0</v>
      </c>
      <c r="I43" s="74">
        <v>0</v>
      </c>
      <c r="J43" s="74">
        <v>0</v>
      </c>
      <c r="K43" s="74">
        <v>0</v>
      </c>
      <c r="L43" s="74">
        <v>0</v>
      </c>
      <c r="M43" s="74">
        <v>0</v>
      </c>
      <c r="N43" s="74">
        <v>0</v>
      </c>
      <c r="O43" s="74">
        <v>95</v>
      </c>
      <c r="P43" s="74">
        <v>0</v>
      </c>
      <c r="Q43" s="74">
        <v>0</v>
      </c>
      <c r="R43" s="74">
        <v>95</v>
      </c>
      <c r="S43" s="74">
        <v>-95</v>
      </c>
    </row>
    <row r="44" spans="1:19" x14ac:dyDescent="0.2">
      <c r="A44" s="446" t="s">
        <v>1477</v>
      </c>
      <c r="B44" s="446" t="s">
        <v>3942</v>
      </c>
      <c r="C44" s="446" t="s">
        <v>1478</v>
      </c>
      <c r="D44" s="446" t="s">
        <v>153</v>
      </c>
      <c r="E44" s="446" t="s">
        <v>3798</v>
      </c>
      <c r="F44" s="298">
        <v>43040</v>
      </c>
      <c r="G44" s="74">
        <v>70</v>
      </c>
      <c r="H44" s="74">
        <v>0</v>
      </c>
      <c r="I44" s="74">
        <v>0</v>
      </c>
      <c r="J44" s="74">
        <v>0</v>
      </c>
      <c r="K44" s="74">
        <v>0</v>
      </c>
      <c r="L44" s="74">
        <v>70</v>
      </c>
      <c r="M44" s="74">
        <v>0</v>
      </c>
      <c r="N44" s="74">
        <v>0</v>
      </c>
      <c r="O44" s="74">
        <v>0</v>
      </c>
      <c r="P44" s="74">
        <v>31</v>
      </c>
      <c r="Q44" s="74">
        <v>0</v>
      </c>
      <c r="R44" s="74">
        <v>31</v>
      </c>
      <c r="S44" s="74">
        <v>39</v>
      </c>
    </row>
    <row r="45" spans="1:19" x14ac:dyDescent="0.2">
      <c r="A45" s="446" t="s">
        <v>1815</v>
      </c>
      <c r="B45" s="446" t="s">
        <v>3944</v>
      </c>
      <c r="C45" s="446" t="s">
        <v>608</v>
      </c>
      <c r="D45" s="446" t="s">
        <v>153</v>
      </c>
      <c r="E45" s="446" t="s">
        <v>3798</v>
      </c>
      <c r="F45" s="298">
        <v>42446</v>
      </c>
      <c r="G45" s="74">
        <v>80</v>
      </c>
      <c r="H45" s="74">
        <v>0</v>
      </c>
      <c r="I45" s="74">
        <v>0</v>
      </c>
      <c r="J45" s="74">
        <v>0</v>
      </c>
      <c r="K45" s="74">
        <v>0</v>
      </c>
      <c r="L45" s="74">
        <v>80</v>
      </c>
      <c r="M45" s="74">
        <v>0</v>
      </c>
      <c r="N45" s="74">
        <v>0</v>
      </c>
      <c r="O45" s="74">
        <v>0</v>
      </c>
      <c r="P45" s="74">
        <v>0</v>
      </c>
      <c r="Q45" s="74">
        <v>0</v>
      </c>
      <c r="R45" s="74">
        <v>0</v>
      </c>
      <c r="S45" s="74">
        <v>80</v>
      </c>
    </row>
    <row r="46" spans="1:19" x14ac:dyDescent="0.2">
      <c r="A46" s="446" t="s">
        <v>2211</v>
      </c>
      <c r="B46" s="446" t="s">
        <v>3942</v>
      </c>
      <c r="C46" s="446" t="s">
        <v>624</v>
      </c>
      <c r="D46" s="446" t="s">
        <v>153</v>
      </c>
      <c r="E46" s="446" t="s">
        <v>3798</v>
      </c>
      <c r="F46" s="298">
        <v>42527</v>
      </c>
      <c r="G46" s="74">
        <v>0</v>
      </c>
      <c r="H46" s="74">
        <v>0</v>
      </c>
      <c r="I46" s="74">
        <v>0</v>
      </c>
      <c r="J46" s="74">
        <v>0</v>
      </c>
      <c r="K46" s="74">
        <v>0</v>
      </c>
      <c r="L46" s="74">
        <v>0</v>
      </c>
      <c r="M46" s="74">
        <v>43</v>
      </c>
      <c r="N46" s="74">
        <v>0</v>
      </c>
      <c r="O46" s="74">
        <v>0</v>
      </c>
      <c r="P46" s="74">
        <v>0</v>
      </c>
      <c r="Q46" s="74">
        <v>0</v>
      </c>
      <c r="R46" s="74">
        <v>43</v>
      </c>
      <c r="S46" s="74">
        <v>-43</v>
      </c>
    </row>
    <row r="47" spans="1:19" x14ac:dyDescent="0.2">
      <c r="A47" s="446" t="s">
        <v>2604</v>
      </c>
      <c r="B47" s="446" t="s">
        <v>3951</v>
      </c>
      <c r="C47" s="446" t="s">
        <v>2605</v>
      </c>
      <c r="D47" s="446" t="s">
        <v>153</v>
      </c>
      <c r="E47" s="446" t="s">
        <v>3798</v>
      </c>
      <c r="F47" s="298">
        <v>43153</v>
      </c>
      <c r="G47" s="74">
        <v>0</v>
      </c>
      <c r="H47" s="74">
        <v>0</v>
      </c>
      <c r="I47" s="74">
        <v>0</v>
      </c>
      <c r="J47" s="74">
        <v>0</v>
      </c>
      <c r="K47" s="74">
        <v>0</v>
      </c>
      <c r="L47" s="74">
        <v>0</v>
      </c>
      <c r="M47" s="74">
        <v>17</v>
      </c>
      <c r="N47" s="74">
        <v>0</v>
      </c>
      <c r="O47" s="74">
        <v>0</v>
      </c>
      <c r="P47" s="74">
        <v>0</v>
      </c>
      <c r="Q47" s="74">
        <v>0</v>
      </c>
      <c r="R47" s="74">
        <v>17</v>
      </c>
      <c r="S47" s="74">
        <v>-17</v>
      </c>
    </row>
    <row r="48" spans="1:19" x14ac:dyDescent="0.2">
      <c r="A48" s="446" t="s">
        <v>2206</v>
      </c>
      <c r="B48" s="446" t="s">
        <v>3949</v>
      </c>
      <c r="C48" s="446" t="s">
        <v>807</v>
      </c>
      <c r="D48" s="446" t="s">
        <v>153</v>
      </c>
      <c r="E48" s="446" t="s">
        <v>3798</v>
      </c>
      <c r="F48" s="298">
        <v>42537</v>
      </c>
      <c r="G48" s="74">
        <v>0</v>
      </c>
      <c r="H48" s="74">
        <v>0</v>
      </c>
      <c r="I48" s="74">
        <v>0</v>
      </c>
      <c r="J48" s="74">
        <v>0</v>
      </c>
      <c r="K48" s="74">
        <v>0</v>
      </c>
      <c r="L48" s="74">
        <v>0</v>
      </c>
      <c r="M48" s="74">
        <v>0</v>
      </c>
      <c r="N48" s="74">
        <v>0</v>
      </c>
      <c r="O48" s="74">
        <v>0</v>
      </c>
      <c r="P48" s="74">
        <v>0</v>
      </c>
      <c r="Q48" s="74">
        <v>83</v>
      </c>
      <c r="R48" s="74">
        <v>83</v>
      </c>
      <c r="S48" s="74">
        <v>-83</v>
      </c>
    </row>
    <row r="49" spans="1:19" x14ac:dyDescent="0.2">
      <c r="A49" s="446" t="s">
        <v>2164</v>
      </c>
      <c r="B49" s="446" t="s">
        <v>3952</v>
      </c>
      <c r="C49" s="446" t="s">
        <v>547</v>
      </c>
      <c r="D49" s="446" t="s">
        <v>153</v>
      </c>
      <c r="E49" s="446" t="s">
        <v>3798</v>
      </c>
      <c r="F49" s="298">
        <v>42381</v>
      </c>
      <c r="G49" s="74">
        <v>0</v>
      </c>
      <c r="H49" s="74">
        <v>0</v>
      </c>
      <c r="I49" s="74">
        <v>0</v>
      </c>
      <c r="J49" s="74">
        <v>0</v>
      </c>
      <c r="K49" s="74">
        <v>0</v>
      </c>
      <c r="L49" s="74">
        <v>0</v>
      </c>
      <c r="M49" s="74">
        <v>0</v>
      </c>
      <c r="N49" s="74">
        <v>0</v>
      </c>
      <c r="O49" s="74">
        <v>0</v>
      </c>
      <c r="P49" s="74">
        <v>0</v>
      </c>
      <c r="Q49" s="74">
        <v>49</v>
      </c>
      <c r="R49" s="74">
        <v>49</v>
      </c>
      <c r="S49" s="74">
        <v>-49</v>
      </c>
    </row>
    <row r="50" spans="1:19" x14ac:dyDescent="0.2">
      <c r="A50" s="446" t="s">
        <v>1976</v>
      </c>
      <c r="B50" s="446" t="s">
        <v>3947</v>
      </c>
      <c r="C50" s="446" t="s">
        <v>627</v>
      </c>
      <c r="D50" s="446" t="s">
        <v>153</v>
      </c>
      <c r="E50" s="446" t="s">
        <v>3798</v>
      </c>
      <c r="F50" s="298">
        <v>42614</v>
      </c>
      <c r="G50" s="74">
        <v>0</v>
      </c>
      <c r="H50" s="74">
        <v>0</v>
      </c>
      <c r="I50" s="74">
        <v>0</v>
      </c>
      <c r="J50" s="74">
        <v>0</v>
      </c>
      <c r="K50" s="74">
        <v>0</v>
      </c>
      <c r="L50" s="74">
        <v>0</v>
      </c>
      <c r="M50" s="74">
        <v>540</v>
      </c>
      <c r="N50" s="74">
        <v>0</v>
      </c>
      <c r="O50" s="74">
        <v>0</v>
      </c>
      <c r="P50" s="74">
        <v>0</v>
      </c>
      <c r="Q50" s="74">
        <v>0</v>
      </c>
      <c r="R50" s="74">
        <v>540</v>
      </c>
      <c r="S50" s="74">
        <v>-540</v>
      </c>
    </row>
    <row r="51" spans="1:19" x14ac:dyDescent="0.2">
      <c r="A51" s="446" t="s">
        <v>1768</v>
      </c>
      <c r="B51" s="446" t="s">
        <v>149</v>
      </c>
      <c r="C51" s="446" t="s">
        <v>751</v>
      </c>
      <c r="D51" s="446" t="s">
        <v>153</v>
      </c>
      <c r="E51" s="446" t="s">
        <v>3798</v>
      </c>
      <c r="F51" s="298">
        <v>42212</v>
      </c>
      <c r="G51" s="74">
        <v>0</v>
      </c>
      <c r="H51" s="74">
        <v>0</v>
      </c>
      <c r="I51" s="74">
        <v>0</v>
      </c>
      <c r="J51" s="74">
        <v>0</v>
      </c>
      <c r="K51" s="74">
        <v>18</v>
      </c>
      <c r="L51" s="74">
        <v>18</v>
      </c>
      <c r="M51" s="74">
        <v>0</v>
      </c>
      <c r="N51" s="74">
        <v>0</v>
      </c>
      <c r="O51" s="74">
        <v>0</v>
      </c>
      <c r="P51" s="74">
        <v>0</v>
      </c>
      <c r="Q51" s="74">
        <v>0</v>
      </c>
      <c r="R51" s="74">
        <v>0</v>
      </c>
      <c r="S51" s="74">
        <v>18</v>
      </c>
    </row>
    <row r="52" spans="1:19" x14ac:dyDescent="0.2">
      <c r="A52" s="446" t="s">
        <v>1743</v>
      </c>
      <c r="B52" s="446" t="s">
        <v>3943</v>
      </c>
      <c r="C52" s="446" t="s">
        <v>267</v>
      </c>
      <c r="D52" s="446" t="s">
        <v>153</v>
      </c>
      <c r="E52" s="446" t="s">
        <v>3798</v>
      </c>
      <c r="F52" s="298">
        <v>42345</v>
      </c>
      <c r="G52" s="74">
        <v>2036</v>
      </c>
      <c r="H52" s="74">
        <v>0</v>
      </c>
      <c r="I52" s="74">
        <v>0</v>
      </c>
      <c r="J52" s="74">
        <v>0</v>
      </c>
      <c r="K52" s="74">
        <v>0</v>
      </c>
      <c r="L52" s="74">
        <v>2036</v>
      </c>
      <c r="M52" s="74">
        <v>0</v>
      </c>
      <c r="N52" s="74">
        <v>0</v>
      </c>
      <c r="O52" s="74">
        <v>0</v>
      </c>
      <c r="P52" s="74">
        <v>0</v>
      </c>
      <c r="Q52" s="74">
        <v>0</v>
      </c>
      <c r="R52" s="74">
        <v>0</v>
      </c>
      <c r="S52" s="74">
        <v>2036</v>
      </c>
    </row>
    <row r="53" spans="1:19" x14ac:dyDescent="0.2">
      <c r="C53" s="446" t="s">
        <v>790</v>
      </c>
      <c r="D53" s="446" t="s">
        <v>153</v>
      </c>
      <c r="E53" s="446" t="s">
        <v>3798</v>
      </c>
      <c r="F53" s="298">
        <v>42423</v>
      </c>
      <c r="G53" s="74">
        <v>669</v>
      </c>
      <c r="H53" s="74">
        <v>0</v>
      </c>
      <c r="I53" s="74">
        <v>0</v>
      </c>
      <c r="J53" s="74">
        <v>0</v>
      </c>
      <c r="K53" s="74">
        <v>0</v>
      </c>
      <c r="L53" s="74">
        <v>669</v>
      </c>
      <c r="M53" s="74">
        <v>0</v>
      </c>
      <c r="N53" s="74">
        <v>0</v>
      </c>
      <c r="O53" s="74">
        <v>0</v>
      </c>
      <c r="P53" s="74">
        <v>0</v>
      </c>
      <c r="Q53" s="74">
        <v>0</v>
      </c>
      <c r="R53" s="74">
        <v>0</v>
      </c>
      <c r="S53" s="74">
        <v>669</v>
      </c>
    </row>
    <row r="54" spans="1:19" x14ac:dyDescent="0.2">
      <c r="C54" s="446" t="s">
        <v>621</v>
      </c>
      <c r="D54" s="446" t="s">
        <v>153</v>
      </c>
      <c r="E54" s="446" t="s">
        <v>3798</v>
      </c>
      <c r="F54" s="298">
        <v>42517</v>
      </c>
      <c r="G54" s="74">
        <v>26</v>
      </c>
      <c r="H54" s="74">
        <v>0</v>
      </c>
      <c r="I54" s="74">
        <v>0</v>
      </c>
      <c r="J54" s="74">
        <v>0</v>
      </c>
      <c r="K54" s="74">
        <v>0</v>
      </c>
      <c r="L54" s="74">
        <v>26</v>
      </c>
      <c r="M54" s="74">
        <v>0</v>
      </c>
      <c r="N54" s="74">
        <v>0</v>
      </c>
      <c r="O54" s="74">
        <v>0</v>
      </c>
      <c r="P54" s="74">
        <v>0</v>
      </c>
      <c r="Q54" s="74">
        <v>97</v>
      </c>
      <c r="R54" s="74">
        <v>97</v>
      </c>
      <c r="S54" s="74">
        <v>-71</v>
      </c>
    </row>
    <row r="55" spans="1:19" x14ac:dyDescent="0.2">
      <c r="A55" s="446" t="s">
        <v>1488</v>
      </c>
      <c r="B55" s="446" t="s">
        <v>3951</v>
      </c>
      <c r="C55" s="446" t="s">
        <v>1489</v>
      </c>
      <c r="D55" s="446" t="s">
        <v>153</v>
      </c>
      <c r="E55" s="446" t="s">
        <v>3798</v>
      </c>
      <c r="F55" s="298">
        <v>43063</v>
      </c>
      <c r="G55" s="74">
        <v>0</v>
      </c>
      <c r="H55" s="74">
        <v>0</v>
      </c>
      <c r="I55" s="74">
        <v>0</v>
      </c>
      <c r="J55" s="74">
        <v>0</v>
      </c>
      <c r="K55" s="74">
        <v>0</v>
      </c>
      <c r="L55" s="74">
        <v>0</v>
      </c>
      <c r="M55" s="74">
        <v>0</v>
      </c>
      <c r="N55" s="74">
        <v>0</v>
      </c>
      <c r="O55" s="74">
        <v>83</v>
      </c>
      <c r="P55" s="74">
        <v>0</v>
      </c>
      <c r="Q55" s="74">
        <v>0</v>
      </c>
      <c r="R55" s="74">
        <v>83</v>
      </c>
      <c r="S55" s="74">
        <v>-83</v>
      </c>
    </row>
    <row r="56" spans="1:19" x14ac:dyDescent="0.2">
      <c r="A56" s="446" t="s">
        <v>1369</v>
      </c>
      <c r="B56" s="446" t="s">
        <v>2907</v>
      </c>
      <c r="C56" s="446" t="s">
        <v>1370</v>
      </c>
      <c r="D56" s="446" t="s">
        <v>153</v>
      </c>
      <c r="E56" s="446" t="s">
        <v>3798</v>
      </c>
      <c r="F56" s="298">
        <v>43007</v>
      </c>
      <c r="G56" s="74">
        <v>63</v>
      </c>
      <c r="H56" s="74">
        <v>0</v>
      </c>
      <c r="I56" s="74">
        <v>0</v>
      </c>
      <c r="J56" s="74">
        <v>0</v>
      </c>
      <c r="K56" s="74">
        <v>0</v>
      </c>
      <c r="L56" s="74">
        <v>63</v>
      </c>
      <c r="M56" s="74">
        <v>0</v>
      </c>
      <c r="N56" s="74">
        <v>0</v>
      </c>
      <c r="O56" s="74">
        <v>0</v>
      </c>
      <c r="P56" s="74">
        <v>0</v>
      </c>
      <c r="Q56" s="74">
        <v>0</v>
      </c>
      <c r="R56" s="74">
        <v>0</v>
      </c>
      <c r="S56" s="74">
        <v>63</v>
      </c>
    </row>
    <row r="57" spans="1:19" x14ac:dyDescent="0.2">
      <c r="A57" s="446" t="s">
        <v>2251</v>
      </c>
      <c r="B57" s="446" t="s">
        <v>3951</v>
      </c>
      <c r="C57" s="446" t="s">
        <v>915</v>
      </c>
      <c r="D57" s="446" t="s">
        <v>153</v>
      </c>
      <c r="E57" s="446" t="s">
        <v>3798</v>
      </c>
      <c r="F57" s="298">
        <v>42598</v>
      </c>
      <c r="G57" s="74">
        <v>0</v>
      </c>
      <c r="H57" s="74">
        <v>0</v>
      </c>
      <c r="I57" s="74">
        <v>0</v>
      </c>
      <c r="J57" s="74">
        <v>0</v>
      </c>
      <c r="K57" s="74">
        <v>0</v>
      </c>
      <c r="L57" s="74">
        <v>0</v>
      </c>
      <c r="M57" s="74">
        <v>155</v>
      </c>
      <c r="N57" s="74">
        <v>0</v>
      </c>
      <c r="O57" s="74">
        <v>0</v>
      </c>
      <c r="P57" s="74">
        <v>0</v>
      </c>
      <c r="Q57" s="74">
        <v>0</v>
      </c>
      <c r="R57" s="74">
        <v>155</v>
      </c>
      <c r="S57" s="74">
        <v>-155</v>
      </c>
    </row>
    <row r="58" spans="1:19" x14ac:dyDescent="0.2">
      <c r="A58" s="446" t="s">
        <v>1698</v>
      </c>
      <c r="B58" s="446" t="s">
        <v>3946</v>
      </c>
      <c r="C58" s="446" t="s">
        <v>1190</v>
      </c>
      <c r="D58" s="446" t="s">
        <v>153</v>
      </c>
      <c r="E58" s="446" t="s">
        <v>3798</v>
      </c>
      <c r="F58" s="298">
        <v>42790</v>
      </c>
      <c r="G58" s="74">
        <v>222</v>
      </c>
      <c r="H58" s="74">
        <v>0</v>
      </c>
      <c r="I58" s="74">
        <v>0</v>
      </c>
      <c r="J58" s="74">
        <v>0</v>
      </c>
      <c r="K58" s="74">
        <v>0</v>
      </c>
      <c r="L58" s="74">
        <v>222</v>
      </c>
      <c r="M58" s="74">
        <v>50</v>
      </c>
      <c r="N58" s="74">
        <v>0</v>
      </c>
      <c r="O58" s="74">
        <v>0</v>
      </c>
      <c r="P58" s="74">
        <v>0</v>
      </c>
      <c r="Q58" s="74">
        <v>0</v>
      </c>
      <c r="R58" s="74">
        <v>50</v>
      </c>
      <c r="S58" s="74">
        <v>172</v>
      </c>
    </row>
    <row r="59" spans="1:19" x14ac:dyDescent="0.2">
      <c r="A59" s="446" t="s">
        <v>1563</v>
      </c>
      <c r="B59" s="446" t="s">
        <v>3947</v>
      </c>
      <c r="C59" s="446" t="s">
        <v>1192</v>
      </c>
      <c r="D59" s="446" t="s">
        <v>153</v>
      </c>
      <c r="E59" s="446" t="s">
        <v>3798</v>
      </c>
      <c r="F59" s="298">
        <v>42776</v>
      </c>
      <c r="G59" s="74">
        <v>0</v>
      </c>
      <c r="H59" s="74">
        <v>0</v>
      </c>
      <c r="I59" s="74">
        <v>0</v>
      </c>
      <c r="J59" s="74">
        <v>0</v>
      </c>
      <c r="K59" s="74">
        <v>182</v>
      </c>
      <c r="L59" s="74">
        <v>182</v>
      </c>
      <c r="M59" s="74">
        <v>177</v>
      </c>
      <c r="N59" s="74">
        <v>0</v>
      </c>
      <c r="O59" s="74">
        <v>0</v>
      </c>
      <c r="P59" s="74">
        <v>0</v>
      </c>
      <c r="Q59" s="74">
        <v>0</v>
      </c>
      <c r="R59" s="74">
        <v>177</v>
      </c>
      <c r="S59" s="74">
        <v>5</v>
      </c>
    </row>
    <row r="60" spans="1:19" x14ac:dyDescent="0.2">
      <c r="A60" s="446" t="s">
        <v>1335</v>
      </c>
      <c r="B60" s="446" t="s">
        <v>3948</v>
      </c>
      <c r="C60" s="446" t="s">
        <v>986</v>
      </c>
      <c r="D60" s="446" t="s">
        <v>153</v>
      </c>
      <c r="E60" s="446" t="s">
        <v>3798</v>
      </c>
      <c r="F60" s="298">
        <v>42989</v>
      </c>
      <c r="G60" s="74">
        <v>1248</v>
      </c>
      <c r="H60" s="74">
        <v>0</v>
      </c>
      <c r="I60" s="74">
        <v>0</v>
      </c>
      <c r="J60" s="74">
        <v>0</v>
      </c>
      <c r="K60" s="74">
        <v>0</v>
      </c>
      <c r="L60" s="74">
        <v>1248</v>
      </c>
      <c r="M60" s="74">
        <v>0</v>
      </c>
      <c r="N60" s="74">
        <v>0</v>
      </c>
      <c r="O60" s="74">
        <v>0</v>
      </c>
      <c r="P60" s="74">
        <v>0</v>
      </c>
      <c r="Q60" s="74">
        <v>0</v>
      </c>
      <c r="R60" s="74">
        <v>0</v>
      </c>
      <c r="S60" s="74">
        <v>1248</v>
      </c>
    </row>
    <row r="61" spans="1:19" x14ac:dyDescent="0.2">
      <c r="A61" s="446" t="s">
        <v>1770</v>
      </c>
      <c r="B61" s="446" t="s">
        <v>3947</v>
      </c>
      <c r="C61" s="446" t="s">
        <v>967</v>
      </c>
      <c r="D61" s="446" t="s">
        <v>153</v>
      </c>
      <c r="E61" s="446" t="s">
        <v>3798</v>
      </c>
      <c r="F61" s="298">
        <v>42695</v>
      </c>
      <c r="G61" s="74">
        <v>405</v>
      </c>
      <c r="H61" s="74">
        <v>405</v>
      </c>
      <c r="I61" s="74">
        <v>405</v>
      </c>
      <c r="J61" s="74">
        <v>0</v>
      </c>
      <c r="K61" s="74">
        <v>0</v>
      </c>
      <c r="L61" s="74">
        <v>1215</v>
      </c>
      <c r="M61" s="74">
        <v>0</v>
      </c>
      <c r="N61" s="74">
        <v>0</v>
      </c>
      <c r="O61" s="74">
        <v>2196</v>
      </c>
      <c r="P61" s="74">
        <v>0</v>
      </c>
      <c r="Q61" s="74">
        <v>2171</v>
      </c>
      <c r="R61" s="74">
        <v>4367</v>
      </c>
      <c r="S61" s="74">
        <v>-3152</v>
      </c>
    </row>
    <row r="62" spans="1:19" x14ac:dyDescent="0.2">
      <c r="A62" s="446" t="s">
        <v>2004</v>
      </c>
      <c r="B62" s="446" t="s">
        <v>3946</v>
      </c>
      <c r="C62" s="446" t="s">
        <v>311</v>
      </c>
      <c r="D62" s="446" t="s">
        <v>153</v>
      </c>
      <c r="E62" s="446" t="s">
        <v>3798</v>
      </c>
      <c r="F62" s="298">
        <v>42291</v>
      </c>
      <c r="G62" s="74">
        <v>2225</v>
      </c>
      <c r="H62" s="74">
        <v>0</v>
      </c>
      <c r="I62" s="74">
        <v>0</v>
      </c>
      <c r="J62" s="74">
        <v>0</v>
      </c>
      <c r="K62" s="74">
        <v>0</v>
      </c>
      <c r="L62" s="74">
        <v>2225</v>
      </c>
      <c r="M62" s="74">
        <v>6480</v>
      </c>
      <c r="N62" s="74">
        <v>0</v>
      </c>
      <c r="O62" s="74">
        <v>0</v>
      </c>
      <c r="P62" s="74">
        <v>0</v>
      </c>
      <c r="Q62" s="74">
        <v>0</v>
      </c>
      <c r="R62" s="74">
        <v>6480</v>
      </c>
      <c r="S62" s="74">
        <v>-4255</v>
      </c>
    </row>
    <row r="63" spans="1:19" x14ac:dyDescent="0.2">
      <c r="C63" s="446" t="s">
        <v>978</v>
      </c>
      <c r="D63" s="446" t="s">
        <v>153</v>
      </c>
      <c r="E63" s="446" t="s">
        <v>3798</v>
      </c>
      <c r="F63" s="298">
        <v>42628</v>
      </c>
      <c r="G63" s="74">
        <v>9596</v>
      </c>
      <c r="H63" s="74">
        <v>0</v>
      </c>
      <c r="I63" s="74">
        <v>0</v>
      </c>
      <c r="J63" s="74">
        <v>0</v>
      </c>
      <c r="K63" s="74">
        <v>0</v>
      </c>
      <c r="L63" s="74">
        <v>9596</v>
      </c>
      <c r="M63" s="74">
        <v>6480</v>
      </c>
      <c r="N63" s="74">
        <v>0</v>
      </c>
      <c r="O63" s="74">
        <v>0</v>
      </c>
      <c r="P63" s="74">
        <v>0</v>
      </c>
      <c r="Q63" s="74">
        <v>0</v>
      </c>
      <c r="R63" s="74">
        <v>6480</v>
      </c>
      <c r="S63" s="74">
        <v>3116</v>
      </c>
    </row>
    <row r="64" spans="1:19" x14ac:dyDescent="0.2">
      <c r="A64" s="446" t="s">
        <v>1991</v>
      </c>
      <c r="B64" s="446" t="s">
        <v>2907</v>
      </c>
      <c r="C64" s="446" t="s">
        <v>1277</v>
      </c>
      <c r="D64" s="446" t="s">
        <v>153</v>
      </c>
      <c r="E64" s="446" t="s">
        <v>3798</v>
      </c>
      <c r="F64" s="298">
        <v>42894</v>
      </c>
      <c r="G64" s="74">
        <v>3228</v>
      </c>
      <c r="H64" s="74">
        <v>0</v>
      </c>
      <c r="I64" s="74">
        <v>0</v>
      </c>
      <c r="J64" s="74">
        <v>0</v>
      </c>
      <c r="K64" s="74">
        <v>0</v>
      </c>
      <c r="L64" s="74">
        <v>3228</v>
      </c>
      <c r="M64" s="74">
        <v>4502</v>
      </c>
      <c r="N64" s="74">
        <v>0</v>
      </c>
      <c r="O64" s="74">
        <v>0</v>
      </c>
      <c r="P64" s="74">
        <v>0</v>
      </c>
      <c r="Q64" s="74">
        <v>0</v>
      </c>
      <c r="R64" s="74">
        <v>4502</v>
      </c>
      <c r="S64" s="74">
        <v>-1274</v>
      </c>
    </row>
    <row r="65" spans="1:19" x14ac:dyDescent="0.2">
      <c r="A65" s="446" t="s">
        <v>1671</v>
      </c>
      <c r="B65" s="446" t="s">
        <v>2907</v>
      </c>
      <c r="C65" s="446" t="s">
        <v>290</v>
      </c>
      <c r="D65" s="446" t="s">
        <v>153</v>
      </c>
      <c r="E65" s="446" t="s">
        <v>3798</v>
      </c>
      <c r="F65" s="298">
        <v>42087</v>
      </c>
      <c r="G65" s="74">
        <v>0</v>
      </c>
      <c r="H65" s="74">
        <v>0</v>
      </c>
      <c r="I65" s="74">
        <v>0</v>
      </c>
      <c r="J65" s="74">
        <v>0</v>
      </c>
      <c r="K65" s="74">
        <v>0</v>
      </c>
      <c r="L65" s="74">
        <v>0</v>
      </c>
      <c r="M65" s="74">
        <v>252</v>
      </c>
      <c r="N65" s="74">
        <v>0</v>
      </c>
      <c r="O65" s="74">
        <v>0</v>
      </c>
      <c r="P65" s="74">
        <v>0</v>
      </c>
      <c r="Q65" s="74">
        <v>0</v>
      </c>
      <c r="R65" s="74">
        <v>252</v>
      </c>
      <c r="S65" s="74">
        <v>-252</v>
      </c>
    </row>
    <row r="66" spans="1:19" x14ac:dyDescent="0.2">
      <c r="A66" s="446" t="s">
        <v>2208</v>
      </c>
      <c r="B66" s="446" t="s">
        <v>2904</v>
      </c>
      <c r="C66" s="446" t="s">
        <v>2209</v>
      </c>
      <c r="D66" s="446" t="s">
        <v>153</v>
      </c>
      <c r="E66" s="446" t="s">
        <v>3798</v>
      </c>
      <c r="F66" s="298">
        <v>43027</v>
      </c>
      <c r="G66" s="74">
        <v>0</v>
      </c>
      <c r="H66" s="74">
        <v>0</v>
      </c>
      <c r="I66" s="74">
        <v>0</v>
      </c>
      <c r="J66" s="74">
        <v>0</v>
      </c>
      <c r="K66" s="74">
        <v>0</v>
      </c>
      <c r="L66" s="74">
        <v>0</v>
      </c>
      <c r="M66" s="74">
        <v>233</v>
      </c>
      <c r="N66" s="74">
        <v>0</v>
      </c>
      <c r="O66" s="74">
        <v>0</v>
      </c>
      <c r="P66" s="74">
        <v>0</v>
      </c>
      <c r="Q66" s="74">
        <v>0</v>
      </c>
      <c r="R66" s="74">
        <v>233</v>
      </c>
      <c r="S66" s="74">
        <v>-233</v>
      </c>
    </row>
    <row r="67" spans="1:19" x14ac:dyDescent="0.2">
      <c r="A67" s="446" t="s">
        <v>1337</v>
      </c>
      <c r="B67" s="446" t="s">
        <v>3949</v>
      </c>
      <c r="C67" s="446" t="s">
        <v>1338</v>
      </c>
      <c r="D67" s="446" t="s">
        <v>153</v>
      </c>
      <c r="E67" s="446" t="s">
        <v>3798</v>
      </c>
      <c r="F67" s="298">
        <v>42929</v>
      </c>
      <c r="G67" s="74">
        <v>0</v>
      </c>
      <c r="H67" s="74">
        <v>0</v>
      </c>
      <c r="I67" s="74">
        <v>0</v>
      </c>
      <c r="J67" s="74">
        <v>0</v>
      </c>
      <c r="K67" s="74">
        <v>0</v>
      </c>
      <c r="L67" s="74">
        <v>0</v>
      </c>
      <c r="M67" s="74">
        <v>0</v>
      </c>
      <c r="N67" s="74">
        <v>0</v>
      </c>
      <c r="O67" s="74">
        <v>0</v>
      </c>
      <c r="P67" s="74">
        <v>0</v>
      </c>
      <c r="Q67" s="74">
        <v>69</v>
      </c>
      <c r="R67" s="74">
        <v>69</v>
      </c>
      <c r="S67" s="74">
        <v>-69</v>
      </c>
    </row>
    <row r="68" spans="1:19" x14ac:dyDescent="0.2">
      <c r="A68" s="446" t="s">
        <v>2477</v>
      </c>
      <c r="B68" s="446" t="s">
        <v>3940</v>
      </c>
      <c r="C68" s="446" t="s">
        <v>2478</v>
      </c>
      <c r="D68" s="446" t="s">
        <v>153</v>
      </c>
      <c r="E68" s="446" t="s">
        <v>3798</v>
      </c>
      <c r="F68" s="298">
        <v>42947</v>
      </c>
      <c r="G68" s="74">
        <v>263</v>
      </c>
      <c r="H68" s="74">
        <v>0</v>
      </c>
      <c r="I68" s="74">
        <v>0</v>
      </c>
      <c r="J68" s="74">
        <v>0</v>
      </c>
      <c r="K68" s="74">
        <v>0</v>
      </c>
      <c r="L68" s="74">
        <v>263</v>
      </c>
      <c r="M68" s="74">
        <v>0</v>
      </c>
      <c r="N68" s="74">
        <v>0</v>
      </c>
      <c r="O68" s="74">
        <v>0</v>
      </c>
      <c r="P68" s="74">
        <v>0</v>
      </c>
      <c r="Q68" s="74">
        <v>0</v>
      </c>
      <c r="R68" s="74">
        <v>0</v>
      </c>
      <c r="S68" s="74">
        <v>263</v>
      </c>
    </row>
    <row r="69" spans="1:19" x14ac:dyDescent="0.2">
      <c r="A69" s="446" t="s">
        <v>1400</v>
      </c>
      <c r="B69" s="446" t="s">
        <v>3952</v>
      </c>
      <c r="C69" s="446" t="s">
        <v>324</v>
      </c>
      <c r="D69" s="446" t="s">
        <v>153</v>
      </c>
      <c r="E69" s="446" t="s">
        <v>3798</v>
      </c>
      <c r="F69" s="298">
        <v>41976</v>
      </c>
      <c r="G69" s="74">
        <v>0</v>
      </c>
      <c r="H69" s="74">
        <v>0</v>
      </c>
      <c r="I69" s="74">
        <v>0</v>
      </c>
      <c r="J69" s="74">
        <v>0</v>
      </c>
      <c r="K69" s="74">
        <v>0</v>
      </c>
      <c r="L69" s="74">
        <v>0</v>
      </c>
      <c r="M69" s="74">
        <v>0</v>
      </c>
      <c r="N69" s="74">
        <v>0</v>
      </c>
      <c r="O69" s="74">
        <v>0</v>
      </c>
      <c r="P69" s="74">
        <v>715</v>
      </c>
      <c r="Q69" s="74">
        <v>0</v>
      </c>
      <c r="R69" s="74">
        <v>715</v>
      </c>
      <c r="S69" s="74">
        <v>-715</v>
      </c>
    </row>
    <row r="70" spans="1:19" x14ac:dyDescent="0.2">
      <c r="A70" s="446" t="s">
        <v>1807</v>
      </c>
      <c r="B70" s="446" t="s">
        <v>149</v>
      </c>
      <c r="C70" s="446" t="s">
        <v>1281</v>
      </c>
      <c r="D70" s="446" t="s">
        <v>153</v>
      </c>
      <c r="E70" s="446" t="s">
        <v>3798</v>
      </c>
      <c r="F70" s="298">
        <v>42846</v>
      </c>
      <c r="G70" s="74">
        <v>0</v>
      </c>
      <c r="H70" s="74">
        <v>0</v>
      </c>
      <c r="I70" s="74">
        <v>0</v>
      </c>
      <c r="J70" s="74">
        <v>0</v>
      </c>
      <c r="K70" s="74">
        <v>0</v>
      </c>
      <c r="L70" s="74">
        <v>0</v>
      </c>
      <c r="M70" s="74">
        <v>0</v>
      </c>
      <c r="N70" s="74">
        <v>0</v>
      </c>
      <c r="O70" s="74">
        <v>0</v>
      </c>
      <c r="P70" s="74">
        <v>0</v>
      </c>
      <c r="Q70" s="74">
        <v>30</v>
      </c>
      <c r="R70" s="74">
        <v>30</v>
      </c>
      <c r="S70" s="74">
        <v>-30</v>
      </c>
    </row>
    <row r="71" spans="1:19" x14ac:dyDescent="0.2">
      <c r="A71" s="446" t="s">
        <v>1348</v>
      </c>
      <c r="B71" s="446" t="s">
        <v>2907</v>
      </c>
      <c r="C71" s="446" t="s">
        <v>1349</v>
      </c>
      <c r="D71" s="446" t="s">
        <v>153</v>
      </c>
      <c r="E71" s="446" t="s">
        <v>3798</v>
      </c>
      <c r="F71" s="298">
        <v>43125</v>
      </c>
      <c r="G71" s="74">
        <v>40</v>
      </c>
      <c r="H71" s="74">
        <v>0</v>
      </c>
      <c r="I71" s="74">
        <v>59</v>
      </c>
      <c r="J71" s="74">
        <v>0</v>
      </c>
      <c r="K71" s="74">
        <v>0</v>
      </c>
      <c r="L71" s="74">
        <v>99</v>
      </c>
      <c r="M71" s="74">
        <v>0</v>
      </c>
      <c r="N71" s="74">
        <v>0</v>
      </c>
      <c r="O71" s="74">
        <v>0</v>
      </c>
      <c r="P71" s="74">
        <v>0</v>
      </c>
      <c r="Q71" s="74">
        <v>59</v>
      </c>
      <c r="R71" s="74">
        <v>59</v>
      </c>
      <c r="S71" s="74">
        <v>40</v>
      </c>
    </row>
    <row r="72" spans="1:19" x14ac:dyDescent="0.2">
      <c r="A72" s="446" t="s">
        <v>1507</v>
      </c>
      <c r="B72" s="446" t="s">
        <v>3951</v>
      </c>
      <c r="C72" s="446" t="s">
        <v>1233</v>
      </c>
      <c r="D72" s="446" t="s">
        <v>153</v>
      </c>
      <c r="E72" s="446" t="s">
        <v>3798</v>
      </c>
      <c r="F72" s="298">
        <v>42831</v>
      </c>
      <c r="G72" s="74">
        <v>0</v>
      </c>
      <c r="H72" s="74">
        <v>0</v>
      </c>
      <c r="I72" s="74">
        <v>0</v>
      </c>
      <c r="J72" s="74">
        <v>0</v>
      </c>
      <c r="K72" s="74">
        <v>0</v>
      </c>
      <c r="L72" s="74">
        <v>0</v>
      </c>
      <c r="M72" s="74">
        <v>56</v>
      </c>
      <c r="N72" s="74">
        <v>0</v>
      </c>
      <c r="O72" s="74">
        <v>0</v>
      </c>
      <c r="P72" s="74">
        <v>0</v>
      </c>
      <c r="Q72" s="74">
        <v>0</v>
      </c>
      <c r="R72" s="74">
        <v>56</v>
      </c>
      <c r="S72" s="74">
        <v>-56</v>
      </c>
    </row>
    <row r="73" spans="1:19" x14ac:dyDescent="0.2">
      <c r="A73" s="446" t="s">
        <v>1484</v>
      </c>
      <c r="B73" s="446" t="s">
        <v>3952</v>
      </c>
      <c r="C73" s="446" t="s">
        <v>1485</v>
      </c>
      <c r="D73" s="446" t="s">
        <v>153</v>
      </c>
      <c r="E73" s="446" t="s">
        <v>3798</v>
      </c>
      <c r="F73" s="298">
        <v>42919</v>
      </c>
      <c r="G73" s="74">
        <v>0</v>
      </c>
      <c r="H73" s="74">
        <v>0</v>
      </c>
      <c r="I73" s="74">
        <v>0</v>
      </c>
      <c r="J73" s="74">
        <v>0</v>
      </c>
      <c r="K73" s="74">
        <v>31</v>
      </c>
      <c r="L73" s="74">
        <v>31</v>
      </c>
      <c r="M73" s="74">
        <v>0</v>
      </c>
      <c r="N73" s="74">
        <v>0</v>
      </c>
      <c r="O73" s="74">
        <v>0</v>
      </c>
      <c r="P73" s="74">
        <v>0</v>
      </c>
      <c r="Q73" s="74">
        <v>0</v>
      </c>
      <c r="R73" s="74">
        <v>0</v>
      </c>
      <c r="S73" s="74">
        <v>31</v>
      </c>
    </row>
    <row r="74" spans="1:19" x14ac:dyDescent="0.2">
      <c r="A74" s="446" t="s">
        <v>1816</v>
      </c>
      <c r="B74" s="446" t="s">
        <v>3943</v>
      </c>
      <c r="C74" s="446" t="s">
        <v>314</v>
      </c>
      <c r="D74" s="446" t="s">
        <v>153</v>
      </c>
      <c r="E74" s="446" t="s">
        <v>3798</v>
      </c>
      <c r="F74" s="298">
        <v>42153</v>
      </c>
      <c r="G74" s="74">
        <v>0</v>
      </c>
      <c r="H74" s="74">
        <v>0</v>
      </c>
      <c r="I74" s="74">
        <v>0</v>
      </c>
      <c r="J74" s="74">
        <v>0</v>
      </c>
      <c r="K74" s="74">
        <v>0</v>
      </c>
      <c r="L74" s="74">
        <v>0</v>
      </c>
      <c r="M74" s="74">
        <v>64</v>
      </c>
      <c r="N74" s="74">
        <v>0</v>
      </c>
      <c r="O74" s="74">
        <v>0</v>
      </c>
      <c r="P74" s="74">
        <v>0</v>
      </c>
      <c r="Q74" s="74">
        <v>0</v>
      </c>
      <c r="R74" s="74">
        <v>64</v>
      </c>
      <c r="S74" s="74">
        <v>-64</v>
      </c>
    </row>
    <row r="75" spans="1:19" x14ac:dyDescent="0.2">
      <c r="A75" s="446" t="s">
        <v>2457</v>
      </c>
      <c r="B75" s="446" t="s">
        <v>2904</v>
      </c>
      <c r="C75" s="446" t="s">
        <v>2458</v>
      </c>
      <c r="D75" s="446" t="s">
        <v>153</v>
      </c>
      <c r="E75" s="446" t="s">
        <v>3798</v>
      </c>
      <c r="F75" s="298">
        <v>43084</v>
      </c>
      <c r="G75" s="74">
        <v>530</v>
      </c>
      <c r="H75" s="74">
        <v>0</v>
      </c>
      <c r="I75" s="74">
        <v>0</v>
      </c>
      <c r="J75" s="74">
        <v>190</v>
      </c>
      <c r="K75" s="74">
        <v>190</v>
      </c>
      <c r="L75" s="74">
        <v>910</v>
      </c>
      <c r="M75" s="74">
        <v>0</v>
      </c>
      <c r="N75" s="74">
        <v>0</v>
      </c>
      <c r="O75" s="74">
        <v>0</v>
      </c>
      <c r="P75" s="74">
        <v>0</v>
      </c>
      <c r="Q75" s="74">
        <v>0</v>
      </c>
      <c r="R75" s="74">
        <v>0</v>
      </c>
      <c r="S75" s="74">
        <v>910</v>
      </c>
    </row>
    <row r="76" spans="1:19" x14ac:dyDescent="0.2">
      <c r="A76" s="446" t="s">
        <v>1867</v>
      </c>
      <c r="B76" s="446" t="s">
        <v>3947</v>
      </c>
      <c r="C76" s="446" t="s">
        <v>1876</v>
      </c>
      <c r="D76" s="446" t="s">
        <v>1878</v>
      </c>
      <c r="E76" s="446" t="s">
        <v>3971</v>
      </c>
      <c r="F76" s="298">
        <v>42865</v>
      </c>
      <c r="G76" s="74">
        <v>29</v>
      </c>
      <c r="H76" s="74">
        <v>0</v>
      </c>
      <c r="I76" s="74">
        <v>0</v>
      </c>
      <c r="J76" s="74">
        <v>0</v>
      </c>
      <c r="K76" s="74">
        <v>0</v>
      </c>
      <c r="L76" s="74">
        <v>29</v>
      </c>
      <c r="M76" s="74">
        <v>0</v>
      </c>
      <c r="N76" s="74">
        <v>0</v>
      </c>
      <c r="O76" s="74">
        <v>0</v>
      </c>
      <c r="P76" s="74">
        <v>0</v>
      </c>
      <c r="Q76" s="74">
        <v>0</v>
      </c>
      <c r="R76" s="74">
        <v>0</v>
      </c>
      <c r="S76" s="74">
        <v>29</v>
      </c>
    </row>
    <row r="77" spans="1:19" x14ac:dyDescent="0.2">
      <c r="C77" s="446" t="s">
        <v>1882</v>
      </c>
      <c r="D77" s="446" t="s">
        <v>1884</v>
      </c>
      <c r="E77" s="446" t="s">
        <v>3798</v>
      </c>
      <c r="F77" s="298">
        <v>42921</v>
      </c>
      <c r="G77" s="74">
        <v>18336</v>
      </c>
      <c r="H77" s="74">
        <v>0</v>
      </c>
      <c r="I77" s="74">
        <v>0</v>
      </c>
      <c r="J77" s="74">
        <v>0</v>
      </c>
      <c r="K77" s="74">
        <v>0</v>
      </c>
      <c r="L77" s="74">
        <v>18336</v>
      </c>
      <c r="M77" s="74">
        <v>0</v>
      </c>
      <c r="N77" s="74">
        <v>0</v>
      </c>
      <c r="O77" s="74">
        <v>0</v>
      </c>
      <c r="P77" s="74">
        <v>0</v>
      </c>
      <c r="Q77" s="74">
        <v>0</v>
      </c>
      <c r="R77" s="74">
        <v>0</v>
      </c>
      <c r="S77" s="74">
        <v>18336</v>
      </c>
    </row>
    <row r="78" spans="1:19" x14ac:dyDescent="0.2">
      <c r="A78" s="446" t="s">
        <v>1682</v>
      </c>
      <c r="B78" s="446" t="s">
        <v>3947</v>
      </c>
      <c r="C78" s="446" t="s">
        <v>354</v>
      </c>
      <c r="D78" s="446" t="s">
        <v>1684</v>
      </c>
      <c r="E78" s="446" t="s">
        <v>3971</v>
      </c>
      <c r="F78" s="298">
        <v>42046</v>
      </c>
      <c r="G78" s="74">
        <v>1042</v>
      </c>
      <c r="H78" s="74">
        <v>0</v>
      </c>
      <c r="I78" s="74">
        <v>0</v>
      </c>
      <c r="J78" s="74">
        <v>0</v>
      </c>
      <c r="K78" s="74">
        <v>0</v>
      </c>
      <c r="L78" s="74">
        <v>1042</v>
      </c>
      <c r="M78" s="74">
        <v>0</v>
      </c>
      <c r="N78" s="74">
        <v>0</v>
      </c>
      <c r="O78" s="74">
        <v>0</v>
      </c>
      <c r="P78" s="74">
        <v>0</v>
      </c>
      <c r="Q78" s="74">
        <v>0</v>
      </c>
      <c r="R78" s="74">
        <v>0</v>
      </c>
      <c r="S78" s="74">
        <v>1042</v>
      </c>
    </row>
    <row r="79" spans="1:19" x14ac:dyDescent="0.2">
      <c r="D79" s="446" t="s">
        <v>1685</v>
      </c>
      <c r="E79" s="446" t="s">
        <v>3971</v>
      </c>
      <c r="F79" s="298">
        <v>42046</v>
      </c>
      <c r="G79" s="74">
        <v>158</v>
      </c>
      <c r="H79" s="74">
        <v>0</v>
      </c>
      <c r="I79" s="74">
        <v>0</v>
      </c>
      <c r="J79" s="74">
        <v>0</v>
      </c>
      <c r="K79" s="74">
        <v>0</v>
      </c>
      <c r="L79" s="74">
        <v>158</v>
      </c>
      <c r="M79" s="74">
        <v>0</v>
      </c>
      <c r="N79" s="74">
        <v>0</v>
      </c>
      <c r="O79" s="74">
        <v>0</v>
      </c>
      <c r="P79" s="74">
        <v>0</v>
      </c>
      <c r="Q79" s="74">
        <v>0</v>
      </c>
      <c r="R79" s="74">
        <v>0</v>
      </c>
      <c r="S79" s="74">
        <v>158</v>
      </c>
    </row>
    <row r="80" spans="1:19" x14ac:dyDescent="0.2">
      <c r="D80" s="446" t="s">
        <v>1689</v>
      </c>
      <c r="E80" s="446" t="s">
        <v>3971</v>
      </c>
      <c r="F80" s="298">
        <v>42046</v>
      </c>
      <c r="G80" s="74">
        <v>11423</v>
      </c>
      <c r="H80" s="74">
        <v>0</v>
      </c>
      <c r="I80" s="74">
        <v>0</v>
      </c>
      <c r="J80" s="74">
        <v>0</v>
      </c>
      <c r="K80" s="74">
        <v>0</v>
      </c>
      <c r="L80" s="74">
        <v>11423</v>
      </c>
      <c r="M80" s="74">
        <v>0</v>
      </c>
      <c r="N80" s="74">
        <v>0</v>
      </c>
      <c r="O80" s="74">
        <v>0</v>
      </c>
      <c r="P80" s="74">
        <v>0</v>
      </c>
      <c r="Q80" s="74">
        <v>0</v>
      </c>
      <c r="R80" s="74">
        <v>0</v>
      </c>
      <c r="S80" s="74">
        <v>11423</v>
      </c>
    </row>
    <row r="81" spans="1:19" x14ac:dyDescent="0.2">
      <c r="A81" s="446" t="s">
        <v>1333</v>
      </c>
      <c r="B81" s="446" t="s">
        <v>3947</v>
      </c>
      <c r="C81" s="446" t="s">
        <v>439</v>
      </c>
      <c r="D81" s="446" t="s">
        <v>153</v>
      </c>
      <c r="E81" s="446" t="s">
        <v>3798</v>
      </c>
      <c r="F81" s="298">
        <v>42230</v>
      </c>
      <c r="G81" s="74">
        <v>0</v>
      </c>
      <c r="H81" s="74">
        <v>0</v>
      </c>
      <c r="I81" s="74">
        <v>0</v>
      </c>
      <c r="J81" s="74">
        <v>0</v>
      </c>
      <c r="K81" s="74">
        <v>0</v>
      </c>
      <c r="L81" s="74">
        <v>0</v>
      </c>
      <c r="M81" s="74">
        <v>239</v>
      </c>
      <c r="N81" s="74">
        <v>0</v>
      </c>
      <c r="O81" s="74">
        <v>0</v>
      </c>
      <c r="P81" s="74">
        <v>0</v>
      </c>
      <c r="Q81" s="74">
        <v>0</v>
      </c>
      <c r="R81" s="74">
        <v>239</v>
      </c>
      <c r="S81" s="74">
        <v>-239</v>
      </c>
    </row>
    <row r="82" spans="1:19" x14ac:dyDescent="0.2">
      <c r="A82" s="446" t="s">
        <v>1318</v>
      </c>
      <c r="B82" s="446" t="s">
        <v>3943</v>
      </c>
      <c r="C82" s="446" t="s">
        <v>1319</v>
      </c>
      <c r="D82" s="446" t="s">
        <v>153</v>
      </c>
      <c r="E82" s="446" t="s">
        <v>3798</v>
      </c>
      <c r="F82" s="298">
        <v>43087</v>
      </c>
      <c r="G82" s="74">
        <v>0</v>
      </c>
      <c r="H82" s="74">
        <v>0</v>
      </c>
      <c r="I82" s="74">
        <v>0</v>
      </c>
      <c r="J82" s="74">
        <v>0</v>
      </c>
      <c r="K82" s="74">
        <v>0</v>
      </c>
      <c r="L82" s="74">
        <v>0</v>
      </c>
      <c r="M82" s="74">
        <v>354</v>
      </c>
      <c r="N82" s="74">
        <v>0</v>
      </c>
      <c r="O82" s="74">
        <v>0</v>
      </c>
      <c r="P82" s="74">
        <v>0</v>
      </c>
      <c r="Q82" s="74">
        <v>0</v>
      </c>
      <c r="R82" s="74">
        <v>354</v>
      </c>
      <c r="S82" s="74">
        <v>-354</v>
      </c>
    </row>
    <row r="83" spans="1:19" x14ac:dyDescent="0.2">
      <c r="A83" s="446" t="s">
        <v>1493</v>
      </c>
      <c r="B83" s="446" t="s">
        <v>3944</v>
      </c>
      <c r="C83" s="446" t="s">
        <v>1015</v>
      </c>
      <c r="D83" s="446" t="s">
        <v>153</v>
      </c>
      <c r="E83" s="446" t="s">
        <v>3798</v>
      </c>
      <c r="F83" s="298">
        <v>42691</v>
      </c>
      <c r="G83" s="74">
        <v>128</v>
      </c>
      <c r="H83" s="74">
        <v>0</v>
      </c>
      <c r="I83" s="74">
        <v>0</v>
      </c>
      <c r="J83" s="74">
        <v>0</v>
      </c>
      <c r="K83" s="74">
        <v>0</v>
      </c>
      <c r="L83" s="74">
        <v>128</v>
      </c>
      <c r="M83" s="74">
        <v>0</v>
      </c>
      <c r="N83" s="74">
        <v>0</v>
      </c>
      <c r="O83" s="74">
        <v>0</v>
      </c>
      <c r="P83" s="74">
        <v>0</v>
      </c>
      <c r="Q83" s="74">
        <v>0</v>
      </c>
      <c r="R83" s="74">
        <v>0</v>
      </c>
      <c r="S83" s="74">
        <v>128</v>
      </c>
    </row>
    <row r="84" spans="1:19" x14ac:dyDescent="0.2">
      <c r="A84" s="446" t="s">
        <v>1962</v>
      </c>
      <c r="B84" s="446" t="s">
        <v>2904</v>
      </c>
      <c r="C84" s="446" t="s">
        <v>431</v>
      </c>
      <c r="D84" s="446" t="s">
        <v>153</v>
      </c>
      <c r="E84" s="446" t="s">
        <v>3798</v>
      </c>
      <c r="F84" s="298">
        <v>41411</v>
      </c>
      <c r="G84" s="74">
        <v>0</v>
      </c>
      <c r="H84" s="74">
        <v>0</v>
      </c>
      <c r="I84" s="74">
        <v>52</v>
      </c>
      <c r="J84" s="74">
        <v>0</v>
      </c>
      <c r="K84" s="74">
        <v>0</v>
      </c>
      <c r="L84" s="74">
        <v>52</v>
      </c>
      <c r="M84" s="74">
        <v>0</v>
      </c>
      <c r="N84" s="74">
        <v>0</v>
      </c>
      <c r="O84" s="74">
        <v>0</v>
      </c>
      <c r="P84" s="74">
        <v>0</v>
      </c>
      <c r="Q84" s="74">
        <v>0</v>
      </c>
      <c r="R84" s="74">
        <v>0</v>
      </c>
      <c r="S84" s="74">
        <v>52</v>
      </c>
    </row>
    <row r="85" spans="1:19" x14ac:dyDescent="0.2">
      <c r="A85" s="446" t="s">
        <v>2098</v>
      </c>
      <c r="B85" s="446" t="s">
        <v>3951</v>
      </c>
      <c r="C85" s="446" t="s">
        <v>2099</v>
      </c>
      <c r="D85" s="446" t="s">
        <v>153</v>
      </c>
      <c r="E85" s="446" t="s">
        <v>3798</v>
      </c>
      <c r="F85" s="298">
        <v>42892</v>
      </c>
      <c r="G85" s="74">
        <v>0</v>
      </c>
      <c r="H85" s="74">
        <v>0</v>
      </c>
      <c r="I85" s="74">
        <v>0</v>
      </c>
      <c r="J85" s="74">
        <v>0</v>
      </c>
      <c r="K85" s="74">
        <v>0</v>
      </c>
      <c r="L85" s="74">
        <v>0</v>
      </c>
      <c r="M85" s="74">
        <v>40</v>
      </c>
      <c r="N85" s="74">
        <v>0</v>
      </c>
      <c r="O85" s="74">
        <v>0</v>
      </c>
      <c r="P85" s="74">
        <v>0</v>
      </c>
      <c r="Q85" s="74">
        <v>0</v>
      </c>
      <c r="R85" s="74">
        <v>40</v>
      </c>
      <c r="S85" s="74">
        <v>-40</v>
      </c>
    </row>
    <row r="86" spans="1:19" x14ac:dyDescent="0.2">
      <c r="A86" s="446" t="s">
        <v>1334</v>
      </c>
      <c r="B86" s="446" t="s">
        <v>3944</v>
      </c>
      <c r="C86" s="446" t="s">
        <v>535</v>
      </c>
      <c r="D86" s="446" t="s">
        <v>153</v>
      </c>
      <c r="E86" s="446" t="s">
        <v>3798</v>
      </c>
      <c r="F86" s="298">
        <v>42395</v>
      </c>
      <c r="G86" s="74">
        <v>0</v>
      </c>
      <c r="H86" s="74">
        <v>0</v>
      </c>
      <c r="I86" s="74">
        <v>0</v>
      </c>
      <c r="J86" s="74">
        <v>0</v>
      </c>
      <c r="K86" s="74">
        <v>1472</v>
      </c>
      <c r="L86" s="74">
        <v>1472</v>
      </c>
      <c r="M86" s="74">
        <v>0</v>
      </c>
      <c r="N86" s="74">
        <v>0</v>
      </c>
      <c r="O86" s="74">
        <v>0</v>
      </c>
      <c r="P86" s="74">
        <v>0</v>
      </c>
      <c r="Q86" s="74">
        <v>0</v>
      </c>
      <c r="R86" s="74">
        <v>0</v>
      </c>
      <c r="S86" s="74">
        <v>1472</v>
      </c>
    </row>
    <row r="87" spans="1:19" x14ac:dyDescent="0.2">
      <c r="A87" s="446" t="s">
        <v>2218</v>
      </c>
      <c r="B87" s="446" t="s">
        <v>3943</v>
      </c>
      <c r="C87" s="446" t="s">
        <v>1052</v>
      </c>
      <c r="D87" s="446" t="s">
        <v>153</v>
      </c>
      <c r="E87" s="446" t="s">
        <v>3798</v>
      </c>
      <c r="F87" s="298">
        <v>42955</v>
      </c>
      <c r="G87" s="74">
        <v>61</v>
      </c>
      <c r="H87" s="74">
        <v>0</v>
      </c>
      <c r="I87" s="74">
        <v>0</v>
      </c>
      <c r="J87" s="74">
        <v>0</v>
      </c>
      <c r="K87" s="74">
        <v>0</v>
      </c>
      <c r="L87" s="74">
        <v>61</v>
      </c>
      <c r="M87" s="74">
        <v>0</v>
      </c>
      <c r="N87" s="74">
        <v>0</v>
      </c>
      <c r="O87" s="74">
        <v>0</v>
      </c>
      <c r="P87" s="74">
        <v>0</v>
      </c>
      <c r="Q87" s="74">
        <v>0</v>
      </c>
      <c r="R87" s="74">
        <v>0</v>
      </c>
      <c r="S87" s="74">
        <v>61</v>
      </c>
    </row>
    <row r="88" spans="1:19" x14ac:dyDescent="0.2">
      <c r="A88" s="446" t="s">
        <v>2376</v>
      </c>
      <c r="B88" s="446" t="s">
        <v>3950</v>
      </c>
      <c r="C88" s="446" t="s">
        <v>1250</v>
      </c>
      <c r="D88" s="446" t="s">
        <v>153</v>
      </c>
      <c r="E88" s="446" t="s">
        <v>3798</v>
      </c>
      <c r="F88" s="298">
        <v>42828</v>
      </c>
      <c r="G88" s="74">
        <v>0</v>
      </c>
      <c r="H88" s="74">
        <v>0</v>
      </c>
      <c r="I88" s="74">
        <v>0</v>
      </c>
      <c r="J88" s="74">
        <v>0</v>
      </c>
      <c r="K88" s="74">
        <v>0</v>
      </c>
      <c r="L88" s="74">
        <v>0</v>
      </c>
      <c r="M88" s="74">
        <v>0</v>
      </c>
      <c r="N88" s="74">
        <v>0</v>
      </c>
      <c r="O88" s="74">
        <v>0</v>
      </c>
      <c r="P88" s="74">
        <v>0</v>
      </c>
      <c r="Q88" s="74">
        <v>124</v>
      </c>
      <c r="R88" s="74">
        <v>124</v>
      </c>
      <c r="S88" s="74">
        <v>-124</v>
      </c>
    </row>
    <row r="89" spans="1:19" x14ac:dyDescent="0.2">
      <c r="A89" s="446" t="s">
        <v>1525</v>
      </c>
      <c r="B89" s="446" t="s">
        <v>3947</v>
      </c>
      <c r="C89" s="446" t="s">
        <v>653</v>
      </c>
      <c r="D89" s="446" t="s">
        <v>1532</v>
      </c>
      <c r="E89" s="446" t="s">
        <v>3971</v>
      </c>
      <c r="F89" s="298">
        <v>42682</v>
      </c>
      <c r="G89" s="74">
        <v>39791</v>
      </c>
      <c r="H89" s="74">
        <v>0</v>
      </c>
      <c r="I89" s="74">
        <v>0</v>
      </c>
      <c r="J89" s="74">
        <v>0</v>
      </c>
      <c r="K89" s="74">
        <v>0</v>
      </c>
      <c r="L89" s="74">
        <v>39791</v>
      </c>
      <c r="M89" s="74">
        <v>0</v>
      </c>
      <c r="N89" s="74">
        <v>0</v>
      </c>
      <c r="O89" s="74">
        <v>0</v>
      </c>
      <c r="P89" s="74">
        <v>0</v>
      </c>
      <c r="Q89" s="74">
        <v>0</v>
      </c>
      <c r="R89" s="74">
        <v>0</v>
      </c>
      <c r="S89" s="74">
        <v>39791</v>
      </c>
    </row>
    <row r="90" spans="1:19" x14ac:dyDescent="0.2">
      <c r="D90" s="446" t="s">
        <v>1534</v>
      </c>
      <c r="E90" s="446" t="s">
        <v>3971</v>
      </c>
      <c r="F90" s="298">
        <v>42682</v>
      </c>
      <c r="G90" s="74">
        <v>47596</v>
      </c>
      <c r="H90" s="74">
        <v>0</v>
      </c>
      <c r="I90" s="74">
        <v>0</v>
      </c>
      <c r="J90" s="74">
        <v>0</v>
      </c>
      <c r="K90" s="74">
        <v>0</v>
      </c>
      <c r="L90" s="74">
        <v>47596</v>
      </c>
      <c r="M90" s="74">
        <v>0</v>
      </c>
      <c r="N90" s="74">
        <v>0</v>
      </c>
      <c r="O90" s="74">
        <v>0</v>
      </c>
      <c r="P90" s="74">
        <v>0</v>
      </c>
      <c r="Q90" s="74">
        <v>0</v>
      </c>
      <c r="R90" s="74">
        <v>0</v>
      </c>
      <c r="S90" s="74">
        <v>47596</v>
      </c>
    </row>
    <row r="91" spans="1:19" x14ac:dyDescent="0.2">
      <c r="A91" s="446" t="s">
        <v>2334</v>
      </c>
      <c r="B91" s="446" t="s">
        <v>3947</v>
      </c>
      <c r="C91" s="446" t="s">
        <v>1143</v>
      </c>
      <c r="D91" s="446" t="s">
        <v>153</v>
      </c>
      <c r="E91" s="446" t="s">
        <v>3798</v>
      </c>
      <c r="F91" s="298">
        <v>42741</v>
      </c>
      <c r="G91" s="74">
        <v>1</v>
      </c>
      <c r="H91" s="74">
        <v>0</v>
      </c>
      <c r="I91" s="74">
        <v>0</v>
      </c>
      <c r="J91" s="74">
        <v>0</v>
      </c>
      <c r="K91" s="74">
        <v>0</v>
      </c>
      <c r="L91" s="74">
        <v>1</v>
      </c>
      <c r="M91" s="74">
        <v>0</v>
      </c>
      <c r="N91" s="74">
        <v>0</v>
      </c>
      <c r="O91" s="74">
        <v>0</v>
      </c>
      <c r="P91" s="74">
        <v>0</v>
      </c>
      <c r="Q91" s="74">
        <v>0</v>
      </c>
      <c r="R91" s="74">
        <v>0</v>
      </c>
      <c r="S91" s="74">
        <v>1</v>
      </c>
    </row>
    <row r="92" spans="1:19" x14ac:dyDescent="0.2">
      <c r="A92" s="446" t="s">
        <v>2072</v>
      </c>
      <c r="B92" s="446" t="s">
        <v>3951</v>
      </c>
      <c r="C92" s="446" t="s">
        <v>1056</v>
      </c>
      <c r="D92" s="446" t="s">
        <v>153</v>
      </c>
      <c r="E92" s="446" t="s">
        <v>3798</v>
      </c>
      <c r="F92" s="298">
        <v>42824</v>
      </c>
      <c r="G92" s="74">
        <v>161</v>
      </c>
      <c r="H92" s="74">
        <v>0</v>
      </c>
      <c r="I92" s="74">
        <v>0</v>
      </c>
      <c r="J92" s="74">
        <v>0</v>
      </c>
      <c r="K92" s="74">
        <v>0</v>
      </c>
      <c r="L92" s="74">
        <v>161</v>
      </c>
      <c r="M92" s="74">
        <v>0</v>
      </c>
      <c r="N92" s="74">
        <v>0</v>
      </c>
      <c r="O92" s="74">
        <v>0</v>
      </c>
      <c r="P92" s="74">
        <v>0</v>
      </c>
      <c r="Q92" s="74">
        <v>0</v>
      </c>
      <c r="R92" s="74">
        <v>0</v>
      </c>
      <c r="S92" s="74">
        <v>161</v>
      </c>
    </row>
    <row r="93" spans="1:19" x14ac:dyDescent="0.2">
      <c r="A93" s="446" t="s">
        <v>2506</v>
      </c>
      <c r="B93" s="446" t="s">
        <v>3943</v>
      </c>
      <c r="C93" s="446" t="s">
        <v>2507</v>
      </c>
      <c r="D93" s="446" t="s">
        <v>153</v>
      </c>
      <c r="E93" s="446" t="s">
        <v>3798</v>
      </c>
      <c r="F93" s="298">
        <v>42969</v>
      </c>
      <c r="G93" s="74">
        <v>0</v>
      </c>
      <c r="H93" s="74">
        <v>0</v>
      </c>
      <c r="I93" s="74">
        <v>0</v>
      </c>
      <c r="J93" s="74">
        <v>0</v>
      </c>
      <c r="K93" s="74">
        <v>0</v>
      </c>
      <c r="L93" s="74">
        <v>0</v>
      </c>
      <c r="M93" s="74">
        <v>44</v>
      </c>
      <c r="N93" s="74">
        <v>0</v>
      </c>
      <c r="O93" s="74">
        <v>0</v>
      </c>
      <c r="P93" s="74">
        <v>0</v>
      </c>
      <c r="Q93" s="74">
        <v>0</v>
      </c>
      <c r="R93" s="74">
        <v>44</v>
      </c>
      <c r="S93" s="74">
        <v>-44</v>
      </c>
    </row>
    <row r="94" spans="1:19" x14ac:dyDescent="0.2">
      <c r="A94" s="446" t="s">
        <v>1408</v>
      </c>
      <c r="B94" s="446" t="s">
        <v>3953</v>
      </c>
      <c r="C94" s="446" t="s">
        <v>1409</v>
      </c>
      <c r="D94" s="446" t="s">
        <v>153</v>
      </c>
      <c r="E94" s="446" t="s">
        <v>3798</v>
      </c>
      <c r="F94" s="298">
        <v>43010</v>
      </c>
      <c r="G94" s="74">
        <v>0</v>
      </c>
      <c r="H94" s="74">
        <v>0</v>
      </c>
      <c r="I94" s="74">
        <v>0</v>
      </c>
      <c r="J94" s="74">
        <v>0</v>
      </c>
      <c r="K94" s="74">
        <v>0</v>
      </c>
      <c r="L94" s="74">
        <v>0</v>
      </c>
      <c r="M94" s="74">
        <v>862</v>
      </c>
      <c r="N94" s="74">
        <v>0</v>
      </c>
      <c r="O94" s="74">
        <v>0</v>
      </c>
      <c r="P94" s="74">
        <v>0</v>
      </c>
      <c r="Q94" s="74">
        <v>0</v>
      </c>
      <c r="R94" s="74">
        <v>862</v>
      </c>
      <c r="S94" s="74">
        <v>-862</v>
      </c>
    </row>
    <row r="95" spans="1:19" x14ac:dyDescent="0.2">
      <c r="A95" s="446" t="s">
        <v>2160</v>
      </c>
      <c r="B95" s="446" t="s">
        <v>3943</v>
      </c>
      <c r="C95" s="446" t="s">
        <v>521</v>
      </c>
      <c r="D95" s="446" t="s">
        <v>153</v>
      </c>
      <c r="E95" s="446" t="s">
        <v>3798</v>
      </c>
      <c r="F95" s="298">
        <v>42320</v>
      </c>
      <c r="G95" s="74">
        <v>0</v>
      </c>
      <c r="H95" s="74">
        <v>0</v>
      </c>
      <c r="I95" s="74">
        <v>0</v>
      </c>
      <c r="J95" s="74">
        <v>0</v>
      </c>
      <c r="K95" s="74">
        <v>0</v>
      </c>
      <c r="L95" s="74">
        <v>0</v>
      </c>
      <c r="M95" s="74">
        <v>0</v>
      </c>
      <c r="N95" s="74">
        <v>0</v>
      </c>
      <c r="O95" s="74">
        <v>0</v>
      </c>
      <c r="P95" s="74">
        <v>90</v>
      </c>
      <c r="Q95" s="74">
        <v>0</v>
      </c>
      <c r="R95" s="74">
        <v>90</v>
      </c>
      <c r="S95" s="74">
        <v>-90</v>
      </c>
    </row>
    <row r="96" spans="1:19" x14ac:dyDescent="0.2">
      <c r="A96" s="446" t="s">
        <v>2379</v>
      </c>
      <c r="B96" s="446" t="s">
        <v>149</v>
      </c>
      <c r="C96" s="446" t="s">
        <v>1253</v>
      </c>
      <c r="D96" s="446" t="s">
        <v>153</v>
      </c>
      <c r="E96" s="446" t="s">
        <v>3798</v>
      </c>
      <c r="F96" s="298">
        <v>42978</v>
      </c>
      <c r="G96" s="74">
        <v>0</v>
      </c>
      <c r="H96" s="74">
        <v>0</v>
      </c>
      <c r="I96" s="74">
        <v>0</v>
      </c>
      <c r="J96" s="74">
        <v>0</v>
      </c>
      <c r="K96" s="74">
        <v>0</v>
      </c>
      <c r="L96" s="74">
        <v>0</v>
      </c>
      <c r="M96" s="74">
        <v>154</v>
      </c>
      <c r="N96" s="74">
        <v>0</v>
      </c>
      <c r="O96" s="74">
        <v>0</v>
      </c>
      <c r="P96" s="74">
        <v>0</v>
      </c>
      <c r="Q96" s="74">
        <v>0</v>
      </c>
      <c r="R96" s="74">
        <v>154</v>
      </c>
      <c r="S96" s="74">
        <v>-154</v>
      </c>
    </row>
    <row r="97" spans="1:19" x14ac:dyDescent="0.2">
      <c r="A97" s="446" t="s">
        <v>2430</v>
      </c>
      <c r="B97" s="446" t="s">
        <v>3943</v>
      </c>
      <c r="C97" s="446" t="s">
        <v>2431</v>
      </c>
      <c r="D97" s="446" t="s">
        <v>153</v>
      </c>
      <c r="E97" s="446" t="s">
        <v>3798</v>
      </c>
      <c r="F97" s="298">
        <v>42879</v>
      </c>
      <c r="G97" s="74">
        <v>0</v>
      </c>
      <c r="H97" s="74">
        <v>0</v>
      </c>
      <c r="I97" s="74">
        <v>0</v>
      </c>
      <c r="J97" s="74">
        <v>0</v>
      </c>
      <c r="K97" s="74">
        <v>0</v>
      </c>
      <c r="L97" s="74">
        <v>0</v>
      </c>
      <c r="M97" s="74">
        <v>87</v>
      </c>
      <c r="N97" s="74">
        <v>0</v>
      </c>
      <c r="O97" s="74">
        <v>0</v>
      </c>
      <c r="P97" s="74">
        <v>0</v>
      </c>
      <c r="Q97" s="74">
        <v>0</v>
      </c>
      <c r="R97" s="74">
        <v>87</v>
      </c>
      <c r="S97" s="74">
        <v>-87</v>
      </c>
    </row>
    <row r="98" spans="1:19" x14ac:dyDescent="0.2">
      <c r="A98" s="446" t="s">
        <v>2243</v>
      </c>
      <c r="B98" s="446" t="s">
        <v>3946</v>
      </c>
      <c r="C98" s="446" t="s">
        <v>894</v>
      </c>
      <c r="D98" s="446" t="s">
        <v>153</v>
      </c>
      <c r="E98" s="446" t="s">
        <v>3798</v>
      </c>
      <c r="F98" s="298">
        <v>42573</v>
      </c>
      <c r="G98" s="74">
        <v>0</v>
      </c>
      <c r="H98" s="74">
        <v>0</v>
      </c>
      <c r="I98" s="74">
        <v>0</v>
      </c>
      <c r="J98" s="74">
        <v>0</v>
      </c>
      <c r="K98" s="74">
        <v>0</v>
      </c>
      <c r="L98" s="74">
        <v>0</v>
      </c>
      <c r="M98" s="74">
        <v>92</v>
      </c>
      <c r="N98" s="74">
        <v>0</v>
      </c>
      <c r="O98" s="74">
        <v>0</v>
      </c>
      <c r="P98" s="74">
        <v>0</v>
      </c>
      <c r="Q98" s="74">
        <v>0</v>
      </c>
      <c r="R98" s="74">
        <v>92</v>
      </c>
      <c r="S98" s="74">
        <v>-92</v>
      </c>
    </row>
    <row r="99" spans="1:19" x14ac:dyDescent="0.2">
      <c r="A99" s="446" t="s">
        <v>2547</v>
      </c>
      <c r="B99" s="446" t="s">
        <v>2904</v>
      </c>
      <c r="C99" s="446" t="s">
        <v>2548</v>
      </c>
      <c r="D99" s="446" t="s">
        <v>153</v>
      </c>
      <c r="E99" s="446" t="s">
        <v>3798</v>
      </c>
      <c r="F99" s="298">
        <v>43122</v>
      </c>
      <c r="G99" s="74">
        <v>0</v>
      </c>
      <c r="H99" s="74">
        <v>0</v>
      </c>
      <c r="I99" s="74">
        <v>0</v>
      </c>
      <c r="J99" s="74">
        <v>0</v>
      </c>
      <c r="K99" s="74">
        <v>187</v>
      </c>
      <c r="L99" s="74">
        <v>187</v>
      </c>
      <c r="M99" s="74">
        <v>0</v>
      </c>
      <c r="N99" s="74">
        <v>0</v>
      </c>
      <c r="O99" s="74">
        <v>0</v>
      </c>
      <c r="P99" s="74">
        <v>0</v>
      </c>
      <c r="Q99" s="74">
        <v>10</v>
      </c>
      <c r="R99" s="74">
        <v>10</v>
      </c>
      <c r="S99" s="74">
        <v>177</v>
      </c>
    </row>
    <row r="100" spans="1:19" x14ac:dyDescent="0.2">
      <c r="A100" s="446" t="s">
        <v>1711</v>
      </c>
      <c r="B100" s="446" t="s">
        <v>3943</v>
      </c>
      <c r="C100" s="446" t="s">
        <v>633</v>
      </c>
      <c r="D100" s="446" t="s">
        <v>153</v>
      </c>
      <c r="E100" s="446" t="s">
        <v>3798</v>
      </c>
      <c r="F100" s="298">
        <v>42478</v>
      </c>
      <c r="G100" s="74">
        <v>230</v>
      </c>
      <c r="H100" s="74">
        <v>0</v>
      </c>
      <c r="I100" s="74">
        <v>0</v>
      </c>
      <c r="J100" s="74">
        <v>0</v>
      </c>
      <c r="K100" s="74">
        <v>0</v>
      </c>
      <c r="L100" s="74">
        <v>230</v>
      </c>
      <c r="M100" s="74">
        <v>312</v>
      </c>
      <c r="N100" s="74">
        <v>0</v>
      </c>
      <c r="O100" s="74">
        <v>0</v>
      </c>
      <c r="P100" s="74">
        <v>0</v>
      </c>
      <c r="Q100" s="74">
        <v>0</v>
      </c>
      <c r="R100" s="74">
        <v>312</v>
      </c>
      <c r="S100" s="74">
        <v>-82</v>
      </c>
    </row>
    <row r="101" spans="1:19" x14ac:dyDescent="0.2">
      <c r="A101" s="446" t="s">
        <v>2301</v>
      </c>
      <c r="B101" s="446" t="s">
        <v>3943</v>
      </c>
      <c r="C101" s="446" t="s">
        <v>655</v>
      </c>
      <c r="D101" s="446" t="s">
        <v>153</v>
      </c>
      <c r="E101" s="446" t="s">
        <v>3798</v>
      </c>
      <c r="F101" s="298">
        <v>42640</v>
      </c>
      <c r="G101" s="74">
        <v>310</v>
      </c>
      <c r="H101" s="74">
        <v>0</v>
      </c>
      <c r="I101" s="74">
        <v>0</v>
      </c>
      <c r="J101" s="74">
        <v>0</v>
      </c>
      <c r="K101" s="74">
        <v>0</v>
      </c>
      <c r="L101" s="74">
        <v>310</v>
      </c>
      <c r="M101" s="74">
        <v>0</v>
      </c>
      <c r="N101" s="74">
        <v>0</v>
      </c>
      <c r="O101" s="74">
        <v>0</v>
      </c>
      <c r="P101" s="74">
        <v>0</v>
      </c>
      <c r="Q101" s="74">
        <v>0</v>
      </c>
      <c r="R101" s="74">
        <v>0</v>
      </c>
      <c r="S101" s="74">
        <v>310</v>
      </c>
    </row>
    <row r="102" spans="1:19" x14ac:dyDescent="0.2">
      <c r="A102" s="446" t="s">
        <v>2636</v>
      </c>
      <c r="B102" s="446" t="s">
        <v>3948</v>
      </c>
      <c r="C102" s="446" t="s">
        <v>2637</v>
      </c>
      <c r="D102" s="446" t="s">
        <v>153</v>
      </c>
      <c r="E102" s="446" t="s">
        <v>3798</v>
      </c>
      <c r="F102" s="298">
        <v>43144</v>
      </c>
      <c r="G102" s="74">
        <v>51</v>
      </c>
      <c r="H102" s="74">
        <v>0</v>
      </c>
      <c r="I102" s="74">
        <v>0</v>
      </c>
      <c r="J102" s="74">
        <v>0</v>
      </c>
      <c r="K102" s="74">
        <v>0</v>
      </c>
      <c r="L102" s="74">
        <v>51</v>
      </c>
      <c r="M102" s="74">
        <v>0</v>
      </c>
      <c r="N102" s="74">
        <v>0</v>
      </c>
      <c r="O102" s="74">
        <v>0</v>
      </c>
      <c r="P102" s="74">
        <v>0</v>
      </c>
      <c r="Q102" s="74">
        <v>0</v>
      </c>
      <c r="R102" s="74">
        <v>0</v>
      </c>
      <c r="S102" s="74">
        <v>51</v>
      </c>
    </row>
    <row r="103" spans="1:19" x14ac:dyDescent="0.2">
      <c r="A103" s="446" t="s">
        <v>95</v>
      </c>
      <c r="G103" s="74">
        <v>142589</v>
      </c>
      <c r="H103" s="74">
        <v>405</v>
      </c>
      <c r="I103" s="74">
        <v>783</v>
      </c>
      <c r="J103" s="74">
        <v>483</v>
      </c>
      <c r="K103" s="74">
        <v>2261</v>
      </c>
      <c r="L103" s="74">
        <v>146521</v>
      </c>
      <c r="M103" s="74">
        <v>27312</v>
      </c>
      <c r="N103" s="74">
        <v>0</v>
      </c>
      <c r="O103" s="74">
        <v>2733</v>
      </c>
      <c r="P103" s="74">
        <v>1519</v>
      </c>
      <c r="Q103" s="74">
        <v>3339</v>
      </c>
      <c r="R103" s="74">
        <v>34903</v>
      </c>
      <c r="S103" s="74">
        <v>111618</v>
      </c>
    </row>
  </sheetData>
  <conditionalFormatting sqref="D1:D1048576">
    <cfRule type="cellIs" dxfId="67"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S66"/>
  <sheetViews>
    <sheetView workbookViewId="0"/>
  </sheetViews>
  <sheetFormatPr defaultRowHeight="11.25" x14ac:dyDescent="0.2"/>
  <cols>
    <col min="1" max="1" width="22.5703125" style="339" customWidth="1"/>
    <col min="2" max="2" width="10.85546875" style="299" customWidth="1"/>
    <col min="3" max="3" width="9.42578125" style="300" customWidth="1"/>
    <col min="4" max="4" width="8.85546875" style="299" customWidth="1"/>
    <col min="5" max="5" width="10.85546875" style="301" customWidth="1"/>
    <col min="6" max="6" width="8.85546875" style="302" customWidth="1"/>
    <col min="7" max="7" width="6.7109375" style="303" customWidth="1"/>
    <col min="8" max="11" width="6.28515625" style="303" customWidth="1"/>
    <col min="12" max="13" width="6.7109375" style="303" customWidth="1"/>
    <col min="14" max="17" width="6.28515625" style="303" customWidth="1"/>
    <col min="18" max="19" width="6.7109375" style="303" customWidth="1"/>
    <col min="20" max="16384" width="9.140625" style="301"/>
  </cols>
  <sheetData>
    <row r="1" spans="1:19" ht="15.75" x14ac:dyDescent="0.2">
      <c r="A1" s="336" t="s">
        <v>3937</v>
      </c>
    </row>
    <row r="2" spans="1:19" ht="12" customHeight="1" x14ac:dyDescent="0.2">
      <c r="A2" s="341" t="s">
        <v>4010</v>
      </c>
    </row>
    <row r="3" spans="1:19" ht="12.75" x14ac:dyDescent="0.2">
      <c r="A3" s="341"/>
    </row>
    <row r="4" spans="1:19" s="310" customFormat="1" ht="12.75" customHeight="1" x14ac:dyDescent="0.2">
      <c r="A4" s="826" t="s">
        <v>185</v>
      </c>
      <c r="B4" s="828" t="s">
        <v>3938</v>
      </c>
      <c r="C4" s="827" t="s">
        <v>2848</v>
      </c>
      <c r="D4" s="829" t="s">
        <v>3973</v>
      </c>
      <c r="E4" s="826" t="s">
        <v>3970</v>
      </c>
      <c r="F4" s="836"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30"/>
      <c r="E5" s="826"/>
      <c r="F5" s="836"/>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31"/>
      <c r="E6" s="826"/>
      <c r="F6" s="836"/>
      <c r="G6" s="536" t="s">
        <v>97</v>
      </c>
      <c r="H6" s="304" t="s">
        <v>98</v>
      </c>
      <c r="I6" s="304" t="s">
        <v>99</v>
      </c>
      <c r="J6" s="304" t="s">
        <v>100</v>
      </c>
      <c r="K6" s="304" t="s">
        <v>101</v>
      </c>
      <c r="L6" s="304" t="s">
        <v>95</v>
      </c>
      <c r="M6" s="536" t="s">
        <v>97</v>
      </c>
      <c r="N6" s="304" t="s">
        <v>98</v>
      </c>
      <c r="O6" s="304" t="s">
        <v>99</v>
      </c>
      <c r="P6" s="304" t="s">
        <v>100</v>
      </c>
      <c r="Q6" s="304" t="s">
        <v>101</v>
      </c>
      <c r="R6" s="537" t="s">
        <v>95</v>
      </c>
      <c r="S6" s="835"/>
    </row>
    <row r="7" spans="1:19" x14ac:dyDescent="0.2">
      <c r="A7" s="344" t="s">
        <v>1916</v>
      </c>
      <c r="B7" s="342" t="s">
        <v>3945</v>
      </c>
      <c r="C7" s="343" t="s">
        <v>1917</v>
      </c>
      <c r="D7" s="342" t="s">
        <v>153</v>
      </c>
      <c r="E7" s="344" t="s">
        <v>421</v>
      </c>
      <c r="F7" s="522">
        <v>43075</v>
      </c>
      <c r="G7" s="523">
        <v>0</v>
      </c>
      <c r="H7" s="346">
        <v>0</v>
      </c>
      <c r="I7" s="346">
        <v>0</v>
      </c>
      <c r="J7" s="346">
        <v>0</v>
      </c>
      <c r="K7" s="346">
        <v>0</v>
      </c>
      <c r="L7" s="346">
        <v>0</v>
      </c>
      <c r="M7" s="523">
        <v>166</v>
      </c>
      <c r="N7" s="346">
        <v>0</v>
      </c>
      <c r="O7" s="346">
        <v>0</v>
      </c>
      <c r="P7" s="346">
        <v>0</v>
      </c>
      <c r="Q7" s="346">
        <v>0</v>
      </c>
      <c r="R7" s="347">
        <v>166</v>
      </c>
      <c r="S7" s="346">
        <v>-166</v>
      </c>
    </row>
    <row r="8" spans="1:19" ht="22.5" x14ac:dyDescent="0.2">
      <c r="A8" s="305" t="s">
        <v>2080</v>
      </c>
      <c r="B8" s="306" t="s">
        <v>3943</v>
      </c>
      <c r="C8" s="307" t="s">
        <v>939</v>
      </c>
      <c r="D8" s="306" t="s">
        <v>153</v>
      </c>
      <c r="E8" s="305" t="s">
        <v>421</v>
      </c>
      <c r="F8" s="308">
        <v>42604</v>
      </c>
      <c r="G8" s="315">
        <v>0</v>
      </c>
      <c r="H8" s="309">
        <v>0</v>
      </c>
      <c r="I8" s="309">
        <v>0</v>
      </c>
      <c r="J8" s="309">
        <v>0</v>
      </c>
      <c r="K8" s="309">
        <v>0</v>
      </c>
      <c r="L8" s="309">
        <v>0</v>
      </c>
      <c r="M8" s="315">
        <v>48</v>
      </c>
      <c r="N8" s="309">
        <v>0</v>
      </c>
      <c r="O8" s="309">
        <v>0</v>
      </c>
      <c r="P8" s="309">
        <v>0</v>
      </c>
      <c r="Q8" s="309">
        <v>0</v>
      </c>
      <c r="R8" s="317">
        <v>48</v>
      </c>
      <c r="S8" s="309">
        <v>-48</v>
      </c>
    </row>
    <row r="9" spans="1:19" ht="22.5" x14ac:dyDescent="0.2">
      <c r="A9" s="305" t="s">
        <v>2061</v>
      </c>
      <c r="B9" s="306" t="s">
        <v>3946</v>
      </c>
      <c r="C9" s="307" t="s">
        <v>282</v>
      </c>
      <c r="D9" s="306" t="s">
        <v>153</v>
      </c>
      <c r="E9" s="305" t="s">
        <v>421</v>
      </c>
      <c r="F9" s="308">
        <v>42040</v>
      </c>
      <c r="G9" s="315">
        <v>0</v>
      </c>
      <c r="H9" s="309">
        <v>0</v>
      </c>
      <c r="I9" s="309">
        <v>0</v>
      </c>
      <c r="J9" s="309">
        <v>0</v>
      </c>
      <c r="K9" s="309">
        <v>0</v>
      </c>
      <c r="L9" s="309">
        <v>0</v>
      </c>
      <c r="M9" s="315">
        <v>762</v>
      </c>
      <c r="N9" s="309">
        <v>0</v>
      </c>
      <c r="O9" s="309">
        <v>0</v>
      </c>
      <c r="P9" s="309">
        <v>0</v>
      </c>
      <c r="Q9" s="309">
        <v>0</v>
      </c>
      <c r="R9" s="317">
        <v>762</v>
      </c>
      <c r="S9" s="309">
        <v>-762</v>
      </c>
    </row>
    <row r="10" spans="1:19" x14ac:dyDescent="0.2">
      <c r="A10" s="305" t="s">
        <v>2011</v>
      </c>
      <c r="B10" s="306" t="s">
        <v>2904</v>
      </c>
      <c r="C10" s="307" t="s">
        <v>2012</v>
      </c>
      <c r="D10" s="306" t="s">
        <v>153</v>
      </c>
      <c r="E10" s="305" t="s">
        <v>421</v>
      </c>
      <c r="F10" s="308">
        <v>42944</v>
      </c>
      <c r="G10" s="315">
        <v>0</v>
      </c>
      <c r="H10" s="309">
        <v>0</v>
      </c>
      <c r="I10" s="309">
        <v>0</v>
      </c>
      <c r="J10" s="309">
        <v>0</v>
      </c>
      <c r="K10" s="309">
        <v>0</v>
      </c>
      <c r="L10" s="309">
        <v>0</v>
      </c>
      <c r="M10" s="315">
        <v>545</v>
      </c>
      <c r="N10" s="309">
        <v>0</v>
      </c>
      <c r="O10" s="309">
        <v>0</v>
      </c>
      <c r="P10" s="309">
        <v>0</v>
      </c>
      <c r="Q10" s="309">
        <v>0</v>
      </c>
      <c r="R10" s="317">
        <v>545</v>
      </c>
      <c r="S10" s="309">
        <v>-545</v>
      </c>
    </row>
    <row r="11" spans="1:19" x14ac:dyDescent="0.2">
      <c r="A11" s="305" t="s">
        <v>2568</v>
      </c>
      <c r="B11" s="306" t="s">
        <v>149</v>
      </c>
      <c r="C11" s="307" t="s">
        <v>2569</v>
      </c>
      <c r="D11" s="306" t="s">
        <v>153</v>
      </c>
      <c r="E11" s="305" t="s">
        <v>421</v>
      </c>
      <c r="F11" s="308">
        <v>43059</v>
      </c>
      <c r="G11" s="315">
        <v>0</v>
      </c>
      <c r="H11" s="309">
        <v>0</v>
      </c>
      <c r="I11" s="309">
        <v>0</v>
      </c>
      <c r="J11" s="309">
        <v>0</v>
      </c>
      <c r="K11" s="309">
        <v>0</v>
      </c>
      <c r="L11" s="309">
        <v>0</v>
      </c>
      <c r="M11" s="315">
        <v>202</v>
      </c>
      <c r="N11" s="309">
        <v>0</v>
      </c>
      <c r="O11" s="309">
        <v>0</v>
      </c>
      <c r="P11" s="309">
        <v>0</v>
      </c>
      <c r="Q11" s="309">
        <v>0</v>
      </c>
      <c r="R11" s="317">
        <v>202</v>
      </c>
      <c r="S11" s="309">
        <v>-202</v>
      </c>
    </row>
    <row r="12" spans="1:19" x14ac:dyDescent="0.2">
      <c r="A12" s="305" t="s">
        <v>1417</v>
      </c>
      <c r="B12" s="306" t="s">
        <v>3948</v>
      </c>
      <c r="C12" s="307" t="s">
        <v>399</v>
      </c>
      <c r="D12" s="306" t="s">
        <v>153</v>
      </c>
      <c r="E12" s="305" t="s">
        <v>421</v>
      </c>
      <c r="F12" s="308">
        <v>41815</v>
      </c>
      <c r="G12" s="315">
        <v>0</v>
      </c>
      <c r="H12" s="309">
        <v>0</v>
      </c>
      <c r="I12" s="309">
        <v>0</v>
      </c>
      <c r="J12" s="309">
        <v>0</v>
      </c>
      <c r="K12" s="309">
        <v>0</v>
      </c>
      <c r="L12" s="309">
        <v>0</v>
      </c>
      <c r="M12" s="315">
        <v>32</v>
      </c>
      <c r="N12" s="309">
        <v>0</v>
      </c>
      <c r="O12" s="309">
        <v>0</v>
      </c>
      <c r="P12" s="309">
        <v>0</v>
      </c>
      <c r="Q12" s="309">
        <v>0</v>
      </c>
      <c r="R12" s="317">
        <v>32</v>
      </c>
      <c r="S12" s="309">
        <v>-32</v>
      </c>
    </row>
    <row r="13" spans="1:19" x14ac:dyDescent="0.2">
      <c r="A13" s="305" t="s">
        <v>1822</v>
      </c>
      <c r="B13" s="306" t="s">
        <v>3943</v>
      </c>
      <c r="C13" s="307" t="s">
        <v>626</v>
      </c>
      <c r="D13" s="306" t="s">
        <v>153</v>
      </c>
      <c r="E13" s="305" t="s">
        <v>421</v>
      </c>
      <c r="F13" s="308">
        <v>42460</v>
      </c>
      <c r="G13" s="315">
        <v>0</v>
      </c>
      <c r="H13" s="309">
        <v>0</v>
      </c>
      <c r="I13" s="309">
        <v>0</v>
      </c>
      <c r="J13" s="309">
        <v>0</v>
      </c>
      <c r="K13" s="309">
        <v>0</v>
      </c>
      <c r="L13" s="309">
        <v>0</v>
      </c>
      <c r="M13" s="315">
        <v>51</v>
      </c>
      <c r="N13" s="309">
        <v>0</v>
      </c>
      <c r="O13" s="309">
        <v>0</v>
      </c>
      <c r="P13" s="309">
        <v>0</v>
      </c>
      <c r="Q13" s="309">
        <v>0</v>
      </c>
      <c r="R13" s="317">
        <v>51</v>
      </c>
      <c r="S13" s="309">
        <v>-51</v>
      </c>
    </row>
    <row r="14" spans="1:19" x14ac:dyDescent="0.2">
      <c r="A14" s="305" t="s">
        <v>1373</v>
      </c>
      <c r="B14" s="306" t="s">
        <v>3947</v>
      </c>
      <c r="C14" s="307" t="s">
        <v>277</v>
      </c>
      <c r="D14" s="306" t="s">
        <v>153</v>
      </c>
      <c r="E14" s="305" t="s">
        <v>421</v>
      </c>
      <c r="F14" s="308">
        <v>42165</v>
      </c>
      <c r="G14" s="315">
        <v>0</v>
      </c>
      <c r="H14" s="309">
        <v>0</v>
      </c>
      <c r="I14" s="309">
        <v>0</v>
      </c>
      <c r="J14" s="309">
        <v>0</v>
      </c>
      <c r="K14" s="309">
        <v>0</v>
      </c>
      <c r="L14" s="309">
        <v>0</v>
      </c>
      <c r="M14" s="315">
        <v>356</v>
      </c>
      <c r="N14" s="309">
        <v>0</v>
      </c>
      <c r="O14" s="309">
        <v>0</v>
      </c>
      <c r="P14" s="309">
        <v>0</v>
      </c>
      <c r="Q14" s="309">
        <v>0</v>
      </c>
      <c r="R14" s="317">
        <v>356</v>
      </c>
      <c r="S14" s="309">
        <v>-356</v>
      </c>
    </row>
    <row r="15" spans="1:19" x14ac:dyDescent="0.2">
      <c r="A15" s="305" t="s">
        <v>2583</v>
      </c>
      <c r="B15" s="306" t="s">
        <v>2907</v>
      </c>
      <c r="C15" s="307" t="s">
        <v>2584</v>
      </c>
      <c r="D15" s="306" t="s">
        <v>153</v>
      </c>
      <c r="E15" s="305" t="s">
        <v>421</v>
      </c>
      <c r="F15" s="308">
        <v>43067</v>
      </c>
      <c r="G15" s="315">
        <v>0</v>
      </c>
      <c r="H15" s="309">
        <v>0</v>
      </c>
      <c r="I15" s="309">
        <v>0</v>
      </c>
      <c r="J15" s="309">
        <v>0</v>
      </c>
      <c r="K15" s="309">
        <v>0</v>
      </c>
      <c r="L15" s="309">
        <v>0</v>
      </c>
      <c r="M15" s="315">
        <v>456</v>
      </c>
      <c r="N15" s="309">
        <v>0</v>
      </c>
      <c r="O15" s="309">
        <v>0</v>
      </c>
      <c r="P15" s="309">
        <v>0</v>
      </c>
      <c r="Q15" s="309">
        <v>0</v>
      </c>
      <c r="R15" s="317">
        <v>456</v>
      </c>
      <c r="S15" s="309">
        <v>-456</v>
      </c>
    </row>
    <row r="16" spans="1:19" ht="22.5" x14ac:dyDescent="0.2">
      <c r="A16" s="305" t="s">
        <v>2147</v>
      </c>
      <c r="B16" s="306" t="s">
        <v>3946</v>
      </c>
      <c r="C16" s="307" t="s">
        <v>1226</v>
      </c>
      <c r="D16" s="306" t="s">
        <v>153</v>
      </c>
      <c r="E16" s="305" t="s">
        <v>421</v>
      </c>
      <c r="F16" s="308">
        <v>42808</v>
      </c>
      <c r="G16" s="315">
        <v>0</v>
      </c>
      <c r="H16" s="309">
        <v>0</v>
      </c>
      <c r="I16" s="309">
        <v>0</v>
      </c>
      <c r="J16" s="309">
        <v>0</v>
      </c>
      <c r="K16" s="309">
        <v>0</v>
      </c>
      <c r="L16" s="309">
        <v>0</v>
      </c>
      <c r="M16" s="315">
        <v>66</v>
      </c>
      <c r="N16" s="309">
        <v>0</v>
      </c>
      <c r="O16" s="309">
        <v>0</v>
      </c>
      <c r="P16" s="309">
        <v>0</v>
      </c>
      <c r="Q16" s="309">
        <v>0</v>
      </c>
      <c r="R16" s="317">
        <v>66</v>
      </c>
      <c r="S16" s="309">
        <v>-66</v>
      </c>
    </row>
    <row r="17" spans="1:19" ht="22.5" x14ac:dyDescent="0.2">
      <c r="A17" s="305" t="s">
        <v>2242</v>
      </c>
      <c r="B17" s="306" t="s">
        <v>3943</v>
      </c>
      <c r="C17" s="307" t="s">
        <v>892</v>
      </c>
      <c r="D17" s="306" t="s">
        <v>153</v>
      </c>
      <c r="E17" s="305" t="s">
        <v>421</v>
      </c>
      <c r="F17" s="308">
        <v>42583</v>
      </c>
      <c r="G17" s="315">
        <v>0</v>
      </c>
      <c r="H17" s="309">
        <v>0</v>
      </c>
      <c r="I17" s="309">
        <v>0</v>
      </c>
      <c r="J17" s="309">
        <v>0</v>
      </c>
      <c r="K17" s="309">
        <v>0</v>
      </c>
      <c r="L17" s="309">
        <v>0</v>
      </c>
      <c r="M17" s="315">
        <v>271</v>
      </c>
      <c r="N17" s="309">
        <v>0</v>
      </c>
      <c r="O17" s="309">
        <v>0</v>
      </c>
      <c r="P17" s="309">
        <v>0</v>
      </c>
      <c r="Q17" s="309">
        <v>0</v>
      </c>
      <c r="R17" s="317">
        <v>271</v>
      </c>
      <c r="S17" s="309">
        <v>-271</v>
      </c>
    </row>
    <row r="18" spans="1:19" ht="22.5" x14ac:dyDescent="0.2">
      <c r="A18" s="305" t="s">
        <v>1789</v>
      </c>
      <c r="B18" s="306" t="s">
        <v>3943</v>
      </c>
      <c r="C18" s="307" t="s">
        <v>555</v>
      </c>
      <c r="D18" s="306" t="s">
        <v>153</v>
      </c>
      <c r="E18" s="305" t="s">
        <v>421</v>
      </c>
      <c r="F18" s="308">
        <v>42340</v>
      </c>
      <c r="G18" s="315">
        <v>0</v>
      </c>
      <c r="H18" s="309">
        <v>0</v>
      </c>
      <c r="I18" s="309">
        <v>0</v>
      </c>
      <c r="J18" s="309">
        <v>0</v>
      </c>
      <c r="K18" s="309">
        <v>0</v>
      </c>
      <c r="L18" s="309">
        <v>0</v>
      </c>
      <c r="M18" s="315">
        <v>48</v>
      </c>
      <c r="N18" s="309">
        <v>0</v>
      </c>
      <c r="O18" s="309">
        <v>0</v>
      </c>
      <c r="P18" s="309">
        <v>0</v>
      </c>
      <c r="Q18" s="309">
        <v>0</v>
      </c>
      <c r="R18" s="317">
        <v>48</v>
      </c>
      <c r="S18" s="309">
        <v>-48</v>
      </c>
    </row>
    <row r="19" spans="1:19" x14ac:dyDescent="0.2">
      <c r="A19" s="305" t="s">
        <v>2300</v>
      </c>
      <c r="B19" s="306" t="s">
        <v>3942</v>
      </c>
      <c r="C19" s="307" t="s">
        <v>1168</v>
      </c>
      <c r="D19" s="306" t="s">
        <v>153</v>
      </c>
      <c r="E19" s="305" t="s">
        <v>421</v>
      </c>
      <c r="F19" s="308">
        <v>42772</v>
      </c>
      <c r="G19" s="315">
        <v>0</v>
      </c>
      <c r="H19" s="309">
        <v>0</v>
      </c>
      <c r="I19" s="309">
        <v>0</v>
      </c>
      <c r="J19" s="309">
        <v>0</v>
      </c>
      <c r="K19" s="309">
        <v>0</v>
      </c>
      <c r="L19" s="309">
        <v>0</v>
      </c>
      <c r="M19" s="315">
        <v>1446</v>
      </c>
      <c r="N19" s="309">
        <v>0</v>
      </c>
      <c r="O19" s="309">
        <v>0</v>
      </c>
      <c r="P19" s="309">
        <v>0</v>
      </c>
      <c r="Q19" s="309">
        <v>0</v>
      </c>
      <c r="R19" s="317">
        <v>1446</v>
      </c>
      <c r="S19" s="309">
        <v>-1446</v>
      </c>
    </row>
    <row r="20" spans="1:19" x14ac:dyDescent="0.2">
      <c r="A20" s="305" t="s">
        <v>2190</v>
      </c>
      <c r="B20" s="306" t="s">
        <v>3946</v>
      </c>
      <c r="C20" s="307" t="s">
        <v>611</v>
      </c>
      <c r="D20" s="306" t="s">
        <v>153</v>
      </c>
      <c r="E20" s="305" t="s">
        <v>421</v>
      </c>
      <c r="F20" s="308">
        <v>42450</v>
      </c>
      <c r="G20" s="315">
        <v>0</v>
      </c>
      <c r="H20" s="309">
        <v>0</v>
      </c>
      <c r="I20" s="309">
        <v>0</v>
      </c>
      <c r="J20" s="309">
        <v>0</v>
      </c>
      <c r="K20" s="309">
        <v>0</v>
      </c>
      <c r="L20" s="309">
        <v>0</v>
      </c>
      <c r="M20" s="315">
        <v>75</v>
      </c>
      <c r="N20" s="309">
        <v>0</v>
      </c>
      <c r="O20" s="309">
        <v>0</v>
      </c>
      <c r="P20" s="309">
        <v>0</v>
      </c>
      <c r="Q20" s="309">
        <v>0</v>
      </c>
      <c r="R20" s="317">
        <v>75</v>
      </c>
      <c r="S20" s="309">
        <v>-75</v>
      </c>
    </row>
    <row r="21" spans="1:19" x14ac:dyDescent="0.2">
      <c r="A21" s="305" t="s">
        <v>2241</v>
      </c>
      <c r="B21" s="306" t="s">
        <v>3943</v>
      </c>
      <c r="C21" s="307" t="s">
        <v>835</v>
      </c>
      <c r="D21" s="306" t="s">
        <v>153</v>
      </c>
      <c r="E21" s="305" t="s">
        <v>421</v>
      </c>
      <c r="F21" s="308">
        <v>42578</v>
      </c>
      <c r="G21" s="315">
        <v>0</v>
      </c>
      <c r="H21" s="309">
        <v>0</v>
      </c>
      <c r="I21" s="309">
        <v>0</v>
      </c>
      <c r="J21" s="309">
        <v>0</v>
      </c>
      <c r="K21" s="309">
        <v>0</v>
      </c>
      <c r="L21" s="309">
        <v>0</v>
      </c>
      <c r="M21" s="315">
        <v>79</v>
      </c>
      <c r="N21" s="309">
        <v>0</v>
      </c>
      <c r="O21" s="309">
        <v>0</v>
      </c>
      <c r="P21" s="309">
        <v>0</v>
      </c>
      <c r="Q21" s="309">
        <v>0</v>
      </c>
      <c r="R21" s="317">
        <v>79</v>
      </c>
      <c r="S21" s="309">
        <v>-79</v>
      </c>
    </row>
    <row r="22" spans="1:19" ht="22.5" x14ac:dyDescent="0.2">
      <c r="A22" s="305" t="s">
        <v>1854</v>
      </c>
      <c r="B22" s="306" t="s">
        <v>3946</v>
      </c>
      <c r="C22" s="307" t="s">
        <v>1155</v>
      </c>
      <c r="D22" s="306" t="s">
        <v>153</v>
      </c>
      <c r="E22" s="305" t="s">
        <v>421</v>
      </c>
      <c r="F22" s="308">
        <v>42732</v>
      </c>
      <c r="G22" s="315">
        <v>0</v>
      </c>
      <c r="H22" s="309">
        <v>0</v>
      </c>
      <c r="I22" s="309">
        <v>0</v>
      </c>
      <c r="J22" s="309">
        <v>0</v>
      </c>
      <c r="K22" s="309">
        <v>0</v>
      </c>
      <c r="L22" s="309">
        <v>0</v>
      </c>
      <c r="M22" s="315">
        <v>1261</v>
      </c>
      <c r="N22" s="309">
        <v>0</v>
      </c>
      <c r="O22" s="309">
        <v>0</v>
      </c>
      <c r="P22" s="309">
        <v>1261</v>
      </c>
      <c r="Q22" s="309">
        <v>1261</v>
      </c>
      <c r="R22" s="317">
        <v>3783</v>
      </c>
      <c r="S22" s="309">
        <v>-3783</v>
      </c>
    </row>
    <row r="23" spans="1:19" ht="22.5" x14ac:dyDescent="0.2">
      <c r="A23" s="305" t="s">
        <v>1398</v>
      </c>
      <c r="B23" s="306" t="s">
        <v>3944</v>
      </c>
      <c r="C23" s="307" t="s">
        <v>963</v>
      </c>
      <c r="D23" s="306" t="s">
        <v>153</v>
      </c>
      <c r="E23" s="305" t="s">
        <v>421</v>
      </c>
      <c r="F23" s="308">
        <v>42601</v>
      </c>
      <c r="G23" s="315">
        <v>0</v>
      </c>
      <c r="H23" s="309">
        <v>0</v>
      </c>
      <c r="I23" s="309">
        <v>0</v>
      </c>
      <c r="J23" s="309">
        <v>0</v>
      </c>
      <c r="K23" s="309">
        <v>0</v>
      </c>
      <c r="L23" s="309">
        <v>0</v>
      </c>
      <c r="M23" s="315">
        <v>620</v>
      </c>
      <c r="N23" s="309">
        <v>0</v>
      </c>
      <c r="O23" s="309">
        <v>0</v>
      </c>
      <c r="P23" s="309">
        <v>0</v>
      </c>
      <c r="Q23" s="309">
        <v>0</v>
      </c>
      <c r="R23" s="317">
        <v>620</v>
      </c>
      <c r="S23" s="309">
        <v>-620</v>
      </c>
    </row>
    <row r="24" spans="1:19" ht="22.5" x14ac:dyDescent="0.2">
      <c r="A24" s="305" t="s">
        <v>2111</v>
      </c>
      <c r="B24" s="306" t="s">
        <v>3949</v>
      </c>
      <c r="C24" s="307" t="s">
        <v>446</v>
      </c>
      <c r="D24" s="306" t="s">
        <v>153</v>
      </c>
      <c r="E24" s="305" t="s">
        <v>421</v>
      </c>
      <c r="F24" s="308">
        <v>42177</v>
      </c>
      <c r="G24" s="315">
        <v>0</v>
      </c>
      <c r="H24" s="309">
        <v>0</v>
      </c>
      <c r="I24" s="309">
        <v>0</v>
      </c>
      <c r="J24" s="309">
        <v>0</v>
      </c>
      <c r="K24" s="309">
        <v>0</v>
      </c>
      <c r="L24" s="309">
        <v>0</v>
      </c>
      <c r="M24" s="315">
        <v>167</v>
      </c>
      <c r="N24" s="309">
        <v>0</v>
      </c>
      <c r="O24" s="309">
        <v>0</v>
      </c>
      <c r="P24" s="309">
        <v>0</v>
      </c>
      <c r="Q24" s="309">
        <v>0</v>
      </c>
      <c r="R24" s="317">
        <v>167</v>
      </c>
      <c r="S24" s="309">
        <v>-167</v>
      </c>
    </row>
    <row r="25" spans="1:19" ht="22.5" x14ac:dyDescent="0.2">
      <c r="A25" s="305" t="s">
        <v>2021</v>
      </c>
      <c r="B25" s="306" t="s">
        <v>3943</v>
      </c>
      <c r="C25" s="307" t="s">
        <v>577</v>
      </c>
      <c r="D25" s="306" t="s">
        <v>153</v>
      </c>
      <c r="E25" s="305" t="s">
        <v>421</v>
      </c>
      <c r="F25" s="308">
        <v>42403</v>
      </c>
      <c r="G25" s="315">
        <v>0</v>
      </c>
      <c r="H25" s="309">
        <v>0</v>
      </c>
      <c r="I25" s="309">
        <v>0</v>
      </c>
      <c r="J25" s="309">
        <v>0</v>
      </c>
      <c r="K25" s="309">
        <v>0</v>
      </c>
      <c r="L25" s="309">
        <v>0</v>
      </c>
      <c r="M25" s="315">
        <v>826</v>
      </c>
      <c r="N25" s="309">
        <v>0</v>
      </c>
      <c r="O25" s="309">
        <v>0</v>
      </c>
      <c r="P25" s="309">
        <v>0</v>
      </c>
      <c r="Q25" s="309">
        <v>0</v>
      </c>
      <c r="R25" s="317">
        <v>826</v>
      </c>
      <c r="S25" s="309">
        <v>-826</v>
      </c>
    </row>
    <row r="26" spans="1:19" ht="33.75" x14ac:dyDescent="0.2">
      <c r="A26" s="305" t="s">
        <v>2082</v>
      </c>
      <c r="B26" s="306" t="s">
        <v>3943</v>
      </c>
      <c r="C26" s="307" t="s">
        <v>959</v>
      </c>
      <c r="D26" s="306" t="s">
        <v>153</v>
      </c>
      <c r="E26" s="305" t="s">
        <v>421</v>
      </c>
      <c r="F26" s="308">
        <v>42594</v>
      </c>
      <c r="G26" s="315">
        <v>0</v>
      </c>
      <c r="H26" s="309">
        <v>0</v>
      </c>
      <c r="I26" s="309">
        <v>0</v>
      </c>
      <c r="J26" s="309">
        <v>0</v>
      </c>
      <c r="K26" s="309">
        <v>0</v>
      </c>
      <c r="L26" s="309">
        <v>0</v>
      </c>
      <c r="M26" s="315">
        <v>510</v>
      </c>
      <c r="N26" s="309">
        <v>0</v>
      </c>
      <c r="O26" s="309">
        <v>0</v>
      </c>
      <c r="P26" s="309">
        <v>0</v>
      </c>
      <c r="Q26" s="309">
        <v>0</v>
      </c>
      <c r="R26" s="317">
        <v>510</v>
      </c>
      <c r="S26" s="309">
        <v>-510</v>
      </c>
    </row>
    <row r="27" spans="1:19" ht="22.5" x14ac:dyDescent="0.2">
      <c r="A27" s="305" t="s">
        <v>2009</v>
      </c>
      <c r="B27" s="306" t="s">
        <v>3943</v>
      </c>
      <c r="C27" s="307" t="s">
        <v>1206</v>
      </c>
      <c r="D27" s="306" t="s">
        <v>153</v>
      </c>
      <c r="E27" s="305" t="s">
        <v>421</v>
      </c>
      <c r="F27" s="308">
        <v>42803</v>
      </c>
      <c r="G27" s="315">
        <v>0</v>
      </c>
      <c r="H27" s="309">
        <v>0</v>
      </c>
      <c r="I27" s="309">
        <v>0</v>
      </c>
      <c r="J27" s="309">
        <v>0</v>
      </c>
      <c r="K27" s="309">
        <v>0</v>
      </c>
      <c r="L27" s="309">
        <v>0</v>
      </c>
      <c r="M27" s="315">
        <v>168</v>
      </c>
      <c r="N27" s="309">
        <v>0</v>
      </c>
      <c r="O27" s="309">
        <v>0</v>
      </c>
      <c r="P27" s="309">
        <v>0</v>
      </c>
      <c r="Q27" s="309">
        <v>0</v>
      </c>
      <c r="R27" s="317">
        <v>168</v>
      </c>
      <c r="S27" s="309">
        <v>-168</v>
      </c>
    </row>
    <row r="28" spans="1:19" ht="22.5" x14ac:dyDescent="0.2">
      <c r="A28" s="305" t="s">
        <v>2616</v>
      </c>
      <c r="B28" s="306" t="s">
        <v>3941</v>
      </c>
      <c r="C28" s="307" t="s">
        <v>2617</v>
      </c>
      <c r="D28" s="306" t="s">
        <v>153</v>
      </c>
      <c r="E28" s="305" t="s">
        <v>421</v>
      </c>
      <c r="F28" s="308">
        <v>43089</v>
      </c>
      <c r="G28" s="315">
        <v>0</v>
      </c>
      <c r="H28" s="309">
        <v>0</v>
      </c>
      <c r="I28" s="309">
        <v>0</v>
      </c>
      <c r="J28" s="309">
        <v>0</v>
      </c>
      <c r="K28" s="309">
        <v>0</v>
      </c>
      <c r="L28" s="309">
        <v>0</v>
      </c>
      <c r="M28" s="315">
        <v>4644</v>
      </c>
      <c r="N28" s="309">
        <v>0</v>
      </c>
      <c r="O28" s="309">
        <v>0</v>
      </c>
      <c r="P28" s="309">
        <v>0</v>
      </c>
      <c r="Q28" s="309">
        <v>0</v>
      </c>
      <c r="R28" s="317">
        <v>4644</v>
      </c>
      <c r="S28" s="309">
        <v>-4644</v>
      </c>
    </row>
    <row r="29" spans="1:19" ht="22.5" x14ac:dyDescent="0.2">
      <c r="A29" s="305" t="s">
        <v>2371</v>
      </c>
      <c r="B29" s="306" t="s">
        <v>3943</v>
      </c>
      <c r="C29" s="307" t="s">
        <v>923</v>
      </c>
      <c r="D29" s="306" t="s">
        <v>153</v>
      </c>
      <c r="E29" s="305" t="s">
        <v>421</v>
      </c>
      <c r="F29" s="308">
        <v>42592</v>
      </c>
      <c r="G29" s="315">
        <v>0</v>
      </c>
      <c r="H29" s="309">
        <v>0</v>
      </c>
      <c r="I29" s="309">
        <v>0</v>
      </c>
      <c r="J29" s="309">
        <v>0</v>
      </c>
      <c r="K29" s="309">
        <v>0</v>
      </c>
      <c r="L29" s="309">
        <v>0</v>
      </c>
      <c r="M29" s="315">
        <v>709</v>
      </c>
      <c r="N29" s="309">
        <v>0</v>
      </c>
      <c r="O29" s="309">
        <v>0</v>
      </c>
      <c r="P29" s="309">
        <v>0</v>
      </c>
      <c r="Q29" s="309">
        <v>0</v>
      </c>
      <c r="R29" s="317">
        <v>709</v>
      </c>
      <c r="S29" s="309">
        <v>-709</v>
      </c>
    </row>
    <row r="30" spans="1:19" x14ac:dyDescent="0.2">
      <c r="A30" s="305"/>
      <c r="B30" s="306"/>
      <c r="C30" s="307" t="s">
        <v>925</v>
      </c>
      <c r="D30" s="306" t="s">
        <v>153</v>
      </c>
      <c r="E30" s="305" t="s">
        <v>421</v>
      </c>
      <c r="F30" s="308">
        <v>42592</v>
      </c>
      <c r="G30" s="315">
        <v>0</v>
      </c>
      <c r="H30" s="309">
        <v>0</v>
      </c>
      <c r="I30" s="309">
        <v>0</v>
      </c>
      <c r="J30" s="309">
        <v>0</v>
      </c>
      <c r="K30" s="309">
        <v>0</v>
      </c>
      <c r="L30" s="309">
        <v>0</v>
      </c>
      <c r="M30" s="315">
        <v>135</v>
      </c>
      <c r="N30" s="309">
        <v>0</v>
      </c>
      <c r="O30" s="309">
        <v>0</v>
      </c>
      <c r="P30" s="309">
        <v>0</v>
      </c>
      <c r="Q30" s="309">
        <v>0</v>
      </c>
      <c r="R30" s="317">
        <v>135</v>
      </c>
      <c r="S30" s="309">
        <v>-135</v>
      </c>
    </row>
    <row r="31" spans="1:19" x14ac:dyDescent="0.2">
      <c r="A31" s="305"/>
      <c r="B31" s="306"/>
      <c r="C31" s="307" t="s">
        <v>941</v>
      </c>
      <c r="D31" s="306" t="s">
        <v>153</v>
      </c>
      <c r="E31" s="305" t="s">
        <v>421</v>
      </c>
      <c r="F31" s="308">
        <v>42604</v>
      </c>
      <c r="G31" s="315">
        <v>0</v>
      </c>
      <c r="H31" s="309">
        <v>0</v>
      </c>
      <c r="I31" s="309">
        <v>0</v>
      </c>
      <c r="J31" s="309">
        <v>0</v>
      </c>
      <c r="K31" s="309">
        <v>0</v>
      </c>
      <c r="L31" s="309">
        <v>0</v>
      </c>
      <c r="M31" s="315">
        <v>173</v>
      </c>
      <c r="N31" s="309">
        <v>0</v>
      </c>
      <c r="O31" s="309">
        <v>0</v>
      </c>
      <c r="P31" s="309">
        <v>0</v>
      </c>
      <c r="Q31" s="309">
        <v>0</v>
      </c>
      <c r="R31" s="317">
        <v>173</v>
      </c>
      <c r="S31" s="309">
        <v>-173</v>
      </c>
    </row>
    <row r="32" spans="1:19" x14ac:dyDescent="0.2">
      <c r="A32" s="305" t="s">
        <v>2229</v>
      </c>
      <c r="B32" s="306" t="s">
        <v>3942</v>
      </c>
      <c r="C32" s="307" t="s">
        <v>874</v>
      </c>
      <c r="D32" s="306" t="s">
        <v>153</v>
      </c>
      <c r="E32" s="305" t="s">
        <v>421</v>
      </c>
      <c r="F32" s="308">
        <v>42562</v>
      </c>
      <c r="G32" s="315">
        <v>0</v>
      </c>
      <c r="H32" s="309">
        <v>0</v>
      </c>
      <c r="I32" s="309">
        <v>0</v>
      </c>
      <c r="J32" s="309">
        <v>0</v>
      </c>
      <c r="K32" s="309">
        <v>0</v>
      </c>
      <c r="L32" s="309">
        <v>0</v>
      </c>
      <c r="M32" s="315">
        <v>37</v>
      </c>
      <c r="N32" s="309">
        <v>0</v>
      </c>
      <c r="O32" s="309">
        <v>0</v>
      </c>
      <c r="P32" s="309">
        <v>0</v>
      </c>
      <c r="Q32" s="309">
        <v>0</v>
      </c>
      <c r="R32" s="317">
        <v>37</v>
      </c>
      <c r="S32" s="309">
        <v>-37</v>
      </c>
    </row>
    <row r="33" spans="1:19" ht="22.5" x14ac:dyDescent="0.2">
      <c r="A33" s="305" t="s">
        <v>1924</v>
      </c>
      <c r="B33" s="306" t="s">
        <v>3943</v>
      </c>
      <c r="C33" s="307" t="s">
        <v>863</v>
      </c>
      <c r="D33" s="306" t="s">
        <v>153</v>
      </c>
      <c r="E33" s="305" t="s">
        <v>421</v>
      </c>
      <c r="F33" s="308">
        <v>42549</v>
      </c>
      <c r="G33" s="315">
        <v>0</v>
      </c>
      <c r="H33" s="309">
        <v>0</v>
      </c>
      <c r="I33" s="309">
        <v>0</v>
      </c>
      <c r="J33" s="309">
        <v>0</v>
      </c>
      <c r="K33" s="309">
        <v>0</v>
      </c>
      <c r="L33" s="309">
        <v>0</v>
      </c>
      <c r="M33" s="315">
        <v>134</v>
      </c>
      <c r="N33" s="309">
        <v>0</v>
      </c>
      <c r="O33" s="309">
        <v>0</v>
      </c>
      <c r="P33" s="309">
        <v>0</v>
      </c>
      <c r="Q33" s="309">
        <v>0</v>
      </c>
      <c r="R33" s="317">
        <v>134</v>
      </c>
      <c r="S33" s="309">
        <v>-134</v>
      </c>
    </row>
    <row r="34" spans="1:19" x14ac:dyDescent="0.2">
      <c r="A34" s="305"/>
      <c r="B34" s="306"/>
      <c r="C34" s="307" t="s">
        <v>931</v>
      </c>
      <c r="D34" s="306" t="s">
        <v>153</v>
      </c>
      <c r="E34" s="305" t="s">
        <v>421</v>
      </c>
      <c r="F34" s="308">
        <v>42592</v>
      </c>
      <c r="G34" s="315">
        <v>0</v>
      </c>
      <c r="H34" s="309">
        <v>0</v>
      </c>
      <c r="I34" s="309">
        <v>0</v>
      </c>
      <c r="J34" s="309">
        <v>0</v>
      </c>
      <c r="K34" s="309">
        <v>0</v>
      </c>
      <c r="L34" s="309">
        <v>0</v>
      </c>
      <c r="M34" s="315">
        <v>268</v>
      </c>
      <c r="N34" s="309">
        <v>0</v>
      </c>
      <c r="O34" s="309">
        <v>0</v>
      </c>
      <c r="P34" s="309">
        <v>0</v>
      </c>
      <c r="Q34" s="309">
        <v>0</v>
      </c>
      <c r="R34" s="317">
        <v>268</v>
      </c>
      <c r="S34" s="309">
        <v>-268</v>
      </c>
    </row>
    <row r="35" spans="1:19" x14ac:dyDescent="0.2">
      <c r="A35" s="305"/>
      <c r="B35" s="306"/>
      <c r="C35" s="307" t="s">
        <v>974</v>
      </c>
      <c r="D35" s="306" t="s">
        <v>153</v>
      </c>
      <c r="E35" s="305" t="s">
        <v>421</v>
      </c>
      <c r="F35" s="308">
        <v>42607</v>
      </c>
      <c r="G35" s="315">
        <v>0</v>
      </c>
      <c r="H35" s="309">
        <v>0</v>
      </c>
      <c r="I35" s="309">
        <v>0</v>
      </c>
      <c r="J35" s="309">
        <v>0</v>
      </c>
      <c r="K35" s="309">
        <v>0</v>
      </c>
      <c r="L35" s="309">
        <v>0</v>
      </c>
      <c r="M35" s="315">
        <v>133</v>
      </c>
      <c r="N35" s="309">
        <v>0</v>
      </c>
      <c r="O35" s="309">
        <v>0</v>
      </c>
      <c r="P35" s="309">
        <v>0</v>
      </c>
      <c r="Q35" s="309">
        <v>0</v>
      </c>
      <c r="R35" s="317">
        <v>133</v>
      </c>
      <c r="S35" s="309">
        <v>-133</v>
      </c>
    </row>
    <row r="36" spans="1:19" ht="22.5" x14ac:dyDescent="0.2">
      <c r="A36" s="305" t="s">
        <v>2403</v>
      </c>
      <c r="B36" s="306" t="s">
        <v>3943</v>
      </c>
      <c r="C36" s="307" t="s">
        <v>2404</v>
      </c>
      <c r="D36" s="306" t="s">
        <v>153</v>
      </c>
      <c r="E36" s="305" t="s">
        <v>421</v>
      </c>
      <c r="F36" s="308">
        <v>42965</v>
      </c>
      <c r="G36" s="315">
        <v>0</v>
      </c>
      <c r="H36" s="309">
        <v>0</v>
      </c>
      <c r="I36" s="309">
        <v>0</v>
      </c>
      <c r="J36" s="309">
        <v>0</v>
      </c>
      <c r="K36" s="309">
        <v>0</v>
      </c>
      <c r="L36" s="309">
        <v>0</v>
      </c>
      <c r="M36" s="315">
        <v>878</v>
      </c>
      <c r="N36" s="309">
        <v>0</v>
      </c>
      <c r="O36" s="309">
        <v>0</v>
      </c>
      <c r="P36" s="309">
        <v>0</v>
      </c>
      <c r="Q36" s="309">
        <v>0</v>
      </c>
      <c r="R36" s="317">
        <v>878</v>
      </c>
      <c r="S36" s="309">
        <v>-878</v>
      </c>
    </row>
    <row r="37" spans="1:19" ht="33.75" x14ac:dyDescent="0.2">
      <c r="A37" s="305" t="s">
        <v>1471</v>
      </c>
      <c r="B37" s="306" t="s">
        <v>3943</v>
      </c>
      <c r="C37" s="307" t="s">
        <v>563</v>
      </c>
      <c r="D37" s="306" t="s">
        <v>153</v>
      </c>
      <c r="E37" s="305" t="s">
        <v>421</v>
      </c>
      <c r="F37" s="308">
        <v>42348</v>
      </c>
      <c r="G37" s="315">
        <v>0</v>
      </c>
      <c r="H37" s="309">
        <v>0</v>
      </c>
      <c r="I37" s="309">
        <v>0</v>
      </c>
      <c r="J37" s="309">
        <v>0</v>
      </c>
      <c r="K37" s="309">
        <v>0</v>
      </c>
      <c r="L37" s="309">
        <v>0</v>
      </c>
      <c r="M37" s="315">
        <v>228</v>
      </c>
      <c r="N37" s="309">
        <v>0</v>
      </c>
      <c r="O37" s="309">
        <v>0</v>
      </c>
      <c r="P37" s="309">
        <v>0</v>
      </c>
      <c r="Q37" s="309">
        <v>0</v>
      </c>
      <c r="R37" s="317">
        <v>228</v>
      </c>
      <c r="S37" s="309">
        <v>-228</v>
      </c>
    </row>
    <row r="38" spans="1:19" ht="22.5" x14ac:dyDescent="0.2">
      <c r="A38" s="305" t="s">
        <v>2370</v>
      </c>
      <c r="B38" s="306" t="s">
        <v>3943</v>
      </c>
      <c r="C38" s="307" t="s">
        <v>845</v>
      </c>
      <c r="D38" s="306" t="s">
        <v>153</v>
      </c>
      <c r="E38" s="305" t="s">
        <v>421</v>
      </c>
      <c r="F38" s="308">
        <v>42543</v>
      </c>
      <c r="G38" s="315">
        <v>0</v>
      </c>
      <c r="H38" s="309">
        <v>0</v>
      </c>
      <c r="I38" s="309">
        <v>0</v>
      </c>
      <c r="J38" s="309">
        <v>0</v>
      </c>
      <c r="K38" s="309">
        <v>0</v>
      </c>
      <c r="L38" s="309">
        <v>0</v>
      </c>
      <c r="M38" s="315">
        <v>184</v>
      </c>
      <c r="N38" s="309">
        <v>0</v>
      </c>
      <c r="O38" s="309">
        <v>0</v>
      </c>
      <c r="P38" s="309">
        <v>0</v>
      </c>
      <c r="Q38" s="309">
        <v>0</v>
      </c>
      <c r="R38" s="317">
        <v>184</v>
      </c>
      <c r="S38" s="309">
        <v>-184</v>
      </c>
    </row>
    <row r="39" spans="1:19" x14ac:dyDescent="0.2">
      <c r="A39" s="305"/>
      <c r="B39" s="306"/>
      <c r="C39" s="307" t="s">
        <v>857</v>
      </c>
      <c r="D39" s="306" t="s">
        <v>153</v>
      </c>
      <c r="E39" s="305" t="s">
        <v>421</v>
      </c>
      <c r="F39" s="308">
        <v>42543</v>
      </c>
      <c r="G39" s="315">
        <v>0</v>
      </c>
      <c r="H39" s="309">
        <v>0</v>
      </c>
      <c r="I39" s="309">
        <v>0</v>
      </c>
      <c r="J39" s="309">
        <v>0</v>
      </c>
      <c r="K39" s="309">
        <v>0</v>
      </c>
      <c r="L39" s="309">
        <v>0</v>
      </c>
      <c r="M39" s="315">
        <v>245</v>
      </c>
      <c r="N39" s="309">
        <v>0</v>
      </c>
      <c r="O39" s="309">
        <v>0</v>
      </c>
      <c r="P39" s="309">
        <v>0</v>
      </c>
      <c r="Q39" s="309">
        <v>0</v>
      </c>
      <c r="R39" s="317">
        <v>245</v>
      </c>
      <c r="S39" s="309">
        <v>-245</v>
      </c>
    </row>
    <row r="40" spans="1:19" x14ac:dyDescent="0.2">
      <c r="A40" s="305"/>
      <c r="B40" s="306"/>
      <c r="C40" s="307" t="s">
        <v>935</v>
      </c>
      <c r="D40" s="306" t="s">
        <v>153</v>
      </c>
      <c r="E40" s="305" t="s">
        <v>421</v>
      </c>
      <c r="F40" s="308">
        <v>42604</v>
      </c>
      <c r="G40" s="315">
        <v>0</v>
      </c>
      <c r="H40" s="309">
        <v>0</v>
      </c>
      <c r="I40" s="309">
        <v>0</v>
      </c>
      <c r="J40" s="309">
        <v>0</v>
      </c>
      <c r="K40" s="309">
        <v>0</v>
      </c>
      <c r="L40" s="309">
        <v>0</v>
      </c>
      <c r="M40" s="315">
        <v>216</v>
      </c>
      <c r="N40" s="309">
        <v>0</v>
      </c>
      <c r="O40" s="309">
        <v>0</v>
      </c>
      <c r="P40" s="309">
        <v>0</v>
      </c>
      <c r="Q40" s="309">
        <v>0</v>
      </c>
      <c r="R40" s="317">
        <v>216</v>
      </c>
      <c r="S40" s="309">
        <v>-216</v>
      </c>
    </row>
    <row r="41" spans="1:19" x14ac:dyDescent="0.2">
      <c r="A41" s="305"/>
      <c r="B41" s="306"/>
      <c r="C41" s="307" t="s">
        <v>937</v>
      </c>
      <c r="D41" s="306" t="s">
        <v>153</v>
      </c>
      <c r="E41" s="305" t="s">
        <v>421</v>
      </c>
      <c r="F41" s="308">
        <v>42592</v>
      </c>
      <c r="G41" s="315">
        <v>0</v>
      </c>
      <c r="H41" s="309">
        <v>0</v>
      </c>
      <c r="I41" s="309">
        <v>0</v>
      </c>
      <c r="J41" s="309">
        <v>0</v>
      </c>
      <c r="K41" s="309">
        <v>0</v>
      </c>
      <c r="L41" s="309">
        <v>0</v>
      </c>
      <c r="M41" s="315">
        <v>280</v>
      </c>
      <c r="N41" s="309">
        <v>0</v>
      </c>
      <c r="O41" s="309">
        <v>0</v>
      </c>
      <c r="P41" s="309">
        <v>0</v>
      </c>
      <c r="Q41" s="309">
        <v>0</v>
      </c>
      <c r="R41" s="317">
        <v>280</v>
      </c>
      <c r="S41" s="309">
        <v>-280</v>
      </c>
    </row>
    <row r="42" spans="1:19" x14ac:dyDescent="0.2">
      <c r="A42" s="305"/>
      <c r="B42" s="306"/>
      <c r="C42" s="307" t="s">
        <v>972</v>
      </c>
      <c r="D42" s="306" t="s">
        <v>153</v>
      </c>
      <c r="E42" s="305" t="s">
        <v>421</v>
      </c>
      <c r="F42" s="308">
        <v>42607</v>
      </c>
      <c r="G42" s="315">
        <v>0</v>
      </c>
      <c r="H42" s="309">
        <v>0</v>
      </c>
      <c r="I42" s="309">
        <v>0</v>
      </c>
      <c r="J42" s="309">
        <v>0</v>
      </c>
      <c r="K42" s="309">
        <v>0</v>
      </c>
      <c r="L42" s="309">
        <v>0</v>
      </c>
      <c r="M42" s="315">
        <v>253</v>
      </c>
      <c r="N42" s="309">
        <v>0</v>
      </c>
      <c r="O42" s="309">
        <v>0</v>
      </c>
      <c r="P42" s="309">
        <v>0</v>
      </c>
      <c r="Q42" s="309">
        <v>0</v>
      </c>
      <c r="R42" s="317">
        <v>253</v>
      </c>
      <c r="S42" s="309">
        <v>-253</v>
      </c>
    </row>
    <row r="43" spans="1:19" x14ac:dyDescent="0.2">
      <c r="A43" s="305"/>
      <c r="B43" s="306"/>
      <c r="C43" s="307" t="s">
        <v>1072</v>
      </c>
      <c r="D43" s="306" t="s">
        <v>153</v>
      </c>
      <c r="E43" s="305" t="s">
        <v>421</v>
      </c>
      <c r="F43" s="308">
        <v>42699</v>
      </c>
      <c r="G43" s="315">
        <v>0</v>
      </c>
      <c r="H43" s="309">
        <v>0</v>
      </c>
      <c r="I43" s="309">
        <v>0</v>
      </c>
      <c r="J43" s="309">
        <v>0</v>
      </c>
      <c r="K43" s="309">
        <v>0</v>
      </c>
      <c r="L43" s="309">
        <v>0</v>
      </c>
      <c r="M43" s="315">
        <v>219</v>
      </c>
      <c r="N43" s="309">
        <v>0</v>
      </c>
      <c r="O43" s="309">
        <v>0</v>
      </c>
      <c r="P43" s="309">
        <v>0</v>
      </c>
      <c r="Q43" s="309">
        <v>0</v>
      </c>
      <c r="R43" s="317">
        <v>219</v>
      </c>
      <c r="S43" s="309">
        <v>-219</v>
      </c>
    </row>
    <row r="44" spans="1:19" ht="22.5" x14ac:dyDescent="0.2">
      <c r="A44" s="305" t="s">
        <v>2693</v>
      </c>
      <c r="B44" s="306" t="s">
        <v>3942</v>
      </c>
      <c r="C44" s="307" t="s">
        <v>2694</v>
      </c>
      <c r="D44" s="306" t="s">
        <v>153</v>
      </c>
      <c r="E44" s="305" t="s">
        <v>421</v>
      </c>
      <c r="F44" s="308">
        <v>43185</v>
      </c>
      <c r="G44" s="315">
        <v>0</v>
      </c>
      <c r="H44" s="309">
        <v>0</v>
      </c>
      <c r="I44" s="309">
        <v>0</v>
      </c>
      <c r="J44" s="309">
        <v>0</v>
      </c>
      <c r="K44" s="309">
        <v>0</v>
      </c>
      <c r="L44" s="309">
        <v>0</v>
      </c>
      <c r="M44" s="315">
        <v>0</v>
      </c>
      <c r="N44" s="309">
        <v>0</v>
      </c>
      <c r="O44" s="309">
        <v>0</v>
      </c>
      <c r="P44" s="309">
        <v>0</v>
      </c>
      <c r="Q44" s="309">
        <v>18</v>
      </c>
      <c r="R44" s="317">
        <v>18</v>
      </c>
      <c r="S44" s="309">
        <v>-18</v>
      </c>
    </row>
    <row r="45" spans="1:19" ht="22.5" x14ac:dyDescent="0.2">
      <c r="A45" s="305" t="s">
        <v>2282</v>
      </c>
      <c r="B45" s="306" t="s">
        <v>3948</v>
      </c>
      <c r="C45" s="307" t="s">
        <v>1040</v>
      </c>
      <c r="D45" s="306" t="s">
        <v>153</v>
      </c>
      <c r="E45" s="305" t="s">
        <v>421</v>
      </c>
      <c r="F45" s="308">
        <v>42682</v>
      </c>
      <c r="G45" s="315">
        <v>0</v>
      </c>
      <c r="H45" s="309">
        <v>0</v>
      </c>
      <c r="I45" s="309">
        <v>0</v>
      </c>
      <c r="J45" s="309">
        <v>0</v>
      </c>
      <c r="K45" s="309">
        <v>0</v>
      </c>
      <c r="L45" s="309">
        <v>0</v>
      </c>
      <c r="M45" s="315">
        <v>83</v>
      </c>
      <c r="N45" s="309">
        <v>0</v>
      </c>
      <c r="O45" s="309">
        <v>0</v>
      </c>
      <c r="P45" s="309">
        <v>0</v>
      </c>
      <c r="Q45" s="309">
        <v>0</v>
      </c>
      <c r="R45" s="317">
        <v>83</v>
      </c>
      <c r="S45" s="309">
        <v>-83</v>
      </c>
    </row>
    <row r="46" spans="1:19" ht="22.5" x14ac:dyDescent="0.2">
      <c r="A46" s="305" t="s">
        <v>2283</v>
      </c>
      <c r="B46" s="306" t="s">
        <v>3948</v>
      </c>
      <c r="C46" s="307" t="s">
        <v>1042</v>
      </c>
      <c r="D46" s="306" t="s">
        <v>153</v>
      </c>
      <c r="E46" s="305" t="s">
        <v>421</v>
      </c>
      <c r="F46" s="308">
        <v>42683</v>
      </c>
      <c r="G46" s="315">
        <v>0</v>
      </c>
      <c r="H46" s="309">
        <v>0</v>
      </c>
      <c r="I46" s="309">
        <v>0</v>
      </c>
      <c r="J46" s="309">
        <v>0</v>
      </c>
      <c r="K46" s="309">
        <v>0</v>
      </c>
      <c r="L46" s="309">
        <v>0</v>
      </c>
      <c r="M46" s="315">
        <v>101</v>
      </c>
      <c r="N46" s="309">
        <v>0</v>
      </c>
      <c r="O46" s="309">
        <v>0</v>
      </c>
      <c r="P46" s="309">
        <v>0</v>
      </c>
      <c r="Q46" s="309">
        <v>0</v>
      </c>
      <c r="R46" s="317">
        <v>101</v>
      </c>
      <c r="S46" s="309">
        <v>-101</v>
      </c>
    </row>
    <row r="47" spans="1:19" ht="22.5" x14ac:dyDescent="0.2">
      <c r="A47" s="305" t="s">
        <v>2284</v>
      </c>
      <c r="B47" s="306" t="s">
        <v>3948</v>
      </c>
      <c r="C47" s="307" t="s">
        <v>1044</v>
      </c>
      <c r="D47" s="306" t="s">
        <v>153</v>
      </c>
      <c r="E47" s="305" t="s">
        <v>421</v>
      </c>
      <c r="F47" s="308">
        <v>42683</v>
      </c>
      <c r="G47" s="315">
        <v>0</v>
      </c>
      <c r="H47" s="309">
        <v>0</v>
      </c>
      <c r="I47" s="309">
        <v>0</v>
      </c>
      <c r="J47" s="309">
        <v>0</v>
      </c>
      <c r="K47" s="309">
        <v>0</v>
      </c>
      <c r="L47" s="309">
        <v>0</v>
      </c>
      <c r="M47" s="315">
        <v>58</v>
      </c>
      <c r="N47" s="309">
        <v>0</v>
      </c>
      <c r="O47" s="309">
        <v>0</v>
      </c>
      <c r="P47" s="309">
        <v>0</v>
      </c>
      <c r="Q47" s="309">
        <v>0</v>
      </c>
      <c r="R47" s="317">
        <v>58</v>
      </c>
      <c r="S47" s="309">
        <v>-58</v>
      </c>
    </row>
    <row r="48" spans="1:19" ht="22.5" x14ac:dyDescent="0.2">
      <c r="A48" s="305" t="s">
        <v>2285</v>
      </c>
      <c r="B48" s="306" t="s">
        <v>3948</v>
      </c>
      <c r="C48" s="307" t="s">
        <v>1045</v>
      </c>
      <c r="D48" s="306" t="s">
        <v>153</v>
      </c>
      <c r="E48" s="305" t="s">
        <v>421</v>
      </c>
      <c r="F48" s="308">
        <v>42683</v>
      </c>
      <c r="G48" s="315">
        <v>0</v>
      </c>
      <c r="H48" s="309">
        <v>0</v>
      </c>
      <c r="I48" s="309">
        <v>0</v>
      </c>
      <c r="J48" s="309">
        <v>0</v>
      </c>
      <c r="K48" s="309">
        <v>0</v>
      </c>
      <c r="L48" s="309">
        <v>0</v>
      </c>
      <c r="M48" s="315">
        <v>59</v>
      </c>
      <c r="N48" s="309">
        <v>0</v>
      </c>
      <c r="O48" s="309">
        <v>0</v>
      </c>
      <c r="P48" s="309">
        <v>0</v>
      </c>
      <c r="Q48" s="309">
        <v>0</v>
      </c>
      <c r="R48" s="317">
        <v>59</v>
      </c>
      <c r="S48" s="309">
        <v>-59</v>
      </c>
    </row>
    <row r="49" spans="1:19" ht="33.75" x14ac:dyDescent="0.2">
      <c r="A49" s="305" t="s">
        <v>1341</v>
      </c>
      <c r="B49" s="306" t="s">
        <v>3943</v>
      </c>
      <c r="C49" s="307" t="s">
        <v>943</v>
      </c>
      <c r="D49" s="306" t="s">
        <v>153</v>
      </c>
      <c r="E49" s="305" t="s">
        <v>421</v>
      </c>
      <c r="F49" s="308">
        <v>42604</v>
      </c>
      <c r="G49" s="315">
        <v>0</v>
      </c>
      <c r="H49" s="309">
        <v>0</v>
      </c>
      <c r="I49" s="309">
        <v>0</v>
      </c>
      <c r="J49" s="309">
        <v>0</v>
      </c>
      <c r="K49" s="309">
        <v>0</v>
      </c>
      <c r="L49" s="309">
        <v>0</v>
      </c>
      <c r="M49" s="315">
        <v>260</v>
      </c>
      <c r="N49" s="309">
        <v>0</v>
      </c>
      <c r="O49" s="309">
        <v>0</v>
      </c>
      <c r="P49" s="309">
        <v>0</v>
      </c>
      <c r="Q49" s="309">
        <v>0</v>
      </c>
      <c r="R49" s="317">
        <v>260</v>
      </c>
      <c r="S49" s="309">
        <v>-260</v>
      </c>
    </row>
    <row r="50" spans="1:19" ht="22.5" x14ac:dyDescent="0.2">
      <c r="A50" s="305" t="s">
        <v>1851</v>
      </c>
      <c r="B50" s="306" t="s">
        <v>3946</v>
      </c>
      <c r="C50" s="307" t="s">
        <v>1298</v>
      </c>
      <c r="D50" s="306" t="s">
        <v>153</v>
      </c>
      <c r="E50" s="305" t="s">
        <v>421</v>
      </c>
      <c r="F50" s="308">
        <v>42851</v>
      </c>
      <c r="G50" s="315">
        <v>0</v>
      </c>
      <c r="H50" s="309">
        <v>0</v>
      </c>
      <c r="I50" s="309">
        <v>0</v>
      </c>
      <c r="J50" s="309">
        <v>0</v>
      </c>
      <c r="K50" s="309">
        <v>0</v>
      </c>
      <c r="L50" s="309">
        <v>0</v>
      </c>
      <c r="M50" s="315">
        <v>57</v>
      </c>
      <c r="N50" s="309">
        <v>0</v>
      </c>
      <c r="O50" s="309">
        <v>0</v>
      </c>
      <c r="P50" s="309">
        <v>0</v>
      </c>
      <c r="Q50" s="309">
        <v>0</v>
      </c>
      <c r="R50" s="317">
        <v>57</v>
      </c>
      <c r="S50" s="309">
        <v>-57</v>
      </c>
    </row>
    <row r="51" spans="1:19" ht="22.5" x14ac:dyDescent="0.2">
      <c r="A51" s="305" t="s">
        <v>2126</v>
      </c>
      <c r="B51" s="306" t="s">
        <v>3947</v>
      </c>
      <c r="C51" s="307" t="s">
        <v>510</v>
      </c>
      <c r="D51" s="306" t="s">
        <v>153</v>
      </c>
      <c r="E51" s="305" t="s">
        <v>421</v>
      </c>
      <c r="F51" s="308">
        <v>42285</v>
      </c>
      <c r="G51" s="315">
        <v>0</v>
      </c>
      <c r="H51" s="309">
        <v>0</v>
      </c>
      <c r="I51" s="309">
        <v>0</v>
      </c>
      <c r="J51" s="309">
        <v>0</v>
      </c>
      <c r="K51" s="309">
        <v>0</v>
      </c>
      <c r="L51" s="309">
        <v>0</v>
      </c>
      <c r="M51" s="315">
        <v>122</v>
      </c>
      <c r="N51" s="309">
        <v>0</v>
      </c>
      <c r="O51" s="309">
        <v>0</v>
      </c>
      <c r="P51" s="309">
        <v>0</v>
      </c>
      <c r="Q51" s="309">
        <v>0</v>
      </c>
      <c r="R51" s="317">
        <v>122</v>
      </c>
      <c r="S51" s="309">
        <v>-122</v>
      </c>
    </row>
    <row r="52" spans="1:19" ht="22.5" x14ac:dyDescent="0.2">
      <c r="A52" s="305" t="s">
        <v>2022</v>
      </c>
      <c r="B52" s="306" t="s">
        <v>3943</v>
      </c>
      <c r="C52" s="307" t="s">
        <v>933</v>
      </c>
      <c r="D52" s="306" t="s">
        <v>153</v>
      </c>
      <c r="E52" s="305" t="s">
        <v>421</v>
      </c>
      <c r="F52" s="308">
        <v>42604</v>
      </c>
      <c r="G52" s="315">
        <v>0</v>
      </c>
      <c r="H52" s="309">
        <v>0</v>
      </c>
      <c r="I52" s="309">
        <v>0</v>
      </c>
      <c r="J52" s="309">
        <v>0</v>
      </c>
      <c r="K52" s="309">
        <v>0</v>
      </c>
      <c r="L52" s="309">
        <v>0</v>
      </c>
      <c r="M52" s="315">
        <v>38</v>
      </c>
      <c r="N52" s="309">
        <v>0</v>
      </c>
      <c r="O52" s="309">
        <v>0</v>
      </c>
      <c r="P52" s="309">
        <v>0</v>
      </c>
      <c r="Q52" s="309">
        <v>0</v>
      </c>
      <c r="R52" s="317">
        <v>38</v>
      </c>
      <c r="S52" s="309">
        <v>-38</v>
      </c>
    </row>
    <row r="53" spans="1:19" ht="22.5" x14ac:dyDescent="0.2">
      <c r="A53" s="305" t="s">
        <v>1763</v>
      </c>
      <c r="B53" s="306" t="s">
        <v>2907</v>
      </c>
      <c r="C53" s="307" t="s">
        <v>1764</v>
      </c>
      <c r="D53" s="306" t="s">
        <v>153</v>
      </c>
      <c r="E53" s="305" t="s">
        <v>421</v>
      </c>
      <c r="F53" s="308">
        <v>42948</v>
      </c>
      <c r="G53" s="315">
        <v>0</v>
      </c>
      <c r="H53" s="309">
        <v>0</v>
      </c>
      <c r="I53" s="309">
        <v>0</v>
      </c>
      <c r="J53" s="309">
        <v>0</v>
      </c>
      <c r="K53" s="309">
        <v>0</v>
      </c>
      <c r="L53" s="309">
        <v>0</v>
      </c>
      <c r="M53" s="315">
        <v>207</v>
      </c>
      <c r="N53" s="309">
        <v>0</v>
      </c>
      <c r="O53" s="309">
        <v>0</v>
      </c>
      <c r="P53" s="309">
        <v>0</v>
      </c>
      <c r="Q53" s="309">
        <v>0</v>
      </c>
      <c r="R53" s="317">
        <v>207</v>
      </c>
      <c r="S53" s="309">
        <v>-207</v>
      </c>
    </row>
    <row r="54" spans="1:19" ht="22.5" x14ac:dyDescent="0.2">
      <c r="A54" s="305" t="s">
        <v>2264</v>
      </c>
      <c r="B54" s="306" t="s">
        <v>3943</v>
      </c>
      <c r="C54" s="307" t="s">
        <v>984</v>
      </c>
      <c r="D54" s="306" t="s">
        <v>153</v>
      </c>
      <c r="E54" s="305" t="s">
        <v>421</v>
      </c>
      <c r="F54" s="308">
        <v>42618</v>
      </c>
      <c r="G54" s="315">
        <v>0</v>
      </c>
      <c r="H54" s="309">
        <v>0</v>
      </c>
      <c r="I54" s="309">
        <v>0</v>
      </c>
      <c r="J54" s="309">
        <v>0</v>
      </c>
      <c r="K54" s="309">
        <v>0</v>
      </c>
      <c r="L54" s="309">
        <v>0</v>
      </c>
      <c r="M54" s="315">
        <v>54</v>
      </c>
      <c r="N54" s="309">
        <v>0</v>
      </c>
      <c r="O54" s="309">
        <v>0</v>
      </c>
      <c r="P54" s="309">
        <v>0</v>
      </c>
      <c r="Q54" s="309">
        <v>0</v>
      </c>
      <c r="R54" s="317">
        <v>54</v>
      </c>
      <c r="S54" s="309">
        <v>-54</v>
      </c>
    </row>
    <row r="55" spans="1:19" ht="22.5" x14ac:dyDescent="0.2">
      <c r="A55" s="305" t="s">
        <v>2127</v>
      </c>
      <c r="B55" s="306" t="s">
        <v>3946</v>
      </c>
      <c r="C55" s="307" t="s">
        <v>487</v>
      </c>
      <c r="D55" s="306" t="s">
        <v>153</v>
      </c>
      <c r="E55" s="305" t="s">
        <v>421</v>
      </c>
      <c r="F55" s="308">
        <v>42242</v>
      </c>
      <c r="G55" s="315">
        <v>0</v>
      </c>
      <c r="H55" s="309">
        <v>0</v>
      </c>
      <c r="I55" s="309">
        <v>0</v>
      </c>
      <c r="J55" s="309">
        <v>0</v>
      </c>
      <c r="K55" s="309">
        <v>0</v>
      </c>
      <c r="L55" s="309">
        <v>0</v>
      </c>
      <c r="M55" s="315">
        <v>92</v>
      </c>
      <c r="N55" s="309">
        <v>0</v>
      </c>
      <c r="O55" s="309">
        <v>0</v>
      </c>
      <c r="P55" s="309">
        <v>0</v>
      </c>
      <c r="Q55" s="309">
        <v>0</v>
      </c>
      <c r="R55" s="317">
        <v>92</v>
      </c>
      <c r="S55" s="309">
        <v>-92</v>
      </c>
    </row>
    <row r="56" spans="1:19" ht="22.5" x14ac:dyDescent="0.2">
      <c r="A56" s="305" t="s">
        <v>2128</v>
      </c>
      <c r="B56" s="306" t="s">
        <v>3946</v>
      </c>
      <c r="C56" s="307" t="s">
        <v>504</v>
      </c>
      <c r="D56" s="306" t="s">
        <v>153</v>
      </c>
      <c r="E56" s="305" t="s">
        <v>421</v>
      </c>
      <c r="F56" s="308">
        <v>42321</v>
      </c>
      <c r="G56" s="315">
        <v>0</v>
      </c>
      <c r="H56" s="309">
        <v>0</v>
      </c>
      <c r="I56" s="309">
        <v>0</v>
      </c>
      <c r="J56" s="309">
        <v>0</v>
      </c>
      <c r="K56" s="309">
        <v>0</v>
      </c>
      <c r="L56" s="309">
        <v>0</v>
      </c>
      <c r="M56" s="315">
        <v>92</v>
      </c>
      <c r="N56" s="309">
        <v>0</v>
      </c>
      <c r="O56" s="309">
        <v>0</v>
      </c>
      <c r="P56" s="309">
        <v>0</v>
      </c>
      <c r="Q56" s="309">
        <v>0</v>
      </c>
      <c r="R56" s="317">
        <v>92</v>
      </c>
      <c r="S56" s="309">
        <v>-92</v>
      </c>
    </row>
    <row r="57" spans="1:19" ht="22.5" x14ac:dyDescent="0.2">
      <c r="A57" s="305" t="s">
        <v>2116</v>
      </c>
      <c r="B57" s="306" t="s">
        <v>3946</v>
      </c>
      <c r="C57" s="307" t="s">
        <v>461</v>
      </c>
      <c r="D57" s="306" t="s">
        <v>153</v>
      </c>
      <c r="E57" s="305" t="s">
        <v>421</v>
      </c>
      <c r="F57" s="308">
        <v>42177</v>
      </c>
      <c r="G57" s="315">
        <v>0</v>
      </c>
      <c r="H57" s="309">
        <v>0</v>
      </c>
      <c r="I57" s="309">
        <v>0</v>
      </c>
      <c r="J57" s="309">
        <v>0</v>
      </c>
      <c r="K57" s="309">
        <v>0</v>
      </c>
      <c r="L57" s="309">
        <v>0</v>
      </c>
      <c r="M57" s="315">
        <v>75</v>
      </c>
      <c r="N57" s="309">
        <v>0</v>
      </c>
      <c r="O57" s="309">
        <v>0</v>
      </c>
      <c r="P57" s="309">
        <v>0</v>
      </c>
      <c r="Q57" s="309">
        <v>0</v>
      </c>
      <c r="R57" s="317">
        <v>75</v>
      </c>
      <c r="S57" s="309">
        <v>-75</v>
      </c>
    </row>
    <row r="58" spans="1:19" ht="22.5" x14ac:dyDescent="0.2">
      <c r="A58" s="305" t="s">
        <v>2145</v>
      </c>
      <c r="B58" s="306" t="s">
        <v>3946</v>
      </c>
      <c r="C58" s="307" t="s">
        <v>553</v>
      </c>
      <c r="D58" s="306" t="s">
        <v>153</v>
      </c>
      <c r="E58" s="305" t="s">
        <v>421</v>
      </c>
      <c r="F58" s="308">
        <v>42360</v>
      </c>
      <c r="G58" s="315">
        <v>0</v>
      </c>
      <c r="H58" s="309">
        <v>0</v>
      </c>
      <c r="I58" s="309">
        <v>0</v>
      </c>
      <c r="J58" s="309">
        <v>0</v>
      </c>
      <c r="K58" s="309">
        <v>0</v>
      </c>
      <c r="L58" s="317">
        <v>0</v>
      </c>
      <c r="M58" s="315">
        <v>100</v>
      </c>
      <c r="N58" s="309">
        <v>0</v>
      </c>
      <c r="O58" s="309">
        <v>0</v>
      </c>
      <c r="P58" s="309">
        <v>0</v>
      </c>
      <c r="Q58" s="309">
        <v>0</v>
      </c>
      <c r="R58" s="317">
        <v>100</v>
      </c>
      <c r="S58" s="309">
        <v>-100</v>
      </c>
    </row>
    <row r="59" spans="1:19" ht="22.5" x14ac:dyDescent="0.2">
      <c r="A59" s="305" t="s">
        <v>2058</v>
      </c>
      <c r="B59" s="306" t="s">
        <v>3946</v>
      </c>
      <c r="C59" s="307" t="s">
        <v>337</v>
      </c>
      <c r="D59" s="306" t="s">
        <v>153</v>
      </c>
      <c r="E59" s="305" t="s">
        <v>421</v>
      </c>
      <c r="F59" s="308">
        <v>41977</v>
      </c>
      <c r="G59" s="315">
        <v>0</v>
      </c>
      <c r="H59" s="309">
        <v>0</v>
      </c>
      <c r="I59" s="309">
        <v>0</v>
      </c>
      <c r="J59" s="309">
        <v>0</v>
      </c>
      <c r="K59" s="309">
        <v>0</v>
      </c>
      <c r="L59" s="317">
        <v>0</v>
      </c>
      <c r="M59" s="315">
        <v>110</v>
      </c>
      <c r="N59" s="309">
        <v>0</v>
      </c>
      <c r="O59" s="309">
        <v>0</v>
      </c>
      <c r="P59" s="309">
        <v>0</v>
      </c>
      <c r="Q59" s="309">
        <v>0</v>
      </c>
      <c r="R59" s="317">
        <v>110</v>
      </c>
      <c r="S59" s="309">
        <v>-110</v>
      </c>
    </row>
    <row r="60" spans="1:19" ht="22.5" x14ac:dyDescent="0.2">
      <c r="A60" s="305" t="s">
        <v>2406</v>
      </c>
      <c r="B60" s="306" t="s">
        <v>3946</v>
      </c>
      <c r="C60" s="307" t="s">
        <v>2407</v>
      </c>
      <c r="D60" s="306" t="s">
        <v>153</v>
      </c>
      <c r="E60" s="305" t="s">
        <v>421</v>
      </c>
      <c r="F60" s="308">
        <v>43005</v>
      </c>
      <c r="G60" s="315">
        <v>0</v>
      </c>
      <c r="H60" s="309">
        <v>0</v>
      </c>
      <c r="I60" s="309">
        <v>0</v>
      </c>
      <c r="J60" s="309">
        <v>0</v>
      </c>
      <c r="K60" s="309">
        <v>0</v>
      </c>
      <c r="L60" s="317">
        <v>0</v>
      </c>
      <c r="M60" s="315">
        <v>833</v>
      </c>
      <c r="N60" s="309">
        <v>0</v>
      </c>
      <c r="O60" s="309">
        <v>0</v>
      </c>
      <c r="P60" s="309">
        <v>0</v>
      </c>
      <c r="Q60" s="309">
        <v>0</v>
      </c>
      <c r="R60" s="317">
        <v>833</v>
      </c>
      <c r="S60" s="309">
        <v>-833</v>
      </c>
    </row>
    <row r="61" spans="1:19" ht="22.5" x14ac:dyDescent="0.2">
      <c r="A61" s="305" t="s">
        <v>2278</v>
      </c>
      <c r="B61" s="306" t="s">
        <v>3946</v>
      </c>
      <c r="C61" s="307" t="s">
        <v>990</v>
      </c>
      <c r="D61" s="306" t="s">
        <v>153</v>
      </c>
      <c r="E61" s="305" t="s">
        <v>421</v>
      </c>
      <c r="F61" s="308">
        <v>42629</v>
      </c>
      <c r="G61" s="315">
        <v>0</v>
      </c>
      <c r="H61" s="309">
        <v>0</v>
      </c>
      <c r="I61" s="309">
        <v>0</v>
      </c>
      <c r="J61" s="309">
        <v>0</v>
      </c>
      <c r="K61" s="309">
        <v>0</v>
      </c>
      <c r="L61" s="317">
        <v>0</v>
      </c>
      <c r="M61" s="315">
        <v>534</v>
      </c>
      <c r="N61" s="309">
        <v>0</v>
      </c>
      <c r="O61" s="309">
        <v>0</v>
      </c>
      <c r="P61" s="309">
        <v>0</v>
      </c>
      <c r="Q61" s="309">
        <v>0</v>
      </c>
      <c r="R61" s="317">
        <v>534</v>
      </c>
      <c r="S61" s="309">
        <v>-534</v>
      </c>
    </row>
    <row r="62" spans="1:19" ht="33.75" x14ac:dyDescent="0.2">
      <c r="A62" s="305" t="s">
        <v>2081</v>
      </c>
      <c r="B62" s="306" t="s">
        <v>3943</v>
      </c>
      <c r="C62" s="307" t="s">
        <v>847</v>
      </c>
      <c r="D62" s="306" t="s">
        <v>153</v>
      </c>
      <c r="E62" s="305" t="s">
        <v>421</v>
      </c>
      <c r="F62" s="308">
        <v>42544</v>
      </c>
      <c r="G62" s="315">
        <v>0</v>
      </c>
      <c r="H62" s="309">
        <v>0</v>
      </c>
      <c r="I62" s="309">
        <v>0</v>
      </c>
      <c r="J62" s="309">
        <v>0</v>
      </c>
      <c r="K62" s="309">
        <v>0</v>
      </c>
      <c r="L62" s="317">
        <v>0</v>
      </c>
      <c r="M62" s="315">
        <v>287</v>
      </c>
      <c r="N62" s="309">
        <v>0</v>
      </c>
      <c r="O62" s="309">
        <v>0</v>
      </c>
      <c r="P62" s="309">
        <v>0</v>
      </c>
      <c r="Q62" s="309">
        <v>0</v>
      </c>
      <c r="R62" s="317">
        <v>287</v>
      </c>
      <c r="S62" s="309">
        <v>-287</v>
      </c>
    </row>
    <row r="63" spans="1:19" ht="45" x14ac:dyDescent="0.2">
      <c r="A63" s="305" t="s">
        <v>2029</v>
      </c>
      <c r="B63" s="306" t="s">
        <v>3943</v>
      </c>
      <c r="C63" s="307" t="s">
        <v>2030</v>
      </c>
      <c r="D63" s="306" t="s">
        <v>153</v>
      </c>
      <c r="E63" s="305" t="s">
        <v>421</v>
      </c>
      <c r="F63" s="308">
        <v>42930</v>
      </c>
      <c r="G63" s="315">
        <v>0</v>
      </c>
      <c r="H63" s="309">
        <v>0</v>
      </c>
      <c r="I63" s="309">
        <v>0</v>
      </c>
      <c r="J63" s="309">
        <v>0</v>
      </c>
      <c r="K63" s="309">
        <v>0</v>
      </c>
      <c r="L63" s="317">
        <v>0</v>
      </c>
      <c r="M63" s="315">
        <v>264</v>
      </c>
      <c r="N63" s="309">
        <v>0</v>
      </c>
      <c r="O63" s="309">
        <v>0</v>
      </c>
      <c r="P63" s="309">
        <v>0</v>
      </c>
      <c r="Q63" s="309">
        <v>0</v>
      </c>
      <c r="R63" s="317">
        <v>264</v>
      </c>
      <c r="S63" s="309">
        <v>-264</v>
      </c>
    </row>
    <row r="64" spans="1:19" ht="33.75" x14ac:dyDescent="0.2">
      <c r="A64" s="305" t="s">
        <v>2083</v>
      </c>
      <c r="B64" s="306" t="s">
        <v>3943</v>
      </c>
      <c r="C64" s="307" t="s">
        <v>855</v>
      </c>
      <c r="D64" s="306" t="s">
        <v>153</v>
      </c>
      <c r="E64" s="305" t="s">
        <v>421</v>
      </c>
      <c r="F64" s="308">
        <v>42543</v>
      </c>
      <c r="G64" s="315">
        <v>0</v>
      </c>
      <c r="H64" s="309">
        <v>0</v>
      </c>
      <c r="I64" s="309">
        <v>0</v>
      </c>
      <c r="J64" s="309">
        <v>0</v>
      </c>
      <c r="K64" s="309">
        <v>0</v>
      </c>
      <c r="L64" s="317">
        <v>0</v>
      </c>
      <c r="M64" s="315">
        <v>389</v>
      </c>
      <c r="N64" s="309">
        <v>0</v>
      </c>
      <c r="O64" s="309">
        <v>0</v>
      </c>
      <c r="P64" s="309">
        <v>0</v>
      </c>
      <c r="Q64" s="309">
        <v>0</v>
      </c>
      <c r="R64" s="317">
        <v>389</v>
      </c>
      <c r="S64" s="309">
        <v>-389</v>
      </c>
    </row>
    <row r="65" spans="1:19" ht="45" x14ac:dyDescent="0.2">
      <c r="A65" s="305" t="s">
        <v>2225</v>
      </c>
      <c r="B65" s="306" t="s">
        <v>3943</v>
      </c>
      <c r="C65" s="307" t="s">
        <v>1022</v>
      </c>
      <c r="D65" s="306" t="s">
        <v>153</v>
      </c>
      <c r="E65" s="305" t="s">
        <v>421</v>
      </c>
      <c r="F65" s="308">
        <v>42656</v>
      </c>
      <c r="G65" s="315">
        <v>0</v>
      </c>
      <c r="H65" s="309">
        <v>0</v>
      </c>
      <c r="I65" s="309">
        <v>0</v>
      </c>
      <c r="J65" s="309">
        <v>0</v>
      </c>
      <c r="K65" s="309">
        <v>0</v>
      </c>
      <c r="L65" s="317">
        <v>0</v>
      </c>
      <c r="M65" s="315">
        <v>283</v>
      </c>
      <c r="N65" s="309">
        <v>0</v>
      </c>
      <c r="O65" s="309">
        <v>0</v>
      </c>
      <c r="P65" s="309">
        <v>0</v>
      </c>
      <c r="Q65" s="309">
        <v>0</v>
      </c>
      <c r="R65" s="317">
        <v>283</v>
      </c>
      <c r="S65" s="309">
        <v>-283</v>
      </c>
    </row>
    <row r="66" spans="1:19" x14ac:dyDescent="0.2">
      <c r="A66" s="328" t="s">
        <v>95</v>
      </c>
      <c r="B66" s="329"/>
      <c r="C66" s="330"/>
      <c r="D66" s="329"/>
      <c r="E66" s="328"/>
      <c r="F66" s="331"/>
      <c r="G66" s="332">
        <v>0</v>
      </c>
      <c r="H66" s="333">
        <v>0</v>
      </c>
      <c r="I66" s="333">
        <v>0</v>
      </c>
      <c r="J66" s="333">
        <v>0</v>
      </c>
      <c r="K66" s="333">
        <v>0</v>
      </c>
      <c r="L66" s="334">
        <v>0</v>
      </c>
      <c r="M66" s="332">
        <v>20989</v>
      </c>
      <c r="N66" s="333">
        <v>0</v>
      </c>
      <c r="O66" s="333">
        <v>0</v>
      </c>
      <c r="P66" s="333">
        <v>1261</v>
      </c>
      <c r="Q66" s="333">
        <v>1279</v>
      </c>
      <c r="R66" s="334">
        <v>23529</v>
      </c>
      <c r="S66" s="333">
        <v>-23529</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65"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S66"/>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2937</v>
      </c>
    </row>
    <row r="2" spans="1:19" x14ac:dyDescent="0.2">
      <c r="A2" s="77" t="s">
        <v>2940</v>
      </c>
      <c r="B2" s="446" t="s">
        <v>3972</v>
      </c>
    </row>
    <row r="3" spans="1:19" x14ac:dyDescent="0.2">
      <c r="A3" s="77" t="s">
        <v>2941</v>
      </c>
      <c r="B3" s="446" t="s">
        <v>429</v>
      </c>
    </row>
    <row r="4" spans="1:19" x14ac:dyDescent="0.2">
      <c r="A4" s="77" t="s">
        <v>3968</v>
      </c>
      <c r="B4" s="446" t="s">
        <v>126</v>
      </c>
    </row>
    <row r="6" spans="1:19" x14ac:dyDescent="0.2">
      <c r="A6" s="77" t="s">
        <v>185</v>
      </c>
      <c r="B6" s="77" t="s">
        <v>3938</v>
      </c>
      <c r="C6" s="77" t="s">
        <v>2848</v>
      </c>
      <c r="D6" s="77" t="s">
        <v>2844</v>
      </c>
      <c r="E6" s="77" t="s">
        <v>3966</v>
      </c>
      <c r="F6" s="77" t="s">
        <v>13</v>
      </c>
      <c r="G6" s="446" t="s">
        <v>3955</v>
      </c>
      <c r="H6" s="446" t="s">
        <v>3956</v>
      </c>
      <c r="I6" s="446" t="s">
        <v>3957</v>
      </c>
      <c r="J6" s="446" t="s">
        <v>3958</v>
      </c>
      <c r="K6" s="446" t="s">
        <v>3959</v>
      </c>
      <c r="L6" s="446" t="s">
        <v>3960</v>
      </c>
      <c r="M6" s="446" t="s">
        <v>3961</v>
      </c>
      <c r="N6" s="446" t="s">
        <v>3962</v>
      </c>
      <c r="O6" s="446" t="s">
        <v>3963</v>
      </c>
      <c r="P6" s="446" t="s">
        <v>3964</v>
      </c>
      <c r="Q6" s="446" t="s">
        <v>3965</v>
      </c>
      <c r="R6" s="446" t="s">
        <v>2921</v>
      </c>
      <c r="S6" s="446" t="s">
        <v>2982</v>
      </c>
    </row>
    <row r="7" spans="1:19" x14ac:dyDescent="0.2">
      <c r="A7" s="446" t="s">
        <v>1916</v>
      </c>
      <c r="B7" s="446" t="s">
        <v>3945</v>
      </c>
      <c r="C7" s="446" t="s">
        <v>1917</v>
      </c>
      <c r="D7" s="446" t="s">
        <v>153</v>
      </c>
      <c r="E7" s="446" t="s">
        <v>421</v>
      </c>
      <c r="F7" s="298">
        <v>43075</v>
      </c>
      <c r="G7" s="74">
        <v>0</v>
      </c>
      <c r="H7" s="74">
        <v>0</v>
      </c>
      <c r="I7" s="74">
        <v>0</v>
      </c>
      <c r="J7" s="74">
        <v>0</v>
      </c>
      <c r="K7" s="74">
        <v>0</v>
      </c>
      <c r="L7" s="74">
        <v>0</v>
      </c>
      <c r="M7" s="74">
        <v>166</v>
      </c>
      <c r="N7" s="74">
        <v>0</v>
      </c>
      <c r="O7" s="74">
        <v>0</v>
      </c>
      <c r="P7" s="74">
        <v>0</v>
      </c>
      <c r="Q7" s="74">
        <v>0</v>
      </c>
      <c r="R7" s="74">
        <v>166</v>
      </c>
      <c r="S7" s="74">
        <v>-166</v>
      </c>
    </row>
    <row r="8" spans="1:19" x14ac:dyDescent="0.2">
      <c r="A8" s="446" t="s">
        <v>2080</v>
      </c>
      <c r="B8" s="446" t="s">
        <v>3943</v>
      </c>
      <c r="C8" s="446" t="s">
        <v>939</v>
      </c>
      <c r="D8" s="446" t="s">
        <v>153</v>
      </c>
      <c r="E8" s="446" t="s">
        <v>421</v>
      </c>
      <c r="F8" s="298">
        <v>42604</v>
      </c>
      <c r="G8" s="74">
        <v>0</v>
      </c>
      <c r="H8" s="74">
        <v>0</v>
      </c>
      <c r="I8" s="74">
        <v>0</v>
      </c>
      <c r="J8" s="74">
        <v>0</v>
      </c>
      <c r="K8" s="74">
        <v>0</v>
      </c>
      <c r="L8" s="74">
        <v>0</v>
      </c>
      <c r="M8" s="74">
        <v>48</v>
      </c>
      <c r="N8" s="74">
        <v>0</v>
      </c>
      <c r="O8" s="74">
        <v>0</v>
      </c>
      <c r="P8" s="74">
        <v>0</v>
      </c>
      <c r="Q8" s="74">
        <v>0</v>
      </c>
      <c r="R8" s="74">
        <v>48</v>
      </c>
      <c r="S8" s="74">
        <v>-48</v>
      </c>
    </row>
    <row r="9" spans="1:19" x14ac:dyDescent="0.2">
      <c r="A9" s="446" t="s">
        <v>2061</v>
      </c>
      <c r="B9" s="446" t="s">
        <v>3946</v>
      </c>
      <c r="C9" s="446" t="s">
        <v>282</v>
      </c>
      <c r="D9" s="446" t="s">
        <v>153</v>
      </c>
      <c r="E9" s="446" t="s">
        <v>421</v>
      </c>
      <c r="F9" s="298">
        <v>42040</v>
      </c>
      <c r="G9" s="74">
        <v>0</v>
      </c>
      <c r="H9" s="74">
        <v>0</v>
      </c>
      <c r="I9" s="74">
        <v>0</v>
      </c>
      <c r="J9" s="74">
        <v>0</v>
      </c>
      <c r="K9" s="74">
        <v>0</v>
      </c>
      <c r="L9" s="74">
        <v>0</v>
      </c>
      <c r="M9" s="74">
        <v>762</v>
      </c>
      <c r="N9" s="74">
        <v>0</v>
      </c>
      <c r="O9" s="74">
        <v>0</v>
      </c>
      <c r="P9" s="74">
        <v>0</v>
      </c>
      <c r="Q9" s="74">
        <v>0</v>
      </c>
      <c r="R9" s="74">
        <v>762</v>
      </c>
      <c r="S9" s="74">
        <v>-762</v>
      </c>
    </row>
    <row r="10" spans="1:19" x14ac:dyDescent="0.2">
      <c r="A10" s="446" t="s">
        <v>2011</v>
      </c>
      <c r="B10" s="446" t="s">
        <v>2904</v>
      </c>
      <c r="C10" s="446" t="s">
        <v>2012</v>
      </c>
      <c r="D10" s="446" t="s">
        <v>153</v>
      </c>
      <c r="E10" s="446" t="s">
        <v>421</v>
      </c>
      <c r="F10" s="298">
        <v>42944</v>
      </c>
      <c r="G10" s="74">
        <v>0</v>
      </c>
      <c r="H10" s="74">
        <v>0</v>
      </c>
      <c r="I10" s="74">
        <v>0</v>
      </c>
      <c r="J10" s="74">
        <v>0</v>
      </c>
      <c r="K10" s="74">
        <v>0</v>
      </c>
      <c r="L10" s="74">
        <v>0</v>
      </c>
      <c r="M10" s="74">
        <v>545</v>
      </c>
      <c r="N10" s="74">
        <v>0</v>
      </c>
      <c r="O10" s="74">
        <v>0</v>
      </c>
      <c r="P10" s="74">
        <v>0</v>
      </c>
      <c r="Q10" s="74">
        <v>0</v>
      </c>
      <c r="R10" s="74">
        <v>545</v>
      </c>
      <c r="S10" s="74">
        <v>-545</v>
      </c>
    </row>
    <row r="11" spans="1:19" x14ac:dyDescent="0.2">
      <c r="A11" s="446" t="s">
        <v>2568</v>
      </c>
      <c r="B11" s="446" t="s">
        <v>149</v>
      </c>
      <c r="C11" s="446" t="s">
        <v>2569</v>
      </c>
      <c r="D11" s="446" t="s">
        <v>153</v>
      </c>
      <c r="E11" s="446" t="s">
        <v>421</v>
      </c>
      <c r="F11" s="298">
        <v>43059</v>
      </c>
      <c r="G11" s="74">
        <v>0</v>
      </c>
      <c r="H11" s="74">
        <v>0</v>
      </c>
      <c r="I11" s="74">
        <v>0</v>
      </c>
      <c r="J11" s="74">
        <v>0</v>
      </c>
      <c r="K11" s="74">
        <v>0</v>
      </c>
      <c r="L11" s="74">
        <v>0</v>
      </c>
      <c r="M11" s="74">
        <v>202</v>
      </c>
      <c r="N11" s="74">
        <v>0</v>
      </c>
      <c r="O11" s="74">
        <v>0</v>
      </c>
      <c r="P11" s="74">
        <v>0</v>
      </c>
      <c r="Q11" s="74">
        <v>0</v>
      </c>
      <c r="R11" s="74">
        <v>202</v>
      </c>
      <c r="S11" s="74">
        <v>-202</v>
      </c>
    </row>
    <row r="12" spans="1:19" x14ac:dyDescent="0.2">
      <c r="A12" s="446" t="s">
        <v>1417</v>
      </c>
      <c r="B12" s="446" t="s">
        <v>3948</v>
      </c>
      <c r="C12" s="446" t="s">
        <v>399</v>
      </c>
      <c r="D12" s="446" t="s">
        <v>153</v>
      </c>
      <c r="E12" s="446" t="s">
        <v>421</v>
      </c>
      <c r="F12" s="298">
        <v>41815</v>
      </c>
      <c r="G12" s="74">
        <v>0</v>
      </c>
      <c r="H12" s="74">
        <v>0</v>
      </c>
      <c r="I12" s="74">
        <v>0</v>
      </c>
      <c r="J12" s="74">
        <v>0</v>
      </c>
      <c r="K12" s="74">
        <v>0</v>
      </c>
      <c r="L12" s="74">
        <v>0</v>
      </c>
      <c r="M12" s="74">
        <v>32</v>
      </c>
      <c r="N12" s="74">
        <v>0</v>
      </c>
      <c r="O12" s="74">
        <v>0</v>
      </c>
      <c r="P12" s="74">
        <v>0</v>
      </c>
      <c r="Q12" s="74">
        <v>0</v>
      </c>
      <c r="R12" s="74">
        <v>32</v>
      </c>
      <c r="S12" s="74">
        <v>-32</v>
      </c>
    </row>
    <row r="13" spans="1:19" x14ac:dyDescent="0.2">
      <c r="A13" s="446" t="s">
        <v>1822</v>
      </c>
      <c r="B13" s="446" t="s">
        <v>3943</v>
      </c>
      <c r="C13" s="446" t="s">
        <v>626</v>
      </c>
      <c r="D13" s="446" t="s">
        <v>153</v>
      </c>
      <c r="E13" s="446" t="s">
        <v>421</v>
      </c>
      <c r="F13" s="298">
        <v>42460</v>
      </c>
      <c r="G13" s="74">
        <v>0</v>
      </c>
      <c r="H13" s="74">
        <v>0</v>
      </c>
      <c r="I13" s="74">
        <v>0</v>
      </c>
      <c r="J13" s="74">
        <v>0</v>
      </c>
      <c r="K13" s="74">
        <v>0</v>
      </c>
      <c r="L13" s="74">
        <v>0</v>
      </c>
      <c r="M13" s="74">
        <v>51</v>
      </c>
      <c r="N13" s="74">
        <v>0</v>
      </c>
      <c r="O13" s="74">
        <v>0</v>
      </c>
      <c r="P13" s="74">
        <v>0</v>
      </c>
      <c r="Q13" s="74">
        <v>0</v>
      </c>
      <c r="R13" s="74">
        <v>51</v>
      </c>
      <c r="S13" s="74">
        <v>-51</v>
      </c>
    </row>
    <row r="14" spans="1:19" x14ac:dyDescent="0.2">
      <c r="A14" s="446" t="s">
        <v>1373</v>
      </c>
      <c r="B14" s="446" t="s">
        <v>3947</v>
      </c>
      <c r="C14" s="446" t="s">
        <v>277</v>
      </c>
      <c r="D14" s="446" t="s">
        <v>153</v>
      </c>
      <c r="E14" s="446" t="s">
        <v>421</v>
      </c>
      <c r="F14" s="298">
        <v>42165</v>
      </c>
      <c r="G14" s="74">
        <v>0</v>
      </c>
      <c r="H14" s="74">
        <v>0</v>
      </c>
      <c r="I14" s="74">
        <v>0</v>
      </c>
      <c r="J14" s="74">
        <v>0</v>
      </c>
      <c r="K14" s="74">
        <v>0</v>
      </c>
      <c r="L14" s="74">
        <v>0</v>
      </c>
      <c r="M14" s="74">
        <v>356</v>
      </c>
      <c r="N14" s="74">
        <v>0</v>
      </c>
      <c r="O14" s="74">
        <v>0</v>
      </c>
      <c r="P14" s="74">
        <v>0</v>
      </c>
      <c r="Q14" s="74">
        <v>0</v>
      </c>
      <c r="R14" s="74">
        <v>356</v>
      </c>
      <c r="S14" s="74">
        <v>-356</v>
      </c>
    </row>
    <row r="15" spans="1:19" x14ac:dyDescent="0.2">
      <c r="A15" s="446" t="s">
        <v>2583</v>
      </c>
      <c r="B15" s="446" t="s">
        <v>2907</v>
      </c>
      <c r="C15" s="446" t="s">
        <v>2584</v>
      </c>
      <c r="D15" s="446" t="s">
        <v>153</v>
      </c>
      <c r="E15" s="446" t="s">
        <v>421</v>
      </c>
      <c r="F15" s="298">
        <v>43067</v>
      </c>
      <c r="G15" s="74">
        <v>0</v>
      </c>
      <c r="H15" s="74">
        <v>0</v>
      </c>
      <c r="I15" s="74">
        <v>0</v>
      </c>
      <c r="J15" s="74">
        <v>0</v>
      </c>
      <c r="K15" s="74">
        <v>0</v>
      </c>
      <c r="L15" s="74">
        <v>0</v>
      </c>
      <c r="M15" s="74">
        <v>456</v>
      </c>
      <c r="N15" s="74">
        <v>0</v>
      </c>
      <c r="O15" s="74">
        <v>0</v>
      </c>
      <c r="P15" s="74">
        <v>0</v>
      </c>
      <c r="Q15" s="74">
        <v>0</v>
      </c>
      <c r="R15" s="74">
        <v>456</v>
      </c>
      <c r="S15" s="74">
        <v>-456</v>
      </c>
    </row>
    <row r="16" spans="1:19" x14ac:dyDescent="0.2">
      <c r="A16" s="446" t="s">
        <v>2147</v>
      </c>
      <c r="B16" s="446" t="s">
        <v>3946</v>
      </c>
      <c r="C16" s="446" t="s">
        <v>1226</v>
      </c>
      <c r="D16" s="446" t="s">
        <v>153</v>
      </c>
      <c r="E16" s="446" t="s">
        <v>421</v>
      </c>
      <c r="F16" s="298">
        <v>42808</v>
      </c>
      <c r="G16" s="74">
        <v>0</v>
      </c>
      <c r="H16" s="74">
        <v>0</v>
      </c>
      <c r="I16" s="74">
        <v>0</v>
      </c>
      <c r="J16" s="74">
        <v>0</v>
      </c>
      <c r="K16" s="74">
        <v>0</v>
      </c>
      <c r="L16" s="74">
        <v>0</v>
      </c>
      <c r="M16" s="74">
        <v>66</v>
      </c>
      <c r="N16" s="74">
        <v>0</v>
      </c>
      <c r="O16" s="74">
        <v>0</v>
      </c>
      <c r="P16" s="74">
        <v>0</v>
      </c>
      <c r="Q16" s="74">
        <v>0</v>
      </c>
      <c r="R16" s="74">
        <v>66</v>
      </c>
      <c r="S16" s="74">
        <v>-66</v>
      </c>
    </row>
    <row r="17" spans="1:19" x14ac:dyDescent="0.2">
      <c r="A17" s="446" t="s">
        <v>2242</v>
      </c>
      <c r="B17" s="446" t="s">
        <v>3943</v>
      </c>
      <c r="C17" s="446" t="s">
        <v>892</v>
      </c>
      <c r="D17" s="446" t="s">
        <v>153</v>
      </c>
      <c r="E17" s="446" t="s">
        <v>421</v>
      </c>
      <c r="F17" s="298">
        <v>42583</v>
      </c>
      <c r="G17" s="74">
        <v>0</v>
      </c>
      <c r="H17" s="74">
        <v>0</v>
      </c>
      <c r="I17" s="74">
        <v>0</v>
      </c>
      <c r="J17" s="74">
        <v>0</v>
      </c>
      <c r="K17" s="74">
        <v>0</v>
      </c>
      <c r="L17" s="74">
        <v>0</v>
      </c>
      <c r="M17" s="74">
        <v>271</v>
      </c>
      <c r="N17" s="74">
        <v>0</v>
      </c>
      <c r="O17" s="74">
        <v>0</v>
      </c>
      <c r="P17" s="74">
        <v>0</v>
      </c>
      <c r="Q17" s="74">
        <v>0</v>
      </c>
      <c r="R17" s="74">
        <v>271</v>
      </c>
      <c r="S17" s="74">
        <v>-271</v>
      </c>
    </row>
    <row r="18" spans="1:19" x14ac:dyDescent="0.2">
      <c r="A18" s="446" t="s">
        <v>1789</v>
      </c>
      <c r="B18" s="446" t="s">
        <v>3943</v>
      </c>
      <c r="C18" s="446" t="s">
        <v>555</v>
      </c>
      <c r="D18" s="446" t="s">
        <v>153</v>
      </c>
      <c r="E18" s="446" t="s">
        <v>421</v>
      </c>
      <c r="F18" s="298">
        <v>42340</v>
      </c>
      <c r="G18" s="74">
        <v>0</v>
      </c>
      <c r="H18" s="74">
        <v>0</v>
      </c>
      <c r="I18" s="74">
        <v>0</v>
      </c>
      <c r="J18" s="74">
        <v>0</v>
      </c>
      <c r="K18" s="74">
        <v>0</v>
      </c>
      <c r="L18" s="74">
        <v>0</v>
      </c>
      <c r="M18" s="74">
        <v>48</v>
      </c>
      <c r="N18" s="74">
        <v>0</v>
      </c>
      <c r="O18" s="74">
        <v>0</v>
      </c>
      <c r="P18" s="74">
        <v>0</v>
      </c>
      <c r="Q18" s="74">
        <v>0</v>
      </c>
      <c r="R18" s="74">
        <v>48</v>
      </c>
      <c r="S18" s="74">
        <v>-48</v>
      </c>
    </row>
    <row r="19" spans="1:19" x14ac:dyDescent="0.2">
      <c r="A19" s="446" t="s">
        <v>2300</v>
      </c>
      <c r="B19" s="446" t="s">
        <v>3942</v>
      </c>
      <c r="C19" s="446" t="s">
        <v>1168</v>
      </c>
      <c r="D19" s="446" t="s">
        <v>153</v>
      </c>
      <c r="E19" s="446" t="s">
        <v>421</v>
      </c>
      <c r="F19" s="298">
        <v>42772</v>
      </c>
      <c r="G19" s="74">
        <v>0</v>
      </c>
      <c r="H19" s="74">
        <v>0</v>
      </c>
      <c r="I19" s="74">
        <v>0</v>
      </c>
      <c r="J19" s="74">
        <v>0</v>
      </c>
      <c r="K19" s="74">
        <v>0</v>
      </c>
      <c r="L19" s="74">
        <v>0</v>
      </c>
      <c r="M19" s="74">
        <v>1446</v>
      </c>
      <c r="N19" s="74">
        <v>0</v>
      </c>
      <c r="O19" s="74">
        <v>0</v>
      </c>
      <c r="P19" s="74">
        <v>0</v>
      </c>
      <c r="Q19" s="74">
        <v>0</v>
      </c>
      <c r="R19" s="74">
        <v>1446</v>
      </c>
      <c r="S19" s="74">
        <v>-1446</v>
      </c>
    </row>
    <row r="20" spans="1:19" x14ac:dyDescent="0.2">
      <c r="A20" s="446" t="s">
        <v>2190</v>
      </c>
      <c r="B20" s="446" t="s">
        <v>3946</v>
      </c>
      <c r="C20" s="446" t="s">
        <v>611</v>
      </c>
      <c r="D20" s="446" t="s">
        <v>153</v>
      </c>
      <c r="E20" s="446" t="s">
        <v>421</v>
      </c>
      <c r="F20" s="298">
        <v>42450</v>
      </c>
      <c r="G20" s="74">
        <v>0</v>
      </c>
      <c r="H20" s="74">
        <v>0</v>
      </c>
      <c r="I20" s="74">
        <v>0</v>
      </c>
      <c r="J20" s="74">
        <v>0</v>
      </c>
      <c r="K20" s="74">
        <v>0</v>
      </c>
      <c r="L20" s="74">
        <v>0</v>
      </c>
      <c r="M20" s="74">
        <v>75</v>
      </c>
      <c r="N20" s="74">
        <v>0</v>
      </c>
      <c r="O20" s="74">
        <v>0</v>
      </c>
      <c r="P20" s="74">
        <v>0</v>
      </c>
      <c r="Q20" s="74">
        <v>0</v>
      </c>
      <c r="R20" s="74">
        <v>75</v>
      </c>
      <c r="S20" s="74">
        <v>-75</v>
      </c>
    </row>
    <row r="21" spans="1:19" x14ac:dyDescent="0.2">
      <c r="A21" s="446" t="s">
        <v>2241</v>
      </c>
      <c r="B21" s="446" t="s">
        <v>3943</v>
      </c>
      <c r="C21" s="446" t="s">
        <v>835</v>
      </c>
      <c r="D21" s="446" t="s">
        <v>153</v>
      </c>
      <c r="E21" s="446" t="s">
        <v>421</v>
      </c>
      <c r="F21" s="298">
        <v>42578</v>
      </c>
      <c r="G21" s="74">
        <v>0</v>
      </c>
      <c r="H21" s="74">
        <v>0</v>
      </c>
      <c r="I21" s="74">
        <v>0</v>
      </c>
      <c r="J21" s="74">
        <v>0</v>
      </c>
      <c r="K21" s="74">
        <v>0</v>
      </c>
      <c r="L21" s="74">
        <v>0</v>
      </c>
      <c r="M21" s="74">
        <v>79</v>
      </c>
      <c r="N21" s="74">
        <v>0</v>
      </c>
      <c r="O21" s="74">
        <v>0</v>
      </c>
      <c r="P21" s="74">
        <v>0</v>
      </c>
      <c r="Q21" s="74">
        <v>0</v>
      </c>
      <c r="R21" s="74">
        <v>79</v>
      </c>
      <c r="S21" s="74">
        <v>-79</v>
      </c>
    </row>
    <row r="22" spans="1:19" x14ac:dyDescent="0.2">
      <c r="A22" s="446" t="s">
        <v>1854</v>
      </c>
      <c r="B22" s="446" t="s">
        <v>3946</v>
      </c>
      <c r="C22" s="446" t="s">
        <v>1155</v>
      </c>
      <c r="D22" s="446" t="s">
        <v>153</v>
      </c>
      <c r="E22" s="446" t="s">
        <v>421</v>
      </c>
      <c r="F22" s="298">
        <v>42732</v>
      </c>
      <c r="G22" s="74">
        <v>0</v>
      </c>
      <c r="H22" s="74">
        <v>0</v>
      </c>
      <c r="I22" s="74">
        <v>0</v>
      </c>
      <c r="J22" s="74">
        <v>0</v>
      </c>
      <c r="K22" s="74">
        <v>0</v>
      </c>
      <c r="L22" s="74">
        <v>0</v>
      </c>
      <c r="M22" s="74">
        <v>1261</v>
      </c>
      <c r="N22" s="74">
        <v>0</v>
      </c>
      <c r="O22" s="74">
        <v>0</v>
      </c>
      <c r="P22" s="74">
        <v>1261</v>
      </c>
      <c r="Q22" s="74">
        <v>1261</v>
      </c>
      <c r="R22" s="74">
        <v>3783</v>
      </c>
      <c r="S22" s="74">
        <v>-3783</v>
      </c>
    </row>
    <row r="23" spans="1:19" x14ac:dyDescent="0.2">
      <c r="A23" s="446" t="s">
        <v>1398</v>
      </c>
      <c r="B23" s="446" t="s">
        <v>3944</v>
      </c>
      <c r="C23" s="446" t="s">
        <v>963</v>
      </c>
      <c r="D23" s="446" t="s">
        <v>153</v>
      </c>
      <c r="E23" s="446" t="s">
        <v>421</v>
      </c>
      <c r="F23" s="298">
        <v>42601</v>
      </c>
      <c r="G23" s="74">
        <v>0</v>
      </c>
      <c r="H23" s="74">
        <v>0</v>
      </c>
      <c r="I23" s="74">
        <v>0</v>
      </c>
      <c r="J23" s="74">
        <v>0</v>
      </c>
      <c r="K23" s="74">
        <v>0</v>
      </c>
      <c r="L23" s="74">
        <v>0</v>
      </c>
      <c r="M23" s="74">
        <v>620</v>
      </c>
      <c r="N23" s="74">
        <v>0</v>
      </c>
      <c r="O23" s="74">
        <v>0</v>
      </c>
      <c r="P23" s="74">
        <v>0</v>
      </c>
      <c r="Q23" s="74">
        <v>0</v>
      </c>
      <c r="R23" s="74">
        <v>620</v>
      </c>
      <c r="S23" s="74">
        <v>-620</v>
      </c>
    </row>
    <row r="24" spans="1:19" x14ac:dyDescent="0.2">
      <c r="A24" s="446" t="s">
        <v>2111</v>
      </c>
      <c r="B24" s="446" t="s">
        <v>3949</v>
      </c>
      <c r="C24" s="446" t="s">
        <v>446</v>
      </c>
      <c r="D24" s="446" t="s">
        <v>153</v>
      </c>
      <c r="E24" s="446" t="s">
        <v>421</v>
      </c>
      <c r="F24" s="298">
        <v>42177</v>
      </c>
      <c r="G24" s="74">
        <v>0</v>
      </c>
      <c r="H24" s="74">
        <v>0</v>
      </c>
      <c r="I24" s="74">
        <v>0</v>
      </c>
      <c r="J24" s="74">
        <v>0</v>
      </c>
      <c r="K24" s="74">
        <v>0</v>
      </c>
      <c r="L24" s="74">
        <v>0</v>
      </c>
      <c r="M24" s="74">
        <v>167</v>
      </c>
      <c r="N24" s="74">
        <v>0</v>
      </c>
      <c r="O24" s="74">
        <v>0</v>
      </c>
      <c r="P24" s="74">
        <v>0</v>
      </c>
      <c r="Q24" s="74">
        <v>0</v>
      </c>
      <c r="R24" s="74">
        <v>167</v>
      </c>
      <c r="S24" s="74">
        <v>-167</v>
      </c>
    </row>
    <row r="25" spans="1:19" x14ac:dyDescent="0.2">
      <c r="A25" s="446" t="s">
        <v>2021</v>
      </c>
      <c r="B25" s="446" t="s">
        <v>3943</v>
      </c>
      <c r="C25" s="446" t="s">
        <v>577</v>
      </c>
      <c r="D25" s="446" t="s">
        <v>153</v>
      </c>
      <c r="E25" s="446" t="s">
        <v>421</v>
      </c>
      <c r="F25" s="298">
        <v>42403</v>
      </c>
      <c r="G25" s="74">
        <v>0</v>
      </c>
      <c r="H25" s="74">
        <v>0</v>
      </c>
      <c r="I25" s="74">
        <v>0</v>
      </c>
      <c r="J25" s="74">
        <v>0</v>
      </c>
      <c r="K25" s="74">
        <v>0</v>
      </c>
      <c r="L25" s="74">
        <v>0</v>
      </c>
      <c r="M25" s="74">
        <v>826</v>
      </c>
      <c r="N25" s="74">
        <v>0</v>
      </c>
      <c r="O25" s="74">
        <v>0</v>
      </c>
      <c r="P25" s="74">
        <v>0</v>
      </c>
      <c r="Q25" s="74">
        <v>0</v>
      </c>
      <c r="R25" s="74">
        <v>826</v>
      </c>
      <c r="S25" s="74">
        <v>-826</v>
      </c>
    </row>
    <row r="26" spans="1:19" x14ac:dyDescent="0.2">
      <c r="A26" s="446" t="s">
        <v>2082</v>
      </c>
      <c r="B26" s="446" t="s">
        <v>3943</v>
      </c>
      <c r="C26" s="446" t="s">
        <v>959</v>
      </c>
      <c r="D26" s="446" t="s">
        <v>153</v>
      </c>
      <c r="E26" s="446" t="s">
        <v>421</v>
      </c>
      <c r="F26" s="298">
        <v>42594</v>
      </c>
      <c r="G26" s="74">
        <v>0</v>
      </c>
      <c r="H26" s="74">
        <v>0</v>
      </c>
      <c r="I26" s="74">
        <v>0</v>
      </c>
      <c r="J26" s="74">
        <v>0</v>
      </c>
      <c r="K26" s="74">
        <v>0</v>
      </c>
      <c r="L26" s="74">
        <v>0</v>
      </c>
      <c r="M26" s="74">
        <v>510</v>
      </c>
      <c r="N26" s="74">
        <v>0</v>
      </c>
      <c r="O26" s="74">
        <v>0</v>
      </c>
      <c r="P26" s="74">
        <v>0</v>
      </c>
      <c r="Q26" s="74">
        <v>0</v>
      </c>
      <c r="R26" s="74">
        <v>510</v>
      </c>
      <c r="S26" s="74">
        <v>-510</v>
      </c>
    </row>
    <row r="27" spans="1:19" x14ac:dyDescent="0.2">
      <c r="A27" s="446" t="s">
        <v>2009</v>
      </c>
      <c r="B27" s="446" t="s">
        <v>3943</v>
      </c>
      <c r="C27" s="446" t="s">
        <v>1206</v>
      </c>
      <c r="D27" s="446" t="s">
        <v>153</v>
      </c>
      <c r="E27" s="446" t="s">
        <v>421</v>
      </c>
      <c r="F27" s="298">
        <v>42803</v>
      </c>
      <c r="G27" s="74">
        <v>0</v>
      </c>
      <c r="H27" s="74">
        <v>0</v>
      </c>
      <c r="I27" s="74">
        <v>0</v>
      </c>
      <c r="J27" s="74">
        <v>0</v>
      </c>
      <c r="K27" s="74">
        <v>0</v>
      </c>
      <c r="L27" s="74">
        <v>0</v>
      </c>
      <c r="M27" s="74">
        <v>168</v>
      </c>
      <c r="N27" s="74">
        <v>0</v>
      </c>
      <c r="O27" s="74">
        <v>0</v>
      </c>
      <c r="P27" s="74">
        <v>0</v>
      </c>
      <c r="Q27" s="74">
        <v>0</v>
      </c>
      <c r="R27" s="74">
        <v>168</v>
      </c>
      <c r="S27" s="74">
        <v>-168</v>
      </c>
    </row>
    <row r="28" spans="1:19" x14ac:dyDescent="0.2">
      <c r="A28" s="446" t="s">
        <v>2616</v>
      </c>
      <c r="B28" s="446" t="s">
        <v>3941</v>
      </c>
      <c r="C28" s="446" t="s">
        <v>2617</v>
      </c>
      <c r="D28" s="446" t="s">
        <v>153</v>
      </c>
      <c r="E28" s="446" t="s">
        <v>421</v>
      </c>
      <c r="F28" s="298">
        <v>43089</v>
      </c>
      <c r="G28" s="74">
        <v>0</v>
      </c>
      <c r="H28" s="74">
        <v>0</v>
      </c>
      <c r="I28" s="74">
        <v>0</v>
      </c>
      <c r="J28" s="74">
        <v>0</v>
      </c>
      <c r="K28" s="74">
        <v>0</v>
      </c>
      <c r="L28" s="74">
        <v>0</v>
      </c>
      <c r="M28" s="74">
        <v>4644</v>
      </c>
      <c r="N28" s="74">
        <v>0</v>
      </c>
      <c r="O28" s="74">
        <v>0</v>
      </c>
      <c r="P28" s="74">
        <v>0</v>
      </c>
      <c r="Q28" s="74">
        <v>0</v>
      </c>
      <c r="R28" s="74">
        <v>4644</v>
      </c>
      <c r="S28" s="74">
        <v>-4644</v>
      </c>
    </row>
    <row r="29" spans="1:19" x14ac:dyDescent="0.2">
      <c r="A29" s="446" t="s">
        <v>2371</v>
      </c>
      <c r="B29" s="446" t="s">
        <v>3943</v>
      </c>
      <c r="C29" s="446" t="s">
        <v>923</v>
      </c>
      <c r="D29" s="446" t="s">
        <v>153</v>
      </c>
      <c r="E29" s="446" t="s">
        <v>421</v>
      </c>
      <c r="F29" s="298">
        <v>42592</v>
      </c>
      <c r="G29" s="74">
        <v>0</v>
      </c>
      <c r="H29" s="74">
        <v>0</v>
      </c>
      <c r="I29" s="74">
        <v>0</v>
      </c>
      <c r="J29" s="74">
        <v>0</v>
      </c>
      <c r="K29" s="74">
        <v>0</v>
      </c>
      <c r="L29" s="74">
        <v>0</v>
      </c>
      <c r="M29" s="74">
        <v>709</v>
      </c>
      <c r="N29" s="74">
        <v>0</v>
      </c>
      <c r="O29" s="74">
        <v>0</v>
      </c>
      <c r="P29" s="74">
        <v>0</v>
      </c>
      <c r="Q29" s="74">
        <v>0</v>
      </c>
      <c r="R29" s="74">
        <v>709</v>
      </c>
      <c r="S29" s="74">
        <v>-709</v>
      </c>
    </row>
    <row r="30" spans="1:19" x14ac:dyDescent="0.2">
      <c r="C30" s="446" t="s">
        <v>925</v>
      </c>
      <c r="D30" s="446" t="s">
        <v>153</v>
      </c>
      <c r="E30" s="446" t="s">
        <v>421</v>
      </c>
      <c r="F30" s="298">
        <v>42592</v>
      </c>
      <c r="G30" s="74">
        <v>0</v>
      </c>
      <c r="H30" s="74">
        <v>0</v>
      </c>
      <c r="I30" s="74">
        <v>0</v>
      </c>
      <c r="J30" s="74">
        <v>0</v>
      </c>
      <c r="K30" s="74">
        <v>0</v>
      </c>
      <c r="L30" s="74">
        <v>0</v>
      </c>
      <c r="M30" s="74">
        <v>135</v>
      </c>
      <c r="N30" s="74">
        <v>0</v>
      </c>
      <c r="O30" s="74">
        <v>0</v>
      </c>
      <c r="P30" s="74">
        <v>0</v>
      </c>
      <c r="Q30" s="74">
        <v>0</v>
      </c>
      <c r="R30" s="74">
        <v>135</v>
      </c>
      <c r="S30" s="74">
        <v>-135</v>
      </c>
    </row>
    <row r="31" spans="1:19" x14ac:dyDescent="0.2">
      <c r="C31" s="446" t="s">
        <v>941</v>
      </c>
      <c r="D31" s="446" t="s">
        <v>153</v>
      </c>
      <c r="E31" s="446" t="s">
        <v>421</v>
      </c>
      <c r="F31" s="298">
        <v>42604</v>
      </c>
      <c r="G31" s="74">
        <v>0</v>
      </c>
      <c r="H31" s="74">
        <v>0</v>
      </c>
      <c r="I31" s="74">
        <v>0</v>
      </c>
      <c r="J31" s="74">
        <v>0</v>
      </c>
      <c r="K31" s="74">
        <v>0</v>
      </c>
      <c r="L31" s="74">
        <v>0</v>
      </c>
      <c r="M31" s="74">
        <v>173</v>
      </c>
      <c r="N31" s="74">
        <v>0</v>
      </c>
      <c r="O31" s="74">
        <v>0</v>
      </c>
      <c r="P31" s="74">
        <v>0</v>
      </c>
      <c r="Q31" s="74">
        <v>0</v>
      </c>
      <c r="R31" s="74">
        <v>173</v>
      </c>
      <c r="S31" s="74">
        <v>-173</v>
      </c>
    </row>
    <row r="32" spans="1:19" x14ac:dyDescent="0.2">
      <c r="A32" s="446" t="s">
        <v>2229</v>
      </c>
      <c r="B32" s="446" t="s">
        <v>3942</v>
      </c>
      <c r="C32" s="446" t="s">
        <v>874</v>
      </c>
      <c r="D32" s="446" t="s">
        <v>153</v>
      </c>
      <c r="E32" s="446" t="s">
        <v>421</v>
      </c>
      <c r="F32" s="298">
        <v>42562</v>
      </c>
      <c r="G32" s="74">
        <v>0</v>
      </c>
      <c r="H32" s="74">
        <v>0</v>
      </c>
      <c r="I32" s="74">
        <v>0</v>
      </c>
      <c r="J32" s="74">
        <v>0</v>
      </c>
      <c r="K32" s="74">
        <v>0</v>
      </c>
      <c r="L32" s="74">
        <v>0</v>
      </c>
      <c r="M32" s="74">
        <v>37</v>
      </c>
      <c r="N32" s="74">
        <v>0</v>
      </c>
      <c r="O32" s="74">
        <v>0</v>
      </c>
      <c r="P32" s="74">
        <v>0</v>
      </c>
      <c r="Q32" s="74">
        <v>0</v>
      </c>
      <c r="R32" s="74">
        <v>37</v>
      </c>
      <c r="S32" s="74">
        <v>-37</v>
      </c>
    </row>
    <row r="33" spans="1:19" x14ac:dyDescent="0.2">
      <c r="A33" s="446" t="s">
        <v>1924</v>
      </c>
      <c r="B33" s="446" t="s">
        <v>3943</v>
      </c>
      <c r="C33" s="446" t="s">
        <v>863</v>
      </c>
      <c r="D33" s="446" t="s">
        <v>153</v>
      </c>
      <c r="E33" s="446" t="s">
        <v>421</v>
      </c>
      <c r="F33" s="298">
        <v>42549</v>
      </c>
      <c r="G33" s="74">
        <v>0</v>
      </c>
      <c r="H33" s="74">
        <v>0</v>
      </c>
      <c r="I33" s="74">
        <v>0</v>
      </c>
      <c r="J33" s="74">
        <v>0</v>
      </c>
      <c r="K33" s="74">
        <v>0</v>
      </c>
      <c r="L33" s="74">
        <v>0</v>
      </c>
      <c r="M33" s="74">
        <v>134</v>
      </c>
      <c r="N33" s="74">
        <v>0</v>
      </c>
      <c r="O33" s="74">
        <v>0</v>
      </c>
      <c r="P33" s="74">
        <v>0</v>
      </c>
      <c r="Q33" s="74">
        <v>0</v>
      </c>
      <c r="R33" s="74">
        <v>134</v>
      </c>
      <c r="S33" s="74">
        <v>-134</v>
      </c>
    </row>
    <row r="34" spans="1:19" x14ac:dyDescent="0.2">
      <c r="C34" s="446" t="s">
        <v>931</v>
      </c>
      <c r="D34" s="446" t="s">
        <v>153</v>
      </c>
      <c r="E34" s="446" t="s">
        <v>421</v>
      </c>
      <c r="F34" s="298">
        <v>42592</v>
      </c>
      <c r="G34" s="74">
        <v>0</v>
      </c>
      <c r="H34" s="74">
        <v>0</v>
      </c>
      <c r="I34" s="74">
        <v>0</v>
      </c>
      <c r="J34" s="74">
        <v>0</v>
      </c>
      <c r="K34" s="74">
        <v>0</v>
      </c>
      <c r="L34" s="74">
        <v>0</v>
      </c>
      <c r="M34" s="74">
        <v>268</v>
      </c>
      <c r="N34" s="74">
        <v>0</v>
      </c>
      <c r="O34" s="74">
        <v>0</v>
      </c>
      <c r="P34" s="74">
        <v>0</v>
      </c>
      <c r="Q34" s="74">
        <v>0</v>
      </c>
      <c r="R34" s="74">
        <v>268</v>
      </c>
      <c r="S34" s="74">
        <v>-268</v>
      </c>
    </row>
    <row r="35" spans="1:19" x14ac:dyDescent="0.2">
      <c r="C35" s="446" t="s">
        <v>974</v>
      </c>
      <c r="D35" s="446" t="s">
        <v>153</v>
      </c>
      <c r="E35" s="446" t="s">
        <v>421</v>
      </c>
      <c r="F35" s="298">
        <v>42607</v>
      </c>
      <c r="G35" s="74">
        <v>0</v>
      </c>
      <c r="H35" s="74">
        <v>0</v>
      </c>
      <c r="I35" s="74">
        <v>0</v>
      </c>
      <c r="J35" s="74">
        <v>0</v>
      </c>
      <c r="K35" s="74">
        <v>0</v>
      </c>
      <c r="L35" s="74">
        <v>0</v>
      </c>
      <c r="M35" s="74">
        <v>133</v>
      </c>
      <c r="N35" s="74">
        <v>0</v>
      </c>
      <c r="O35" s="74">
        <v>0</v>
      </c>
      <c r="P35" s="74">
        <v>0</v>
      </c>
      <c r="Q35" s="74">
        <v>0</v>
      </c>
      <c r="R35" s="74">
        <v>133</v>
      </c>
      <c r="S35" s="74">
        <v>-133</v>
      </c>
    </row>
    <row r="36" spans="1:19" x14ac:dyDescent="0.2">
      <c r="A36" s="446" t="s">
        <v>2403</v>
      </c>
      <c r="B36" s="446" t="s">
        <v>3943</v>
      </c>
      <c r="C36" s="446" t="s">
        <v>2404</v>
      </c>
      <c r="D36" s="446" t="s">
        <v>153</v>
      </c>
      <c r="E36" s="446" t="s">
        <v>421</v>
      </c>
      <c r="F36" s="298">
        <v>42965</v>
      </c>
      <c r="G36" s="74">
        <v>0</v>
      </c>
      <c r="H36" s="74">
        <v>0</v>
      </c>
      <c r="I36" s="74">
        <v>0</v>
      </c>
      <c r="J36" s="74">
        <v>0</v>
      </c>
      <c r="K36" s="74">
        <v>0</v>
      </c>
      <c r="L36" s="74">
        <v>0</v>
      </c>
      <c r="M36" s="74">
        <v>878</v>
      </c>
      <c r="N36" s="74">
        <v>0</v>
      </c>
      <c r="O36" s="74">
        <v>0</v>
      </c>
      <c r="P36" s="74">
        <v>0</v>
      </c>
      <c r="Q36" s="74">
        <v>0</v>
      </c>
      <c r="R36" s="74">
        <v>878</v>
      </c>
      <c r="S36" s="74">
        <v>-878</v>
      </c>
    </row>
    <row r="37" spans="1:19" x14ac:dyDescent="0.2">
      <c r="A37" s="446" t="s">
        <v>1471</v>
      </c>
      <c r="B37" s="446" t="s">
        <v>3943</v>
      </c>
      <c r="C37" s="446" t="s">
        <v>563</v>
      </c>
      <c r="D37" s="446" t="s">
        <v>153</v>
      </c>
      <c r="E37" s="446" t="s">
        <v>421</v>
      </c>
      <c r="F37" s="298">
        <v>42348</v>
      </c>
      <c r="G37" s="74">
        <v>0</v>
      </c>
      <c r="H37" s="74">
        <v>0</v>
      </c>
      <c r="I37" s="74">
        <v>0</v>
      </c>
      <c r="J37" s="74">
        <v>0</v>
      </c>
      <c r="K37" s="74">
        <v>0</v>
      </c>
      <c r="L37" s="74">
        <v>0</v>
      </c>
      <c r="M37" s="74">
        <v>228</v>
      </c>
      <c r="N37" s="74">
        <v>0</v>
      </c>
      <c r="O37" s="74">
        <v>0</v>
      </c>
      <c r="P37" s="74">
        <v>0</v>
      </c>
      <c r="Q37" s="74">
        <v>0</v>
      </c>
      <c r="R37" s="74">
        <v>228</v>
      </c>
      <c r="S37" s="74">
        <v>-228</v>
      </c>
    </row>
    <row r="38" spans="1:19" x14ac:dyDescent="0.2">
      <c r="A38" s="446" t="s">
        <v>2370</v>
      </c>
      <c r="B38" s="446" t="s">
        <v>3943</v>
      </c>
      <c r="C38" s="446" t="s">
        <v>845</v>
      </c>
      <c r="D38" s="446" t="s">
        <v>153</v>
      </c>
      <c r="E38" s="446" t="s">
        <v>421</v>
      </c>
      <c r="F38" s="298">
        <v>42543</v>
      </c>
      <c r="G38" s="74">
        <v>0</v>
      </c>
      <c r="H38" s="74">
        <v>0</v>
      </c>
      <c r="I38" s="74">
        <v>0</v>
      </c>
      <c r="J38" s="74">
        <v>0</v>
      </c>
      <c r="K38" s="74">
        <v>0</v>
      </c>
      <c r="L38" s="74">
        <v>0</v>
      </c>
      <c r="M38" s="74">
        <v>184</v>
      </c>
      <c r="N38" s="74">
        <v>0</v>
      </c>
      <c r="O38" s="74">
        <v>0</v>
      </c>
      <c r="P38" s="74">
        <v>0</v>
      </c>
      <c r="Q38" s="74">
        <v>0</v>
      </c>
      <c r="R38" s="74">
        <v>184</v>
      </c>
      <c r="S38" s="74">
        <v>-184</v>
      </c>
    </row>
    <row r="39" spans="1:19" x14ac:dyDescent="0.2">
      <c r="C39" s="446" t="s">
        <v>857</v>
      </c>
      <c r="D39" s="446" t="s">
        <v>153</v>
      </c>
      <c r="E39" s="446" t="s">
        <v>421</v>
      </c>
      <c r="F39" s="298">
        <v>42543</v>
      </c>
      <c r="G39" s="74">
        <v>0</v>
      </c>
      <c r="H39" s="74">
        <v>0</v>
      </c>
      <c r="I39" s="74">
        <v>0</v>
      </c>
      <c r="J39" s="74">
        <v>0</v>
      </c>
      <c r="K39" s="74">
        <v>0</v>
      </c>
      <c r="L39" s="74">
        <v>0</v>
      </c>
      <c r="M39" s="74">
        <v>245</v>
      </c>
      <c r="N39" s="74">
        <v>0</v>
      </c>
      <c r="O39" s="74">
        <v>0</v>
      </c>
      <c r="P39" s="74">
        <v>0</v>
      </c>
      <c r="Q39" s="74">
        <v>0</v>
      </c>
      <c r="R39" s="74">
        <v>245</v>
      </c>
      <c r="S39" s="74">
        <v>-245</v>
      </c>
    </row>
    <row r="40" spans="1:19" x14ac:dyDescent="0.2">
      <c r="C40" s="446" t="s">
        <v>935</v>
      </c>
      <c r="D40" s="446" t="s">
        <v>153</v>
      </c>
      <c r="E40" s="446" t="s">
        <v>421</v>
      </c>
      <c r="F40" s="298">
        <v>42604</v>
      </c>
      <c r="G40" s="74">
        <v>0</v>
      </c>
      <c r="H40" s="74">
        <v>0</v>
      </c>
      <c r="I40" s="74">
        <v>0</v>
      </c>
      <c r="J40" s="74">
        <v>0</v>
      </c>
      <c r="K40" s="74">
        <v>0</v>
      </c>
      <c r="L40" s="74">
        <v>0</v>
      </c>
      <c r="M40" s="74">
        <v>216</v>
      </c>
      <c r="N40" s="74">
        <v>0</v>
      </c>
      <c r="O40" s="74">
        <v>0</v>
      </c>
      <c r="P40" s="74">
        <v>0</v>
      </c>
      <c r="Q40" s="74">
        <v>0</v>
      </c>
      <c r="R40" s="74">
        <v>216</v>
      </c>
      <c r="S40" s="74">
        <v>-216</v>
      </c>
    </row>
    <row r="41" spans="1:19" x14ac:dyDescent="0.2">
      <c r="C41" s="446" t="s">
        <v>937</v>
      </c>
      <c r="D41" s="446" t="s">
        <v>153</v>
      </c>
      <c r="E41" s="446" t="s">
        <v>421</v>
      </c>
      <c r="F41" s="298">
        <v>42592</v>
      </c>
      <c r="G41" s="74">
        <v>0</v>
      </c>
      <c r="H41" s="74">
        <v>0</v>
      </c>
      <c r="I41" s="74">
        <v>0</v>
      </c>
      <c r="J41" s="74">
        <v>0</v>
      </c>
      <c r="K41" s="74">
        <v>0</v>
      </c>
      <c r="L41" s="74">
        <v>0</v>
      </c>
      <c r="M41" s="74">
        <v>280</v>
      </c>
      <c r="N41" s="74">
        <v>0</v>
      </c>
      <c r="O41" s="74">
        <v>0</v>
      </c>
      <c r="P41" s="74">
        <v>0</v>
      </c>
      <c r="Q41" s="74">
        <v>0</v>
      </c>
      <c r="R41" s="74">
        <v>280</v>
      </c>
      <c r="S41" s="74">
        <v>-280</v>
      </c>
    </row>
    <row r="42" spans="1:19" x14ac:dyDescent="0.2">
      <c r="C42" s="446" t="s">
        <v>972</v>
      </c>
      <c r="D42" s="446" t="s">
        <v>153</v>
      </c>
      <c r="E42" s="446" t="s">
        <v>421</v>
      </c>
      <c r="F42" s="298">
        <v>42607</v>
      </c>
      <c r="G42" s="74">
        <v>0</v>
      </c>
      <c r="H42" s="74">
        <v>0</v>
      </c>
      <c r="I42" s="74">
        <v>0</v>
      </c>
      <c r="J42" s="74">
        <v>0</v>
      </c>
      <c r="K42" s="74">
        <v>0</v>
      </c>
      <c r="L42" s="74">
        <v>0</v>
      </c>
      <c r="M42" s="74">
        <v>253</v>
      </c>
      <c r="N42" s="74">
        <v>0</v>
      </c>
      <c r="O42" s="74">
        <v>0</v>
      </c>
      <c r="P42" s="74">
        <v>0</v>
      </c>
      <c r="Q42" s="74">
        <v>0</v>
      </c>
      <c r="R42" s="74">
        <v>253</v>
      </c>
      <c r="S42" s="74">
        <v>-253</v>
      </c>
    </row>
    <row r="43" spans="1:19" x14ac:dyDescent="0.2">
      <c r="C43" s="446" t="s">
        <v>1072</v>
      </c>
      <c r="D43" s="446" t="s">
        <v>153</v>
      </c>
      <c r="E43" s="446" t="s">
        <v>421</v>
      </c>
      <c r="F43" s="298">
        <v>42699</v>
      </c>
      <c r="G43" s="74">
        <v>0</v>
      </c>
      <c r="H43" s="74">
        <v>0</v>
      </c>
      <c r="I43" s="74">
        <v>0</v>
      </c>
      <c r="J43" s="74">
        <v>0</v>
      </c>
      <c r="K43" s="74">
        <v>0</v>
      </c>
      <c r="L43" s="74">
        <v>0</v>
      </c>
      <c r="M43" s="74">
        <v>219</v>
      </c>
      <c r="N43" s="74">
        <v>0</v>
      </c>
      <c r="O43" s="74">
        <v>0</v>
      </c>
      <c r="P43" s="74">
        <v>0</v>
      </c>
      <c r="Q43" s="74">
        <v>0</v>
      </c>
      <c r="R43" s="74">
        <v>219</v>
      </c>
      <c r="S43" s="74">
        <v>-219</v>
      </c>
    </row>
    <row r="44" spans="1:19" x14ac:dyDescent="0.2">
      <c r="A44" s="446" t="s">
        <v>2693</v>
      </c>
      <c r="B44" s="446" t="s">
        <v>3942</v>
      </c>
      <c r="C44" s="446" t="s">
        <v>2694</v>
      </c>
      <c r="D44" s="446" t="s">
        <v>153</v>
      </c>
      <c r="E44" s="446" t="s">
        <v>421</v>
      </c>
      <c r="F44" s="298">
        <v>43185</v>
      </c>
      <c r="G44" s="74">
        <v>0</v>
      </c>
      <c r="H44" s="74">
        <v>0</v>
      </c>
      <c r="I44" s="74">
        <v>0</v>
      </c>
      <c r="J44" s="74">
        <v>0</v>
      </c>
      <c r="K44" s="74">
        <v>0</v>
      </c>
      <c r="L44" s="74">
        <v>0</v>
      </c>
      <c r="M44" s="74">
        <v>0</v>
      </c>
      <c r="N44" s="74">
        <v>0</v>
      </c>
      <c r="O44" s="74">
        <v>0</v>
      </c>
      <c r="P44" s="74">
        <v>0</v>
      </c>
      <c r="Q44" s="74">
        <v>18</v>
      </c>
      <c r="R44" s="74">
        <v>18</v>
      </c>
      <c r="S44" s="74">
        <v>-18</v>
      </c>
    </row>
    <row r="45" spans="1:19" x14ac:dyDescent="0.2">
      <c r="A45" s="446" t="s">
        <v>2282</v>
      </c>
      <c r="B45" s="446" t="s">
        <v>3948</v>
      </c>
      <c r="C45" s="446" t="s">
        <v>1040</v>
      </c>
      <c r="D45" s="446" t="s">
        <v>153</v>
      </c>
      <c r="E45" s="446" t="s">
        <v>421</v>
      </c>
      <c r="F45" s="298">
        <v>42682</v>
      </c>
      <c r="G45" s="74">
        <v>0</v>
      </c>
      <c r="H45" s="74">
        <v>0</v>
      </c>
      <c r="I45" s="74">
        <v>0</v>
      </c>
      <c r="J45" s="74">
        <v>0</v>
      </c>
      <c r="K45" s="74">
        <v>0</v>
      </c>
      <c r="L45" s="74">
        <v>0</v>
      </c>
      <c r="M45" s="74">
        <v>83</v>
      </c>
      <c r="N45" s="74">
        <v>0</v>
      </c>
      <c r="O45" s="74">
        <v>0</v>
      </c>
      <c r="P45" s="74">
        <v>0</v>
      </c>
      <c r="Q45" s="74">
        <v>0</v>
      </c>
      <c r="R45" s="74">
        <v>83</v>
      </c>
      <c r="S45" s="74">
        <v>-83</v>
      </c>
    </row>
    <row r="46" spans="1:19" x14ac:dyDescent="0.2">
      <c r="A46" s="446" t="s">
        <v>2283</v>
      </c>
      <c r="B46" s="446" t="s">
        <v>3948</v>
      </c>
      <c r="C46" s="446" t="s">
        <v>1042</v>
      </c>
      <c r="D46" s="446" t="s">
        <v>153</v>
      </c>
      <c r="E46" s="446" t="s">
        <v>421</v>
      </c>
      <c r="F46" s="298">
        <v>42683</v>
      </c>
      <c r="G46" s="74">
        <v>0</v>
      </c>
      <c r="H46" s="74">
        <v>0</v>
      </c>
      <c r="I46" s="74">
        <v>0</v>
      </c>
      <c r="J46" s="74">
        <v>0</v>
      </c>
      <c r="K46" s="74">
        <v>0</v>
      </c>
      <c r="L46" s="74">
        <v>0</v>
      </c>
      <c r="M46" s="74">
        <v>101</v>
      </c>
      <c r="N46" s="74">
        <v>0</v>
      </c>
      <c r="O46" s="74">
        <v>0</v>
      </c>
      <c r="P46" s="74">
        <v>0</v>
      </c>
      <c r="Q46" s="74">
        <v>0</v>
      </c>
      <c r="R46" s="74">
        <v>101</v>
      </c>
      <c r="S46" s="74">
        <v>-101</v>
      </c>
    </row>
    <row r="47" spans="1:19" x14ac:dyDescent="0.2">
      <c r="A47" s="446" t="s">
        <v>2284</v>
      </c>
      <c r="B47" s="446" t="s">
        <v>3948</v>
      </c>
      <c r="C47" s="446" t="s">
        <v>1044</v>
      </c>
      <c r="D47" s="446" t="s">
        <v>153</v>
      </c>
      <c r="E47" s="446" t="s">
        <v>421</v>
      </c>
      <c r="F47" s="298">
        <v>42683</v>
      </c>
      <c r="G47" s="74">
        <v>0</v>
      </c>
      <c r="H47" s="74">
        <v>0</v>
      </c>
      <c r="I47" s="74">
        <v>0</v>
      </c>
      <c r="J47" s="74">
        <v>0</v>
      </c>
      <c r="K47" s="74">
        <v>0</v>
      </c>
      <c r="L47" s="74">
        <v>0</v>
      </c>
      <c r="M47" s="74">
        <v>58</v>
      </c>
      <c r="N47" s="74">
        <v>0</v>
      </c>
      <c r="O47" s="74">
        <v>0</v>
      </c>
      <c r="P47" s="74">
        <v>0</v>
      </c>
      <c r="Q47" s="74">
        <v>0</v>
      </c>
      <c r="R47" s="74">
        <v>58</v>
      </c>
      <c r="S47" s="74">
        <v>-58</v>
      </c>
    </row>
    <row r="48" spans="1:19" x14ac:dyDescent="0.2">
      <c r="A48" s="446" t="s">
        <v>2285</v>
      </c>
      <c r="B48" s="446" t="s">
        <v>3948</v>
      </c>
      <c r="C48" s="446" t="s">
        <v>1045</v>
      </c>
      <c r="D48" s="446" t="s">
        <v>153</v>
      </c>
      <c r="E48" s="446" t="s">
        <v>421</v>
      </c>
      <c r="F48" s="298">
        <v>42683</v>
      </c>
      <c r="G48" s="74">
        <v>0</v>
      </c>
      <c r="H48" s="74">
        <v>0</v>
      </c>
      <c r="I48" s="74">
        <v>0</v>
      </c>
      <c r="J48" s="74">
        <v>0</v>
      </c>
      <c r="K48" s="74">
        <v>0</v>
      </c>
      <c r="L48" s="74">
        <v>0</v>
      </c>
      <c r="M48" s="74">
        <v>59</v>
      </c>
      <c r="N48" s="74">
        <v>0</v>
      </c>
      <c r="O48" s="74">
        <v>0</v>
      </c>
      <c r="P48" s="74">
        <v>0</v>
      </c>
      <c r="Q48" s="74">
        <v>0</v>
      </c>
      <c r="R48" s="74">
        <v>59</v>
      </c>
      <c r="S48" s="74">
        <v>-59</v>
      </c>
    </row>
    <row r="49" spans="1:19" x14ac:dyDescent="0.2">
      <c r="A49" s="446" t="s">
        <v>1341</v>
      </c>
      <c r="B49" s="446" t="s">
        <v>3943</v>
      </c>
      <c r="C49" s="446" t="s">
        <v>943</v>
      </c>
      <c r="D49" s="446" t="s">
        <v>153</v>
      </c>
      <c r="E49" s="446" t="s">
        <v>421</v>
      </c>
      <c r="F49" s="298">
        <v>42604</v>
      </c>
      <c r="G49" s="74">
        <v>0</v>
      </c>
      <c r="H49" s="74">
        <v>0</v>
      </c>
      <c r="I49" s="74">
        <v>0</v>
      </c>
      <c r="J49" s="74">
        <v>0</v>
      </c>
      <c r="K49" s="74">
        <v>0</v>
      </c>
      <c r="L49" s="74">
        <v>0</v>
      </c>
      <c r="M49" s="74">
        <v>260</v>
      </c>
      <c r="N49" s="74">
        <v>0</v>
      </c>
      <c r="O49" s="74">
        <v>0</v>
      </c>
      <c r="P49" s="74">
        <v>0</v>
      </c>
      <c r="Q49" s="74">
        <v>0</v>
      </c>
      <c r="R49" s="74">
        <v>260</v>
      </c>
      <c r="S49" s="74">
        <v>-260</v>
      </c>
    </row>
    <row r="50" spans="1:19" x14ac:dyDescent="0.2">
      <c r="A50" s="446" t="s">
        <v>1851</v>
      </c>
      <c r="B50" s="446" t="s">
        <v>3946</v>
      </c>
      <c r="C50" s="446" t="s">
        <v>1298</v>
      </c>
      <c r="D50" s="446" t="s">
        <v>153</v>
      </c>
      <c r="E50" s="446" t="s">
        <v>421</v>
      </c>
      <c r="F50" s="298">
        <v>42851</v>
      </c>
      <c r="G50" s="74">
        <v>0</v>
      </c>
      <c r="H50" s="74">
        <v>0</v>
      </c>
      <c r="I50" s="74">
        <v>0</v>
      </c>
      <c r="J50" s="74">
        <v>0</v>
      </c>
      <c r="K50" s="74">
        <v>0</v>
      </c>
      <c r="L50" s="74">
        <v>0</v>
      </c>
      <c r="M50" s="74">
        <v>57</v>
      </c>
      <c r="N50" s="74">
        <v>0</v>
      </c>
      <c r="O50" s="74">
        <v>0</v>
      </c>
      <c r="P50" s="74">
        <v>0</v>
      </c>
      <c r="Q50" s="74">
        <v>0</v>
      </c>
      <c r="R50" s="74">
        <v>57</v>
      </c>
      <c r="S50" s="74">
        <v>-57</v>
      </c>
    </row>
    <row r="51" spans="1:19" x14ac:dyDescent="0.2">
      <c r="A51" s="446" t="s">
        <v>2126</v>
      </c>
      <c r="B51" s="446" t="s">
        <v>3947</v>
      </c>
      <c r="C51" s="446" t="s">
        <v>510</v>
      </c>
      <c r="D51" s="446" t="s">
        <v>153</v>
      </c>
      <c r="E51" s="446" t="s">
        <v>421</v>
      </c>
      <c r="F51" s="298">
        <v>42285</v>
      </c>
      <c r="G51" s="74">
        <v>0</v>
      </c>
      <c r="H51" s="74">
        <v>0</v>
      </c>
      <c r="I51" s="74">
        <v>0</v>
      </c>
      <c r="J51" s="74">
        <v>0</v>
      </c>
      <c r="K51" s="74">
        <v>0</v>
      </c>
      <c r="L51" s="74">
        <v>0</v>
      </c>
      <c r="M51" s="74">
        <v>122</v>
      </c>
      <c r="N51" s="74">
        <v>0</v>
      </c>
      <c r="O51" s="74">
        <v>0</v>
      </c>
      <c r="P51" s="74">
        <v>0</v>
      </c>
      <c r="Q51" s="74">
        <v>0</v>
      </c>
      <c r="R51" s="74">
        <v>122</v>
      </c>
      <c r="S51" s="74">
        <v>-122</v>
      </c>
    </row>
    <row r="52" spans="1:19" x14ac:dyDescent="0.2">
      <c r="A52" s="446" t="s">
        <v>2022</v>
      </c>
      <c r="B52" s="446" t="s">
        <v>3943</v>
      </c>
      <c r="C52" s="446" t="s">
        <v>933</v>
      </c>
      <c r="D52" s="446" t="s">
        <v>153</v>
      </c>
      <c r="E52" s="446" t="s">
        <v>421</v>
      </c>
      <c r="F52" s="298">
        <v>42604</v>
      </c>
      <c r="G52" s="74">
        <v>0</v>
      </c>
      <c r="H52" s="74">
        <v>0</v>
      </c>
      <c r="I52" s="74">
        <v>0</v>
      </c>
      <c r="J52" s="74">
        <v>0</v>
      </c>
      <c r="K52" s="74">
        <v>0</v>
      </c>
      <c r="L52" s="74">
        <v>0</v>
      </c>
      <c r="M52" s="74">
        <v>38</v>
      </c>
      <c r="N52" s="74">
        <v>0</v>
      </c>
      <c r="O52" s="74">
        <v>0</v>
      </c>
      <c r="P52" s="74">
        <v>0</v>
      </c>
      <c r="Q52" s="74">
        <v>0</v>
      </c>
      <c r="R52" s="74">
        <v>38</v>
      </c>
      <c r="S52" s="74">
        <v>-38</v>
      </c>
    </row>
    <row r="53" spans="1:19" x14ac:dyDescent="0.2">
      <c r="A53" s="446" t="s">
        <v>1763</v>
      </c>
      <c r="B53" s="446" t="s">
        <v>2907</v>
      </c>
      <c r="C53" s="446" t="s">
        <v>1764</v>
      </c>
      <c r="D53" s="446" t="s">
        <v>153</v>
      </c>
      <c r="E53" s="446" t="s">
        <v>421</v>
      </c>
      <c r="F53" s="298">
        <v>42948</v>
      </c>
      <c r="G53" s="74">
        <v>0</v>
      </c>
      <c r="H53" s="74">
        <v>0</v>
      </c>
      <c r="I53" s="74">
        <v>0</v>
      </c>
      <c r="J53" s="74">
        <v>0</v>
      </c>
      <c r="K53" s="74">
        <v>0</v>
      </c>
      <c r="L53" s="74">
        <v>0</v>
      </c>
      <c r="M53" s="74">
        <v>207</v>
      </c>
      <c r="N53" s="74">
        <v>0</v>
      </c>
      <c r="O53" s="74">
        <v>0</v>
      </c>
      <c r="P53" s="74">
        <v>0</v>
      </c>
      <c r="Q53" s="74">
        <v>0</v>
      </c>
      <c r="R53" s="74">
        <v>207</v>
      </c>
      <c r="S53" s="74">
        <v>-207</v>
      </c>
    </row>
    <row r="54" spans="1:19" x14ac:dyDescent="0.2">
      <c r="A54" s="446" t="s">
        <v>2264</v>
      </c>
      <c r="B54" s="446" t="s">
        <v>3943</v>
      </c>
      <c r="C54" s="446" t="s">
        <v>984</v>
      </c>
      <c r="D54" s="446" t="s">
        <v>153</v>
      </c>
      <c r="E54" s="446" t="s">
        <v>421</v>
      </c>
      <c r="F54" s="298">
        <v>42618</v>
      </c>
      <c r="G54" s="74">
        <v>0</v>
      </c>
      <c r="H54" s="74">
        <v>0</v>
      </c>
      <c r="I54" s="74">
        <v>0</v>
      </c>
      <c r="J54" s="74">
        <v>0</v>
      </c>
      <c r="K54" s="74">
        <v>0</v>
      </c>
      <c r="L54" s="74">
        <v>0</v>
      </c>
      <c r="M54" s="74">
        <v>54</v>
      </c>
      <c r="N54" s="74">
        <v>0</v>
      </c>
      <c r="O54" s="74">
        <v>0</v>
      </c>
      <c r="P54" s="74">
        <v>0</v>
      </c>
      <c r="Q54" s="74">
        <v>0</v>
      </c>
      <c r="R54" s="74">
        <v>54</v>
      </c>
      <c r="S54" s="74">
        <v>-54</v>
      </c>
    </row>
    <row r="55" spans="1:19" x14ac:dyDescent="0.2">
      <c r="A55" s="446" t="s">
        <v>2127</v>
      </c>
      <c r="B55" s="446" t="s">
        <v>3946</v>
      </c>
      <c r="C55" s="446" t="s">
        <v>487</v>
      </c>
      <c r="D55" s="446" t="s">
        <v>153</v>
      </c>
      <c r="E55" s="446" t="s">
        <v>421</v>
      </c>
      <c r="F55" s="298">
        <v>42242</v>
      </c>
      <c r="G55" s="74">
        <v>0</v>
      </c>
      <c r="H55" s="74">
        <v>0</v>
      </c>
      <c r="I55" s="74">
        <v>0</v>
      </c>
      <c r="J55" s="74">
        <v>0</v>
      </c>
      <c r="K55" s="74">
        <v>0</v>
      </c>
      <c r="L55" s="74">
        <v>0</v>
      </c>
      <c r="M55" s="74">
        <v>92</v>
      </c>
      <c r="N55" s="74">
        <v>0</v>
      </c>
      <c r="O55" s="74">
        <v>0</v>
      </c>
      <c r="P55" s="74">
        <v>0</v>
      </c>
      <c r="Q55" s="74">
        <v>0</v>
      </c>
      <c r="R55" s="74">
        <v>92</v>
      </c>
      <c r="S55" s="74">
        <v>-92</v>
      </c>
    </row>
    <row r="56" spans="1:19" x14ac:dyDescent="0.2">
      <c r="A56" s="446" t="s">
        <v>2128</v>
      </c>
      <c r="B56" s="446" t="s">
        <v>3946</v>
      </c>
      <c r="C56" s="446" t="s">
        <v>504</v>
      </c>
      <c r="D56" s="446" t="s">
        <v>153</v>
      </c>
      <c r="E56" s="446" t="s">
        <v>421</v>
      </c>
      <c r="F56" s="298">
        <v>42321</v>
      </c>
      <c r="G56" s="74">
        <v>0</v>
      </c>
      <c r="H56" s="74">
        <v>0</v>
      </c>
      <c r="I56" s="74">
        <v>0</v>
      </c>
      <c r="J56" s="74">
        <v>0</v>
      </c>
      <c r="K56" s="74">
        <v>0</v>
      </c>
      <c r="L56" s="74">
        <v>0</v>
      </c>
      <c r="M56" s="74">
        <v>92</v>
      </c>
      <c r="N56" s="74">
        <v>0</v>
      </c>
      <c r="O56" s="74">
        <v>0</v>
      </c>
      <c r="P56" s="74">
        <v>0</v>
      </c>
      <c r="Q56" s="74">
        <v>0</v>
      </c>
      <c r="R56" s="74">
        <v>92</v>
      </c>
      <c r="S56" s="74">
        <v>-92</v>
      </c>
    </row>
    <row r="57" spans="1:19" x14ac:dyDescent="0.2">
      <c r="A57" s="446" t="s">
        <v>2116</v>
      </c>
      <c r="B57" s="446" t="s">
        <v>3946</v>
      </c>
      <c r="C57" s="446" t="s">
        <v>461</v>
      </c>
      <c r="D57" s="446" t="s">
        <v>153</v>
      </c>
      <c r="E57" s="446" t="s">
        <v>421</v>
      </c>
      <c r="F57" s="298">
        <v>42177</v>
      </c>
      <c r="G57" s="74">
        <v>0</v>
      </c>
      <c r="H57" s="74">
        <v>0</v>
      </c>
      <c r="I57" s="74">
        <v>0</v>
      </c>
      <c r="J57" s="74">
        <v>0</v>
      </c>
      <c r="K57" s="74">
        <v>0</v>
      </c>
      <c r="L57" s="74">
        <v>0</v>
      </c>
      <c r="M57" s="74">
        <v>75</v>
      </c>
      <c r="N57" s="74">
        <v>0</v>
      </c>
      <c r="O57" s="74">
        <v>0</v>
      </c>
      <c r="P57" s="74">
        <v>0</v>
      </c>
      <c r="Q57" s="74">
        <v>0</v>
      </c>
      <c r="R57" s="74">
        <v>75</v>
      </c>
      <c r="S57" s="74">
        <v>-75</v>
      </c>
    </row>
    <row r="58" spans="1:19" x14ac:dyDescent="0.2">
      <c r="A58" s="446" t="s">
        <v>2145</v>
      </c>
      <c r="B58" s="446" t="s">
        <v>3946</v>
      </c>
      <c r="C58" s="446" t="s">
        <v>553</v>
      </c>
      <c r="D58" s="446" t="s">
        <v>153</v>
      </c>
      <c r="E58" s="446" t="s">
        <v>421</v>
      </c>
      <c r="F58" s="298">
        <v>42360</v>
      </c>
      <c r="G58" s="74">
        <v>0</v>
      </c>
      <c r="H58" s="74">
        <v>0</v>
      </c>
      <c r="I58" s="74">
        <v>0</v>
      </c>
      <c r="J58" s="74">
        <v>0</v>
      </c>
      <c r="K58" s="74">
        <v>0</v>
      </c>
      <c r="L58" s="74">
        <v>0</v>
      </c>
      <c r="M58" s="74">
        <v>100</v>
      </c>
      <c r="N58" s="74">
        <v>0</v>
      </c>
      <c r="O58" s="74">
        <v>0</v>
      </c>
      <c r="P58" s="74">
        <v>0</v>
      </c>
      <c r="Q58" s="74">
        <v>0</v>
      </c>
      <c r="R58" s="74">
        <v>100</v>
      </c>
      <c r="S58" s="74">
        <v>-100</v>
      </c>
    </row>
    <row r="59" spans="1:19" x14ac:dyDescent="0.2">
      <c r="A59" s="446" t="s">
        <v>2058</v>
      </c>
      <c r="B59" s="446" t="s">
        <v>3946</v>
      </c>
      <c r="C59" s="446" t="s">
        <v>337</v>
      </c>
      <c r="D59" s="446" t="s">
        <v>153</v>
      </c>
      <c r="E59" s="446" t="s">
        <v>421</v>
      </c>
      <c r="F59" s="298">
        <v>41977</v>
      </c>
      <c r="G59" s="74">
        <v>0</v>
      </c>
      <c r="H59" s="74">
        <v>0</v>
      </c>
      <c r="I59" s="74">
        <v>0</v>
      </c>
      <c r="J59" s="74">
        <v>0</v>
      </c>
      <c r="K59" s="74">
        <v>0</v>
      </c>
      <c r="L59" s="74">
        <v>0</v>
      </c>
      <c r="M59" s="74">
        <v>110</v>
      </c>
      <c r="N59" s="74">
        <v>0</v>
      </c>
      <c r="O59" s="74">
        <v>0</v>
      </c>
      <c r="P59" s="74">
        <v>0</v>
      </c>
      <c r="Q59" s="74">
        <v>0</v>
      </c>
      <c r="R59" s="74">
        <v>110</v>
      </c>
      <c r="S59" s="74">
        <v>-110</v>
      </c>
    </row>
    <row r="60" spans="1:19" x14ac:dyDescent="0.2">
      <c r="A60" s="446" t="s">
        <v>2406</v>
      </c>
      <c r="B60" s="446" t="s">
        <v>3946</v>
      </c>
      <c r="C60" s="446" t="s">
        <v>2407</v>
      </c>
      <c r="D60" s="446" t="s">
        <v>153</v>
      </c>
      <c r="E60" s="446" t="s">
        <v>421</v>
      </c>
      <c r="F60" s="298">
        <v>43005</v>
      </c>
      <c r="G60" s="74">
        <v>0</v>
      </c>
      <c r="H60" s="74">
        <v>0</v>
      </c>
      <c r="I60" s="74">
        <v>0</v>
      </c>
      <c r="J60" s="74">
        <v>0</v>
      </c>
      <c r="K60" s="74">
        <v>0</v>
      </c>
      <c r="L60" s="74">
        <v>0</v>
      </c>
      <c r="M60" s="74">
        <v>833</v>
      </c>
      <c r="N60" s="74">
        <v>0</v>
      </c>
      <c r="O60" s="74">
        <v>0</v>
      </c>
      <c r="P60" s="74">
        <v>0</v>
      </c>
      <c r="Q60" s="74">
        <v>0</v>
      </c>
      <c r="R60" s="74">
        <v>833</v>
      </c>
      <c r="S60" s="74">
        <v>-833</v>
      </c>
    </row>
    <row r="61" spans="1:19" x14ac:dyDescent="0.2">
      <c r="A61" s="446" t="s">
        <v>2278</v>
      </c>
      <c r="B61" s="446" t="s">
        <v>3946</v>
      </c>
      <c r="C61" s="446" t="s">
        <v>990</v>
      </c>
      <c r="D61" s="446" t="s">
        <v>153</v>
      </c>
      <c r="E61" s="446" t="s">
        <v>421</v>
      </c>
      <c r="F61" s="298">
        <v>42629</v>
      </c>
      <c r="G61" s="74">
        <v>0</v>
      </c>
      <c r="H61" s="74">
        <v>0</v>
      </c>
      <c r="I61" s="74">
        <v>0</v>
      </c>
      <c r="J61" s="74">
        <v>0</v>
      </c>
      <c r="K61" s="74">
        <v>0</v>
      </c>
      <c r="L61" s="74">
        <v>0</v>
      </c>
      <c r="M61" s="74">
        <v>534</v>
      </c>
      <c r="N61" s="74">
        <v>0</v>
      </c>
      <c r="O61" s="74">
        <v>0</v>
      </c>
      <c r="P61" s="74">
        <v>0</v>
      </c>
      <c r="Q61" s="74">
        <v>0</v>
      </c>
      <c r="R61" s="74">
        <v>534</v>
      </c>
      <c r="S61" s="74">
        <v>-534</v>
      </c>
    </row>
    <row r="62" spans="1:19" x14ac:dyDescent="0.2">
      <c r="A62" s="446" t="s">
        <v>2081</v>
      </c>
      <c r="B62" s="446" t="s">
        <v>3943</v>
      </c>
      <c r="C62" s="446" t="s">
        <v>847</v>
      </c>
      <c r="D62" s="446" t="s">
        <v>153</v>
      </c>
      <c r="E62" s="446" t="s">
        <v>421</v>
      </c>
      <c r="F62" s="298">
        <v>42544</v>
      </c>
      <c r="G62" s="74">
        <v>0</v>
      </c>
      <c r="H62" s="74">
        <v>0</v>
      </c>
      <c r="I62" s="74">
        <v>0</v>
      </c>
      <c r="J62" s="74">
        <v>0</v>
      </c>
      <c r="K62" s="74">
        <v>0</v>
      </c>
      <c r="L62" s="74">
        <v>0</v>
      </c>
      <c r="M62" s="74">
        <v>287</v>
      </c>
      <c r="N62" s="74">
        <v>0</v>
      </c>
      <c r="O62" s="74">
        <v>0</v>
      </c>
      <c r="P62" s="74">
        <v>0</v>
      </c>
      <c r="Q62" s="74">
        <v>0</v>
      </c>
      <c r="R62" s="74">
        <v>287</v>
      </c>
      <c r="S62" s="74">
        <v>-287</v>
      </c>
    </row>
    <row r="63" spans="1:19" x14ac:dyDescent="0.2">
      <c r="A63" s="446" t="s">
        <v>2029</v>
      </c>
      <c r="B63" s="446" t="s">
        <v>3943</v>
      </c>
      <c r="C63" s="446" t="s">
        <v>2030</v>
      </c>
      <c r="D63" s="446" t="s">
        <v>153</v>
      </c>
      <c r="E63" s="446" t="s">
        <v>421</v>
      </c>
      <c r="F63" s="298">
        <v>42930</v>
      </c>
      <c r="G63" s="74">
        <v>0</v>
      </c>
      <c r="H63" s="74">
        <v>0</v>
      </c>
      <c r="I63" s="74">
        <v>0</v>
      </c>
      <c r="J63" s="74">
        <v>0</v>
      </c>
      <c r="K63" s="74">
        <v>0</v>
      </c>
      <c r="L63" s="74">
        <v>0</v>
      </c>
      <c r="M63" s="74">
        <v>264</v>
      </c>
      <c r="N63" s="74">
        <v>0</v>
      </c>
      <c r="O63" s="74">
        <v>0</v>
      </c>
      <c r="P63" s="74">
        <v>0</v>
      </c>
      <c r="Q63" s="74">
        <v>0</v>
      </c>
      <c r="R63" s="74">
        <v>264</v>
      </c>
      <c r="S63" s="74">
        <v>-264</v>
      </c>
    </row>
    <row r="64" spans="1:19" x14ac:dyDescent="0.2">
      <c r="A64" s="446" t="s">
        <v>2083</v>
      </c>
      <c r="B64" s="446" t="s">
        <v>3943</v>
      </c>
      <c r="C64" s="446" t="s">
        <v>855</v>
      </c>
      <c r="D64" s="446" t="s">
        <v>153</v>
      </c>
      <c r="E64" s="446" t="s">
        <v>421</v>
      </c>
      <c r="F64" s="298">
        <v>42543</v>
      </c>
      <c r="G64" s="74">
        <v>0</v>
      </c>
      <c r="H64" s="74">
        <v>0</v>
      </c>
      <c r="I64" s="74">
        <v>0</v>
      </c>
      <c r="J64" s="74">
        <v>0</v>
      </c>
      <c r="K64" s="74">
        <v>0</v>
      </c>
      <c r="L64" s="74">
        <v>0</v>
      </c>
      <c r="M64" s="74">
        <v>389</v>
      </c>
      <c r="N64" s="74">
        <v>0</v>
      </c>
      <c r="O64" s="74">
        <v>0</v>
      </c>
      <c r="P64" s="74">
        <v>0</v>
      </c>
      <c r="Q64" s="74">
        <v>0</v>
      </c>
      <c r="R64" s="74">
        <v>389</v>
      </c>
      <c r="S64" s="74">
        <v>-389</v>
      </c>
    </row>
    <row r="65" spans="1:19" x14ac:dyDescent="0.2">
      <c r="A65" s="446" t="s">
        <v>2225</v>
      </c>
      <c r="B65" s="446" t="s">
        <v>3943</v>
      </c>
      <c r="C65" s="446" t="s">
        <v>1022</v>
      </c>
      <c r="D65" s="446" t="s">
        <v>153</v>
      </c>
      <c r="E65" s="446" t="s">
        <v>421</v>
      </c>
      <c r="F65" s="298">
        <v>42656</v>
      </c>
      <c r="G65" s="74">
        <v>0</v>
      </c>
      <c r="H65" s="74">
        <v>0</v>
      </c>
      <c r="I65" s="74">
        <v>0</v>
      </c>
      <c r="J65" s="74">
        <v>0</v>
      </c>
      <c r="K65" s="74">
        <v>0</v>
      </c>
      <c r="L65" s="74">
        <v>0</v>
      </c>
      <c r="M65" s="74">
        <v>283</v>
      </c>
      <c r="N65" s="74">
        <v>0</v>
      </c>
      <c r="O65" s="74">
        <v>0</v>
      </c>
      <c r="P65" s="74">
        <v>0</v>
      </c>
      <c r="Q65" s="74">
        <v>0</v>
      </c>
      <c r="R65" s="74">
        <v>283</v>
      </c>
      <c r="S65" s="74">
        <v>-283</v>
      </c>
    </row>
    <row r="66" spans="1:19" x14ac:dyDescent="0.2">
      <c r="A66" s="446" t="s">
        <v>95</v>
      </c>
      <c r="G66" s="74">
        <v>0</v>
      </c>
      <c r="H66" s="74">
        <v>0</v>
      </c>
      <c r="I66" s="74">
        <v>0</v>
      </c>
      <c r="J66" s="74">
        <v>0</v>
      </c>
      <c r="K66" s="74">
        <v>0</v>
      </c>
      <c r="L66" s="74">
        <v>0</v>
      </c>
      <c r="M66" s="74">
        <v>20989</v>
      </c>
      <c r="N66" s="74">
        <v>0</v>
      </c>
      <c r="O66" s="74">
        <v>0</v>
      </c>
      <c r="P66" s="74">
        <v>1261</v>
      </c>
      <c r="Q66" s="74">
        <v>1279</v>
      </c>
      <c r="R66" s="74">
        <v>23529</v>
      </c>
      <c r="S66" s="74">
        <v>-23529</v>
      </c>
    </row>
  </sheetData>
  <conditionalFormatting sqref="D1:D1048576">
    <cfRule type="cellIs" dxfId="64"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S19"/>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0.85546875" style="305" customWidth="1"/>
    <col min="6" max="6" width="8.85546875" style="335" customWidth="1"/>
    <col min="7" max="7" width="6.7109375" style="309" customWidth="1"/>
    <col min="8" max="11" width="6.28515625" style="309" customWidth="1"/>
    <col min="12" max="12" width="6.7109375" style="317" customWidth="1"/>
    <col min="13" max="13" width="6.7109375" style="309" customWidth="1"/>
    <col min="14" max="17" width="6.28515625" style="309" customWidth="1"/>
    <col min="18" max="18" width="6.7109375" style="317" customWidth="1"/>
    <col min="19" max="19" width="6.7109375" style="309" customWidth="1"/>
    <col min="20" max="16384" width="9.140625" style="301"/>
  </cols>
  <sheetData>
    <row r="1" spans="1:19" ht="15.75" x14ac:dyDescent="0.2">
      <c r="A1" s="336" t="s">
        <v>3937</v>
      </c>
      <c r="B1" s="337"/>
      <c r="C1" s="338"/>
      <c r="D1" s="337"/>
      <c r="E1" s="339"/>
      <c r="F1" s="348"/>
      <c r="G1" s="340"/>
      <c r="H1" s="340"/>
      <c r="I1" s="340"/>
      <c r="J1" s="340"/>
      <c r="K1" s="340"/>
      <c r="L1" s="340"/>
      <c r="M1" s="340"/>
      <c r="N1" s="340"/>
      <c r="O1" s="340"/>
      <c r="P1" s="340"/>
      <c r="Q1" s="340"/>
      <c r="R1" s="340"/>
      <c r="S1" s="340"/>
    </row>
    <row r="2" spans="1:19" ht="12" customHeight="1" x14ac:dyDescent="0.2">
      <c r="A2" s="341" t="s">
        <v>3890</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26" t="s">
        <v>185</v>
      </c>
      <c r="B4" s="828" t="s">
        <v>3938</v>
      </c>
      <c r="C4" s="827" t="s">
        <v>2848</v>
      </c>
      <c r="D4" s="828" t="s">
        <v>3973</v>
      </c>
      <c r="E4" s="826" t="s">
        <v>3970</v>
      </c>
      <c r="F4" s="837"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28"/>
      <c r="E5" s="826"/>
      <c r="F5" s="837"/>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28"/>
      <c r="E6" s="826"/>
      <c r="F6" s="837"/>
      <c r="G6" s="304" t="s">
        <v>97</v>
      </c>
      <c r="H6" s="304" t="s">
        <v>98</v>
      </c>
      <c r="I6" s="304" t="s">
        <v>99</v>
      </c>
      <c r="J6" s="304" t="s">
        <v>100</v>
      </c>
      <c r="K6" s="304" t="s">
        <v>101</v>
      </c>
      <c r="L6" s="537" t="s">
        <v>95</v>
      </c>
      <c r="M6" s="304" t="s">
        <v>97</v>
      </c>
      <c r="N6" s="304" t="s">
        <v>98</v>
      </c>
      <c r="O6" s="304" t="s">
        <v>99</v>
      </c>
      <c r="P6" s="304" t="s">
        <v>100</v>
      </c>
      <c r="Q6" s="304" t="s">
        <v>101</v>
      </c>
      <c r="R6" s="537" t="s">
        <v>95</v>
      </c>
      <c r="S6" s="835"/>
    </row>
    <row r="7" spans="1:19" ht="22.5" x14ac:dyDescent="0.2">
      <c r="A7" s="344" t="s">
        <v>2669</v>
      </c>
      <c r="B7" s="342" t="s">
        <v>3947</v>
      </c>
      <c r="C7" s="343" t="s">
        <v>2670</v>
      </c>
      <c r="D7" s="342" t="s">
        <v>153</v>
      </c>
      <c r="E7" s="344" t="s">
        <v>3974</v>
      </c>
      <c r="F7" s="345" t="s">
        <v>153</v>
      </c>
      <c r="G7" s="346">
        <v>3050</v>
      </c>
      <c r="H7" s="346">
        <v>0</v>
      </c>
      <c r="I7" s="346">
        <v>594</v>
      </c>
      <c r="J7" s="346">
        <v>0</v>
      </c>
      <c r="K7" s="346">
        <v>0</v>
      </c>
      <c r="L7" s="347">
        <v>3644</v>
      </c>
      <c r="M7" s="346">
        <v>0</v>
      </c>
      <c r="N7" s="346">
        <v>0</v>
      </c>
      <c r="O7" s="346">
        <v>410</v>
      </c>
      <c r="P7" s="346">
        <v>0</v>
      </c>
      <c r="Q7" s="346">
        <v>0</v>
      </c>
      <c r="R7" s="347">
        <v>410</v>
      </c>
      <c r="S7" s="346">
        <v>3234</v>
      </c>
    </row>
    <row r="8" spans="1:19" ht="33.75" x14ac:dyDescent="0.2">
      <c r="A8" s="305" t="s">
        <v>1388</v>
      </c>
      <c r="B8" s="306" t="s">
        <v>3947</v>
      </c>
      <c r="C8" s="307" t="s">
        <v>576</v>
      </c>
      <c r="D8" s="306" t="s">
        <v>153</v>
      </c>
      <c r="E8" s="305" t="s">
        <v>3974</v>
      </c>
      <c r="F8" s="335" t="s">
        <v>153</v>
      </c>
      <c r="G8" s="309">
        <v>1104</v>
      </c>
      <c r="H8" s="309">
        <v>0</v>
      </c>
      <c r="I8" s="309">
        <v>0</v>
      </c>
      <c r="J8" s="309">
        <v>0</v>
      </c>
      <c r="K8" s="309">
        <v>0</v>
      </c>
      <c r="L8" s="317">
        <v>1104</v>
      </c>
      <c r="M8" s="309">
        <v>0</v>
      </c>
      <c r="N8" s="309">
        <v>0</v>
      </c>
      <c r="O8" s="309">
        <v>0</v>
      </c>
      <c r="P8" s="309">
        <v>0</v>
      </c>
      <c r="Q8" s="309">
        <v>0</v>
      </c>
      <c r="R8" s="317">
        <v>0</v>
      </c>
      <c r="S8" s="309">
        <v>1104</v>
      </c>
    </row>
    <row r="9" spans="1:19" ht="22.5" x14ac:dyDescent="0.2">
      <c r="A9" s="305" t="s">
        <v>2651</v>
      </c>
      <c r="B9" s="306" t="s">
        <v>3947</v>
      </c>
      <c r="C9" s="307" t="s">
        <v>2652</v>
      </c>
      <c r="D9" s="306" t="s">
        <v>153</v>
      </c>
      <c r="E9" s="305" t="s">
        <v>3974</v>
      </c>
      <c r="F9" s="335" t="s">
        <v>153</v>
      </c>
      <c r="G9" s="309">
        <v>7668</v>
      </c>
      <c r="H9" s="309">
        <v>0</v>
      </c>
      <c r="I9" s="309">
        <v>1956</v>
      </c>
      <c r="J9" s="309">
        <v>0</v>
      </c>
      <c r="K9" s="309">
        <v>0</v>
      </c>
      <c r="L9" s="317">
        <v>9624</v>
      </c>
      <c r="M9" s="309">
        <v>598</v>
      </c>
      <c r="N9" s="309">
        <v>0</v>
      </c>
      <c r="O9" s="309">
        <v>407</v>
      </c>
      <c r="P9" s="309">
        <v>0</v>
      </c>
      <c r="Q9" s="309">
        <v>0</v>
      </c>
      <c r="R9" s="317">
        <v>1005</v>
      </c>
      <c r="S9" s="309">
        <v>8619</v>
      </c>
    </row>
    <row r="10" spans="1:19" ht="22.5" x14ac:dyDescent="0.2">
      <c r="A10" s="305" t="s">
        <v>2193</v>
      </c>
      <c r="B10" s="306" t="s">
        <v>2907</v>
      </c>
      <c r="C10" s="307" t="s">
        <v>1036</v>
      </c>
      <c r="D10" s="306" t="s">
        <v>153</v>
      </c>
      <c r="E10" s="305" t="s">
        <v>3974</v>
      </c>
      <c r="F10" s="335" t="s">
        <v>153</v>
      </c>
      <c r="G10" s="309">
        <v>0</v>
      </c>
      <c r="H10" s="309">
        <v>0</v>
      </c>
      <c r="I10" s="309">
        <v>0</v>
      </c>
      <c r="J10" s="309">
        <v>0</v>
      </c>
      <c r="K10" s="309">
        <v>0</v>
      </c>
      <c r="L10" s="317">
        <v>0</v>
      </c>
      <c r="M10" s="309">
        <v>0</v>
      </c>
      <c r="N10" s="309">
        <v>0</v>
      </c>
      <c r="O10" s="309">
        <v>323</v>
      </c>
      <c r="P10" s="309">
        <v>0</v>
      </c>
      <c r="Q10" s="309">
        <v>0</v>
      </c>
      <c r="R10" s="317">
        <v>323</v>
      </c>
      <c r="S10" s="309">
        <v>-323</v>
      </c>
    </row>
    <row r="11" spans="1:19" ht="22.5" x14ac:dyDescent="0.2">
      <c r="A11" s="305" t="s">
        <v>2365</v>
      </c>
      <c r="B11" s="306" t="s">
        <v>3947</v>
      </c>
      <c r="C11" s="307" t="s">
        <v>1094</v>
      </c>
      <c r="D11" s="306" t="s">
        <v>153</v>
      </c>
      <c r="E11" s="305" t="s">
        <v>3974</v>
      </c>
      <c r="F11" s="335" t="s">
        <v>153</v>
      </c>
      <c r="G11" s="309">
        <v>114</v>
      </c>
      <c r="H11" s="309">
        <v>0</v>
      </c>
      <c r="I11" s="309">
        <v>0</v>
      </c>
      <c r="J11" s="309">
        <v>0</v>
      </c>
      <c r="K11" s="309">
        <v>0</v>
      </c>
      <c r="L11" s="317">
        <v>114</v>
      </c>
      <c r="M11" s="309">
        <v>0</v>
      </c>
      <c r="N11" s="309">
        <v>0</v>
      </c>
      <c r="O11" s="309">
        <v>0</v>
      </c>
      <c r="P11" s="309">
        <v>0</v>
      </c>
      <c r="Q11" s="309">
        <v>0</v>
      </c>
      <c r="R11" s="317">
        <v>0</v>
      </c>
      <c r="S11" s="309">
        <v>114</v>
      </c>
    </row>
    <row r="12" spans="1:19" ht="22.5" x14ac:dyDescent="0.2">
      <c r="A12" s="305" t="s">
        <v>1717</v>
      </c>
      <c r="B12" s="306" t="s">
        <v>3944</v>
      </c>
      <c r="C12" s="307" t="s">
        <v>1244</v>
      </c>
      <c r="D12" s="306" t="s">
        <v>153</v>
      </c>
      <c r="E12" s="305" t="s">
        <v>3974</v>
      </c>
      <c r="F12" s="335" t="s">
        <v>153</v>
      </c>
      <c r="G12" s="309">
        <v>5647</v>
      </c>
      <c r="H12" s="309">
        <v>0</v>
      </c>
      <c r="I12" s="309">
        <v>0</v>
      </c>
      <c r="J12" s="309">
        <v>0</v>
      </c>
      <c r="K12" s="309">
        <v>0</v>
      </c>
      <c r="L12" s="317">
        <v>5647</v>
      </c>
      <c r="M12" s="309">
        <v>0</v>
      </c>
      <c r="N12" s="309">
        <v>0</v>
      </c>
      <c r="O12" s="309">
        <v>0</v>
      </c>
      <c r="P12" s="309">
        <v>0</v>
      </c>
      <c r="Q12" s="309">
        <v>0</v>
      </c>
      <c r="R12" s="317">
        <v>0</v>
      </c>
      <c r="S12" s="309">
        <v>5647</v>
      </c>
    </row>
    <row r="13" spans="1:19" ht="22.5" x14ac:dyDescent="0.2">
      <c r="A13" s="305" t="s">
        <v>1792</v>
      </c>
      <c r="B13" s="306" t="s">
        <v>3943</v>
      </c>
      <c r="C13" s="307" t="s">
        <v>1257</v>
      </c>
      <c r="D13" s="306" t="s">
        <v>153</v>
      </c>
      <c r="E13" s="305" t="s">
        <v>3974</v>
      </c>
      <c r="F13" s="335" t="s">
        <v>153</v>
      </c>
      <c r="G13" s="309">
        <v>7649</v>
      </c>
      <c r="H13" s="309">
        <v>0</v>
      </c>
      <c r="I13" s="309">
        <v>0</v>
      </c>
      <c r="J13" s="309">
        <v>0</v>
      </c>
      <c r="K13" s="309">
        <v>0</v>
      </c>
      <c r="L13" s="317">
        <v>7649</v>
      </c>
      <c r="M13" s="309">
        <v>615</v>
      </c>
      <c r="N13" s="309">
        <v>0</v>
      </c>
      <c r="O13" s="309">
        <v>0</v>
      </c>
      <c r="P13" s="309">
        <v>0</v>
      </c>
      <c r="Q13" s="309">
        <v>0</v>
      </c>
      <c r="R13" s="317">
        <v>615</v>
      </c>
      <c r="S13" s="309">
        <v>7034</v>
      </c>
    </row>
    <row r="14" spans="1:19" ht="22.5" x14ac:dyDescent="0.2">
      <c r="A14" s="305" t="s">
        <v>1721</v>
      </c>
      <c r="B14" s="306" t="s">
        <v>3944</v>
      </c>
      <c r="C14" s="307" t="s">
        <v>1198</v>
      </c>
      <c r="D14" s="306" t="s">
        <v>153</v>
      </c>
      <c r="E14" s="305" t="s">
        <v>3974</v>
      </c>
      <c r="F14" s="335" t="s">
        <v>153</v>
      </c>
      <c r="G14" s="309">
        <v>824</v>
      </c>
      <c r="H14" s="309">
        <v>0</v>
      </c>
      <c r="I14" s="309">
        <v>0</v>
      </c>
      <c r="J14" s="309">
        <v>0</v>
      </c>
      <c r="K14" s="309">
        <v>0</v>
      </c>
      <c r="L14" s="317">
        <v>824</v>
      </c>
      <c r="M14" s="309">
        <v>0</v>
      </c>
      <c r="N14" s="309">
        <v>0</v>
      </c>
      <c r="O14" s="309">
        <v>0</v>
      </c>
      <c r="P14" s="309">
        <v>0</v>
      </c>
      <c r="Q14" s="309">
        <v>0</v>
      </c>
      <c r="R14" s="317">
        <v>0</v>
      </c>
      <c r="S14" s="309">
        <v>824</v>
      </c>
    </row>
    <row r="15" spans="1:19" ht="45" x14ac:dyDescent="0.2">
      <c r="A15" s="305" t="s">
        <v>2666</v>
      </c>
      <c r="B15" s="306" t="s">
        <v>3948</v>
      </c>
      <c r="C15" s="307" t="s">
        <v>2667</v>
      </c>
      <c r="D15" s="306" t="s">
        <v>153</v>
      </c>
      <c r="E15" s="305" t="s">
        <v>3974</v>
      </c>
      <c r="F15" s="335" t="s">
        <v>153</v>
      </c>
      <c r="G15" s="309">
        <v>109</v>
      </c>
      <c r="H15" s="309">
        <v>0</v>
      </c>
      <c r="I15" s="309">
        <v>0</v>
      </c>
      <c r="J15" s="309">
        <v>0</v>
      </c>
      <c r="K15" s="309">
        <v>0</v>
      </c>
      <c r="L15" s="317">
        <v>109</v>
      </c>
      <c r="M15" s="309">
        <v>0</v>
      </c>
      <c r="N15" s="309">
        <v>0</v>
      </c>
      <c r="O15" s="309">
        <v>0</v>
      </c>
      <c r="P15" s="309">
        <v>0</v>
      </c>
      <c r="Q15" s="309">
        <v>0</v>
      </c>
      <c r="R15" s="317">
        <v>0</v>
      </c>
      <c r="S15" s="309">
        <v>109</v>
      </c>
    </row>
    <row r="16" spans="1:19" ht="22.5" x14ac:dyDescent="0.2">
      <c r="A16" s="305" t="s">
        <v>2352</v>
      </c>
      <c r="B16" s="306" t="s">
        <v>3947</v>
      </c>
      <c r="C16" s="307" t="s">
        <v>1060</v>
      </c>
      <c r="D16" s="306" t="s">
        <v>153</v>
      </c>
      <c r="E16" s="305" t="s">
        <v>3974</v>
      </c>
      <c r="F16" s="335" t="s">
        <v>153</v>
      </c>
      <c r="G16" s="309">
        <v>5138</v>
      </c>
      <c r="H16" s="309">
        <v>0</v>
      </c>
      <c r="I16" s="309">
        <v>0</v>
      </c>
      <c r="J16" s="309">
        <v>0</v>
      </c>
      <c r="K16" s="309">
        <v>0</v>
      </c>
      <c r="L16" s="317">
        <v>5138</v>
      </c>
      <c r="M16" s="309">
        <v>2880</v>
      </c>
      <c r="N16" s="309">
        <v>0</v>
      </c>
      <c r="O16" s="309">
        <v>0</v>
      </c>
      <c r="P16" s="309">
        <v>0</v>
      </c>
      <c r="Q16" s="309">
        <v>0</v>
      </c>
      <c r="R16" s="317">
        <v>2880</v>
      </c>
      <c r="S16" s="309">
        <v>2258</v>
      </c>
    </row>
    <row r="17" spans="1:19" ht="33.75" x14ac:dyDescent="0.2">
      <c r="A17" s="305" t="s">
        <v>2368</v>
      </c>
      <c r="B17" s="306" t="s">
        <v>3943</v>
      </c>
      <c r="C17" s="307" t="s">
        <v>1070</v>
      </c>
      <c r="D17" s="306" t="s">
        <v>153</v>
      </c>
      <c r="E17" s="305" t="s">
        <v>3974</v>
      </c>
      <c r="F17" s="335" t="s">
        <v>153</v>
      </c>
      <c r="G17" s="309">
        <v>3890</v>
      </c>
      <c r="H17" s="309">
        <v>0</v>
      </c>
      <c r="I17" s="309">
        <v>0</v>
      </c>
      <c r="J17" s="309">
        <v>0</v>
      </c>
      <c r="K17" s="309">
        <v>0</v>
      </c>
      <c r="L17" s="317">
        <v>3890</v>
      </c>
      <c r="M17" s="309">
        <v>5025</v>
      </c>
      <c r="N17" s="309">
        <v>0</v>
      </c>
      <c r="O17" s="309">
        <v>0</v>
      </c>
      <c r="P17" s="309">
        <v>0</v>
      </c>
      <c r="Q17" s="309">
        <v>0</v>
      </c>
      <c r="R17" s="317">
        <v>5025</v>
      </c>
      <c r="S17" s="309">
        <v>-1135</v>
      </c>
    </row>
    <row r="18" spans="1:19" ht="22.5" x14ac:dyDescent="0.2">
      <c r="A18" s="305" t="s">
        <v>1856</v>
      </c>
      <c r="B18" s="306" t="s">
        <v>3949</v>
      </c>
      <c r="C18" s="307" t="s">
        <v>575</v>
      </c>
      <c r="D18" s="306" t="s">
        <v>153</v>
      </c>
      <c r="E18" s="305" t="s">
        <v>3974</v>
      </c>
      <c r="F18" s="335" t="s">
        <v>153</v>
      </c>
      <c r="G18" s="309">
        <v>987</v>
      </c>
      <c r="H18" s="309">
        <v>0</v>
      </c>
      <c r="I18" s="309">
        <v>0</v>
      </c>
      <c r="J18" s="309">
        <v>0</v>
      </c>
      <c r="K18" s="309">
        <v>0</v>
      </c>
      <c r="L18" s="317">
        <v>987</v>
      </c>
      <c r="M18" s="309">
        <v>242</v>
      </c>
      <c r="N18" s="309">
        <v>0</v>
      </c>
      <c r="O18" s="309">
        <v>0</v>
      </c>
      <c r="P18" s="309">
        <v>0</v>
      </c>
      <c r="Q18" s="309">
        <v>0</v>
      </c>
      <c r="R18" s="317">
        <v>242</v>
      </c>
      <c r="S18" s="309">
        <v>745</v>
      </c>
    </row>
    <row r="19" spans="1:19" x14ac:dyDescent="0.2">
      <c r="A19" s="328" t="s">
        <v>95</v>
      </c>
      <c r="B19" s="329"/>
      <c r="C19" s="330"/>
      <c r="D19" s="329"/>
      <c r="E19" s="328"/>
      <c r="F19" s="349"/>
      <c r="G19" s="333">
        <v>36180</v>
      </c>
      <c r="H19" s="333">
        <v>0</v>
      </c>
      <c r="I19" s="333">
        <v>2550</v>
      </c>
      <c r="J19" s="333">
        <v>0</v>
      </c>
      <c r="K19" s="333">
        <v>0</v>
      </c>
      <c r="L19" s="334">
        <v>38730</v>
      </c>
      <c r="M19" s="333">
        <v>9360</v>
      </c>
      <c r="N19" s="333">
        <v>0</v>
      </c>
      <c r="O19" s="333">
        <v>1140</v>
      </c>
      <c r="P19" s="333">
        <v>0</v>
      </c>
      <c r="Q19" s="333">
        <v>0</v>
      </c>
      <c r="R19" s="334">
        <v>10500</v>
      </c>
      <c r="S19" s="333">
        <v>28230</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62" priority="2" operator="equal">
      <formula>"(blank)"</formula>
    </cfRule>
  </conditionalFormatting>
  <conditionalFormatting sqref="F1:F1048576">
    <cfRule type="cellIs" dxfId="61"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F65"/>
  <sheetViews>
    <sheetView workbookViewId="0">
      <selection sqref="A1:L1"/>
    </sheetView>
  </sheetViews>
  <sheetFormatPr defaultRowHeight="12" x14ac:dyDescent="0.2"/>
  <cols>
    <col min="1" max="1" width="8" style="12" customWidth="1"/>
    <col min="2" max="2" width="10" style="4" customWidth="1"/>
    <col min="3" max="3" width="10.7109375" style="4" customWidth="1"/>
    <col min="4" max="4" width="10" style="4" customWidth="1"/>
    <col min="5" max="5" width="10.7109375" style="4" customWidth="1"/>
    <col min="6" max="6" width="10" style="4" customWidth="1"/>
    <col min="7" max="7" width="10.7109375" style="4" customWidth="1"/>
    <col min="8" max="8" width="10" style="4" customWidth="1"/>
    <col min="9" max="9" width="10.7109375" style="4" customWidth="1"/>
    <col min="10" max="10" width="10" style="4" customWidth="1"/>
    <col min="11" max="12" width="10.7109375" style="4" customWidth="1"/>
    <col min="13" max="13" width="9.140625" style="4"/>
    <col min="14" max="14" width="9.140625" style="5"/>
    <col min="15" max="16384" width="9.140625" style="4"/>
  </cols>
  <sheetData>
    <row r="1" spans="1:32" ht="15.75" x14ac:dyDescent="0.25">
      <c r="A1" s="606" t="s">
        <v>423</v>
      </c>
      <c r="B1" s="606"/>
      <c r="C1" s="606"/>
      <c r="D1" s="606"/>
      <c r="E1" s="606"/>
      <c r="F1" s="606"/>
      <c r="G1" s="606"/>
      <c r="H1" s="606"/>
      <c r="I1" s="606"/>
      <c r="J1" s="606"/>
      <c r="K1" s="606"/>
      <c r="L1" s="606"/>
      <c r="AF1" s="10"/>
    </row>
    <row r="2" spans="1:32" ht="12.75" x14ac:dyDescent="0.2">
      <c r="A2" s="649" t="s">
        <v>3870</v>
      </c>
      <c r="B2" s="649"/>
      <c r="C2" s="649"/>
      <c r="D2" s="649"/>
      <c r="E2" s="649"/>
      <c r="F2" s="649"/>
      <c r="G2" s="649"/>
      <c r="H2" s="649"/>
      <c r="I2" s="649"/>
      <c r="J2" s="649"/>
      <c r="K2" s="649"/>
      <c r="L2" s="649"/>
    </row>
    <row r="3" spans="1:32" x14ac:dyDescent="0.2">
      <c r="A3" s="639"/>
      <c r="B3" s="639"/>
      <c r="C3" s="639"/>
      <c r="D3" s="639"/>
      <c r="E3" s="639"/>
      <c r="F3" s="639"/>
      <c r="G3" s="639"/>
      <c r="H3" s="639"/>
      <c r="I3" s="639"/>
      <c r="J3" s="639"/>
      <c r="K3" s="639"/>
      <c r="L3" s="639"/>
    </row>
    <row r="4" spans="1:32" ht="12" customHeight="1" x14ac:dyDescent="0.2">
      <c r="A4" s="583" t="s">
        <v>104</v>
      </c>
      <c r="B4" s="633" t="s">
        <v>2988</v>
      </c>
      <c r="C4" s="634"/>
      <c r="D4" s="633" t="s">
        <v>100</v>
      </c>
      <c r="E4" s="641"/>
      <c r="F4" s="633" t="s">
        <v>101</v>
      </c>
      <c r="G4" s="634"/>
      <c r="H4" s="642" t="s">
        <v>95</v>
      </c>
      <c r="I4" s="643"/>
      <c r="J4" s="643"/>
      <c r="K4" s="643"/>
      <c r="L4" s="643"/>
    </row>
    <row r="5" spans="1:32" ht="24" customHeight="1" x14ac:dyDescent="0.2">
      <c r="A5" s="584"/>
      <c r="B5" s="594" t="s">
        <v>2990</v>
      </c>
      <c r="C5" s="594"/>
      <c r="D5" s="594" t="s">
        <v>2986</v>
      </c>
      <c r="E5" s="625"/>
      <c r="F5" s="594" t="s">
        <v>2987</v>
      </c>
      <c r="G5" s="594"/>
      <c r="H5" s="647" t="s">
        <v>90</v>
      </c>
      <c r="I5" s="648"/>
      <c r="J5" s="646" t="s">
        <v>91</v>
      </c>
      <c r="K5" s="646"/>
      <c r="L5" s="644" t="s">
        <v>2989</v>
      </c>
    </row>
    <row r="6" spans="1:32" ht="24" customHeight="1" x14ac:dyDescent="0.2">
      <c r="A6" s="585"/>
      <c r="B6" s="156" t="s">
        <v>2970</v>
      </c>
      <c r="C6" s="157" t="s">
        <v>168</v>
      </c>
      <c r="D6" s="85" t="s">
        <v>2970</v>
      </c>
      <c r="E6" s="86" t="s">
        <v>168</v>
      </c>
      <c r="F6" s="89" t="s">
        <v>2970</v>
      </c>
      <c r="G6" s="86" t="s">
        <v>168</v>
      </c>
      <c r="H6" s="449" t="s">
        <v>2970</v>
      </c>
      <c r="I6" s="459" t="s">
        <v>168</v>
      </c>
      <c r="J6" s="449" t="s">
        <v>2970</v>
      </c>
      <c r="K6" s="459" t="s">
        <v>168</v>
      </c>
      <c r="L6" s="645"/>
    </row>
    <row r="7" spans="1:32" s="6" customFormat="1" ht="12" customHeight="1" x14ac:dyDescent="0.2">
      <c r="A7" s="427" t="s">
        <v>141</v>
      </c>
      <c r="B7" s="104">
        <v>17</v>
      </c>
      <c r="C7" s="105">
        <v>11542</v>
      </c>
      <c r="D7" s="104">
        <v>0</v>
      </c>
      <c r="E7" s="105">
        <v>0</v>
      </c>
      <c r="F7" s="104">
        <v>1</v>
      </c>
      <c r="G7" s="105">
        <v>41</v>
      </c>
      <c r="H7" s="369">
        <v>18</v>
      </c>
      <c r="I7" s="370">
        <v>11583</v>
      </c>
      <c r="J7" s="369">
        <v>37</v>
      </c>
      <c r="K7" s="370">
        <v>9816</v>
      </c>
      <c r="L7" s="460">
        <f t="shared" ref="L7:L15" si="0">I7-K7</f>
        <v>1767</v>
      </c>
      <c r="N7" s="5"/>
    </row>
    <row r="8" spans="1:32" s="6" customFormat="1" ht="12" customHeight="1" x14ac:dyDescent="0.2">
      <c r="A8" s="428" t="s">
        <v>142</v>
      </c>
      <c r="B8" s="107">
        <v>26</v>
      </c>
      <c r="C8" s="108">
        <v>12912</v>
      </c>
      <c r="D8" s="107">
        <v>1</v>
      </c>
      <c r="E8" s="108">
        <v>317</v>
      </c>
      <c r="F8" s="107">
        <v>3</v>
      </c>
      <c r="G8" s="108">
        <v>253</v>
      </c>
      <c r="H8" s="107">
        <v>29</v>
      </c>
      <c r="I8" s="108">
        <v>13482</v>
      </c>
      <c r="J8" s="107">
        <v>53</v>
      </c>
      <c r="K8" s="108">
        <v>25333</v>
      </c>
      <c r="L8" s="461">
        <f t="shared" si="0"/>
        <v>-11851</v>
      </c>
      <c r="N8" s="5"/>
    </row>
    <row r="9" spans="1:32" s="6" customFormat="1" ht="12" customHeight="1" x14ac:dyDescent="0.2">
      <c r="A9" s="428" t="s">
        <v>143</v>
      </c>
      <c r="B9" s="107">
        <v>23</v>
      </c>
      <c r="C9" s="108">
        <v>10333</v>
      </c>
      <c r="D9" s="107">
        <v>3</v>
      </c>
      <c r="E9" s="108">
        <v>468</v>
      </c>
      <c r="F9" s="107">
        <v>4</v>
      </c>
      <c r="G9" s="108">
        <v>9385</v>
      </c>
      <c r="H9" s="107">
        <v>28</v>
      </c>
      <c r="I9" s="108">
        <v>20186</v>
      </c>
      <c r="J9" s="107">
        <v>46</v>
      </c>
      <c r="K9" s="108">
        <v>27769</v>
      </c>
      <c r="L9" s="461">
        <f t="shared" si="0"/>
        <v>-7583</v>
      </c>
      <c r="N9" s="5"/>
    </row>
    <row r="10" spans="1:32" s="6" customFormat="1" ht="12" customHeight="1" x14ac:dyDescent="0.2">
      <c r="A10" s="428" t="s">
        <v>144</v>
      </c>
      <c r="B10" s="107">
        <v>22</v>
      </c>
      <c r="C10" s="108">
        <v>12862</v>
      </c>
      <c r="D10" s="107">
        <v>2</v>
      </c>
      <c r="E10" s="108">
        <v>823</v>
      </c>
      <c r="F10" s="107">
        <v>2</v>
      </c>
      <c r="G10" s="108">
        <v>1259</v>
      </c>
      <c r="H10" s="107">
        <v>23</v>
      </c>
      <c r="I10" s="108">
        <v>14944</v>
      </c>
      <c r="J10" s="107">
        <v>50</v>
      </c>
      <c r="K10" s="108">
        <v>21124</v>
      </c>
      <c r="L10" s="461">
        <f t="shared" si="0"/>
        <v>-6180</v>
      </c>
      <c r="N10" s="5"/>
    </row>
    <row r="11" spans="1:32" s="6" customFormat="1" ht="12" customHeight="1" x14ac:dyDescent="0.2">
      <c r="A11" s="428" t="s">
        <v>145</v>
      </c>
      <c r="B11" s="107">
        <v>11</v>
      </c>
      <c r="C11" s="108">
        <v>3626</v>
      </c>
      <c r="D11" s="107">
        <v>3</v>
      </c>
      <c r="E11" s="108">
        <v>924</v>
      </c>
      <c r="F11" s="107">
        <v>1</v>
      </c>
      <c r="G11" s="108">
        <v>12098</v>
      </c>
      <c r="H11" s="107">
        <v>13</v>
      </c>
      <c r="I11" s="108">
        <v>16648</v>
      </c>
      <c r="J11" s="107">
        <v>35</v>
      </c>
      <c r="K11" s="108">
        <v>18298</v>
      </c>
      <c r="L11" s="461">
        <f t="shared" si="0"/>
        <v>-1650</v>
      </c>
      <c r="N11" s="5"/>
    </row>
    <row r="12" spans="1:32" s="6" customFormat="1" ht="12" customHeight="1" x14ac:dyDescent="0.2">
      <c r="A12" s="428" t="s">
        <v>146</v>
      </c>
      <c r="B12" s="107">
        <v>17</v>
      </c>
      <c r="C12" s="108">
        <v>7095</v>
      </c>
      <c r="D12" s="107">
        <v>2</v>
      </c>
      <c r="E12" s="108">
        <v>4274</v>
      </c>
      <c r="F12" s="107">
        <v>3</v>
      </c>
      <c r="G12" s="108">
        <v>548</v>
      </c>
      <c r="H12" s="107">
        <v>20</v>
      </c>
      <c r="I12" s="108">
        <v>11917</v>
      </c>
      <c r="J12" s="107">
        <v>43</v>
      </c>
      <c r="K12" s="108">
        <v>15252</v>
      </c>
      <c r="L12" s="461">
        <f t="shared" si="0"/>
        <v>-3335</v>
      </c>
      <c r="N12" s="5"/>
    </row>
    <row r="13" spans="1:32" s="6" customFormat="1" ht="12" customHeight="1" x14ac:dyDescent="0.2">
      <c r="A13" s="428" t="s">
        <v>147</v>
      </c>
      <c r="B13" s="107">
        <v>18</v>
      </c>
      <c r="C13" s="108">
        <v>7319</v>
      </c>
      <c r="D13" s="107">
        <v>1</v>
      </c>
      <c r="E13" s="108">
        <v>140</v>
      </c>
      <c r="F13" s="107">
        <v>1</v>
      </c>
      <c r="G13" s="108">
        <v>2741</v>
      </c>
      <c r="H13" s="107">
        <v>19</v>
      </c>
      <c r="I13" s="108">
        <v>10200</v>
      </c>
      <c r="J13" s="107">
        <v>51</v>
      </c>
      <c r="K13" s="108">
        <v>16797</v>
      </c>
      <c r="L13" s="461">
        <f t="shared" si="0"/>
        <v>-6597</v>
      </c>
      <c r="N13" s="5"/>
    </row>
    <row r="14" spans="1:32" s="6" customFormat="1" ht="12" customHeight="1" x14ac:dyDescent="0.2">
      <c r="A14" s="428" t="s">
        <v>148</v>
      </c>
      <c r="B14" s="107">
        <v>16</v>
      </c>
      <c r="C14" s="108">
        <v>4403</v>
      </c>
      <c r="D14" s="107">
        <v>1</v>
      </c>
      <c r="E14" s="108">
        <v>218</v>
      </c>
      <c r="F14" s="107">
        <v>3</v>
      </c>
      <c r="G14" s="108">
        <v>1749</v>
      </c>
      <c r="H14" s="107">
        <v>20</v>
      </c>
      <c r="I14" s="108">
        <v>6370</v>
      </c>
      <c r="J14" s="107">
        <v>35</v>
      </c>
      <c r="K14" s="108">
        <v>16151</v>
      </c>
      <c r="L14" s="461">
        <f t="shared" si="0"/>
        <v>-9781</v>
      </c>
      <c r="N14" s="5"/>
    </row>
    <row r="15" spans="1:32" s="6" customFormat="1" ht="12" customHeight="1" x14ac:dyDescent="0.2">
      <c r="A15" s="428" t="s">
        <v>165</v>
      </c>
      <c r="B15" s="107">
        <v>21</v>
      </c>
      <c r="C15" s="108">
        <v>6425</v>
      </c>
      <c r="D15" s="107">
        <v>1</v>
      </c>
      <c r="E15" s="108">
        <v>116</v>
      </c>
      <c r="F15" s="107">
        <v>3</v>
      </c>
      <c r="G15" s="108">
        <v>1568</v>
      </c>
      <c r="H15" s="107">
        <v>21</v>
      </c>
      <c r="I15" s="108">
        <v>8109</v>
      </c>
      <c r="J15" s="107">
        <v>41</v>
      </c>
      <c r="K15" s="108">
        <v>16475</v>
      </c>
      <c r="L15" s="461">
        <f t="shared" si="0"/>
        <v>-8366</v>
      </c>
      <c r="N15" s="5"/>
    </row>
    <row r="16" spans="1:32" s="6" customFormat="1" ht="12" customHeight="1" x14ac:dyDescent="0.2">
      <c r="A16" s="428" t="s">
        <v>417</v>
      </c>
      <c r="B16" s="107">
        <v>9</v>
      </c>
      <c r="C16" s="108">
        <v>5004</v>
      </c>
      <c r="D16" s="107">
        <v>0</v>
      </c>
      <c r="E16" s="108">
        <v>0</v>
      </c>
      <c r="F16" s="107">
        <v>5</v>
      </c>
      <c r="G16" s="108">
        <v>196</v>
      </c>
      <c r="H16" s="107">
        <v>12</v>
      </c>
      <c r="I16" s="108">
        <v>12347</v>
      </c>
      <c r="J16" s="107">
        <v>33</v>
      </c>
      <c r="K16" s="108">
        <v>17202</v>
      </c>
      <c r="L16" s="461">
        <v>-4855</v>
      </c>
      <c r="N16" s="5"/>
    </row>
    <row r="17" spans="1:14" s="6" customFormat="1" ht="12" customHeight="1" x14ac:dyDescent="0.2">
      <c r="A17" s="428" t="s">
        <v>636</v>
      </c>
      <c r="B17" s="107">
        <v>22</v>
      </c>
      <c r="C17" s="108">
        <v>4744</v>
      </c>
      <c r="D17" s="107">
        <v>3</v>
      </c>
      <c r="E17" s="108">
        <v>8558</v>
      </c>
      <c r="F17" s="107">
        <v>11</v>
      </c>
      <c r="G17" s="108">
        <v>3309</v>
      </c>
      <c r="H17" s="107">
        <v>36</v>
      </c>
      <c r="I17" s="108">
        <v>20956</v>
      </c>
      <c r="J17" s="107">
        <v>69</v>
      </c>
      <c r="K17" s="108">
        <v>35387</v>
      </c>
      <c r="L17" s="107">
        <f t="shared" ref="L17" si="1">I17-K17</f>
        <v>-14431</v>
      </c>
      <c r="M17" s="39"/>
      <c r="N17" s="5"/>
    </row>
    <row r="18" spans="1:14" s="6" customFormat="1" ht="12" customHeight="1" x14ac:dyDescent="0.2">
      <c r="A18" s="428" t="s">
        <v>1300</v>
      </c>
      <c r="B18" s="107">
        <v>22</v>
      </c>
      <c r="C18" s="108">
        <v>10921</v>
      </c>
      <c r="D18" s="107">
        <v>1</v>
      </c>
      <c r="E18" s="108">
        <v>136</v>
      </c>
      <c r="F18" s="107">
        <v>3</v>
      </c>
      <c r="G18" s="108">
        <v>1325</v>
      </c>
      <c r="H18" s="107">
        <v>26</v>
      </c>
      <c r="I18" s="108">
        <v>12382</v>
      </c>
      <c r="J18" s="107">
        <v>77</v>
      </c>
      <c r="K18" s="108">
        <v>41631</v>
      </c>
      <c r="L18" s="107">
        <v>-29249</v>
      </c>
      <c r="N18" s="5"/>
    </row>
    <row r="19" spans="1:14" s="6" customFormat="1" ht="12" customHeight="1" x14ac:dyDescent="0.2">
      <c r="A19" s="291" t="s">
        <v>2974</v>
      </c>
      <c r="B19" s="110">
        <f>GETPIVOTDATA("Count of B1 Total Gain",'1.4 Pivot'!$A$3)</f>
        <v>22</v>
      </c>
      <c r="C19" s="112">
        <f>GETPIVOTDATA("Sum of B1 Total Gain2",'1.4 Pivot'!$A$3)</f>
        <v>19060</v>
      </c>
      <c r="D19" s="110">
        <f>GETPIVOTDATA("Count of B2 Gain",'1.4 Pivot'!$A$3)</f>
        <v>1</v>
      </c>
      <c r="E19" s="112">
        <f>GETPIVOTDATA("Sum of B2 Gain2",'1.4 Pivot'!$A$3)</f>
        <v>43</v>
      </c>
      <c r="F19" s="110">
        <f>GETPIVOTDATA("Count of B8 Gain",'1.4 Pivot'!$A$3)</f>
        <v>7</v>
      </c>
      <c r="G19" s="112">
        <f>GETPIVOTDATA("Sum of B8 Gain2",'1.4 Pivot'!$A$3)</f>
        <v>3121</v>
      </c>
      <c r="H19" s="110">
        <f>GETPIVOTDATA("Count of B Total Gain",'1.4 Pivot'!$A$3)</f>
        <v>30</v>
      </c>
      <c r="I19" s="112">
        <f>GETPIVOTDATA("Sum of B Total Gain2",'1.4 Pivot'!$A$3)</f>
        <v>22224</v>
      </c>
      <c r="J19" s="110">
        <f>GETPIVOTDATA("Count of B Total Loss",'1.4 Pivot'!$A$3)</f>
        <v>60</v>
      </c>
      <c r="K19" s="112">
        <f>GETPIVOTDATA("Sum of B Total Loss2",'1.4 Pivot'!$A$3)</f>
        <v>68244</v>
      </c>
      <c r="L19" s="110">
        <f>GETPIVOTDATA("Sum of B Total Net",'1.4 Pivot'!$A$3)</f>
        <v>-45820</v>
      </c>
      <c r="N19" s="5"/>
    </row>
    <row r="20" spans="1:14" ht="12" customHeight="1" x14ac:dyDescent="0.2">
      <c r="A20" s="638"/>
      <c r="B20" s="638"/>
      <c r="C20" s="638"/>
      <c r="D20" s="638"/>
      <c r="E20" s="638"/>
      <c r="F20" s="638"/>
      <c r="G20" s="638"/>
      <c r="H20" s="638"/>
      <c r="I20" s="638"/>
      <c r="J20" s="16"/>
      <c r="K20" s="16"/>
      <c r="L20" s="39"/>
    </row>
    <row r="21" spans="1:14" ht="12.75" x14ac:dyDescent="0.2">
      <c r="A21" s="640" t="s">
        <v>3927</v>
      </c>
      <c r="B21" s="640"/>
      <c r="C21" s="640"/>
      <c r="D21" s="640"/>
      <c r="E21" s="640"/>
      <c r="F21" s="640"/>
      <c r="G21" s="640"/>
      <c r="H21" s="640"/>
      <c r="I21" s="640"/>
      <c r="J21" s="640"/>
      <c r="K21" s="640"/>
      <c r="L21" s="640"/>
    </row>
    <row r="65" spans="1:7" x14ac:dyDescent="0.2">
      <c r="A65" s="403"/>
      <c r="B65" s="15"/>
      <c r="C65" s="15"/>
      <c r="D65" s="15"/>
      <c r="E65" s="15"/>
      <c r="F65" s="15"/>
      <c r="G65" s="15"/>
    </row>
  </sheetData>
  <mergeCells count="16">
    <mergeCell ref="A20:I20"/>
    <mergeCell ref="A1:L1"/>
    <mergeCell ref="A3:L3"/>
    <mergeCell ref="A21:L21"/>
    <mergeCell ref="A4:A6"/>
    <mergeCell ref="B4:C4"/>
    <mergeCell ref="D4:E4"/>
    <mergeCell ref="F4:G4"/>
    <mergeCell ref="H4:L4"/>
    <mergeCell ref="L5:L6"/>
    <mergeCell ref="J5:K5"/>
    <mergeCell ref="B5:C5"/>
    <mergeCell ref="D5:E5"/>
    <mergeCell ref="F5:G5"/>
    <mergeCell ref="H5:I5"/>
    <mergeCell ref="A2:L2"/>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S19"/>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2938</v>
      </c>
    </row>
    <row r="2" spans="1:19" x14ac:dyDescent="0.2">
      <c r="A2" s="77" t="s">
        <v>2940</v>
      </c>
      <c r="B2" s="446" t="s">
        <v>2945</v>
      </c>
    </row>
    <row r="3" spans="1:19" x14ac:dyDescent="0.2">
      <c r="A3" s="77" t="s">
        <v>2941</v>
      </c>
      <c r="B3" s="446" t="s">
        <v>429</v>
      </c>
    </row>
    <row r="4" spans="1:19" x14ac:dyDescent="0.2">
      <c r="A4" s="77" t="s">
        <v>3968</v>
      </c>
      <c r="B4" s="446" t="s">
        <v>126</v>
      </c>
    </row>
    <row r="6" spans="1:19" x14ac:dyDescent="0.2">
      <c r="A6" s="77" t="s">
        <v>185</v>
      </c>
      <c r="B6" s="77" t="s">
        <v>3938</v>
      </c>
      <c r="C6" s="77" t="s">
        <v>2848</v>
      </c>
      <c r="D6" s="77" t="s">
        <v>2844</v>
      </c>
      <c r="E6" s="77" t="s">
        <v>3966</v>
      </c>
      <c r="F6" s="77" t="s">
        <v>13</v>
      </c>
      <c r="G6" s="446" t="s">
        <v>3955</v>
      </c>
      <c r="H6" s="446" t="s">
        <v>3956</v>
      </c>
      <c r="I6" s="446" t="s">
        <v>3957</v>
      </c>
      <c r="J6" s="446" t="s">
        <v>3958</v>
      </c>
      <c r="K6" s="446" t="s">
        <v>3959</v>
      </c>
      <c r="L6" s="446" t="s">
        <v>3960</v>
      </c>
      <c r="M6" s="446" t="s">
        <v>3961</v>
      </c>
      <c r="N6" s="446" t="s">
        <v>3962</v>
      </c>
      <c r="O6" s="446" t="s">
        <v>3963</v>
      </c>
      <c r="P6" s="446" t="s">
        <v>3964</v>
      </c>
      <c r="Q6" s="446" t="s">
        <v>3965</v>
      </c>
      <c r="R6" s="446" t="s">
        <v>2921</v>
      </c>
      <c r="S6" s="446" t="s">
        <v>2982</v>
      </c>
    </row>
    <row r="7" spans="1:19" x14ac:dyDescent="0.2">
      <c r="A7" s="446" t="s">
        <v>2669</v>
      </c>
      <c r="B7" s="446" t="s">
        <v>3947</v>
      </c>
      <c r="C7" s="446" t="s">
        <v>2670</v>
      </c>
      <c r="D7" s="446" t="s">
        <v>153</v>
      </c>
      <c r="E7" s="446" t="s">
        <v>3974</v>
      </c>
      <c r="F7" s="446" t="s">
        <v>153</v>
      </c>
      <c r="G7" s="74">
        <v>3050</v>
      </c>
      <c r="H7" s="74">
        <v>0</v>
      </c>
      <c r="I7" s="74">
        <v>594</v>
      </c>
      <c r="J7" s="74">
        <v>0</v>
      </c>
      <c r="K7" s="74">
        <v>0</v>
      </c>
      <c r="L7" s="74">
        <v>3644</v>
      </c>
      <c r="M7" s="74">
        <v>0</v>
      </c>
      <c r="N7" s="74">
        <v>0</v>
      </c>
      <c r="O7" s="74">
        <v>410</v>
      </c>
      <c r="P7" s="74">
        <v>0</v>
      </c>
      <c r="Q7" s="74">
        <v>0</v>
      </c>
      <c r="R7" s="74">
        <v>410</v>
      </c>
      <c r="S7" s="74">
        <v>3234</v>
      </c>
    </row>
    <row r="8" spans="1:19" x14ac:dyDescent="0.2">
      <c r="A8" s="446" t="s">
        <v>1388</v>
      </c>
      <c r="B8" s="446" t="s">
        <v>3947</v>
      </c>
      <c r="C8" s="446" t="s">
        <v>576</v>
      </c>
      <c r="D8" s="446" t="s">
        <v>153</v>
      </c>
      <c r="E8" s="446" t="s">
        <v>3974</v>
      </c>
      <c r="F8" s="446" t="s">
        <v>153</v>
      </c>
      <c r="G8" s="74">
        <v>1104</v>
      </c>
      <c r="H8" s="74">
        <v>0</v>
      </c>
      <c r="I8" s="74">
        <v>0</v>
      </c>
      <c r="J8" s="74">
        <v>0</v>
      </c>
      <c r="K8" s="74">
        <v>0</v>
      </c>
      <c r="L8" s="74">
        <v>1104</v>
      </c>
      <c r="M8" s="74">
        <v>0</v>
      </c>
      <c r="N8" s="74">
        <v>0</v>
      </c>
      <c r="O8" s="74">
        <v>0</v>
      </c>
      <c r="P8" s="74">
        <v>0</v>
      </c>
      <c r="Q8" s="74">
        <v>0</v>
      </c>
      <c r="R8" s="74">
        <v>0</v>
      </c>
      <c r="S8" s="74">
        <v>1104</v>
      </c>
    </row>
    <row r="9" spans="1:19" x14ac:dyDescent="0.2">
      <c r="A9" s="446" t="s">
        <v>2651</v>
      </c>
      <c r="B9" s="446" t="s">
        <v>3947</v>
      </c>
      <c r="C9" s="446" t="s">
        <v>2652</v>
      </c>
      <c r="D9" s="446" t="s">
        <v>153</v>
      </c>
      <c r="E9" s="446" t="s">
        <v>3974</v>
      </c>
      <c r="F9" s="446" t="s">
        <v>153</v>
      </c>
      <c r="G9" s="74">
        <v>7668</v>
      </c>
      <c r="H9" s="74">
        <v>0</v>
      </c>
      <c r="I9" s="74">
        <v>1956</v>
      </c>
      <c r="J9" s="74">
        <v>0</v>
      </c>
      <c r="K9" s="74">
        <v>0</v>
      </c>
      <c r="L9" s="74">
        <v>9624</v>
      </c>
      <c r="M9" s="74">
        <v>598</v>
      </c>
      <c r="N9" s="74">
        <v>0</v>
      </c>
      <c r="O9" s="74">
        <v>407</v>
      </c>
      <c r="P9" s="74">
        <v>0</v>
      </c>
      <c r="Q9" s="74">
        <v>0</v>
      </c>
      <c r="R9" s="74">
        <v>1005</v>
      </c>
      <c r="S9" s="74">
        <v>8619</v>
      </c>
    </row>
    <row r="10" spans="1:19" x14ac:dyDescent="0.2">
      <c r="A10" s="446" t="s">
        <v>2193</v>
      </c>
      <c r="B10" s="446" t="s">
        <v>2907</v>
      </c>
      <c r="C10" s="446" t="s">
        <v>1036</v>
      </c>
      <c r="D10" s="446" t="s">
        <v>153</v>
      </c>
      <c r="E10" s="446" t="s">
        <v>3974</v>
      </c>
      <c r="F10" s="446" t="s">
        <v>153</v>
      </c>
      <c r="G10" s="74">
        <v>0</v>
      </c>
      <c r="H10" s="74">
        <v>0</v>
      </c>
      <c r="I10" s="74">
        <v>0</v>
      </c>
      <c r="J10" s="74">
        <v>0</v>
      </c>
      <c r="K10" s="74">
        <v>0</v>
      </c>
      <c r="L10" s="74">
        <v>0</v>
      </c>
      <c r="M10" s="74">
        <v>0</v>
      </c>
      <c r="N10" s="74">
        <v>0</v>
      </c>
      <c r="O10" s="74">
        <v>323</v>
      </c>
      <c r="P10" s="74">
        <v>0</v>
      </c>
      <c r="Q10" s="74">
        <v>0</v>
      </c>
      <c r="R10" s="74">
        <v>323</v>
      </c>
      <c r="S10" s="74">
        <v>-323</v>
      </c>
    </row>
    <row r="11" spans="1:19" x14ac:dyDescent="0.2">
      <c r="A11" s="446" t="s">
        <v>2365</v>
      </c>
      <c r="B11" s="446" t="s">
        <v>3947</v>
      </c>
      <c r="C11" s="446" t="s">
        <v>1094</v>
      </c>
      <c r="D11" s="446" t="s">
        <v>153</v>
      </c>
      <c r="E11" s="446" t="s">
        <v>3974</v>
      </c>
      <c r="F11" s="446" t="s">
        <v>153</v>
      </c>
      <c r="G11" s="74">
        <v>114</v>
      </c>
      <c r="H11" s="74">
        <v>0</v>
      </c>
      <c r="I11" s="74">
        <v>0</v>
      </c>
      <c r="J11" s="74">
        <v>0</v>
      </c>
      <c r="K11" s="74">
        <v>0</v>
      </c>
      <c r="L11" s="74">
        <v>114</v>
      </c>
      <c r="M11" s="74">
        <v>0</v>
      </c>
      <c r="N11" s="74">
        <v>0</v>
      </c>
      <c r="O11" s="74">
        <v>0</v>
      </c>
      <c r="P11" s="74">
        <v>0</v>
      </c>
      <c r="Q11" s="74">
        <v>0</v>
      </c>
      <c r="R11" s="74">
        <v>0</v>
      </c>
      <c r="S11" s="74">
        <v>114</v>
      </c>
    </row>
    <row r="12" spans="1:19" x14ac:dyDescent="0.2">
      <c r="A12" s="446" t="s">
        <v>1717</v>
      </c>
      <c r="B12" s="446" t="s">
        <v>3944</v>
      </c>
      <c r="C12" s="446" t="s">
        <v>1244</v>
      </c>
      <c r="D12" s="446" t="s">
        <v>153</v>
      </c>
      <c r="E12" s="446" t="s">
        <v>3974</v>
      </c>
      <c r="F12" s="446" t="s">
        <v>153</v>
      </c>
      <c r="G12" s="74">
        <v>5647</v>
      </c>
      <c r="H12" s="74">
        <v>0</v>
      </c>
      <c r="I12" s="74">
        <v>0</v>
      </c>
      <c r="J12" s="74">
        <v>0</v>
      </c>
      <c r="K12" s="74">
        <v>0</v>
      </c>
      <c r="L12" s="74">
        <v>5647</v>
      </c>
      <c r="M12" s="74">
        <v>0</v>
      </c>
      <c r="N12" s="74">
        <v>0</v>
      </c>
      <c r="O12" s="74">
        <v>0</v>
      </c>
      <c r="P12" s="74">
        <v>0</v>
      </c>
      <c r="Q12" s="74">
        <v>0</v>
      </c>
      <c r="R12" s="74">
        <v>0</v>
      </c>
      <c r="S12" s="74">
        <v>5647</v>
      </c>
    </row>
    <row r="13" spans="1:19" x14ac:dyDescent="0.2">
      <c r="A13" s="446" t="s">
        <v>1792</v>
      </c>
      <c r="B13" s="446" t="s">
        <v>3943</v>
      </c>
      <c r="C13" s="446" t="s">
        <v>1257</v>
      </c>
      <c r="D13" s="446" t="s">
        <v>153</v>
      </c>
      <c r="E13" s="446" t="s">
        <v>3974</v>
      </c>
      <c r="F13" s="446" t="s">
        <v>153</v>
      </c>
      <c r="G13" s="74">
        <v>7649</v>
      </c>
      <c r="H13" s="74">
        <v>0</v>
      </c>
      <c r="I13" s="74">
        <v>0</v>
      </c>
      <c r="J13" s="74">
        <v>0</v>
      </c>
      <c r="K13" s="74">
        <v>0</v>
      </c>
      <c r="L13" s="74">
        <v>7649</v>
      </c>
      <c r="M13" s="74">
        <v>615</v>
      </c>
      <c r="N13" s="74">
        <v>0</v>
      </c>
      <c r="O13" s="74">
        <v>0</v>
      </c>
      <c r="P13" s="74">
        <v>0</v>
      </c>
      <c r="Q13" s="74">
        <v>0</v>
      </c>
      <c r="R13" s="74">
        <v>615</v>
      </c>
      <c r="S13" s="74">
        <v>7034</v>
      </c>
    </row>
    <row r="14" spans="1:19" x14ac:dyDescent="0.2">
      <c r="A14" s="446" t="s">
        <v>1721</v>
      </c>
      <c r="B14" s="446" t="s">
        <v>3944</v>
      </c>
      <c r="C14" s="446" t="s">
        <v>1198</v>
      </c>
      <c r="D14" s="446" t="s">
        <v>153</v>
      </c>
      <c r="E14" s="446" t="s">
        <v>3974</v>
      </c>
      <c r="F14" s="446" t="s">
        <v>153</v>
      </c>
      <c r="G14" s="74">
        <v>824</v>
      </c>
      <c r="H14" s="74">
        <v>0</v>
      </c>
      <c r="I14" s="74">
        <v>0</v>
      </c>
      <c r="J14" s="74">
        <v>0</v>
      </c>
      <c r="K14" s="74">
        <v>0</v>
      </c>
      <c r="L14" s="74">
        <v>824</v>
      </c>
      <c r="M14" s="74">
        <v>0</v>
      </c>
      <c r="N14" s="74">
        <v>0</v>
      </c>
      <c r="O14" s="74">
        <v>0</v>
      </c>
      <c r="P14" s="74">
        <v>0</v>
      </c>
      <c r="Q14" s="74">
        <v>0</v>
      </c>
      <c r="R14" s="74">
        <v>0</v>
      </c>
      <c r="S14" s="74">
        <v>824</v>
      </c>
    </row>
    <row r="15" spans="1:19" x14ac:dyDescent="0.2">
      <c r="A15" s="446" t="s">
        <v>2666</v>
      </c>
      <c r="B15" s="446" t="s">
        <v>3948</v>
      </c>
      <c r="C15" s="446" t="s">
        <v>2667</v>
      </c>
      <c r="D15" s="446" t="s">
        <v>153</v>
      </c>
      <c r="E15" s="446" t="s">
        <v>3974</v>
      </c>
      <c r="F15" s="446" t="s">
        <v>153</v>
      </c>
      <c r="G15" s="74">
        <v>109</v>
      </c>
      <c r="H15" s="74">
        <v>0</v>
      </c>
      <c r="I15" s="74">
        <v>0</v>
      </c>
      <c r="J15" s="74">
        <v>0</v>
      </c>
      <c r="K15" s="74">
        <v>0</v>
      </c>
      <c r="L15" s="74">
        <v>109</v>
      </c>
      <c r="M15" s="74">
        <v>0</v>
      </c>
      <c r="N15" s="74">
        <v>0</v>
      </c>
      <c r="O15" s="74">
        <v>0</v>
      </c>
      <c r="P15" s="74">
        <v>0</v>
      </c>
      <c r="Q15" s="74">
        <v>0</v>
      </c>
      <c r="R15" s="74">
        <v>0</v>
      </c>
      <c r="S15" s="74">
        <v>109</v>
      </c>
    </row>
    <row r="16" spans="1:19" x14ac:dyDescent="0.2">
      <c r="A16" s="446" t="s">
        <v>2352</v>
      </c>
      <c r="B16" s="446" t="s">
        <v>3947</v>
      </c>
      <c r="C16" s="446" t="s">
        <v>1060</v>
      </c>
      <c r="D16" s="446" t="s">
        <v>153</v>
      </c>
      <c r="E16" s="446" t="s">
        <v>3974</v>
      </c>
      <c r="F16" s="446" t="s">
        <v>153</v>
      </c>
      <c r="G16" s="74">
        <v>5138</v>
      </c>
      <c r="H16" s="74">
        <v>0</v>
      </c>
      <c r="I16" s="74">
        <v>0</v>
      </c>
      <c r="J16" s="74">
        <v>0</v>
      </c>
      <c r="K16" s="74">
        <v>0</v>
      </c>
      <c r="L16" s="74">
        <v>5138</v>
      </c>
      <c r="M16" s="74">
        <v>2880</v>
      </c>
      <c r="N16" s="74">
        <v>0</v>
      </c>
      <c r="O16" s="74">
        <v>0</v>
      </c>
      <c r="P16" s="74">
        <v>0</v>
      </c>
      <c r="Q16" s="74">
        <v>0</v>
      </c>
      <c r="R16" s="74">
        <v>2880</v>
      </c>
      <c r="S16" s="74">
        <v>2258</v>
      </c>
    </row>
    <row r="17" spans="1:19" x14ac:dyDescent="0.2">
      <c r="A17" s="446" t="s">
        <v>2368</v>
      </c>
      <c r="B17" s="446" t="s">
        <v>3943</v>
      </c>
      <c r="C17" s="446" t="s">
        <v>1070</v>
      </c>
      <c r="D17" s="446" t="s">
        <v>153</v>
      </c>
      <c r="E17" s="446" t="s">
        <v>3974</v>
      </c>
      <c r="F17" s="446" t="s">
        <v>153</v>
      </c>
      <c r="G17" s="74">
        <v>3890</v>
      </c>
      <c r="H17" s="74">
        <v>0</v>
      </c>
      <c r="I17" s="74">
        <v>0</v>
      </c>
      <c r="J17" s="74">
        <v>0</v>
      </c>
      <c r="K17" s="74">
        <v>0</v>
      </c>
      <c r="L17" s="74">
        <v>3890</v>
      </c>
      <c r="M17" s="74">
        <v>5025</v>
      </c>
      <c r="N17" s="74">
        <v>0</v>
      </c>
      <c r="O17" s="74">
        <v>0</v>
      </c>
      <c r="P17" s="74">
        <v>0</v>
      </c>
      <c r="Q17" s="74">
        <v>0</v>
      </c>
      <c r="R17" s="74">
        <v>5025</v>
      </c>
      <c r="S17" s="74">
        <v>-1135</v>
      </c>
    </row>
    <row r="18" spans="1:19" x14ac:dyDescent="0.2">
      <c r="A18" s="446" t="s">
        <v>1856</v>
      </c>
      <c r="B18" s="446" t="s">
        <v>3949</v>
      </c>
      <c r="C18" s="446" t="s">
        <v>575</v>
      </c>
      <c r="D18" s="446" t="s">
        <v>153</v>
      </c>
      <c r="E18" s="446" t="s">
        <v>3974</v>
      </c>
      <c r="F18" s="446" t="s">
        <v>153</v>
      </c>
      <c r="G18" s="74">
        <v>987</v>
      </c>
      <c r="H18" s="74">
        <v>0</v>
      </c>
      <c r="I18" s="74">
        <v>0</v>
      </c>
      <c r="J18" s="74">
        <v>0</v>
      </c>
      <c r="K18" s="74">
        <v>0</v>
      </c>
      <c r="L18" s="74">
        <v>987</v>
      </c>
      <c r="M18" s="74">
        <v>242</v>
      </c>
      <c r="N18" s="74">
        <v>0</v>
      </c>
      <c r="O18" s="74">
        <v>0</v>
      </c>
      <c r="P18" s="74">
        <v>0</v>
      </c>
      <c r="Q18" s="74">
        <v>0</v>
      </c>
      <c r="R18" s="74">
        <v>242</v>
      </c>
      <c r="S18" s="74">
        <v>745</v>
      </c>
    </row>
    <row r="19" spans="1:19" x14ac:dyDescent="0.2">
      <c r="A19" s="446" t="s">
        <v>95</v>
      </c>
      <c r="G19" s="74">
        <v>36180</v>
      </c>
      <c r="H19" s="74">
        <v>0</v>
      </c>
      <c r="I19" s="74">
        <v>2550</v>
      </c>
      <c r="J19" s="74">
        <v>0</v>
      </c>
      <c r="K19" s="74">
        <v>0</v>
      </c>
      <c r="L19" s="74">
        <v>38730</v>
      </c>
      <c r="M19" s="74">
        <v>9360</v>
      </c>
      <c r="N19" s="74">
        <v>0</v>
      </c>
      <c r="O19" s="74">
        <v>1140</v>
      </c>
      <c r="P19" s="74">
        <v>0</v>
      </c>
      <c r="Q19" s="74">
        <v>0</v>
      </c>
      <c r="R19" s="74">
        <v>10500</v>
      </c>
      <c r="S19" s="74">
        <v>28230</v>
      </c>
    </row>
  </sheetData>
  <conditionalFormatting sqref="D1:D1048576">
    <cfRule type="cellIs" dxfId="60"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S9"/>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0.85546875" style="305" customWidth="1"/>
    <col min="6" max="6" width="8.85546875" style="335" customWidth="1"/>
    <col min="7" max="7" width="6.7109375" style="309" customWidth="1"/>
    <col min="8" max="11" width="6.28515625" style="309" customWidth="1"/>
    <col min="12" max="12" width="6.7109375" style="317" customWidth="1"/>
    <col min="13" max="13" width="6.7109375" style="309" customWidth="1"/>
    <col min="14" max="17" width="6.28515625" style="309" customWidth="1"/>
    <col min="18" max="18" width="6.7109375" style="317" customWidth="1"/>
    <col min="19" max="19" width="6.7109375" style="309" customWidth="1"/>
    <col min="20" max="16384" width="9.140625" style="301"/>
  </cols>
  <sheetData>
    <row r="1" spans="1:19" ht="15.75" x14ac:dyDescent="0.2">
      <c r="A1" s="336" t="s">
        <v>3937</v>
      </c>
      <c r="B1" s="337"/>
      <c r="C1" s="338"/>
      <c r="D1" s="337"/>
      <c r="E1" s="339"/>
      <c r="F1" s="348"/>
      <c r="G1" s="340"/>
      <c r="H1" s="340"/>
      <c r="I1" s="340"/>
      <c r="J1" s="340"/>
      <c r="K1" s="340"/>
      <c r="L1" s="340"/>
      <c r="M1" s="340"/>
      <c r="N1" s="340"/>
      <c r="O1" s="340"/>
      <c r="P1" s="340"/>
      <c r="Q1" s="340"/>
      <c r="R1" s="340"/>
      <c r="S1" s="340"/>
    </row>
    <row r="2" spans="1:19" ht="12" customHeight="1" x14ac:dyDescent="0.2">
      <c r="A2" s="341" t="s">
        <v>3984</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26" t="s">
        <v>185</v>
      </c>
      <c r="B4" s="828" t="s">
        <v>3938</v>
      </c>
      <c r="C4" s="827" t="s">
        <v>2848</v>
      </c>
      <c r="D4" s="828" t="s">
        <v>3973</v>
      </c>
      <c r="E4" s="826" t="s">
        <v>3970</v>
      </c>
      <c r="F4" s="837"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28"/>
      <c r="E5" s="826"/>
      <c r="F5" s="837"/>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28"/>
      <c r="E6" s="826"/>
      <c r="F6" s="837"/>
      <c r="G6" s="304" t="s">
        <v>97</v>
      </c>
      <c r="H6" s="304" t="s">
        <v>98</v>
      </c>
      <c r="I6" s="304" t="s">
        <v>99</v>
      </c>
      <c r="J6" s="304" t="s">
        <v>100</v>
      </c>
      <c r="K6" s="304" t="s">
        <v>101</v>
      </c>
      <c r="L6" s="537" t="s">
        <v>95</v>
      </c>
      <c r="M6" s="304" t="s">
        <v>97</v>
      </c>
      <c r="N6" s="304" t="s">
        <v>98</v>
      </c>
      <c r="O6" s="304" t="s">
        <v>99</v>
      </c>
      <c r="P6" s="304" t="s">
        <v>100</v>
      </c>
      <c r="Q6" s="304" t="s">
        <v>101</v>
      </c>
      <c r="R6" s="537" t="s">
        <v>95</v>
      </c>
      <c r="S6" s="835"/>
    </row>
    <row r="7" spans="1:19" x14ac:dyDescent="0.2">
      <c r="A7" s="344" t="s">
        <v>2033</v>
      </c>
      <c r="B7" s="342" t="s">
        <v>3942</v>
      </c>
      <c r="C7" s="343" t="s">
        <v>2034</v>
      </c>
      <c r="D7" s="342" t="s">
        <v>153</v>
      </c>
      <c r="E7" s="344" t="s">
        <v>3985</v>
      </c>
      <c r="F7" s="345">
        <v>43040</v>
      </c>
      <c r="G7" s="346">
        <v>0</v>
      </c>
      <c r="H7" s="346">
        <v>0</v>
      </c>
      <c r="I7" s="346">
        <v>0</v>
      </c>
      <c r="J7" s="346">
        <v>0</v>
      </c>
      <c r="K7" s="346">
        <v>0</v>
      </c>
      <c r="L7" s="347">
        <v>0</v>
      </c>
      <c r="M7" s="346">
        <v>63</v>
      </c>
      <c r="N7" s="346">
        <v>0</v>
      </c>
      <c r="O7" s="346">
        <v>0</v>
      </c>
      <c r="P7" s="346">
        <v>0</v>
      </c>
      <c r="Q7" s="346">
        <v>0</v>
      </c>
      <c r="R7" s="347">
        <v>63</v>
      </c>
      <c r="S7" s="346">
        <v>-63</v>
      </c>
    </row>
    <row r="8" spans="1:19" x14ac:dyDescent="0.2">
      <c r="A8" s="305" t="s">
        <v>2556</v>
      </c>
      <c r="B8" s="306" t="s">
        <v>3952</v>
      </c>
      <c r="C8" s="307" t="s">
        <v>2557</v>
      </c>
      <c r="D8" s="306" t="s">
        <v>153</v>
      </c>
      <c r="E8" s="305" t="s">
        <v>3985</v>
      </c>
      <c r="F8" s="335">
        <v>43063</v>
      </c>
      <c r="G8" s="309">
        <v>0</v>
      </c>
      <c r="H8" s="309">
        <v>0</v>
      </c>
      <c r="I8" s="309">
        <v>0</v>
      </c>
      <c r="J8" s="309">
        <v>0</v>
      </c>
      <c r="K8" s="309">
        <v>0</v>
      </c>
      <c r="L8" s="317">
        <v>0</v>
      </c>
      <c r="M8" s="309">
        <v>0</v>
      </c>
      <c r="N8" s="309">
        <v>0</v>
      </c>
      <c r="O8" s="309">
        <v>84</v>
      </c>
      <c r="P8" s="309">
        <v>0</v>
      </c>
      <c r="Q8" s="309">
        <v>0</v>
      </c>
      <c r="R8" s="317">
        <v>84</v>
      </c>
      <c r="S8" s="309">
        <v>-84</v>
      </c>
    </row>
    <row r="9" spans="1:19" x14ac:dyDescent="0.2">
      <c r="A9" s="328" t="s">
        <v>95</v>
      </c>
      <c r="B9" s="329"/>
      <c r="C9" s="330"/>
      <c r="D9" s="329"/>
      <c r="E9" s="328"/>
      <c r="F9" s="349"/>
      <c r="G9" s="333">
        <v>0</v>
      </c>
      <c r="H9" s="333">
        <v>0</v>
      </c>
      <c r="I9" s="333">
        <v>0</v>
      </c>
      <c r="J9" s="333">
        <v>0</v>
      </c>
      <c r="K9" s="333">
        <v>0</v>
      </c>
      <c r="L9" s="334">
        <v>0</v>
      </c>
      <c r="M9" s="333">
        <v>63</v>
      </c>
      <c r="N9" s="333">
        <v>0</v>
      </c>
      <c r="O9" s="333">
        <v>84</v>
      </c>
      <c r="P9" s="333">
        <v>0</v>
      </c>
      <c r="Q9" s="333">
        <v>0</v>
      </c>
      <c r="R9" s="334">
        <v>147</v>
      </c>
      <c r="S9" s="333">
        <v>-147</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58"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S9"/>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2938</v>
      </c>
    </row>
    <row r="2" spans="1:19" x14ac:dyDescent="0.2">
      <c r="A2" s="77" t="s">
        <v>2940</v>
      </c>
      <c r="B2" s="446" t="s">
        <v>2959</v>
      </c>
    </row>
    <row r="3" spans="1:19" x14ac:dyDescent="0.2">
      <c r="A3" s="77" t="s">
        <v>2941</v>
      </c>
      <c r="B3" s="446" t="s">
        <v>429</v>
      </c>
    </row>
    <row r="4" spans="1:19" x14ac:dyDescent="0.2">
      <c r="A4" s="77" t="s">
        <v>3968</v>
      </c>
      <c r="B4" s="446" t="s">
        <v>126</v>
      </c>
    </row>
    <row r="6" spans="1:19" x14ac:dyDescent="0.2">
      <c r="A6" s="77" t="s">
        <v>185</v>
      </c>
      <c r="B6" s="77" t="s">
        <v>3938</v>
      </c>
      <c r="C6" s="77" t="s">
        <v>2848</v>
      </c>
      <c r="D6" s="77" t="s">
        <v>2844</v>
      </c>
      <c r="E6" s="77" t="s">
        <v>3966</v>
      </c>
      <c r="F6" s="77" t="s">
        <v>13</v>
      </c>
      <c r="G6" s="446" t="s">
        <v>3955</v>
      </c>
      <c r="H6" s="446" t="s">
        <v>3956</v>
      </c>
      <c r="I6" s="446" t="s">
        <v>3957</v>
      </c>
      <c r="J6" s="446" t="s">
        <v>3958</v>
      </c>
      <c r="K6" s="446" t="s">
        <v>3959</v>
      </c>
      <c r="L6" s="446" t="s">
        <v>3960</v>
      </c>
      <c r="M6" s="446" t="s">
        <v>3961</v>
      </c>
      <c r="N6" s="446" t="s">
        <v>3962</v>
      </c>
      <c r="O6" s="446" t="s">
        <v>3963</v>
      </c>
      <c r="P6" s="446" t="s">
        <v>3964</v>
      </c>
      <c r="Q6" s="446" t="s">
        <v>3965</v>
      </c>
      <c r="R6" s="446" t="s">
        <v>2921</v>
      </c>
      <c r="S6" s="446" t="s">
        <v>2982</v>
      </c>
    </row>
    <row r="7" spans="1:19" x14ac:dyDescent="0.2">
      <c r="A7" s="446" t="s">
        <v>2033</v>
      </c>
      <c r="B7" s="446" t="s">
        <v>3942</v>
      </c>
      <c r="C7" s="446" t="s">
        <v>2034</v>
      </c>
      <c r="D7" s="446" t="s">
        <v>153</v>
      </c>
      <c r="E7" s="446" t="s">
        <v>3985</v>
      </c>
      <c r="F7" s="298">
        <v>43040</v>
      </c>
      <c r="G7" s="74">
        <v>0</v>
      </c>
      <c r="H7" s="74">
        <v>0</v>
      </c>
      <c r="I7" s="74">
        <v>0</v>
      </c>
      <c r="J7" s="74">
        <v>0</v>
      </c>
      <c r="K7" s="74">
        <v>0</v>
      </c>
      <c r="L7" s="74">
        <v>0</v>
      </c>
      <c r="M7" s="74">
        <v>63</v>
      </c>
      <c r="N7" s="74">
        <v>0</v>
      </c>
      <c r="O7" s="74">
        <v>0</v>
      </c>
      <c r="P7" s="74">
        <v>0</v>
      </c>
      <c r="Q7" s="74">
        <v>0</v>
      </c>
      <c r="R7" s="74">
        <v>63</v>
      </c>
      <c r="S7" s="74">
        <v>-63</v>
      </c>
    </row>
    <row r="8" spans="1:19" x14ac:dyDescent="0.2">
      <c r="A8" s="446" t="s">
        <v>2556</v>
      </c>
      <c r="B8" s="446" t="s">
        <v>3952</v>
      </c>
      <c r="C8" s="446" t="s">
        <v>2557</v>
      </c>
      <c r="D8" s="446" t="s">
        <v>153</v>
      </c>
      <c r="E8" s="446" t="s">
        <v>3985</v>
      </c>
      <c r="F8" s="298">
        <v>43063</v>
      </c>
      <c r="G8" s="74">
        <v>0</v>
      </c>
      <c r="H8" s="74">
        <v>0</v>
      </c>
      <c r="I8" s="74">
        <v>0</v>
      </c>
      <c r="J8" s="74">
        <v>0</v>
      </c>
      <c r="K8" s="74">
        <v>0</v>
      </c>
      <c r="L8" s="74">
        <v>0</v>
      </c>
      <c r="M8" s="74">
        <v>0</v>
      </c>
      <c r="N8" s="74">
        <v>0</v>
      </c>
      <c r="O8" s="74">
        <v>84</v>
      </c>
      <c r="P8" s="74">
        <v>0</v>
      </c>
      <c r="Q8" s="74">
        <v>0</v>
      </c>
      <c r="R8" s="74">
        <v>84</v>
      </c>
      <c r="S8" s="74">
        <v>-84</v>
      </c>
    </row>
    <row r="9" spans="1:19" x14ac:dyDescent="0.2">
      <c r="A9" s="446" t="s">
        <v>95</v>
      </c>
      <c r="G9" s="74">
        <v>0</v>
      </c>
      <c r="H9" s="74">
        <v>0</v>
      </c>
      <c r="I9" s="74">
        <v>0</v>
      </c>
      <c r="J9" s="74">
        <v>0</v>
      </c>
      <c r="K9" s="74">
        <v>0</v>
      </c>
      <c r="L9" s="74">
        <v>0</v>
      </c>
      <c r="M9" s="74">
        <v>63</v>
      </c>
      <c r="N9" s="74">
        <v>0</v>
      </c>
      <c r="O9" s="74">
        <v>84</v>
      </c>
      <c r="P9" s="74">
        <v>0</v>
      </c>
      <c r="Q9" s="74">
        <v>0</v>
      </c>
      <c r="R9" s="74">
        <v>147</v>
      </c>
      <c r="S9" s="74">
        <v>-147</v>
      </c>
    </row>
  </sheetData>
  <conditionalFormatting sqref="D1:D1048576">
    <cfRule type="cellIs" dxfId="57"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S45"/>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0.85546875" style="305" customWidth="1"/>
    <col min="6" max="6" width="8.85546875" style="335" customWidth="1"/>
    <col min="7" max="7" width="6.7109375" style="309" customWidth="1"/>
    <col min="8" max="11" width="6.28515625" style="309" customWidth="1"/>
    <col min="12" max="12" width="6.7109375" style="317" customWidth="1"/>
    <col min="13" max="13" width="6.7109375" style="309" customWidth="1"/>
    <col min="14" max="17" width="6.28515625" style="309" customWidth="1"/>
    <col min="18" max="18" width="6.7109375" style="317" customWidth="1"/>
    <col min="19" max="19" width="6.7109375" style="309" customWidth="1"/>
    <col min="20" max="16384" width="9.140625" style="301"/>
  </cols>
  <sheetData>
    <row r="1" spans="1:19" ht="15.75" x14ac:dyDescent="0.2">
      <c r="A1" s="336" t="s">
        <v>3937</v>
      </c>
      <c r="B1" s="337"/>
      <c r="C1" s="338"/>
      <c r="D1" s="337"/>
      <c r="E1" s="339"/>
      <c r="F1" s="348"/>
      <c r="G1" s="340"/>
      <c r="H1" s="340"/>
      <c r="I1" s="340"/>
      <c r="J1" s="340"/>
      <c r="K1" s="340"/>
      <c r="L1" s="340"/>
      <c r="M1" s="340"/>
      <c r="N1" s="340"/>
      <c r="O1" s="340"/>
      <c r="P1" s="340"/>
      <c r="Q1" s="340"/>
      <c r="R1" s="340"/>
      <c r="S1" s="340"/>
    </row>
    <row r="2" spans="1:19" ht="12" customHeight="1" x14ac:dyDescent="0.2">
      <c r="A2" s="341" t="s">
        <v>3983</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26" t="s">
        <v>185</v>
      </c>
      <c r="B4" s="828" t="s">
        <v>3938</v>
      </c>
      <c r="C4" s="827" t="s">
        <v>2848</v>
      </c>
      <c r="D4" s="828" t="s">
        <v>3973</v>
      </c>
      <c r="E4" s="826" t="s">
        <v>3970</v>
      </c>
      <c r="F4" s="837"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28"/>
      <c r="E5" s="826"/>
      <c r="F5" s="837"/>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28"/>
      <c r="E6" s="826"/>
      <c r="F6" s="837"/>
      <c r="G6" s="304" t="s">
        <v>97</v>
      </c>
      <c r="H6" s="304" t="s">
        <v>98</v>
      </c>
      <c r="I6" s="304" t="s">
        <v>99</v>
      </c>
      <c r="J6" s="304" t="s">
        <v>100</v>
      </c>
      <c r="K6" s="304" t="s">
        <v>101</v>
      </c>
      <c r="L6" s="537" t="s">
        <v>95</v>
      </c>
      <c r="M6" s="304" t="s">
        <v>97</v>
      </c>
      <c r="N6" s="304" t="s">
        <v>98</v>
      </c>
      <c r="O6" s="304" t="s">
        <v>99</v>
      </c>
      <c r="P6" s="304" t="s">
        <v>100</v>
      </c>
      <c r="Q6" s="304" t="s">
        <v>101</v>
      </c>
      <c r="R6" s="537" t="s">
        <v>95</v>
      </c>
      <c r="S6" s="835"/>
    </row>
    <row r="7" spans="1:19" x14ac:dyDescent="0.2">
      <c r="A7" s="344" t="s">
        <v>2642</v>
      </c>
      <c r="B7" s="342" t="s">
        <v>3944</v>
      </c>
      <c r="C7" s="343" t="s">
        <v>2643</v>
      </c>
      <c r="D7" s="342" t="s">
        <v>153</v>
      </c>
      <c r="E7" s="344" t="s">
        <v>3798</v>
      </c>
      <c r="F7" s="345" t="s">
        <v>153</v>
      </c>
      <c r="G7" s="346">
        <v>1305</v>
      </c>
      <c r="H7" s="346">
        <v>0</v>
      </c>
      <c r="I7" s="346">
        <v>0</v>
      </c>
      <c r="J7" s="346">
        <v>0</v>
      </c>
      <c r="K7" s="346">
        <v>0</v>
      </c>
      <c r="L7" s="347">
        <v>1305</v>
      </c>
      <c r="M7" s="346">
        <v>0</v>
      </c>
      <c r="N7" s="346">
        <v>0</v>
      </c>
      <c r="O7" s="346">
        <v>0</v>
      </c>
      <c r="P7" s="346">
        <v>0</v>
      </c>
      <c r="Q7" s="346">
        <v>0</v>
      </c>
      <c r="R7" s="347">
        <v>0</v>
      </c>
      <c r="S7" s="346">
        <v>1305</v>
      </c>
    </row>
    <row r="8" spans="1:19" ht="22.5" x14ac:dyDescent="0.2">
      <c r="A8" s="305" t="s">
        <v>2494</v>
      </c>
      <c r="B8" s="306" t="s">
        <v>3945</v>
      </c>
      <c r="C8" s="307" t="s">
        <v>2496</v>
      </c>
      <c r="D8" s="306" t="s">
        <v>153</v>
      </c>
      <c r="E8" s="305" t="s">
        <v>3798</v>
      </c>
      <c r="F8" s="335" t="s">
        <v>153</v>
      </c>
      <c r="G8" s="309">
        <v>0</v>
      </c>
      <c r="H8" s="309">
        <v>0</v>
      </c>
      <c r="I8" s="309">
        <v>0</v>
      </c>
      <c r="J8" s="309">
        <v>0</v>
      </c>
      <c r="K8" s="309">
        <v>0</v>
      </c>
      <c r="L8" s="317">
        <v>0</v>
      </c>
      <c r="M8" s="309">
        <v>427</v>
      </c>
      <c r="N8" s="309">
        <v>0</v>
      </c>
      <c r="O8" s="309">
        <v>0</v>
      </c>
      <c r="P8" s="309">
        <v>0</v>
      </c>
      <c r="Q8" s="309">
        <v>0</v>
      </c>
      <c r="R8" s="317">
        <v>427</v>
      </c>
      <c r="S8" s="309">
        <v>-427</v>
      </c>
    </row>
    <row r="9" spans="1:19" x14ac:dyDescent="0.2">
      <c r="A9" s="305" t="s">
        <v>2714</v>
      </c>
      <c r="B9" s="306" t="s">
        <v>3946</v>
      </c>
      <c r="C9" s="307" t="s">
        <v>2715</v>
      </c>
      <c r="D9" s="306" t="s">
        <v>153</v>
      </c>
      <c r="E9" s="305" t="s">
        <v>421</v>
      </c>
      <c r="F9" s="335" t="s">
        <v>153</v>
      </c>
      <c r="G9" s="309">
        <v>0</v>
      </c>
      <c r="H9" s="309">
        <v>0</v>
      </c>
      <c r="I9" s="309">
        <v>0</v>
      </c>
      <c r="J9" s="309">
        <v>0</v>
      </c>
      <c r="K9" s="309">
        <v>0</v>
      </c>
      <c r="L9" s="317">
        <v>0</v>
      </c>
      <c r="M9" s="309">
        <v>135</v>
      </c>
      <c r="N9" s="309">
        <v>0</v>
      </c>
      <c r="O9" s="309">
        <v>0</v>
      </c>
      <c r="P9" s="309">
        <v>0</v>
      </c>
      <c r="Q9" s="309">
        <v>0</v>
      </c>
      <c r="R9" s="317">
        <v>135</v>
      </c>
      <c r="S9" s="309">
        <v>-135</v>
      </c>
    </row>
    <row r="10" spans="1:19" x14ac:dyDescent="0.2">
      <c r="A10" s="305" t="s">
        <v>2699</v>
      </c>
      <c r="B10" s="306" t="s">
        <v>3946</v>
      </c>
      <c r="C10" s="307" t="s">
        <v>2700</v>
      </c>
      <c r="D10" s="306" t="s">
        <v>153</v>
      </c>
      <c r="E10" s="305" t="s">
        <v>3798</v>
      </c>
      <c r="F10" s="335" t="s">
        <v>153</v>
      </c>
      <c r="G10" s="309">
        <v>0</v>
      </c>
      <c r="H10" s="309">
        <v>0</v>
      </c>
      <c r="I10" s="309">
        <v>0</v>
      </c>
      <c r="J10" s="309">
        <v>0</v>
      </c>
      <c r="K10" s="309">
        <v>0</v>
      </c>
      <c r="L10" s="317">
        <v>0</v>
      </c>
      <c r="M10" s="309">
        <v>0</v>
      </c>
      <c r="N10" s="309">
        <v>0</v>
      </c>
      <c r="O10" s="309">
        <v>0</v>
      </c>
      <c r="P10" s="309">
        <v>88</v>
      </c>
      <c r="Q10" s="309">
        <v>0</v>
      </c>
      <c r="R10" s="317">
        <v>88</v>
      </c>
      <c r="S10" s="309">
        <v>-88</v>
      </c>
    </row>
    <row r="11" spans="1:19" x14ac:dyDescent="0.2">
      <c r="A11" s="305" t="s">
        <v>2917</v>
      </c>
      <c r="B11" s="306" t="s">
        <v>3952</v>
      </c>
      <c r="C11" s="307" t="s">
        <v>2723</v>
      </c>
      <c r="D11" s="306" t="s">
        <v>153</v>
      </c>
      <c r="E11" s="305" t="s">
        <v>3798</v>
      </c>
      <c r="F11" s="335" t="s">
        <v>153</v>
      </c>
      <c r="G11" s="309">
        <v>0</v>
      </c>
      <c r="H11" s="309">
        <v>0</v>
      </c>
      <c r="I11" s="309">
        <v>0</v>
      </c>
      <c r="J11" s="309">
        <v>0</v>
      </c>
      <c r="K11" s="309">
        <v>0</v>
      </c>
      <c r="L11" s="317">
        <v>0</v>
      </c>
      <c r="M11" s="309">
        <v>60</v>
      </c>
      <c r="N11" s="309">
        <v>0</v>
      </c>
      <c r="O11" s="309">
        <v>0</v>
      </c>
      <c r="P11" s="309">
        <v>0</v>
      </c>
      <c r="Q11" s="309">
        <v>0</v>
      </c>
      <c r="R11" s="317">
        <v>60</v>
      </c>
      <c r="S11" s="309">
        <v>-60</v>
      </c>
    </row>
    <row r="12" spans="1:19" x14ac:dyDescent="0.2">
      <c r="A12" s="305" t="s">
        <v>1957</v>
      </c>
      <c r="B12" s="306" t="s">
        <v>3946</v>
      </c>
      <c r="C12" s="307" t="s">
        <v>1958</v>
      </c>
      <c r="D12" s="306" t="s">
        <v>153</v>
      </c>
      <c r="E12" s="305" t="s">
        <v>3798</v>
      </c>
      <c r="F12" s="335" t="s">
        <v>153</v>
      </c>
      <c r="G12" s="309">
        <v>0</v>
      </c>
      <c r="H12" s="309">
        <v>0</v>
      </c>
      <c r="I12" s="309">
        <v>0</v>
      </c>
      <c r="J12" s="309">
        <v>0</v>
      </c>
      <c r="K12" s="309">
        <v>0</v>
      </c>
      <c r="L12" s="317">
        <v>0</v>
      </c>
      <c r="M12" s="309">
        <v>127</v>
      </c>
      <c r="N12" s="309">
        <v>0</v>
      </c>
      <c r="O12" s="309">
        <v>0</v>
      </c>
      <c r="P12" s="309">
        <v>0</v>
      </c>
      <c r="Q12" s="309">
        <v>0</v>
      </c>
      <c r="R12" s="317">
        <v>127</v>
      </c>
      <c r="S12" s="309">
        <v>-127</v>
      </c>
    </row>
    <row r="13" spans="1:19" x14ac:dyDescent="0.2">
      <c r="A13" s="305" t="s">
        <v>2750</v>
      </c>
      <c r="B13" s="306" t="s">
        <v>3943</v>
      </c>
      <c r="C13" s="307" t="s">
        <v>2751</v>
      </c>
      <c r="D13" s="306" t="s">
        <v>153</v>
      </c>
      <c r="E13" s="305" t="s">
        <v>3798</v>
      </c>
      <c r="F13" s="335" t="s">
        <v>153</v>
      </c>
      <c r="G13" s="309">
        <v>0</v>
      </c>
      <c r="H13" s="309">
        <v>0</v>
      </c>
      <c r="I13" s="309">
        <v>0</v>
      </c>
      <c r="J13" s="309">
        <v>0</v>
      </c>
      <c r="K13" s="309">
        <v>0</v>
      </c>
      <c r="L13" s="317">
        <v>0</v>
      </c>
      <c r="M13" s="309">
        <v>345</v>
      </c>
      <c r="N13" s="309">
        <v>0</v>
      </c>
      <c r="O13" s="309">
        <v>0</v>
      </c>
      <c r="P13" s="309">
        <v>0</v>
      </c>
      <c r="Q13" s="309">
        <v>0</v>
      </c>
      <c r="R13" s="317">
        <v>345</v>
      </c>
      <c r="S13" s="309">
        <v>-345</v>
      </c>
    </row>
    <row r="14" spans="1:19" ht="22.5" x14ac:dyDescent="0.2">
      <c r="A14" s="305" t="s">
        <v>1858</v>
      </c>
      <c r="B14" s="306" t="s">
        <v>3946</v>
      </c>
      <c r="C14" s="307" t="s">
        <v>1859</v>
      </c>
      <c r="D14" s="306" t="s">
        <v>153</v>
      </c>
      <c r="E14" s="305" t="s">
        <v>3798</v>
      </c>
      <c r="F14" s="335" t="s">
        <v>153</v>
      </c>
      <c r="G14" s="309">
        <v>48</v>
      </c>
      <c r="H14" s="309">
        <v>0</v>
      </c>
      <c r="I14" s="309">
        <v>0</v>
      </c>
      <c r="J14" s="309">
        <v>0</v>
      </c>
      <c r="K14" s="309">
        <v>0</v>
      </c>
      <c r="L14" s="317">
        <v>48</v>
      </c>
      <c r="M14" s="309">
        <v>0</v>
      </c>
      <c r="N14" s="309">
        <v>0</v>
      </c>
      <c r="O14" s="309">
        <v>0</v>
      </c>
      <c r="P14" s="309">
        <v>0</v>
      </c>
      <c r="Q14" s="309">
        <v>0</v>
      </c>
      <c r="R14" s="317">
        <v>0</v>
      </c>
      <c r="S14" s="309">
        <v>48</v>
      </c>
    </row>
    <row r="15" spans="1:19" x14ac:dyDescent="0.2">
      <c r="A15" s="305" t="s">
        <v>2687</v>
      </c>
      <c r="B15" s="306" t="s">
        <v>149</v>
      </c>
      <c r="C15" s="307" t="s">
        <v>2688</v>
      </c>
      <c r="D15" s="306" t="s">
        <v>153</v>
      </c>
      <c r="E15" s="305" t="s">
        <v>3798</v>
      </c>
      <c r="F15" s="335" t="s">
        <v>153</v>
      </c>
      <c r="G15" s="309">
        <v>49</v>
      </c>
      <c r="H15" s="309">
        <v>0</v>
      </c>
      <c r="I15" s="309">
        <v>0</v>
      </c>
      <c r="J15" s="309">
        <v>0</v>
      </c>
      <c r="K15" s="309">
        <v>0</v>
      </c>
      <c r="L15" s="317">
        <v>49</v>
      </c>
      <c r="M15" s="309">
        <v>0</v>
      </c>
      <c r="N15" s="309">
        <v>0</v>
      </c>
      <c r="O15" s="309">
        <v>0</v>
      </c>
      <c r="P15" s="309">
        <v>0</v>
      </c>
      <c r="Q15" s="309">
        <v>0</v>
      </c>
      <c r="R15" s="317">
        <v>0</v>
      </c>
      <c r="S15" s="309">
        <v>49</v>
      </c>
    </row>
    <row r="16" spans="1:19" x14ac:dyDescent="0.2">
      <c r="A16" s="305" t="s">
        <v>1468</v>
      </c>
      <c r="B16" s="306" t="s">
        <v>2904</v>
      </c>
      <c r="C16" s="307" t="s">
        <v>1469</v>
      </c>
      <c r="D16" s="306" t="s">
        <v>153</v>
      </c>
      <c r="E16" s="305" t="s">
        <v>3798</v>
      </c>
      <c r="F16" s="335" t="s">
        <v>153</v>
      </c>
      <c r="G16" s="309">
        <v>0</v>
      </c>
      <c r="H16" s="309">
        <v>0</v>
      </c>
      <c r="I16" s="309">
        <v>0</v>
      </c>
      <c r="J16" s="309">
        <v>0</v>
      </c>
      <c r="K16" s="309">
        <v>0</v>
      </c>
      <c r="L16" s="317">
        <v>0</v>
      </c>
      <c r="M16" s="309">
        <v>0</v>
      </c>
      <c r="N16" s="309">
        <v>0</v>
      </c>
      <c r="O16" s="309">
        <v>0</v>
      </c>
      <c r="P16" s="309">
        <v>0</v>
      </c>
      <c r="Q16" s="309">
        <v>122</v>
      </c>
      <c r="R16" s="317">
        <v>122</v>
      </c>
      <c r="S16" s="309">
        <v>-122</v>
      </c>
    </row>
    <row r="17" spans="1:19" x14ac:dyDescent="0.2">
      <c r="A17" s="305" t="s">
        <v>1503</v>
      </c>
      <c r="B17" s="306" t="s">
        <v>3946</v>
      </c>
      <c r="C17" s="307" t="s">
        <v>1505</v>
      </c>
      <c r="D17" s="306" t="s">
        <v>153</v>
      </c>
      <c r="E17" s="305" t="s">
        <v>3798</v>
      </c>
      <c r="F17" s="335" t="s">
        <v>153</v>
      </c>
      <c r="G17" s="309">
        <v>431</v>
      </c>
      <c r="H17" s="309">
        <v>0</v>
      </c>
      <c r="I17" s="309">
        <v>0</v>
      </c>
      <c r="J17" s="309">
        <v>0</v>
      </c>
      <c r="K17" s="309">
        <v>0</v>
      </c>
      <c r="L17" s="317">
        <v>431</v>
      </c>
      <c r="M17" s="309">
        <v>460</v>
      </c>
      <c r="N17" s="309">
        <v>0</v>
      </c>
      <c r="O17" s="309">
        <v>0</v>
      </c>
      <c r="P17" s="309">
        <v>0</v>
      </c>
      <c r="Q17" s="309">
        <v>0</v>
      </c>
      <c r="R17" s="317">
        <v>460</v>
      </c>
      <c r="S17" s="309">
        <v>-29</v>
      </c>
    </row>
    <row r="18" spans="1:19" x14ac:dyDescent="0.2">
      <c r="A18" s="305" t="s">
        <v>2468</v>
      </c>
      <c r="B18" s="306" t="s">
        <v>3946</v>
      </c>
      <c r="C18" s="307" t="s">
        <v>2469</v>
      </c>
      <c r="D18" s="306" t="s">
        <v>153</v>
      </c>
      <c r="E18" s="305" t="s">
        <v>3798</v>
      </c>
      <c r="F18" s="335" t="s">
        <v>153</v>
      </c>
      <c r="G18" s="309">
        <v>35</v>
      </c>
      <c r="H18" s="309">
        <v>0</v>
      </c>
      <c r="I18" s="309">
        <v>0</v>
      </c>
      <c r="J18" s="309">
        <v>0</v>
      </c>
      <c r="K18" s="309">
        <v>0</v>
      </c>
      <c r="L18" s="317">
        <v>35</v>
      </c>
      <c r="M18" s="309">
        <v>100</v>
      </c>
      <c r="N18" s="309">
        <v>0</v>
      </c>
      <c r="O18" s="309">
        <v>0</v>
      </c>
      <c r="P18" s="309">
        <v>0</v>
      </c>
      <c r="Q18" s="309">
        <v>40</v>
      </c>
      <c r="R18" s="317">
        <v>140</v>
      </c>
      <c r="S18" s="309">
        <v>-105</v>
      </c>
    </row>
    <row r="19" spans="1:19" x14ac:dyDescent="0.2">
      <c r="A19" s="305" t="s">
        <v>1818</v>
      </c>
      <c r="B19" s="306" t="s">
        <v>3944</v>
      </c>
      <c r="C19" s="307" t="s">
        <v>1819</v>
      </c>
      <c r="D19" s="306" t="s">
        <v>153</v>
      </c>
      <c r="E19" s="305" t="s">
        <v>3798</v>
      </c>
      <c r="F19" s="335" t="s">
        <v>153</v>
      </c>
      <c r="G19" s="309">
        <v>0</v>
      </c>
      <c r="H19" s="309">
        <v>0</v>
      </c>
      <c r="I19" s="309">
        <v>0</v>
      </c>
      <c r="J19" s="309">
        <v>0</v>
      </c>
      <c r="K19" s="309">
        <v>0</v>
      </c>
      <c r="L19" s="317">
        <v>0</v>
      </c>
      <c r="M19" s="309">
        <v>0</v>
      </c>
      <c r="N19" s="309">
        <v>0</v>
      </c>
      <c r="O19" s="309">
        <v>0</v>
      </c>
      <c r="P19" s="309">
        <v>0</v>
      </c>
      <c r="Q19" s="309">
        <v>25</v>
      </c>
      <c r="R19" s="317">
        <v>25</v>
      </c>
      <c r="S19" s="309">
        <v>-25</v>
      </c>
    </row>
    <row r="20" spans="1:19" x14ac:dyDescent="0.2">
      <c r="A20" s="305" t="s">
        <v>2193</v>
      </c>
      <c r="B20" s="306" t="s">
        <v>2907</v>
      </c>
      <c r="C20" s="307" t="s">
        <v>2194</v>
      </c>
      <c r="D20" s="306" t="s">
        <v>153</v>
      </c>
      <c r="E20" s="305" t="s">
        <v>3798</v>
      </c>
      <c r="F20" s="335" t="s">
        <v>153</v>
      </c>
      <c r="G20" s="309">
        <v>345</v>
      </c>
      <c r="H20" s="309">
        <v>0</v>
      </c>
      <c r="I20" s="309">
        <v>0</v>
      </c>
      <c r="J20" s="309">
        <v>0</v>
      </c>
      <c r="K20" s="309">
        <v>0</v>
      </c>
      <c r="L20" s="317">
        <v>345</v>
      </c>
      <c r="M20" s="309">
        <v>0</v>
      </c>
      <c r="N20" s="309">
        <v>0</v>
      </c>
      <c r="O20" s="309">
        <v>323</v>
      </c>
      <c r="P20" s="309">
        <v>0</v>
      </c>
      <c r="Q20" s="309">
        <v>0</v>
      </c>
      <c r="R20" s="317">
        <v>323</v>
      </c>
      <c r="S20" s="309">
        <v>22</v>
      </c>
    </row>
    <row r="21" spans="1:19" x14ac:dyDescent="0.2">
      <c r="A21" s="305" t="s">
        <v>2645</v>
      </c>
      <c r="B21" s="306" t="s">
        <v>3944</v>
      </c>
      <c r="C21" s="307" t="s">
        <v>2646</v>
      </c>
      <c r="D21" s="306" t="s">
        <v>153</v>
      </c>
      <c r="E21" s="305" t="s">
        <v>3798</v>
      </c>
      <c r="F21" s="335" t="s">
        <v>153</v>
      </c>
      <c r="G21" s="309">
        <v>839</v>
      </c>
      <c r="H21" s="309">
        <v>0</v>
      </c>
      <c r="I21" s="309">
        <v>0</v>
      </c>
      <c r="J21" s="309">
        <v>0</v>
      </c>
      <c r="K21" s="309">
        <v>0</v>
      </c>
      <c r="L21" s="317">
        <v>839</v>
      </c>
      <c r="M21" s="309">
        <v>0</v>
      </c>
      <c r="N21" s="309">
        <v>0</v>
      </c>
      <c r="O21" s="309">
        <v>0</v>
      </c>
      <c r="P21" s="309">
        <v>0</v>
      </c>
      <c r="Q21" s="309">
        <v>0</v>
      </c>
      <c r="R21" s="317">
        <v>0</v>
      </c>
      <c r="S21" s="309">
        <v>839</v>
      </c>
    </row>
    <row r="22" spans="1:19" ht="22.5" x14ac:dyDescent="0.2">
      <c r="A22" s="305" t="s">
        <v>1398</v>
      </c>
      <c r="B22" s="306" t="s">
        <v>3944</v>
      </c>
      <c r="C22" s="307" t="s">
        <v>1188</v>
      </c>
      <c r="D22" s="306" t="s">
        <v>153</v>
      </c>
      <c r="E22" s="305" t="s">
        <v>3798</v>
      </c>
      <c r="F22" s="335" t="s">
        <v>153</v>
      </c>
      <c r="G22" s="309">
        <v>106</v>
      </c>
      <c r="H22" s="309">
        <v>0</v>
      </c>
      <c r="I22" s="309">
        <v>0</v>
      </c>
      <c r="J22" s="309">
        <v>0</v>
      </c>
      <c r="K22" s="309">
        <v>0</v>
      </c>
      <c r="L22" s="317">
        <v>106</v>
      </c>
      <c r="M22" s="309">
        <v>821</v>
      </c>
      <c r="N22" s="309">
        <v>0</v>
      </c>
      <c r="O22" s="309">
        <v>0</v>
      </c>
      <c r="P22" s="309">
        <v>0</v>
      </c>
      <c r="Q22" s="309">
        <v>0</v>
      </c>
      <c r="R22" s="317">
        <v>821</v>
      </c>
      <c r="S22" s="309">
        <v>-715</v>
      </c>
    </row>
    <row r="23" spans="1:19" ht="22.5" x14ac:dyDescent="0.2">
      <c r="A23" s="305" t="s">
        <v>2696</v>
      </c>
      <c r="B23" s="306" t="s">
        <v>3943</v>
      </c>
      <c r="C23" s="307" t="s">
        <v>2697</v>
      </c>
      <c r="D23" s="306" t="s">
        <v>153</v>
      </c>
      <c r="E23" s="305" t="s">
        <v>3798</v>
      </c>
      <c r="F23" s="335" t="s">
        <v>153</v>
      </c>
      <c r="G23" s="309">
        <v>58</v>
      </c>
      <c r="H23" s="309">
        <v>0</v>
      </c>
      <c r="I23" s="309">
        <v>0</v>
      </c>
      <c r="J23" s="309">
        <v>0</v>
      </c>
      <c r="K23" s="309">
        <v>0</v>
      </c>
      <c r="L23" s="317">
        <v>58</v>
      </c>
      <c r="M23" s="309">
        <v>72</v>
      </c>
      <c r="N23" s="309">
        <v>0</v>
      </c>
      <c r="O23" s="309">
        <v>0</v>
      </c>
      <c r="P23" s="309">
        <v>0</v>
      </c>
      <c r="Q23" s="309">
        <v>0</v>
      </c>
      <c r="R23" s="317">
        <v>72</v>
      </c>
      <c r="S23" s="309">
        <v>-14</v>
      </c>
    </row>
    <row r="24" spans="1:19" ht="56.25" x14ac:dyDescent="0.2">
      <c r="A24" s="305" t="s">
        <v>2512</v>
      </c>
      <c r="B24" s="306" t="s">
        <v>2904</v>
      </c>
      <c r="C24" s="307" t="s">
        <v>2513</v>
      </c>
      <c r="D24" s="306" t="s">
        <v>153</v>
      </c>
      <c r="E24" s="305" t="s">
        <v>3798</v>
      </c>
      <c r="F24" s="335" t="s">
        <v>153</v>
      </c>
      <c r="G24" s="309">
        <v>48</v>
      </c>
      <c r="H24" s="309">
        <v>0</v>
      </c>
      <c r="I24" s="309">
        <v>0</v>
      </c>
      <c r="J24" s="309">
        <v>0</v>
      </c>
      <c r="K24" s="309">
        <v>0</v>
      </c>
      <c r="L24" s="317">
        <v>48</v>
      </c>
      <c r="M24" s="309">
        <v>0</v>
      </c>
      <c r="N24" s="309">
        <v>0</v>
      </c>
      <c r="O24" s="309">
        <v>0</v>
      </c>
      <c r="P24" s="309">
        <v>0</v>
      </c>
      <c r="Q24" s="309">
        <v>0</v>
      </c>
      <c r="R24" s="317">
        <v>0</v>
      </c>
      <c r="S24" s="309">
        <v>48</v>
      </c>
    </row>
    <row r="25" spans="1:19" ht="22.5" x14ac:dyDescent="0.2">
      <c r="A25" s="305" t="s">
        <v>2524</v>
      </c>
      <c r="B25" s="306" t="s">
        <v>150</v>
      </c>
      <c r="C25" s="307" t="s">
        <v>2525</v>
      </c>
      <c r="D25" s="306" t="s">
        <v>153</v>
      </c>
      <c r="E25" s="305" t="s">
        <v>3798</v>
      </c>
      <c r="F25" s="335" t="s">
        <v>153</v>
      </c>
      <c r="G25" s="309">
        <v>0</v>
      </c>
      <c r="H25" s="309">
        <v>0</v>
      </c>
      <c r="I25" s="309">
        <v>70</v>
      </c>
      <c r="J25" s="309">
        <v>0</v>
      </c>
      <c r="K25" s="309">
        <v>0</v>
      </c>
      <c r="L25" s="317">
        <v>70</v>
      </c>
      <c r="M25" s="309">
        <v>0</v>
      </c>
      <c r="N25" s="309">
        <v>0</v>
      </c>
      <c r="O25" s="309">
        <v>0</v>
      </c>
      <c r="P25" s="309">
        <v>0</v>
      </c>
      <c r="Q25" s="309">
        <v>0</v>
      </c>
      <c r="R25" s="317">
        <v>0</v>
      </c>
      <c r="S25" s="309">
        <v>70</v>
      </c>
    </row>
    <row r="26" spans="1:19" x14ac:dyDescent="0.2">
      <c r="C26" s="307" t="s">
        <v>2527</v>
      </c>
      <c r="D26" s="306" t="s">
        <v>153</v>
      </c>
      <c r="E26" s="305" t="s">
        <v>3798</v>
      </c>
      <c r="F26" s="335" t="s">
        <v>153</v>
      </c>
      <c r="G26" s="309">
        <v>0</v>
      </c>
      <c r="H26" s="309">
        <v>0</v>
      </c>
      <c r="I26" s="309">
        <v>0</v>
      </c>
      <c r="J26" s="309">
        <v>0</v>
      </c>
      <c r="K26" s="309">
        <v>0</v>
      </c>
      <c r="L26" s="317">
        <v>0</v>
      </c>
      <c r="M26" s="309">
        <v>0</v>
      </c>
      <c r="N26" s="309">
        <v>0</v>
      </c>
      <c r="O26" s="309">
        <v>66</v>
      </c>
      <c r="P26" s="309">
        <v>0</v>
      </c>
      <c r="Q26" s="309">
        <v>0</v>
      </c>
      <c r="R26" s="317">
        <v>66</v>
      </c>
      <c r="S26" s="309">
        <v>-66</v>
      </c>
    </row>
    <row r="27" spans="1:19" ht="22.5" x14ac:dyDescent="0.2">
      <c r="A27" s="305" t="s">
        <v>2360</v>
      </c>
      <c r="B27" s="306" t="s">
        <v>2907</v>
      </c>
      <c r="C27" s="307" t="s">
        <v>2361</v>
      </c>
      <c r="D27" s="306" t="s">
        <v>153</v>
      </c>
      <c r="E27" s="305" t="s">
        <v>3798</v>
      </c>
      <c r="F27" s="335" t="s">
        <v>153</v>
      </c>
      <c r="G27" s="309">
        <v>0</v>
      </c>
      <c r="H27" s="309">
        <v>0</v>
      </c>
      <c r="I27" s="309">
        <v>0</v>
      </c>
      <c r="J27" s="309">
        <v>0</v>
      </c>
      <c r="K27" s="309">
        <v>0</v>
      </c>
      <c r="L27" s="317">
        <v>0</v>
      </c>
      <c r="M27" s="309">
        <v>0</v>
      </c>
      <c r="N27" s="309">
        <v>0</v>
      </c>
      <c r="O27" s="309">
        <v>0</v>
      </c>
      <c r="P27" s="309">
        <v>0</v>
      </c>
      <c r="Q27" s="309">
        <v>29</v>
      </c>
      <c r="R27" s="317">
        <v>29</v>
      </c>
      <c r="S27" s="309">
        <v>-29</v>
      </c>
    </row>
    <row r="28" spans="1:19" ht="22.5" x14ac:dyDescent="0.2">
      <c r="A28" s="305" t="s">
        <v>2775</v>
      </c>
      <c r="B28" s="306" t="s">
        <v>3943</v>
      </c>
      <c r="C28" s="307" t="s">
        <v>2776</v>
      </c>
      <c r="D28" s="306" t="s">
        <v>153</v>
      </c>
      <c r="E28" s="305" t="s">
        <v>421</v>
      </c>
      <c r="F28" s="335" t="s">
        <v>153</v>
      </c>
      <c r="G28" s="309">
        <v>0</v>
      </c>
      <c r="H28" s="309">
        <v>0</v>
      </c>
      <c r="I28" s="309">
        <v>0</v>
      </c>
      <c r="J28" s="309">
        <v>0</v>
      </c>
      <c r="K28" s="309">
        <v>0</v>
      </c>
      <c r="L28" s="317">
        <v>0</v>
      </c>
      <c r="M28" s="309">
        <v>3200</v>
      </c>
      <c r="N28" s="309">
        <v>0</v>
      </c>
      <c r="O28" s="309">
        <v>0</v>
      </c>
      <c r="P28" s="309">
        <v>0</v>
      </c>
      <c r="Q28" s="309">
        <v>0</v>
      </c>
      <c r="R28" s="317">
        <v>3200</v>
      </c>
      <c r="S28" s="309">
        <v>-3200</v>
      </c>
    </row>
    <row r="29" spans="1:19" ht="22.5" x14ac:dyDescent="0.2">
      <c r="A29" s="305" t="s">
        <v>1454</v>
      </c>
      <c r="B29" s="306" t="s">
        <v>2904</v>
      </c>
      <c r="C29" s="307" t="s">
        <v>1455</v>
      </c>
      <c r="D29" s="306" t="s">
        <v>153</v>
      </c>
      <c r="E29" s="305" t="s">
        <v>3798</v>
      </c>
      <c r="F29" s="335" t="s">
        <v>153</v>
      </c>
      <c r="G29" s="309">
        <v>0</v>
      </c>
      <c r="H29" s="309">
        <v>0</v>
      </c>
      <c r="I29" s="309">
        <v>0</v>
      </c>
      <c r="J29" s="309">
        <v>0</v>
      </c>
      <c r="K29" s="309">
        <v>0</v>
      </c>
      <c r="L29" s="317">
        <v>0</v>
      </c>
      <c r="M29" s="309">
        <v>72</v>
      </c>
      <c r="N29" s="309">
        <v>0</v>
      </c>
      <c r="O29" s="309">
        <v>0</v>
      </c>
      <c r="P29" s="309">
        <v>0</v>
      </c>
      <c r="Q29" s="309">
        <v>0</v>
      </c>
      <c r="R29" s="317">
        <v>72</v>
      </c>
      <c r="S29" s="309">
        <v>-72</v>
      </c>
    </row>
    <row r="30" spans="1:19" ht="22.5" x14ac:dyDescent="0.2">
      <c r="A30" s="305" t="s">
        <v>2392</v>
      </c>
      <c r="B30" s="306" t="s">
        <v>3941</v>
      </c>
      <c r="C30" s="307" t="s">
        <v>2393</v>
      </c>
      <c r="D30" s="306" t="s">
        <v>153</v>
      </c>
      <c r="E30" s="305" t="s">
        <v>3798</v>
      </c>
      <c r="F30" s="335" t="s">
        <v>153</v>
      </c>
      <c r="G30" s="309">
        <v>0</v>
      </c>
      <c r="H30" s="309">
        <v>0</v>
      </c>
      <c r="I30" s="309">
        <v>0</v>
      </c>
      <c r="J30" s="309">
        <v>0</v>
      </c>
      <c r="K30" s="309">
        <v>40</v>
      </c>
      <c r="L30" s="317">
        <v>40</v>
      </c>
      <c r="M30" s="309">
        <v>0</v>
      </c>
      <c r="N30" s="309">
        <v>0</v>
      </c>
      <c r="O30" s="309">
        <v>0</v>
      </c>
      <c r="P30" s="309">
        <v>0</v>
      </c>
      <c r="Q30" s="309">
        <v>16</v>
      </c>
      <c r="R30" s="317">
        <v>16</v>
      </c>
      <c r="S30" s="309">
        <v>24</v>
      </c>
    </row>
    <row r="31" spans="1:19" ht="33.75" x14ac:dyDescent="0.2">
      <c r="A31" s="305" t="s">
        <v>1588</v>
      </c>
      <c r="B31" s="306" t="s">
        <v>3943</v>
      </c>
      <c r="C31" s="307" t="s">
        <v>1589</v>
      </c>
      <c r="D31" s="306" t="s">
        <v>153</v>
      </c>
      <c r="E31" s="305" t="s">
        <v>3798</v>
      </c>
      <c r="F31" s="335" t="s">
        <v>153</v>
      </c>
      <c r="G31" s="309">
        <v>20</v>
      </c>
      <c r="H31" s="309">
        <v>0</v>
      </c>
      <c r="I31" s="309">
        <v>0</v>
      </c>
      <c r="J31" s="309">
        <v>0</v>
      </c>
      <c r="K31" s="309">
        <v>0</v>
      </c>
      <c r="L31" s="317">
        <v>20</v>
      </c>
      <c r="M31" s="309">
        <v>0</v>
      </c>
      <c r="N31" s="309">
        <v>0</v>
      </c>
      <c r="O31" s="309">
        <v>0</v>
      </c>
      <c r="P31" s="309">
        <v>0</v>
      </c>
      <c r="Q31" s="309">
        <v>0</v>
      </c>
      <c r="R31" s="317">
        <v>0</v>
      </c>
      <c r="S31" s="309">
        <v>20</v>
      </c>
    </row>
    <row r="32" spans="1:19" ht="22.5" x14ac:dyDescent="0.2">
      <c r="A32" s="305" t="s">
        <v>2571</v>
      </c>
      <c r="B32" s="306" t="s">
        <v>3943</v>
      </c>
      <c r="C32" s="307" t="s">
        <v>2572</v>
      </c>
      <c r="D32" s="306" t="s">
        <v>153</v>
      </c>
      <c r="E32" s="305" t="s">
        <v>3798</v>
      </c>
      <c r="F32" s="335" t="s">
        <v>153</v>
      </c>
      <c r="G32" s="309">
        <v>0</v>
      </c>
      <c r="H32" s="309">
        <v>0</v>
      </c>
      <c r="I32" s="309">
        <v>0</v>
      </c>
      <c r="J32" s="309">
        <v>0</v>
      </c>
      <c r="K32" s="309">
        <v>0</v>
      </c>
      <c r="L32" s="317">
        <v>0</v>
      </c>
      <c r="M32" s="309">
        <v>0</v>
      </c>
      <c r="N32" s="309">
        <v>0</v>
      </c>
      <c r="O32" s="309">
        <v>0</v>
      </c>
      <c r="P32" s="309">
        <v>0</v>
      </c>
      <c r="Q32" s="309">
        <v>104</v>
      </c>
      <c r="R32" s="317">
        <v>104</v>
      </c>
      <c r="S32" s="309">
        <v>-104</v>
      </c>
    </row>
    <row r="33" spans="1:19" ht="22.5" x14ac:dyDescent="0.2">
      <c r="A33" s="305" t="s">
        <v>2648</v>
      </c>
      <c r="B33" s="306" t="s">
        <v>3951</v>
      </c>
      <c r="C33" s="307" t="s">
        <v>2649</v>
      </c>
      <c r="D33" s="306" t="s">
        <v>153</v>
      </c>
      <c r="E33" s="305" t="s">
        <v>3798</v>
      </c>
      <c r="F33" s="335" t="s">
        <v>153</v>
      </c>
      <c r="G33" s="309">
        <v>141</v>
      </c>
      <c r="H33" s="309">
        <v>0</v>
      </c>
      <c r="I33" s="309">
        <v>0</v>
      </c>
      <c r="J33" s="309">
        <v>0</v>
      </c>
      <c r="K33" s="309">
        <v>0</v>
      </c>
      <c r="L33" s="317">
        <v>141</v>
      </c>
      <c r="M33" s="309">
        <v>0</v>
      </c>
      <c r="N33" s="309">
        <v>0</v>
      </c>
      <c r="O33" s="309">
        <v>0</v>
      </c>
      <c r="P33" s="309">
        <v>0</v>
      </c>
      <c r="Q33" s="309">
        <v>0</v>
      </c>
      <c r="R33" s="317">
        <v>0</v>
      </c>
      <c r="S33" s="309">
        <v>141</v>
      </c>
    </row>
    <row r="34" spans="1:19" ht="45" x14ac:dyDescent="0.2">
      <c r="A34" s="305" t="s">
        <v>2737</v>
      </c>
      <c r="B34" s="306" t="s">
        <v>3943</v>
      </c>
      <c r="C34" s="307" t="s">
        <v>2738</v>
      </c>
      <c r="D34" s="306" t="s">
        <v>153</v>
      </c>
      <c r="E34" s="305" t="s">
        <v>421</v>
      </c>
      <c r="F34" s="335" t="s">
        <v>153</v>
      </c>
      <c r="G34" s="309">
        <v>0</v>
      </c>
      <c r="H34" s="309">
        <v>0</v>
      </c>
      <c r="I34" s="309">
        <v>0</v>
      </c>
      <c r="J34" s="309">
        <v>0</v>
      </c>
      <c r="K34" s="309">
        <v>0</v>
      </c>
      <c r="L34" s="317">
        <v>0</v>
      </c>
      <c r="M34" s="309">
        <v>125</v>
      </c>
      <c r="N34" s="309">
        <v>0</v>
      </c>
      <c r="O34" s="309">
        <v>0</v>
      </c>
      <c r="P34" s="309">
        <v>0</v>
      </c>
      <c r="Q34" s="309">
        <v>0</v>
      </c>
      <c r="R34" s="317">
        <v>125</v>
      </c>
      <c r="S34" s="309">
        <v>-125</v>
      </c>
    </row>
    <row r="35" spans="1:19" ht="45" x14ac:dyDescent="0.2">
      <c r="A35" s="305" t="s">
        <v>2734</v>
      </c>
      <c r="B35" s="306" t="s">
        <v>3943</v>
      </c>
      <c r="C35" s="307" t="s">
        <v>2735</v>
      </c>
      <c r="D35" s="306" t="s">
        <v>153</v>
      </c>
      <c r="E35" s="305" t="s">
        <v>421</v>
      </c>
      <c r="F35" s="335" t="s">
        <v>153</v>
      </c>
      <c r="G35" s="309">
        <v>0</v>
      </c>
      <c r="H35" s="309">
        <v>0</v>
      </c>
      <c r="I35" s="309">
        <v>0</v>
      </c>
      <c r="J35" s="309">
        <v>0</v>
      </c>
      <c r="K35" s="309">
        <v>0</v>
      </c>
      <c r="L35" s="317">
        <v>0</v>
      </c>
      <c r="M35" s="309">
        <v>123</v>
      </c>
      <c r="N35" s="309">
        <v>0</v>
      </c>
      <c r="O35" s="309">
        <v>0</v>
      </c>
      <c r="P35" s="309">
        <v>0</v>
      </c>
      <c r="Q35" s="309">
        <v>0</v>
      </c>
      <c r="R35" s="317">
        <v>123</v>
      </c>
      <c r="S35" s="309">
        <v>-123</v>
      </c>
    </row>
    <row r="36" spans="1:19" ht="45" x14ac:dyDescent="0.2">
      <c r="A36" s="305" t="s">
        <v>2731</v>
      </c>
      <c r="B36" s="306" t="s">
        <v>3943</v>
      </c>
      <c r="C36" s="307" t="s">
        <v>2732</v>
      </c>
      <c r="D36" s="306" t="s">
        <v>153</v>
      </c>
      <c r="E36" s="305" t="s">
        <v>421</v>
      </c>
      <c r="F36" s="335" t="s">
        <v>153</v>
      </c>
      <c r="G36" s="309">
        <v>0</v>
      </c>
      <c r="H36" s="309">
        <v>0</v>
      </c>
      <c r="I36" s="309">
        <v>0</v>
      </c>
      <c r="J36" s="309">
        <v>0</v>
      </c>
      <c r="K36" s="309">
        <v>0</v>
      </c>
      <c r="L36" s="317">
        <v>0</v>
      </c>
      <c r="M36" s="309">
        <v>155</v>
      </c>
      <c r="N36" s="309">
        <v>0</v>
      </c>
      <c r="O36" s="309">
        <v>0</v>
      </c>
      <c r="P36" s="309">
        <v>0</v>
      </c>
      <c r="Q36" s="309">
        <v>0</v>
      </c>
      <c r="R36" s="317">
        <v>155</v>
      </c>
      <c r="S36" s="309">
        <v>-155</v>
      </c>
    </row>
    <row r="37" spans="1:19" ht="45" x14ac:dyDescent="0.2">
      <c r="A37" s="305" t="s">
        <v>2728</v>
      </c>
      <c r="B37" s="306" t="s">
        <v>3943</v>
      </c>
      <c r="C37" s="307" t="s">
        <v>2729</v>
      </c>
      <c r="D37" s="306" t="s">
        <v>153</v>
      </c>
      <c r="E37" s="305" t="s">
        <v>421</v>
      </c>
      <c r="F37" s="335" t="s">
        <v>153</v>
      </c>
      <c r="G37" s="309">
        <v>0</v>
      </c>
      <c r="H37" s="309">
        <v>0</v>
      </c>
      <c r="I37" s="309">
        <v>0</v>
      </c>
      <c r="J37" s="309">
        <v>0</v>
      </c>
      <c r="K37" s="309">
        <v>0</v>
      </c>
      <c r="L37" s="317">
        <v>0</v>
      </c>
      <c r="M37" s="309">
        <v>170</v>
      </c>
      <c r="N37" s="309">
        <v>0</v>
      </c>
      <c r="O37" s="309">
        <v>0</v>
      </c>
      <c r="P37" s="309">
        <v>0</v>
      </c>
      <c r="Q37" s="309">
        <v>0</v>
      </c>
      <c r="R37" s="317">
        <v>170</v>
      </c>
      <c r="S37" s="309">
        <v>-170</v>
      </c>
    </row>
    <row r="38" spans="1:19" ht="33.75" x14ac:dyDescent="0.2">
      <c r="A38" s="305" t="s">
        <v>1929</v>
      </c>
      <c r="B38" s="306" t="s">
        <v>3943</v>
      </c>
      <c r="C38" s="307" t="s">
        <v>1930</v>
      </c>
      <c r="D38" s="306" t="s">
        <v>153</v>
      </c>
      <c r="E38" s="305" t="s">
        <v>421</v>
      </c>
      <c r="F38" s="335" t="s">
        <v>153</v>
      </c>
      <c r="G38" s="309">
        <v>0</v>
      </c>
      <c r="H38" s="309">
        <v>0</v>
      </c>
      <c r="I38" s="309">
        <v>0</v>
      </c>
      <c r="J38" s="309">
        <v>0</v>
      </c>
      <c r="K38" s="309">
        <v>0</v>
      </c>
      <c r="L38" s="317">
        <v>0</v>
      </c>
      <c r="M38" s="309">
        <v>89</v>
      </c>
      <c r="N38" s="309">
        <v>0</v>
      </c>
      <c r="O38" s="309">
        <v>0</v>
      </c>
      <c r="P38" s="309">
        <v>0</v>
      </c>
      <c r="Q38" s="309">
        <v>0</v>
      </c>
      <c r="R38" s="317">
        <v>89</v>
      </c>
      <c r="S38" s="309">
        <v>-89</v>
      </c>
    </row>
    <row r="39" spans="1:19" ht="33.75" x14ac:dyDescent="0.2">
      <c r="A39" s="305" t="s">
        <v>1907</v>
      </c>
      <c r="B39" s="306" t="s">
        <v>3943</v>
      </c>
      <c r="C39" s="307" t="s">
        <v>1908</v>
      </c>
      <c r="D39" s="306" t="s">
        <v>153</v>
      </c>
      <c r="E39" s="305" t="s">
        <v>421</v>
      </c>
      <c r="F39" s="335" t="s">
        <v>153</v>
      </c>
      <c r="G39" s="309">
        <v>0</v>
      </c>
      <c r="H39" s="309">
        <v>0</v>
      </c>
      <c r="I39" s="309">
        <v>0</v>
      </c>
      <c r="J39" s="309">
        <v>0</v>
      </c>
      <c r="K39" s="309">
        <v>0</v>
      </c>
      <c r="L39" s="317">
        <v>0</v>
      </c>
      <c r="M39" s="309">
        <v>228</v>
      </c>
      <c r="N39" s="309">
        <v>0</v>
      </c>
      <c r="O39" s="309">
        <v>0</v>
      </c>
      <c r="P39" s="309">
        <v>0</v>
      </c>
      <c r="Q39" s="309">
        <v>0</v>
      </c>
      <c r="R39" s="317">
        <v>228</v>
      </c>
      <c r="S39" s="309">
        <v>-228</v>
      </c>
    </row>
    <row r="40" spans="1:19" ht="45" x14ac:dyDescent="0.2">
      <c r="A40" s="305" t="s">
        <v>2725</v>
      </c>
      <c r="B40" s="306" t="s">
        <v>3943</v>
      </c>
      <c r="C40" s="307" t="s">
        <v>2726</v>
      </c>
      <c r="D40" s="306" t="s">
        <v>153</v>
      </c>
      <c r="E40" s="305" t="s">
        <v>421</v>
      </c>
      <c r="F40" s="335" t="s">
        <v>153</v>
      </c>
      <c r="G40" s="309">
        <v>0</v>
      </c>
      <c r="H40" s="309">
        <v>0</v>
      </c>
      <c r="I40" s="309">
        <v>0</v>
      </c>
      <c r="J40" s="309">
        <v>0</v>
      </c>
      <c r="K40" s="309">
        <v>0</v>
      </c>
      <c r="L40" s="317">
        <v>0</v>
      </c>
      <c r="M40" s="309">
        <v>172</v>
      </c>
      <c r="N40" s="309">
        <v>0</v>
      </c>
      <c r="O40" s="309">
        <v>0</v>
      </c>
      <c r="P40" s="309">
        <v>0</v>
      </c>
      <c r="Q40" s="309">
        <v>0</v>
      </c>
      <c r="R40" s="317">
        <v>172</v>
      </c>
      <c r="S40" s="309">
        <v>-172</v>
      </c>
    </row>
    <row r="41" spans="1:19" ht="45" x14ac:dyDescent="0.2">
      <c r="A41" s="305" t="s">
        <v>2279</v>
      </c>
      <c r="B41" s="306" t="s">
        <v>3943</v>
      </c>
      <c r="C41" s="307" t="s">
        <v>2280</v>
      </c>
      <c r="D41" s="306" t="s">
        <v>153</v>
      </c>
      <c r="E41" s="305" t="s">
        <v>421</v>
      </c>
      <c r="F41" s="335" t="s">
        <v>153</v>
      </c>
      <c r="G41" s="309">
        <v>0</v>
      </c>
      <c r="H41" s="309">
        <v>0</v>
      </c>
      <c r="I41" s="309">
        <v>0</v>
      </c>
      <c r="J41" s="309">
        <v>0</v>
      </c>
      <c r="K41" s="309">
        <v>0</v>
      </c>
      <c r="L41" s="317">
        <v>0</v>
      </c>
      <c r="M41" s="309">
        <v>414</v>
      </c>
      <c r="N41" s="309">
        <v>0</v>
      </c>
      <c r="O41" s="309">
        <v>0</v>
      </c>
      <c r="P41" s="309">
        <v>0</v>
      </c>
      <c r="Q41" s="309">
        <v>0</v>
      </c>
      <c r="R41" s="317">
        <v>414</v>
      </c>
      <c r="S41" s="309">
        <v>-414</v>
      </c>
    </row>
    <row r="42" spans="1:19" ht="22.5" x14ac:dyDescent="0.2">
      <c r="A42" s="305" t="s">
        <v>1845</v>
      </c>
      <c r="B42" s="306" t="s">
        <v>2907</v>
      </c>
      <c r="C42" s="307" t="s">
        <v>1846</v>
      </c>
      <c r="D42" s="306" t="s">
        <v>153</v>
      </c>
      <c r="E42" s="305" t="s">
        <v>3798</v>
      </c>
      <c r="F42" s="335" t="s">
        <v>153</v>
      </c>
      <c r="G42" s="309">
        <v>90</v>
      </c>
      <c r="H42" s="309">
        <v>0</v>
      </c>
      <c r="I42" s="309">
        <v>0</v>
      </c>
      <c r="J42" s="309">
        <v>0</v>
      </c>
      <c r="K42" s="309">
        <v>0</v>
      </c>
      <c r="L42" s="317">
        <v>90</v>
      </c>
      <c r="M42" s="309">
        <v>0</v>
      </c>
      <c r="N42" s="309">
        <v>0</v>
      </c>
      <c r="O42" s="309">
        <v>0</v>
      </c>
      <c r="P42" s="309">
        <v>0</v>
      </c>
      <c r="Q42" s="309">
        <v>0</v>
      </c>
      <c r="R42" s="317">
        <v>0</v>
      </c>
      <c r="S42" s="309">
        <v>90</v>
      </c>
    </row>
    <row r="43" spans="1:19" ht="45" x14ac:dyDescent="0.2">
      <c r="A43" s="305" t="s">
        <v>2740</v>
      </c>
      <c r="B43" s="306" t="s">
        <v>3943</v>
      </c>
      <c r="C43" s="307" t="s">
        <v>2741</v>
      </c>
      <c r="D43" s="306" t="s">
        <v>153</v>
      </c>
      <c r="E43" s="305" t="s">
        <v>421</v>
      </c>
      <c r="F43" s="335" t="s">
        <v>153</v>
      </c>
      <c r="G43" s="309">
        <v>0</v>
      </c>
      <c r="H43" s="309">
        <v>0</v>
      </c>
      <c r="I43" s="309">
        <v>0</v>
      </c>
      <c r="J43" s="309">
        <v>0</v>
      </c>
      <c r="K43" s="309">
        <v>0</v>
      </c>
      <c r="L43" s="317">
        <v>0</v>
      </c>
      <c r="M43" s="309">
        <v>195</v>
      </c>
      <c r="N43" s="309">
        <v>0</v>
      </c>
      <c r="O43" s="309">
        <v>0</v>
      </c>
      <c r="P43" s="309">
        <v>0</v>
      </c>
      <c r="Q43" s="309">
        <v>0</v>
      </c>
      <c r="R43" s="317">
        <v>195</v>
      </c>
      <c r="S43" s="309">
        <v>-195</v>
      </c>
    </row>
    <row r="44" spans="1:19" ht="22.5" x14ac:dyDescent="0.2">
      <c r="A44" s="305" t="s">
        <v>1645</v>
      </c>
      <c r="B44" s="306" t="s">
        <v>3944</v>
      </c>
      <c r="C44" s="307" t="s">
        <v>992</v>
      </c>
      <c r="D44" s="306" t="s">
        <v>153</v>
      </c>
      <c r="E44" s="305" t="s">
        <v>3798</v>
      </c>
      <c r="F44" s="335" t="s">
        <v>153</v>
      </c>
      <c r="G44" s="309">
        <v>0</v>
      </c>
      <c r="H44" s="309">
        <v>0</v>
      </c>
      <c r="I44" s="309">
        <v>0</v>
      </c>
      <c r="J44" s="309">
        <v>0</v>
      </c>
      <c r="K44" s="309">
        <v>3379</v>
      </c>
      <c r="L44" s="317">
        <v>3379</v>
      </c>
      <c r="M44" s="309">
        <v>0</v>
      </c>
      <c r="N44" s="309">
        <v>0</v>
      </c>
      <c r="O44" s="309">
        <v>0</v>
      </c>
      <c r="P44" s="309">
        <v>0</v>
      </c>
      <c r="Q44" s="309">
        <v>4224</v>
      </c>
      <c r="R44" s="317">
        <v>4224</v>
      </c>
      <c r="S44" s="309">
        <v>-845</v>
      </c>
    </row>
    <row r="45" spans="1:19" x14ac:dyDescent="0.2">
      <c r="A45" s="328" t="s">
        <v>95</v>
      </c>
      <c r="B45" s="329"/>
      <c r="C45" s="330"/>
      <c r="D45" s="329"/>
      <c r="E45" s="328"/>
      <c r="F45" s="349"/>
      <c r="G45" s="333">
        <v>3515</v>
      </c>
      <c r="H45" s="333">
        <v>0</v>
      </c>
      <c r="I45" s="333">
        <v>70</v>
      </c>
      <c r="J45" s="333">
        <v>0</v>
      </c>
      <c r="K45" s="333">
        <v>3419</v>
      </c>
      <c r="L45" s="334">
        <v>7004</v>
      </c>
      <c r="M45" s="333">
        <v>7490</v>
      </c>
      <c r="N45" s="333">
        <v>0</v>
      </c>
      <c r="O45" s="333">
        <v>389</v>
      </c>
      <c r="P45" s="333">
        <v>88</v>
      </c>
      <c r="Q45" s="333">
        <v>4560</v>
      </c>
      <c r="R45" s="334">
        <v>12527</v>
      </c>
      <c r="S45" s="333">
        <v>-5523</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55" priority="2" operator="equal">
      <formula>"(blank)"</formula>
    </cfRule>
  </conditionalFormatting>
  <conditionalFormatting sqref="F1:F1048576">
    <cfRule type="cellIs" dxfId="54"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S45"/>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 min="20" max="74" width="9.42578125" customWidth="1"/>
    <col min="75" max="75" width="10.28515625" customWidth="1"/>
    <col min="76" max="76" width="19" bestFit="1" customWidth="1"/>
  </cols>
  <sheetData>
    <row r="1" spans="1:19" x14ac:dyDescent="0.2">
      <c r="A1" s="77" t="s">
        <v>2939</v>
      </c>
      <c r="B1" s="446" t="s">
        <v>2938</v>
      </c>
    </row>
    <row r="2" spans="1:19" x14ac:dyDescent="0.2">
      <c r="A2" s="77" t="s">
        <v>2940</v>
      </c>
      <c r="B2" s="446" t="s">
        <v>3972</v>
      </c>
    </row>
    <row r="3" spans="1:19" x14ac:dyDescent="0.2">
      <c r="A3" s="77" t="s">
        <v>2941</v>
      </c>
      <c r="B3" s="446" t="s">
        <v>429</v>
      </c>
    </row>
    <row r="4" spans="1:19" x14ac:dyDescent="0.2">
      <c r="A4" s="77" t="s">
        <v>3968</v>
      </c>
      <c r="B4" s="446" t="s">
        <v>126</v>
      </c>
    </row>
    <row r="6" spans="1:19" x14ac:dyDescent="0.2">
      <c r="A6" s="77" t="s">
        <v>185</v>
      </c>
      <c r="B6" s="77" t="s">
        <v>3938</v>
      </c>
      <c r="C6" s="77" t="s">
        <v>2848</v>
      </c>
      <c r="D6" s="77" t="s">
        <v>2844</v>
      </c>
      <c r="E6" s="77" t="s">
        <v>3966</v>
      </c>
      <c r="F6" s="77" t="s">
        <v>13</v>
      </c>
      <c r="G6" s="446" t="s">
        <v>3955</v>
      </c>
      <c r="H6" s="446" t="s">
        <v>3956</v>
      </c>
      <c r="I6" s="446" t="s">
        <v>3957</v>
      </c>
      <c r="J6" s="446" t="s">
        <v>3958</v>
      </c>
      <c r="K6" s="446" t="s">
        <v>3959</v>
      </c>
      <c r="L6" s="446" t="s">
        <v>3960</v>
      </c>
      <c r="M6" s="446" t="s">
        <v>3961</v>
      </c>
      <c r="N6" s="446" t="s">
        <v>3962</v>
      </c>
      <c r="O6" s="446" t="s">
        <v>3963</v>
      </c>
      <c r="P6" s="446" t="s">
        <v>3964</v>
      </c>
      <c r="Q6" s="446" t="s">
        <v>3965</v>
      </c>
      <c r="R6" s="446" t="s">
        <v>2921</v>
      </c>
      <c r="S6" s="446" t="s">
        <v>2982</v>
      </c>
    </row>
    <row r="7" spans="1:19" x14ac:dyDescent="0.2">
      <c r="A7" s="446" t="s">
        <v>2642</v>
      </c>
      <c r="B7" s="446" t="s">
        <v>3944</v>
      </c>
      <c r="C7" s="446" t="s">
        <v>2643</v>
      </c>
      <c r="D7" s="446" t="s">
        <v>153</v>
      </c>
      <c r="E7" s="446" t="s">
        <v>3798</v>
      </c>
      <c r="F7" s="446" t="s">
        <v>153</v>
      </c>
      <c r="G7" s="74">
        <v>1305</v>
      </c>
      <c r="H7" s="74">
        <v>0</v>
      </c>
      <c r="I7" s="74">
        <v>0</v>
      </c>
      <c r="J7" s="74">
        <v>0</v>
      </c>
      <c r="K7" s="74">
        <v>0</v>
      </c>
      <c r="L7" s="74">
        <v>1305</v>
      </c>
      <c r="M7" s="74">
        <v>0</v>
      </c>
      <c r="N7" s="74">
        <v>0</v>
      </c>
      <c r="O7" s="74">
        <v>0</v>
      </c>
      <c r="P7" s="74">
        <v>0</v>
      </c>
      <c r="Q7" s="74">
        <v>0</v>
      </c>
      <c r="R7" s="74">
        <v>0</v>
      </c>
      <c r="S7" s="74">
        <v>1305</v>
      </c>
    </row>
    <row r="8" spans="1:19" x14ac:dyDescent="0.2">
      <c r="A8" s="446" t="s">
        <v>2494</v>
      </c>
      <c r="B8" s="446" t="s">
        <v>3945</v>
      </c>
      <c r="C8" s="446" t="s">
        <v>2496</v>
      </c>
      <c r="D8" s="446" t="s">
        <v>153</v>
      </c>
      <c r="E8" s="446" t="s">
        <v>3798</v>
      </c>
      <c r="F8" s="446" t="s">
        <v>153</v>
      </c>
      <c r="G8" s="74">
        <v>0</v>
      </c>
      <c r="H8" s="74">
        <v>0</v>
      </c>
      <c r="I8" s="74">
        <v>0</v>
      </c>
      <c r="J8" s="74">
        <v>0</v>
      </c>
      <c r="K8" s="74">
        <v>0</v>
      </c>
      <c r="L8" s="74">
        <v>0</v>
      </c>
      <c r="M8" s="74">
        <v>427</v>
      </c>
      <c r="N8" s="74">
        <v>0</v>
      </c>
      <c r="O8" s="74">
        <v>0</v>
      </c>
      <c r="P8" s="74">
        <v>0</v>
      </c>
      <c r="Q8" s="74">
        <v>0</v>
      </c>
      <c r="R8" s="74">
        <v>427</v>
      </c>
      <c r="S8" s="74">
        <v>-427</v>
      </c>
    </row>
    <row r="9" spans="1:19" x14ac:dyDescent="0.2">
      <c r="A9" s="446" t="s">
        <v>2714</v>
      </c>
      <c r="B9" s="446" t="s">
        <v>3946</v>
      </c>
      <c r="C9" s="446" t="s">
        <v>2715</v>
      </c>
      <c r="D9" s="446" t="s">
        <v>153</v>
      </c>
      <c r="E9" s="446" t="s">
        <v>421</v>
      </c>
      <c r="F9" s="446" t="s">
        <v>153</v>
      </c>
      <c r="G9" s="74">
        <v>0</v>
      </c>
      <c r="H9" s="74">
        <v>0</v>
      </c>
      <c r="I9" s="74">
        <v>0</v>
      </c>
      <c r="J9" s="74">
        <v>0</v>
      </c>
      <c r="K9" s="74">
        <v>0</v>
      </c>
      <c r="L9" s="74">
        <v>0</v>
      </c>
      <c r="M9" s="74">
        <v>135</v>
      </c>
      <c r="N9" s="74">
        <v>0</v>
      </c>
      <c r="O9" s="74">
        <v>0</v>
      </c>
      <c r="P9" s="74">
        <v>0</v>
      </c>
      <c r="Q9" s="74">
        <v>0</v>
      </c>
      <c r="R9" s="74">
        <v>135</v>
      </c>
      <c r="S9" s="74">
        <v>-135</v>
      </c>
    </row>
    <row r="10" spans="1:19" x14ac:dyDescent="0.2">
      <c r="A10" s="446" t="s">
        <v>2699</v>
      </c>
      <c r="B10" s="446" t="s">
        <v>3946</v>
      </c>
      <c r="C10" s="446" t="s">
        <v>2700</v>
      </c>
      <c r="D10" s="446" t="s">
        <v>153</v>
      </c>
      <c r="E10" s="446" t="s">
        <v>3798</v>
      </c>
      <c r="F10" s="446" t="s">
        <v>153</v>
      </c>
      <c r="G10" s="74">
        <v>0</v>
      </c>
      <c r="H10" s="74">
        <v>0</v>
      </c>
      <c r="I10" s="74">
        <v>0</v>
      </c>
      <c r="J10" s="74">
        <v>0</v>
      </c>
      <c r="K10" s="74">
        <v>0</v>
      </c>
      <c r="L10" s="74">
        <v>0</v>
      </c>
      <c r="M10" s="74">
        <v>0</v>
      </c>
      <c r="N10" s="74">
        <v>0</v>
      </c>
      <c r="O10" s="74">
        <v>0</v>
      </c>
      <c r="P10" s="74">
        <v>88</v>
      </c>
      <c r="Q10" s="74">
        <v>0</v>
      </c>
      <c r="R10" s="74">
        <v>88</v>
      </c>
      <c r="S10" s="74">
        <v>-88</v>
      </c>
    </row>
    <row r="11" spans="1:19" x14ac:dyDescent="0.2">
      <c r="A11" s="446" t="s">
        <v>2917</v>
      </c>
      <c r="B11" s="446" t="s">
        <v>3952</v>
      </c>
      <c r="C11" s="446" t="s">
        <v>2723</v>
      </c>
      <c r="D11" s="446" t="s">
        <v>153</v>
      </c>
      <c r="E11" s="446" t="s">
        <v>3798</v>
      </c>
      <c r="F11" s="446" t="s">
        <v>153</v>
      </c>
      <c r="G11" s="74">
        <v>0</v>
      </c>
      <c r="H11" s="74">
        <v>0</v>
      </c>
      <c r="I11" s="74">
        <v>0</v>
      </c>
      <c r="J11" s="74">
        <v>0</v>
      </c>
      <c r="K11" s="74">
        <v>0</v>
      </c>
      <c r="L11" s="74">
        <v>0</v>
      </c>
      <c r="M11" s="74">
        <v>60</v>
      </c>
      <c r="N11" s="74">
        <v>0</v>
      </c>
      <c r="O11" s="74">
        <v>0</v>
      </c>
      <c r="P11" s="74">
        <v>0</v>
      </c>
      <c r="Q11" s="74">
        <v>0</v>
      </c>
      <c r="R11" s="74">
        <v>60</v>
      </c>
      <c r="S11" s="74">
        <v>-60</v>
      </c>
    </row>
    <row r="12" spans="1:19" x14ac:dyDescent="0.2">
      <c r="A12" s="446" t="s">
        <v>1957</v>
      </c>
      <c r="B12" s="446" t="s">
        <v>3946</v>
      </c>
      <c r="C12" s="446" t="s">
        <v>1958</v>
      </c>
      <c r="D12" s="446" t="s">
        <v>153</v>
      </c>
      <c r="E12" s="446" t="s">
        <v>3798</v>
      </c>
      <c r="F12" s="446" t="s">
        <v>153</v>
      </c>
      <c r="G12" s="74">
        <v>0</v>
      </c>
      <c r="H12" s="74">
        <v>0</v>
      </c>
      <c r="I12" s="74">
        <v>0</v>
      </c>
      <c r="J12" s="74">
        <v>0</v>
      </c>
      <c r="K12" s="74">
        <v>0</v>
      </c>
      <c r="L12" s="74">
        <v>0</v>
      </c>
      <c r="M12" s="74">
        <v>127</v>
      </c>
      <c r="N12" s="74">
        <v>0</v>
      </c>
      <c r="O12" s="74">
        <v>0</v>
      </c>
      <c r="P12" s="74">
        <v>0</v>
      </c>
      <c r="Q12" s="74">
        <v>0</v>
      </c>
      <c r="R12" s="74">
        <v>127</v>
      </c>
      <c r="S12" s="74">
        <v>-127</v>
      </c>
    </row>
    <row r="13" spans="1:19" x14ac:dyDescent="0.2">
      <c r="A13" s="446" t="s">
        <v>2750</v>
      </c>
      <c r="B13" s="446" t="s">
        <v>3943</v>
      </c>
      <c r="C13" s="446" t="s">
        <v>2751</v>
      </c>
      <c r="D13" s="446" t="s">
        <v>153</v>
      </c>
      <c r="E13" s="446" t="s">
        <v>3798</v>
      </c>
      <c r="F13" s="446" t="s">
        <v>153</v>
      </c>
      <c r="G13" s="74">
        <v>0</v>
      </c>
      <c r="H13" s="74">
        <v>0</v>
      </c>
      <c r="I13" s="74">
        <v>0</v>
      </c>
      <c r="J13" s="74">
        <v>0</v>
      </c>
      <c r="K13" s="74">
        <v>0</v>
      </c>
      <c r="L13" s="74">
        <v>0</v>
      </c>
      <c r="M13" s="74">
        <v>345</v>
      </c>
      <c r="N13" s="74">
        <v>0</v>
      </c>
      <c r="O13" s="74">
        <v>0</v>
      </c>
      <c r="P13" s="74">
        <v>0</v>
      </c>
      <c r="Q13" s="74">
        <v>0</v>
      </c>
      <c r="R13" s="74">
        <v>345</v>
      </c>
      <c r="S13" s="74">
        <v>-345</v>
      </c>
    </row>
    <row r="14" spans="1:19" x14ac:dyDescent="0.2">
      <c r="A14" s="446" t="s">
        <v>1858</v>
      </c>
      <c r="B14" s="446" t="s">
        <v>3946</v>
      </c>
      <c r="C14" s="446" t="s">
        <v>1859</v>
      </c>
      <c r="D14" s="446" t="s">
        <v>153</v>
      </c>
      <c r="E14" s="446" t="s">
        <v>3798</v>
      </c>
      <c r="F14" s="446" t="s">
        <v>153</v>
      </c>
      <c r="G14" s="74">
        <v>48</v>
      </c>
      <c r="H14" s="74">
        <v>0</v>
      </c>
      <c r="I14" s="74">
        <v>0</v>
      </c>
      <c r="J14" s="74">
        <v>0</v>
      </c>
      <c r="K14" s="74">
        <v>0</v>
      </c>
      <c r="L14" s="74">
        <v>48</v>
      </c>
      <c r="M14" s="74">
        <v>0</v>
      </c>
      <c r="N14" s="74">
        <v>0</v>
      </c>
      <c r="O14" s="74">
        <v>0</v>
      </c>
      <c r="P14" s="74">
        <v>0</v>
      </c>
      <c r="Q14" s="74">
        <v>0</v>
      </c>
      <c r="R14" s="74">
        <v>0</v>
      </c>
      <c r="S14" s="74">
        <v>48</v>
      </c>
    </row>
    <row r="15" spans="1:19" x14ac:dyDescent="0.2">
      <c r="A15" s="446" t="s">
        <v>2687</v>
      </c>
      <c r="B15" s="446" t="s">
        <v>149</v>
      </c>
      <c r="C15" s="446" t="s">
        <v>2688</v>
      </c>
      <c r="D15" s="446" t="s">
        <v>153</v>
      </c>
      <c r="E15" s="446" t="s">
        <v>3798</v>
      </c>
      <c r="F15" s="446" t="s">
        <v>153</v>
      </c>
      <c r="G15" s="74">
        <v>49</v>
      </c>
      <c r="H15" s="74">
        <v>0</v>
      </c>
      <c r="I15" s="74">
        <v>0</v>
      </c>
      <c r="J15" s="74">
        <v>0</v>
      </c>
      <c r="K15" s="74">
        <v>0</v>
      </c>
      <c r="L15" s="74">
        <v>49</v>
      </c>
      <c r="M15" s="74">
        <v>0</v>
      </c>
      <c r="N15" s="74">
        <v>0</v>
      </c>
      <c r="O15" s="74">
        <v>0</v>
      </c>
      <c r="P15" s="74">
        <v>0</v>
      </c>
      <c r="Q15" s="74">
        <v>0</v>
      </c>
      <c r="R15" s="74">
        <v>0</v>
      </c>
      <c r="S15" s="74">
        <v>49</v>
      </c>
    </row>
    <row r="16" spans="1:19" x14ac:dyDescent="0.2">
      <c r="A16" s="446" t="s">
        <v>1468</v>
      </c>
      <c r="B16" s="446" t="s">
        <v>2904</v>
      </c>
      <c r="C16" s="446" t="s">
        <v>1469</v>
      </c>
      <c r="D16" s="446" t="s">
        <v>153</v>
      </c>
      <c r="E16" s="446" t="s">
        <v>3798</v>
      </c>
      <c r="F16" s="446" t="s">
        <v>153</v>
      </c>
      <c r="G16" s="74">
        <v>0</v>
      </c>
      <c r="H16" s="74">
        <v>0</v>
      </c>
      <c r="I16" s="74">
        <v>0</v>
      </c>
      <c r="J16" s="74">
        <v>0</v>
      </c>
      <c r="K16" s="74">
        <v>0</v>
      </c>
      <c r="L16" s="74">
        <v>0</v>
      </c>
      <c r="M16" s="74">
        <v>0</v>
      </c>
      <c r="N16" s="74">
        <v>0</v>
      </c>
      <c r="O16" s="74">
        <v>0</v>
      </c>
      <c r="P16" s="74">
        <v>0</v>
      </c>
      <c r="Q16" s="74">
        <v>122</v>
      </c>
      <c r="R16" s="74">
        <v>122</v>
      </c>
      <c r="S16" s="74">
        <v>-122</v>
      </c>
    </row>
    <row r="17" spans="1:19" x14ac:dyDescent="0.2">
      <c r="A17" s="446" t="s">
        <v>1503</v>
      </c>
      <c r="B17" s="446" t="s">
        <v>3946</v>
      </c>
      <c r="C17" s="446" t="s">
        <v>1505</v>
      </c>
      <c r="D17" s="446" t="s">
        <v>153</v>
      </c>
      <c r="E17" s="446" t="s">
        <v>3798</v>
      </c>
      <c r="F17" s="446" t="s">
        <v>153</v>
      </c>
      <c r="G17" s="74">
        <v>431</v>
      </c>
      <c r="H17" s="74">
        <v>0</v>
      </c>
      <c r="I17" s="74">
        <v>0</v>
      </c>
      <c r="J17" s="74">
        <v>0</v>
      </c>
      <c r="K17" s="74">
        <v>0</v>
      </c>
      <c r="L17" s="74">
        <v>431</v>
      </c>
      <c r="M17" s="74">
        <v>460</v>
      </c>
      <c r="N17" s="74">
        <v>0</v>
      </c>
      <c r="O17" s="74">
        <v>0</v>
      </c>
      <c r="P17" s="74">
        <v>0</v>
      </c>
      <c r="Q17" s="74">
        <v>0</v>
      </c>
      <c r="R17" s="74">
        <v>460</v>
      </c>
      <c r="S17" s="74">
        <v>-29</v>
      </c>
    </row>
    <row r="18" spans="1:19" x14ac:dyDescent="0.2">
      <c r="A18" s="446" t="s">
        <v>2468</v>
      </c>
      <c r="B18" s="446" t="s">
        <v>3946</v>
      </c>
      <c r="C18" s="446" t="s">
        <v>2469</v>
      </c>
      <c r="D18" s="446" t="s">
        <v>153</v>
      </c>
      <c r="E18" s="446" t="s">
        <v>3798</v>
      </c>
      <c r="F18" s="446" t="s">
        <v>153</v>
      </c>
      <c r="G18" s="74">
        <v>35</v>
      </c>
      <c r="H18" s="74">
        <v>0</v>
      </c>
      <c r="I18" s="74">
        <v>0</v>
      </c>
      <c r="J18" s="74">
        <v>0</v>
      </c>
      <c r="K18" s="74">
        <v>0</v>
      </c>
      <c r="L18" s="74">
        <v>35</v>
      </c>
      <c r="M18" s="74">
        <v>100</v>
      </c>
      <c r="N18" s="74">
        <v>0</v>
      </c>
      <c r="O18" s="74">
        <v>0</v>
      </c>
      <c r="P18" s="74">
        <v>0</v>
      </c>
      <c r="Q18" s="74">
        <v>40</v>
      </c>
      <c r="R18" s="74">
        <v>140</v>
      </c>
      <c r="S18" s="74">
        <v>-105</v>
      </c>
    </row>
    <row r="19" spans="1:19" x14ac:dyDescent="0.2">
      <c r="A19" s="446" t="s">
        <v>1818</v>
      </c>
      <c r="B19" s="446" t="s">
        <v>3944</v>
      </c>
      <c r="C19" s="446" t="s">
        <v>1819</v>
      </c>
      <c r="D19" s="446" t="s">
        <v>153</v>
      </c>
      <c r="E19" s="446" t="s">
        <v>3798</v>
      </c>
      <c r="F19" s="446" t="s">
        <v>153</v>
      </c>
      <c r="G19" s="74">
        <v>0</v>
      </c>
      <c r="H19" s="74">
        <v>0</v>
      </c>
      <c r="I19" s="74">
        <v>0</v>
      </c>
      <c r="J19" s="74">
        <v>0</v>
      </c>
      <c r="K19" s="74">
        <v>0</v>
      </c>
      <c r="L19" s="74">
        <v>0</v>
      </c>
      <c r="M19" s="74">
        <v>0</v>
      </c>
      <c r="N19" s="74">
        <v>0</v>
      </c>
      <c r="O19" s="74">
        <v>0</v>
      </c>
      <c r="P19" s="74">
        <v>0</v>
      </c>
      <c r="Q19" s="74">
        <v>25</v>
      </c>
      <c r="R19" s="74">
        <v>25</v>
      </c>
      <c r="S19" s="74">
        <v>-25</v>
      </c>
    </row>
    <row r="20" spans="1:19" x14ac:dyDescent="0.2">
      <c r="A20" s="446" t="s">
        <v>2193</v>
      </c>
      <c r="B20" s="446" t="s">
        <v>2907</v>
      </c>
      <c r="C20" s="446" t="s">
        <v>2194</v>
      </c>
      <c r="D20" s="446" t="s">
        <v>153</v>
      </c>
      <c r="E20" s="446" t="s">
        <v>3798</v>
      </c>
      <c r="F20" s="446" t="s">
        <v>153</v>
      </c>
      <c r="G20" s="74">
        <v>345</v>
      </c>
      <c r="H20" s="74">
        <v>0</v>
      </c>
      <c r="I20" s="74">
        <v>0</v>
      </c>
      <c r="J20" s="74">
        <v>0</v>
      </c>
      <c r="K20" s="74">
        <v>0</v>
      </c>
      <c r="L20" s="74">
        <v>345</v>
      </c>
      <c r="M20" s="74">
        <v>0</v>
      </c>
      <c r="N20" s="74">
        <v>0</v>
      </c>
      <c r="O20" s="74">
        <v>323</v>
      </c>
      <c r="P20" s="74">
        <v>0</v>
      </c>
      <c r="Q20" s="74">
        <v>0</v>
      </c>
      <c r="R20" s="74">
        <v>323</v>
      </c>
      <c r="S20" s="74">
        <v>22</v>
      </c>
    </row>
    <row r="21" spans="1:19" x14ac:dyDescent="0.2">
      <c r="A21" s="446" t="s">
        <v>2645</v>
      </c>
      <c r="B21" s="446" t="s">
        <v>3944</v>
      </c>
      <c r="C21" s="446" t="s">
        <v>2646</v>
      </c>
      <c r="D21" s="446" t="s">
        <v>153</v>
      </c>
      <c r="E21" s="446" t="s">
        <v>3798</v>
      </c>
      <c r="F21" s="446" t="s">
        <v>153</v>
      </c>
      <c r="G21" s="74">
        <v>839</v>
      </c>
      <c r="H21" s="74">
        <v>0</v>
      </c>
      <c r="I21" s="74">
        <v>0</v>
      </c>
      <c r="J21" s="74">
        <v>0</v>
      </c>
      <c r="K21" s="74">
        <v>0</v>
      </c>
      <c r="L21" s="74">
        <v>839</v>
      </c>
      <c r="M21" s="74">
        <v>0</v>
      </c>
      <c r="N21" s="74">
        <v>0</v>
      </c>
      <c r="O21" s="74">
        <v>0</v>
      </c>
      <c r="P21" s="74">
        <v>0</v>
      </c>
      <c r="Q21" s="74">
        <v>0</v>
      </c>
      <c r="R21" s="74">
        <v>0</v>
      </c>
      <c r="S21" s="74">
        <v>839</v>
      </c>
    </row>
    <row r="22" spans="1:19" x14ac:dyDescent="0.2">
      <c r="A22" s="446" t="s">
        <v>1398</v>
      </c>
      <c r="B22" s="446" t="s">
        <v>3944</v>
      </c>
      <c r="C22" s="446" t="s">
        <v>1188</v>
      </c>
      <c r="D22" s="446" t="s">
        <v>153</v>
      </c>
      <c r="E22" s="446" t="s">
        <v>3798</v>
      </c>
      <c r="F22" s="446" t="s">
        <v>153</v>
      </c>
      <c r="G22" s="74">
        <v>106</v>
      </c>
      <c r="H22" s="74">
        <v>0</v>
      </c>
      <c r="I22" s="74">
        <v>0</v>
      </c>
      <c r="J22" s="74">
        <v>0</v>
      </c>
      <c r="K22" s="74">
        <v>0</v>
      </c>
      <c r="L22" s="74">
        <v>106</v>
      </c>
      <c r="M22" s="74">
        <v>821</v>
      </c>
      <c r="N22" s="74">
        <v>0</v>
      </c>
      <c r="O22" s="74">
        <v>0</v>
      </c>
      <c r="P22" s="74">
        <v>0</v>
      </c>
      <c r="Q22" s="74">
        <v>0</v>
      </c>
      <c r="R22" s="74">
        <v>821</v>
      </c>
      <c r="S22" s="74">
        <v>-715</v>
      </c>
    </row>
    <row r="23" spans="1:19" x14ac:dyDescent="0.2">
      <c r="A23" s="446" t="s">
        <v>2696</v>
      </c>
      <c r="B23" s="446" t="s">
        <v>3943</v>
      </c>
      <c r="C23" s="446" t="s">
        <v>2697</v>
      </c>
      <c r="D23" s="446" t="s">
        <v>153</v>
      </c>
      <c r="E23" s="446" t="s">
        <v>3798</v>
      </c>
      <c r="F23" s="446" t="s">
        <v>153</v>
      </c>
      <c r="G23" s="74">
        <v>58</v>
      </c>
      <c r="H23" s="74">
        <v>0</v>
      </c>
      <c r="I23" s="74">
        <v>0</v>
      </c>
      <c r="J23" s="74">
        <v>0</v>
      </c>
      <c r="K23" s="74">
        <v>0</v>
      </c>
      <c r="L23" s="74">
        <v>58</v>
      </c>
      <c r="M23" s="74">
        <v>72</v>
      </c>
      <c r="N23" s="74">
        <v>0</v>
      </c>
      <c r="O23" s="74">
        <v>0</v>
      </c>
      <c r="P23" s="74">
        <v>0</v>
      </c>
      <c r="Q23" s="74">
        <v>0</v>
      </c>
      <c r="R23" s="74">
        <v>72</v>
      </c>
      <c r="S23" s="74">
        <v>-14</v>
      </c>
    </row>
    <row r="24" spans="1:19" x14ac:dyDescent="0.2">
      <c r="A24" s="446" t="s">
        <v>2512</v>
      </c>
      <c r="B24" s="446" t="s">
        <v>2904</v>
      </c>
      <c r="C24" s="446" t="s">
        <v>2513</v>
      </c>
      <c r="D24" s="446" t="s">
        <v>153</v>
      </c>
      <c r="E24" s="446" t="s">
        <v>3798</v>
      </c>
      <c r="F24" s="446" t="s">
        <v>153</v>
      </c>
      <c r="G24" s="74">
        <v>48</v>
      </c>
      <c r="H24" s="74">
        <v>0</v>
      </c>
      <c r="I24" s="74">
        <v>0</v>
      </c>
      <c r="J24" s="74">
        <v>0</v>
      </c>
      <c r="K24" s="74">
        <v>0</v>
      </c>
      <c r="L24" s="74">
        <v>48</v>
      </c>
      <c r="M24" s="74">
        <v>0</v>
      </c>
      <c r="N24" s="74">
        <v>0</v>
      </c>
      <c r="O24" s="74">
        <v>0</v>
      </c>
      <c r="P24" s="74">
        <v>0</v>
      </c>
      <c r="Q24" s="74">
        <v>0</v>
      </c>
      <c r="R24" s="74">
        <v>0</v>
      </c>
      <c r="S24" s="74">
        <v>48</v>
      </c>
    </row>
    <row r="25" spans="1:19" x14ac:dyDescent="0.2">
      <c r="A25" s="446" t="s">
        <v>2524</v>
      </c>
      <c r="B25" s="446" t="s">
        <v>150</v>
      </c>
      <c r="C25" s="446" t="s">
        <v>2525</v>
      </c>
      <c r="D25" s="446" t="s">
        <v>153</v>
      </c>
      <c r="E25" s="446" t="s">
        <v>3798</v>
      </c>
      <c r="F25" s="446" t="s">
        <v>153</v>
      </c>
      <c r="G25" s="74">
        <v>0</v>
      </c>
      <c r="H25" s="74">
        <v>0</v>
      </c>
      <c r="I25" s="74">
        <v>70</v>
      </c>
      <c r="J25" s="74">
        <v>0</v>
      </c>
      <c r="K25" s="74">
        <v>0</v>
      </c>
      <c r="L25" s="74">
        <v>70</v>
      </c>
      <c r="M25" s="74">
        <v>0</v>
      </c>
      <c r="N25" s="74">
        <v>0</v>
      </c>
      <c r="O25" s="74">
        <v>0</v>
      </c>
      <c r="P25" s="74">
        <v>0</v>
      </c>
      <c r="Q25" s="74">
        <v>0</v>
      </c>
      <c r="R25" s="74">
        <v>0</v>
      </c>
      <c r="S25" s="74">
        <v>70</v>
      </c>
    </row>
    <row r="26" spans="1:19" x14ac:dyDescent="0.2">
      <c r="C26" s="446" t="s">
        <v>2527</v>
      </c>
      <c r="D26" s="446" t="s">
        <v>153</v>
      </c>
      <c r="E26" s="446" t="s">
        <v>3798</v>
      </c>
      <c r="F26" s="446" t="s">
        <v>153</v>
      </c>
      <c r="G26" s="74">
        <v>0</v>
      </c>
      <c r="H26" s="74">
        <v>0</v>
      </c>
      <c r="I26" s="74">
        <v>0</v>
      </c>
      <c r="J26" s="74">
        <v>0</v>
      </c>
      <c r="K26" s="74">
        <v>0</v>
      </c>
      <c r="L26" s="74">
        <v>0</v>
      </c>
      <c r="M26" s="74">
        <v>0</v>
      </c>
      <c r="N26" s="74">
        <v>0</v>
      </c>
      <c r="O26" s="74">
        <v>66</v>
      </c>
      <c r="P26" s="74">
        <v>0</v>
      </c>
      <c r="Q26" s="74">
        <v>0</v>
      </c>
      <c r="R26" s="74">
        <v>66</v>
      </c>
      <c r="S26" s="74">
        <v>-66</v>
      </c>
    </row>
    <row r="27" spans="1:19" x14ac:dyDescent="0.2">
      <c r="A27" s="446" t="s">
        <v>2360</v>
      </c>
      <c r="B27" s="446" t="s">
        <v>2907</v>
      </c>
      <c r="C27" s="446" t="s">
        <v>2361</v>
      </c>
      <c r="D27" s="446" t="s">
        <v>153</v>
      </c>
      <c r="E27" s="446" t="s">
        <v>3798</v>
      </c>
      <c r="F27" s="446" t="s">
        <v>153</v>
      </c>
      <c r="G27" s="74">
        <v>0</v>
      </c>
      <c r="H27" s="74">
        <v>0</v>
      </c>
      <c r="I27" s="74">
        <v>0</v>
      </c>
      <c r="J27" s="74">
        <v>0</v>
      </c>
      <c r="K27" s="74">
        <v>0</v>
      </c>
      <c r="L27" s="74">
        <v>0</v>
      </c>
      <c r="M27" s="74">
        <v>0</v>
      </c>
      <c r="N27" s="74">
        <v>0</v>
      </c>
      <c r="O27" s="74">
        <v>0</v>
      </c>
      <c r="P27" s="74">
        <v>0</v>
      </c>
      <c r="Q27" s="74">
        <v>29</v>
      </c>
      <c r="R27" s="74">
        <v>29</v>
      </c>
      <c r="S27" s="74">
        <v>-29</v>
      </c>
    </row>
    <row r="28" spans="1:19" x14ac:dyDescent="0.2">
      <c r="A28" s="446" t="s">
        <v>2775</v>
      </c>
      <c r="B28" s="446" t="s">
        <v>3943</v>
      </c>
      <c r="C28" s="446" t="s">
        <v>2776</v>
      </c>
      <c r="D28" s="446" t="s">
        <v>153</v>
      </c>
      <c r="E28" s="446" t="s">
        <v>421</v>
      </c>
      <c r="F28" s="446" t="s">
        <v>153</v>
      </c>
      <c r="G28" s="74">
        <v>0</v>
      </c>
      <c r="H28" s="74">
        <v>0</v>
      </c>
      <c r="I28" s="74">
        <v>0</v>
      </c>
      <c r="J28" s="74">
        <v>0</v>
      </c>
      <c r="K28" s="74">
        <v>0</v>
      </c>
      <c r="L28" s="74">
        <v>0</v>
      </c>
      <c r="M28" s="74">
        <v>3200</v>
      </c>
      <c r="N28" s="74">
        <v>0</v>
      </c>
      <c r="O28" s="74">
        <v>0</v>
      </c>
      <c r="P28" s="74">
        <v>0</v>
      </c>
      <c r="Q28" s="74">
        <v>0</v>
      </c>
      <c r="R28" s="74">
        <v>3200</v>
      </c>
      <c r="S28" s="74">
        <v>-3200</v>
      </c>
    </row>
    <row r="29" spans="1:19" x14ac:dyDescent="0.2">
      <c r="A29" s="446" t="s">
        <v>1454</v>
      </c>
      <c r="B29" s="446" t="s">
        <v>2904</v>
      </c>
      <c r="C29" s="446" t="s">
        <v>1455</v>
      </c>
      <c r="D29" s="446" t="s">
        <v>153</v>
      </c>
      <c r="E29" s="446" t="s">
        <v>3798</v>
      </c>
      <c r="F29" s="446" t="s">
        <v>153</v>
      </c>
      <c r="G29" s="74">
        <v>0</v>
      </c>
      <c r="H29" s="74">
        <v>0</v>
      </c>
      <c r="I29" s="74">
        <v>0</v>
      </c>
      <c r="J29" s="74">
        <v>0</v>
      </c>
      <c r="K29" s="74">
        <v>0</v>
      </c>
      <c r="L29" s="74">
        <v>0</v>
      </c>
      <c r="M29" s="74">
        <v>72</v>
      </c>
      <c r="N29" s="74">
        <v>0</v>
      </c>
      <c r="O29" s="74">
        <v>0</v>
      </c>
      <c r="P29" s="74">
        <v>0</v>
      </c>
      <c r="Q29" s="74">
        <v>0</v>
      </c>
      <c r="R29" s="74">
        <v>72</v>
      </c>
      <c r="S29" s="74">
        <v>-72</v>
      </c>
    </row>
    <row r="30" spans="1:19" x14ac:dyDescent="0.2">
      <c r="A30" s="446" t="s">
        <v>2392</v>
      </c>
      <c r="B30" s="446" t="s">
        <v>3941</v>
      </c>
      <c r="C30" s="446" t="s">
        <v>2393</v>
      </c>
      <c r="D30" s="446" t="s">
        <v>153</v>
      </c>
      <c r="E30" s="446" t="s">
        <v>3798</v>
      </c>
      <c r="F30" s="446" t="s">
        <v>153</v>
      </c>
      <c r="G30" s="74">
        <v>0</v>
      </c>
      <c r="H30" s="74">
        <v>0</v>
      </c>
      <c r="I30" s="74">
        <v>0</v>
      </c>
      <c r="J30" s="74">
        <v>0</v>
      </c>
      <c r="K30" s="74">
        <v>40</v>
      </c>
      <c r="L30" s="74">
        <v>40</v>
      </c>
      <c r="M30" s="74">
        <v>0</v>
      </c>
      <c r="N30" s="74">
        <v>0</v>
      </c>
      <c r="O30" s="74">
        <v>0</v>
      </c>
      <c r="P30" s="74">
        <v>0</v>
      </c>
      <c r="Q30" s="74">
        <v>16</v>
      </c>
      <c r="R30" s="74">
        <v>16</v>
      </c>
      <c r="S30" s="74">
        <v>24</v>
      </c>
    </row>
    <row r="31" spans="1:19" x14ac:dyDescent="0.2">
      <c r="A31" s="446" t="s">
        <v>1588</v>
      </c>
      <c r="B31" s="446" t="s">
        <v>3943</v>
      </c>
      <c r="C31" s="446" t="s">
        <v>1589</v>
      </c>
      <c r="D31" s="446" t="s">
        <v>153</v>
      </c>
      <c r="E31" s="446" t="s">
        <v>3798</v>
      </c>
      <c r="F31" s="446" t="s">
        <v>153</v>
      </c>
      <c r="G31" s="74">
        <v>20</v>
      </c>
      <c r="H31" s="74">
        <v>0</v>
      </c>
      <c r="I31" s="74">
        <v>0</v>
      </c>
      <c r="J31" s="74">
        <v>0</v>
      </c>
      <c r="K31" s="74">
        <v>0</v>
      </c>
      <c r="L31" s="74">
        <v>20</v>
      </c>
      <c r="M31" s="74">
        <v>0</v>
      </c>
      <c r="N31" s="74">
        <v>0</v>
      </c>
      <c r="O31" s="74">
        <v>0</v>
      </c>
      <c r="P31" s="74">
        <v>0</v>
      </c>
      <c r="Q31" s="74">
        <v>0</v>
      </c>
      <c r="R31" s="74">
        <v>0</v>
      </c>
      <c r="S31" s="74">
        <v>20</v>
      </c>
    </row>
    <row r="32" spans="1:19" x14ac:dyDescent="0.2">
      <c r="A32" s="446" t="s">
        <v>2571</v>
      </c>
      <c r="B32" s="446" t="s">
        <v>3943</v>
      </c>
      <c r="C32" s="446" t="s">
        <v>2572</v>
      </c>
      <c r="D32" s="446" t="s">
        <v>153</v>
      </c>
      <c r="E32" s="446" t="s">
        <v>3798</v>
      </c>
      <c r="F32" s="446" t="s">
        <v>153</v>
      </c>
      <c r="G32" s="74">
        <v>0</v>
      </c>
      <c r="H32" s="74">
        <v>0</v>
      </c>
      <c r="I32" s="74">
        <v>0</v>
      </c>
      <c r="J32" s="74">
        <v>0</v>
      </c>
      <c r="K32" s="74">
        <v>0</v>
      </c>
      <c r="L32" s="74">
        <v>0</v>
      </c>
      <c r="M32" s="74">
        <v>0</v>
      </c>
      <c r="N32" s="74">
        <v>0</v>
      </c>
      <c r="O32" s="74">
        <v>0</v>
      </c>
      <c r="P32" s="74">
        <v>0</v>
      </c>
      <c r="Q32" s="74">
        <v>104</v>
      </c>
      <c r="R32" s="74">
        <v>104</v>
      </c>
      <c r="S32" s="74">
        <v>-104</v>
      </c>
    </row>
    <row r="33" spans="1:19" x14ac:dyDescent="0.2">
      <c r="A33" s="446" t="s">
        <v>2648</v>
      </c>
      <c r="B33" s="446" t="s">
        <v>3951</v>
      </c>
      <c r="C33" s="446" t="s">
        <v>2649</v>
      </c>
      <c r="D33" s="446" t="s">
        <v>153</v>
      </c>
      <c r="E33" s="446" t="s">
        <v>3798</v>
      </c>
      <c r="F33" s="446" t="s">
        <v>153</v>
      </c>
      <c r="G33" s="74">
        <v>141</v>
      </c>
      <c r="H33" s="74">
        <v>0</v>
      </c>
      <c r="I33" s="74">
        <v>0</v>
      </c>
      <c r="J33" s="74">
        <v>0</v>
      </c>
      <c r="K33" s="74">
        <v>0</v>
      </c>
      <c r="L33" s="74">
        <v>141</v>
      </c>
      <c r="M33" s="74">
        <v>0</v>
      </c>
      <c r="N33" s="74">
        <v>0</v>
      </c>
      <c r="O33" s="74">
        <v>0</v>
      </c>
      <c r="P33" s="74">
        <v>0</v>
      </c>
      <c r="Q33" s="74">
        <v>0</v>
      </c>
      <c r="R33" s="74">
        <v>0</v>
      </c>
      <c r="S33" s="74">
        <v>141</v>
      </c>
    </row>
    <row r="34" spans="1:19" x14ac:dyDescent="0.2">
      <c r="A34" s="446" t="s">
        <v>2737</v>
      </c>
      <c r="B34" s="446" t="s">
        <v>3943</v>
      </c>
      <c r="C34" s="446" t="s">
        <v>2738</v>
      </c>
      <c r="D34" s="446" t="s">
        <v>153</v>
      </c>
      <c r="E34" s="446" t="s">
        <v>421</v>
      </c>
      <c r="F34" s="446" t="s">
        <v>153</v>
      </c>
      <c r="G34" s="74">
        <v>0</v>
      </c>
      <c r="H34" s="74">
        <v>0</v>
      </c>
      <c r="I34" s="74">
        <v>0</v>
      </c>
      <c r="J34" s="74">
        <v>0</v>
      </c>
      <c r="K34" s="74">
        <v>0</v>
      </c>
      <c r="L34" s="74">
        <v>0</v>
      </c>
      <c r="M34" s="74">
        <v>125</v>
      </c>
      <c r="N34" s="74">
        <v>0</v>
      </c>
      <c r="O34" s="74">
        <v>0</v>
      </c>
      <c r="P34" s="74">
        <v>0</v>
      </c>
      <c r="Q34" s="74">
        <v>0</v>
      </c>
      <c r="R34" s="74">
        <v>125</v>
      </c>
      <c r="S34" s="74">
        <v>-125</v>
      </c>
    </row>
    <row r="35" spans="1:19" x14ac:dyDescent="0.2">
      <c r="A35" s="446" t="s">
        <v>2734</v>
      </c>
      <c r="B35" s="446" t="s">
        <v>3943</v>
      </c>
      <c r="C35" s="446" t="s">
        <v>2735</v>
      </c>
      <c r="D35" s="446" t="s">
        <v>153</v>
      </c>
      <c r="E35" s="446" t="s">
        <v>421</v>
      </c>
      <c r="F35" s="446" t="s">
        <v>153</v>
      </c>
      <c r="G35" s="74">
        <v>0</v>
      </c>
      <c r="H35" s="74">
        <v>0</v>
      </c>
      <c r="I35" s="74">
        <v>0</v>
      </c>
      <c r="J35" s="74">
        <v>0</v>
      </c>
      <c r="K35" s="74">
        <v>0</v>
      </c>
      <c r="L35" s="74">
        <v>0</v>
      </c>
      <c r="M35" s="74">
        <v>123</v>
      </c>
      <c r="N35" s="74">
        <v>0</v>
      </c>
      <c r="O35" s="74">
        <v>0</v>
      </c>
      <c r="P35" s="74">
        <v>0</v>
      </c>
      <c r="Q35" s="74">
        <v>0</v>
      </c>
      <c r="R35" s="74">
        <v>123</v>
      </c>
      <c r="S35" s="74">
        <v>-123</v>
      </c>
    </row>
    <row r="36" spans="1:19" x14ac:dyDescent="0.2">
      <c r="A36" s="446" t="s">
        <v>2731</v>
      </c>
      <c r="B36" s="446" t="s">
        <v>3943</v>
      </c>
      <c r="C36" s="446" t="s">
        <v>2732</v>
      </c>
      <c r="D36" s="446" t="s">
        <v>153</v>
      </c>
      <c r="E36" s="446" t="s">
        <v>421</v>
      </c>
      <c r="F36" s="446" t="s">
        <v>153</v>
      </c>
      <c r="G36" s="74">
        <v>0</v>
      </c>
      <c r="H36" s="74">
        <v>0</v>
      </c>
      <c r="I36" s="74">
        <v>0</v>
      </c>
      <c r="J36" s="74">
        <v>0</v>
      </c>
      <c r="K36" s="74">
        <v>0</v>
      </c>
      <c r="L36" s="74">
        <v>0</v>
      </c>
      <c r="M36" s="74">
        <v>155</v>
      </c>
      <c r="N36" s="74">
        <v>0</v>
      </c>
      <c r="O36" s="74">
        <v>0</v>
      </c>
      <c r="P36" s="74">
        <v>0</v>
      </c>
      <c r="Q36" s="74">
        <v>0</v>
      </c>
      <c r="R36" s="74">
        <v>155</v>
      </c>
      <c r="S36" s="74">
        <v>-155</v>
      </c>
    </row>
    <row r="37" spans="1:19" x14ac:dyDescent="0.2">
      <c r="A37" s="446" t="s">
        <v>2728</v>
      </c>
      <c r="B37" s="446" t="s">
        <v>3943</v>
      </c>
      <c r="C37" s="446" t="s">
        <v>2729</v>
      </c>
      <c r="D37" s="446" t="s">
        <v>153</v>
      </c>
      <c r="E37" s="446" t="s">
        <v>421</v>
      </c>
      <c r="F37" s="446" t="s">
        <v>153</v>
      </c>
      <c r="G37" s="74">
        <v>0</v>
      </c>
      <c r="H37" s="74">
        <v>0</v>
      </c>
      <c r="I37" s="74">
        <v>0</v>
      </c>
      <c r="J37" s="74">
        <v>0</v>
      </c>
      <c r="K37" s="74">
        <v>0</v>
      </c>
      <c r="L37" s="74">
        <v>0</v>
      </c>
      <c r="M37" s="74">
        <v>170</v>
      </c>
      <c r="N37" s="74">
        <v>0</v>
      </c>
      <c r="O37" s="74">
        <v>0</v>
      </c>
      <c r="P37" s="74">
        <v>0</v>
      </c>
      <c r="Q37" s="74">
        <v>0</v>
      </c>
      <c r="R37" s="74">
        <v>170</v>
      </c>
      <c r="S37" s="74">
        <v>-170</v>
      </c>
    </row>
    <row r="38" spans="1:19" x14ac:dyDescent="0.2">
      <c r="A38" s="446" t="s">
        <v>1929</v>
      </c>
      <c r="B38" s="446" t="s">
        <v>3943</v>
      </c>
      <c r="C38" s="446" t="s">
        <v>1930</v>
      </c>
      <c r="D38" s="446" t="s">
        <v>153</v>
      </c>
      <c r="E38" s="446" t="s">
        <v>421</v>
      </c>
      <c r="F38" s="446" t="s">
        <v>153</v>
      </c>
      <c r="G38" s="74">
        <v>0</v>
      </c>
      <c r="H38" s="74">
        <v>0</v>
      </c>
      <c r="I38" s="74">
        <v>0</v>
      </c>
      <c r="J38" s="74">
        <v>0</v>
      </c>
      <c r="K38" s="74">
        <v>0</v>
      </c>
      <c r="L38" s="74">
        <v>0</v>
      </c>
      <c r="M38" s="74">
        <v>89</v>
      </c>
      <c r="N38" s="74">
        <v>0</v>
      </c>
      <c r="O38" s="74">
        <v>0</v>
      </c>
      <c r="P38" s="74">
        <v>0</v>
      </c>
      <c r="Q38" s="74">
        <v>0</v>
      </c>
      <c r="R38" s="74">
        <v>89</v>
      </c>
      <c r="S38" s="74">
        <v>-89</v>
      </c>
    </row>
    <row r="39" spans="1:19" x14ac:dyDescent="0.2">
      <c r="A39" s="446" t="s">
        <v>1907</v>
      </c>
      <c r="B39" s="446" t="s">
        <v>3943</v>
      </c>
      <c r="C39" s="446" t="s">
        <v>1908</v>
      </c>
      <c r="D39" s="446" t="s">
        <v>153</v>
      </c>
      <c r="E39" s="446" t="s">
        <v>421</v>
      </c>
      <c r="F39" s="446" t="s">
        <v>153</v>
      </c>
      <c r="G39" s="74">
        <v>0</v>
      </c>
      <c r="H39" s="74">
        <v>0</v>
      </c>
      <c r="I39" s="74">
        <v>0</v>
      </c>
      <c r="J39" s="74">
        <v>0</v>
      </c>
      <c r="K39" s="74">
        <v>0</v>
      </c>
      <c r="L39" s="74">
        <v>0</v>
      </c>
      <c r="M39" s="74">
        <v>228</v>
      </c>
      <c r="N39" s="74">
        <v>0</v>
      </c>
      <c r="O39" s="74">
        <v>0</v>
      </c>
      <c r="P39" s="74">
        <v>0</v>
      </c>
      <c r="Q39" s="74">
        <v>0</v>
      </c>
      <c r="R39" s="74">
        <v>228</v>
      </c>
      <c r="S39" s="74">
        <v>-228</v>
      </c>
    </row>
    <row r="40" spans="1:19" x14ac:dyDescent="0.2">
      <c r="A40" s="446" t="s">
        <v>2725</v>
      </c>
      <c r="B40" s="446" t="s">
        <v>3943</v>
      </c>
      <c r="C40" s="446" t="s">
        <v>2726</v>
      </c>
      <c r="D40" s="446" t="s">
        <v>153</v>
      </c>
      <c r="E40" s="446" t="s">
        <v>421</v>
      </c>
      <c r="F40" s="446" t="s">
        <v>153</v>
      </c>
      <c r="G40" s="74">
        <v>0</v>
      </c>
      <c r="H40" s="74">
        <v>0</v>
      </c>
      <c r="I40" s="74">
        <v>0</v>
      </c>
      <c r="J40" s="74">
        <v>0</v>
      </c>
      <c r="K40" s="74">
        <v>0</v>
      </c>
      <c r="L40" s="74">
        <v>0</v>
      </c>
      <c r="M40" s="74">
        <v>172</v>
      </c>
      <c r="N40" s="74">
        <v>0</v>
      </c>
      <c r="O40" s="74">
        <v>0</v>
      </c>
      <c r="P40" s="74">
        <v>0</v>
      </c>
      <c r="Q40" s="74">
        <v>0</v>
      </c>
      <c r="R40" s="74">
        <v>172</v>
      </c>
      <c r="S40" s="74">
        <v>-172</v>
      </c>
    </row>
    <row r="41" spans="1:19" x14ac:dyDescent="0.2">
      <c r="A41" s="446" t="s">
        <v>2279</v>
      </c>
      <c r="B41" s="446" t="s">
        <v>3943</v>
      </c>
      <c r="C41" s="446" t="s">
        <v>2280</v>
      </c>
      <c r="D41" s="446" t="s">
        <v>153</v>
      </c>
      <c r="E41" s="446" t="s">
        <v>421</v>
      </c>
      <c r="F41" s="446" t="s">
        <v>153</v>
      </c>
      <c r="G41" s="74">
        <v>0</v>
      </c>
      <c r="H41" s="74">
        <v>0</v>
      </c>
      <c r="I41" s="74">
        <v>0</v>
      </c>
      <c r="J41" s="74">
        <v>0</v>
      </c>
      <c r="K41" s="74">
        <v>0</v>
      </c>
      <c r="L41" s="74">
        <v>0</v>
      </c>
      <c r="M41" s="74">
        <v>414</v>
      </c>
      <c r="N41" s="74">
        <v>0</v>
      </c>
      <c r="O41" s="74">
        <v>0</v>
      </c>
      <c r="P41" s="74">
        <v>0</v>
      </c>
      <c r="Q41" s="74">
        <v>0</v>
      </c>
      <c r="R41" s="74">
        <v>414</v>
      </c>
      <c r="S41" s="74">
        <v>-414</v>
      </c>
    </row>
    <row r="42" spans="1:19" x14ac:dyDescent="0.2">
      <c r="A42" s="446" t="s">
        <v>1845</v>
      </c>
      <c r="B42" s="446" t="s">
        <v>2907</v>
      </c>
      <c r="C42" s="446" t="s">
        <v>1846</v>
      </c>
      <c r="D42" s="446" t="s">
        <v>153</v>
      </c>
      <c r="E42" s="446" t="s">
        <v>3798</v>
      </c>
      <c r="F42" s="446" t="s">
        <v>153</v>
      </c>
      <c r="G42" s="74">
        <v>90</v>
      </c>
      <c r="H42" s="74">
        <v>0</v>
      </c>
      <c r="I42" s="74">
        <v>0</v>
      </c>
      <c r="J42" s="74">
        <v>0</v>
      </c>
      <c r="K42" s="74">
        <v>0</v>
      </c>
      <c r="L42" s="74">
        <v>90</v>
      </c>
      <c r="M42" s="74">
        <v>0</v>
      </c>
      <c r="N42" s="74">
        <v>0</v>
      </c>
      <c r="O42" s="74">
        <v>0</v>
      </c>
      <c r="P42" s="74">
        <v>0</v>
      </c>
      <c r="Q42" s="74">
        <v>0</v>
      </c>
      <c r="R42" s="74">
        <v>0</v>
      </c>
      <c r="S42" s="74">
        <v>90</v>
      </c>
    </row>
    <row r="43" spans="1:19" x14ac:dyDescent="0.2">
      <c r="A43" s="446" t="s">
        <v>2740</v>
      </c>
      <c r="B43" s="446" t="s">
        <v>3943</v>
      </c>
      <c r="C43" s="446" t="s">
        <v>2741</v>
      </c>
      <c r="D43" s="446" t="s">
        <v>153</v>
      </c>
      <c r="E43" s="446" t="s">
        <v>421</v>
      </c>
      <c r="F43" s="446" t="s">
        <v>153</v>
      </c>
      <c r="G43" s="74">
        <v>0</v>
      </c>
      <c r="H43" s="74">
        <v>0</v>
      </c>
      <c r="I43" s="74">
        <v>0</v>
      </c>
      <c r="J43" s="74">
        <v>0</v>
      </c>
      <c r="K43" s="74">
        <v>0</v>
      </c>
      <c r="L43" s="74">
        <v>0</v>
      </c>
      <c r="M43" s="74">
        <v>195</v>
      </c>
      <c r="N43" s="74">
        <v>0</v>
      </c>
      <c r="O43" s="74">
        <v>0</v>
      </c>
      <c r="P43" s="74">
        <v>0</v>
      </c>
      <c r="Q43" s="74">
        <v>0</v>
      </c>
      <c r="R43" s="74">
        <v>195</v>
      </c>
      <c r="S43" s="74">
        <v>-195</v>
      </c>
    </row>
    <row r="44" spans="1:19" x14ac:dyDescent="0.2">
      <c r="A44" s="446" t="s">
        <v>1645</v>
      </c>
      <c r="B44" s="446" t="s">
        <v>3944</v>
      </c>
      <c r="C44" s="446" t="s">
        <v>992</v>
      </c>
      <c r="D44" s="446" t="s">
        <v>153</v>
      </c>
      <c r="E44" s="446" t="s">
        <v>3798</v>
      </c>
      <c r="F44" s="446" t="s">
        <v>153</v>
      </c>
      <c r="G44" s="74">
        <v>0</v>
      </c>
      <c r="H44" s="74">
        <v>0</v>
      </c>
      <c r="I44" s="74">
        <v>0</v>
      </c>
      <c r="J44" s="74">
        <v>0</v>
      </c>
      <c r="K44" s="74">
        <v>3379</v>
      </c>
      <c r="L44" s="74">
        <v>3379</v>
      </c>
      <c r="M44" s="74">
        <v>0</v>
      </c>
      <c r="N44" s="74">
        <v>0</v>
      </c>
      <c r="O44" s="74">
        <v>0</v>
      </c>
      <c r="P44" s="74">
        <v>0</v>
      </c>
      <c r="Q44" s="74">
        <v>4224</v>
      </c>
      <c r="R44" s="74">
        <v>4224</v>
      </c>
      <c r="S44" s="74">
        <v>-845</v>
      </c>
    </row>
    <row r="45" spans="1:19" x14ac:dyDescent="0.2">
      <c r="A45" s="446" t="s">
        <v>95</v>
      </c>
      <c r="G45" s="74">
        <v>3515</v>
      </c>
      <c r="H45" s="74">
        <v>0</v>
      </c>
      <c r="I45" s="74">
        <v>70</v>
      </c>
      <c r="J45" s="74">
        <v>0</v>
      </c>
      <c r="K45" s="74">
        <v>3419</v>
      </c>
      <c r="L45" s="74">
        <v>7004</v>
      </c>
      <c r="M45" s="74">
        <v>7490</v>
      </c>
      <c r="N45" s="74">
        <v>0</v>
      </c>
      <c r="O45" s="74">
        <v>389</v>
      </c>
      <c r="P45" s="74">
        <v>88</v>
      </c>
      <c r="Q45" s="74">
        <v>4560</v>
      </c>
      <c r="R45" s="74">
        <v>12527</v>
      </c>
      <c r="S45" s="74">
        <v>-5523</v>
      </c>
    </row>
  </sheetData>
  <conditionalFormatting sqref="D1:D1048576">
    <cfRule type="cellIs" dxfId="53"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S16"/>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0.85546875" style="305" customWidth="1"/>
    <col min="6" max="6" width="8.85546875" style="335" customWidth="1"/>
    <col min="7" max="7" width="6.7109375" style="309" customWidth="1"/>
    <col min="8" max="11" width="6.28515625" style="309" customWidth="1"/>
    <col min="12" max="12" width="6.7109375" style="317" customWidth="1"/>
    <col min="13" max="13" width="6.7109375" style="309" customWidth="1"/>
    <col min="14" max="17" width="6.28515625" style="309" customWidth="1"/>
    <col min="18" max="18" width="6.7109375" style="317" customWidth="1"/>
    <col min="19" max="19" width="6.7109375" style="309" customWidth="1"/>
    <col min="20" max="16384" width="9.140625" style="301"/>
  </cols>
  <sheetData>
    <row r="1" spans="1:19" ht="15.75" x14ac:dyDescent="0.2">
      <c r="A1" s="336" t="s">
        <v>3937</v>
      </c>
      <c r="B1" s="337"/>
      <c r="C1" s="338"/>
      <c r="D1" s="337"/>
      <c r="E1" s="339"/>
      <c r="F1" s="348"/>
      <c r="G1" s="340"/>
      <c r="H1" s="340"/>
      <c r="I1" s="340"/>
      <c r="J1" s="340"/>
      <c r="K1" s="340"/>
      <c r="L1" s="340"/>
      <c r="M1" s="340"/>
      <c r="N1" s="340"/>
      <c r="O1" s="340"/>
      <c r="P1" s="340"/>
      <c r="Q1" s="340"/>
      <c r="R1" s="340"/>
      <c r="S1" s="340"/>
    </row>
    <row r="2" spans="1:19" ht="12" customHeight="1" x14ac:dyDescent="0.2">
      <c r="A2" s="341" t="s">
        <v>3997</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26" t="s">
        <v>185</v>
      </c>
      <c r="B4" s="828" t="s">
        <v>3938</v>
      </c>
      <c r="C4" s="827" t="s">
        <v>2848</v>
      </c>
      <c r="D4" s="828" t="s">
        <v>3973</v>
      </c>
      <c r="E4" s="826" t="s">
        <v>3970</v>
      </c>
      <c r="F4" s="837"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28"/>
      <c r="E5" s="826"/>
      <c r="F5" s="837"/>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28"/>
      <c r="E6" s="826"/>
      <c r="F6" s="837"/>
      <c r="G6" s="304" t="s">
        <v>97</v>
      </c>
      <c r="H6" s="304" t="s">
        <v>98</v>
      </c>
      <c r="I6" s="304" t="s">
        <v>99</v>
      </c>
      <c r="J6" s="304" t="s">
        <v>100</v>
      </c>
      <c r="K6" s="304" t="s">
        <v>101</v>
      </c>
      <c r="L6" s="537" t="s">
        <v>95</v>
      </c>
      <c r="M6" s="304" t="s">
        <v>97</v>
      </c>
      <c r="N6" s="304" t="s">
        <v>98</v>
      </c>
      <c r="O6" s="304" t="s">
        <v>99</v>
      </c>
      <c r="P6" s="304" t="s">
        <v>100</v>
      </c>
      <c r="Q6" s="304" t="s">
        <v>101</v>
      </c>
      <c r="R6" s="537" t="s">
        <v>95</v>
      </c>
      <c r="S6" s="835"/>
    </row>
    <row r="7" spans="1:19" ht="56.25" x14ac:dyDescent="0.2">
      <c r="A7" s="344" t="s">
        <v>1514</v>
      </c>
      <c r="B7" s="342" t="s">
        <v>3947</v>
      </c>
      <c r="C7" s="343" t="s">
        <v>1515</v>
      </c>
      <c r="D7" s="342" t="s">
        <v>153</v>
      </c>
      <c r="E7" s="344" t="s">
        <v>3798</v>
      </c>
      <c r="F7" s="345">
        <v>43031</v>
      </c>
      <c r="G7" s="346">
        <v>0</v>
      </c>
      <c r="H7" s="346">
        <v>0</v>
      </c>
      <c r="I7" s="346">
        <v>0</v>
      </c>
      <c r="J7" s="346">
        <v>0</v>
      </c>
      <c r="K7" s="346">
        <v>0</v>
      </c>
      <c r="L7" s="347">
        <v>0</v>
      </c>
      <c r="M7" s="346">
        <v>561</v>
      </c>
      <c r="N7" s="346">
        <v>0</v>
      </c>
      <c r="O7" s="346">
        <v>0</v>
      </c>
      <c r="P7" s="346">
        <v>0</v>
      </c>
      <c r="Q7" s="346">
        <v>0</v>
      </c>
      <c r="R7" s="347">
        <v>561</v>
      </c>
      <c r="S7" s="346">
        <v>-561</v>
      </c>
    </row>
    <row r="8" spans="1:19" ht="22.5" x14ac:dyDescent="0.2">
      <c r="A8" s="305" t="s">
        <v>1328</v>
      </c>
      <c r="B8" s="306" t="s">
        <v>2904</v>
      </c>
      <c r="C8" s="307" t="s">
        <v>1296</v>
      </c>
      <c r="D8" s="306" t="s">
        <v>153</v>
      </c>
      <c r="E8" s="305" t="s">
        <v>3798</v>
      </c>
      <c r="F8" s="335">
        <v>42870</v>
      </c>
      <c r="G8" s="309">
        <v>230</v>
      </c>
      <c r="H8" s="309">
        <v>0</v>
      </c>
      <c r="I8" s="309">
        <v>0</v>
      </c>
      <c r="J8" s="309">
        <v>0</v>
      </c>
      <c r="K8" s="309">
        <v>0</v>
      </c>
      <c r="L8" s="317">
        <v>230</v>
      </c>
      <c r="M8" s="309">
        <v>230</v>
      </c>
      <c r="N8" s="309">
        <v>0</v>
      </c>
      <c r="O8" s="309">
        <v>0</v>
      </c>
      <c r="P8" s="309">
        <v>0</v>
      </c>
      <c r="Q8" s="309">
        <v>0</v>
      </c>
      <c r="R8" s="317">
        <v>230</v>
      </c>
      <c r="S8" s="309">
        <v>0</v>
      </c>
    </row>
    <row r="9" spans="1:19" ht="22.5" x14ac:dyDescent="0.2">
      <c r="A9" s="305" t="s">
        <v>2808</v>
      </c>
      <c r="B9" s="306" t="s">
        <v>3943</v>
      </c>
      <c r="C9" s="307" t="s">
        <v>2809</v>
      </c>
      <c r="D9" s="306" t="s">
        <v>2811</v>
      </c>
      <c r="E9" s="305" t="s">
        <v>3798</v>
      </c>
      <c r="F9" s="335">
        <v>42681</v>
      </c>
      <c r="G9" s="309">
        <v>0</v>
      </c>
      <c r="H9" s="309">
        <v>0</v>
      </c>
      <c r="I9" s="309">
        <v>0</v>
      </c>
      <c r="J9" s="309">
        <v>0</v>
      </c>
      <c r="K9" s="309">
        <v>22</v>
      </c>
      <c r="L9" s="317">
        <v>22</v>
      </c>
      <c r="M9" s="309">
        <v>0</v>
      </c>
      <c r="N9" s="309">
        <v>0</v>
      </c>
      <c r="O9" s="309">
        <v>0</v>
      </c>
      <c r="P9" s="309">
        <v>0</v>
      </c>
      <c r="Q9" s="309">
        <v>0</v>
      </c>
      <c r="R9" s="317">
        <v>0</v>
      </c>
      <c r="S9" s="309">
        <v>22</v>
      </c>
    </row>
    <row r="10" spans="1:19" x14ac:dyDescent="0.2">
      <c r="D10" s="306" t="s">
        <v>2813</v>
      </c>
      <c r="E10" s="305" t="s">
        <v>3798</v>
      </c>
      <c r="F10" s="335">
        <v>42681</v>
      </c>
      <c r="G10" s="309">
        <v>74</v>
      </c>
      <c r="H10" s="309">
        <v>0</v>
      </c>
      <c r="I10" s="309">
        <v>0</v>
      </c>
      <c r="J10" s="309">
        <v>0</v>
      </c>
      <c r="K10" s="309">
        <v>0</v>
      </c>
      <c r="L10" s="317">
        <v>74</v>
      </c>
      <c r="M10" s="309">
        <v>0</v>
      </c>
      <c r="N10" s="309">
        <v>0</v>
      </c>
      <c r="O10" s="309">
        <v>0</v>
      </c>
      <c r="P10" s="309">
        <v>0</v>
      </c>
      <c r="Q10" s="309">
        <v>0</v>
      </c>
      <c r="R10" s="317">
        <v>0</v>
      </c>
      <c r="S10" s="309">
        <v>74</v>
      </c>
    </row>
    <row r="11" spans="1:19" s="319" customFormat="1" ht="33.75" x14ac:dyDescent="0.2">
      <c r="A11" s="321" t="s">
        <v>1981</v>
      </c>
      <c r="B11" s="322" t="s">
        <v>3940</v>
      </c>
      <c r="C11" s="323" t="s">
        <v>467</v>
      </c>
      <c r="D11" s="322" t="s">
        <v>153</v>
      </c>
      <c r="E11" s="321" t="s">
        <v>3798</v>
      </c>
      <c r="F11" s="352">
        <v>42165</v>
      </c>
      <c r="G11" s="326">
        <v>52</v>
      </c>
      <c r="H11" s="326">
        <v>0</v>
      </c>
      <c r="I11" s="326">
        <v>0</v>
      </c>
      <c r="J11" s="326">
        <v>0</v>
      </c>
      <c r="K11" s="326">
        <v>0</v>
      </c>
      <c r="L11" s="327">
        <v>52</v>
      </c>
      <c r="M11" s="326">
        <v>0</v>
      </c>
      <c r="N11" s="326">
        <v>0</v>
      </c>
      <c r="O11" s="326">
        <v>0</v>
      </c>
      <c r="P11" s="326">
        <v>0</v>
      </c>
      <c r="Q11" s="326">
        <v>0</v>
      </c>
      <c r="R11" s="327">
        <v>0</v>
      </c>
      <c r="S11" s="326">
        <v>52</v>
      </c>
    </row>
    <row r="12" spans="1:19" ht="33.75" x14ac:dyDescent="0.2">
      <c r="A12" s="305" t="s">
        <v>1634</v>
      </c>
      <c r="B12" s="306" t="s">
        <v>3940</v>
      </c>
      <c r="C12" s="307" t="s">
        <v>1635</v>
      </c>
      <c r="D12" s="306" t="s">
        <v>153</v>
      </c>
      <c r="E12" s="305" t="s">
        <v>3798</v>
      </c>
      <c r="F12" s="335" t="s">
        <v>153</v>
      </c>
      <c r="G12" s="309">
        <v>504</v>
      </c>
      <c r="H12" s="309">
        <v>0</v>
      </c>
      <c r="I12" s="309">
        <v>0</v>
      </c>
      <c r="J12" s="309">
        <v>0</v>
      </c>
      <c r="K12" s="309">
        <v>0</v>
      </c>
      <c r="L12" s="317">
        <v>504</v>
      </c>
      <c r="M12" s="309">
        <v>0</v>
      </c>
      <c r="N12" s="309">
        <v>0</v>
      </c>
      <c r="O12" s="309">
        <v>0</v>
      </c>
      <c r="P12" s="309">
        <v>0</v>
      </c>
      <c r="Q12" s="309">
        <v>0</v>
      </c>
      <c r="R12" s="317">
        <v>0</v>
      </c>
      <c r="S12" s="309">
        <v>504</v>
      </c>
    </row>
    <row r="13" spans="1:19" ht="22.5" x14ac:dyDescent="0.2">
      <c r="A13" s="305" t="s">
        <v>2497</v>
      </c>
      <c r="B13" s="306" t="s">
        <v>3943</v>
      </c>
      <c r="C13" s="307" t="s">
        <v>2498</v>
      </c>
      <c r="D13" s="306" t="s">
        <v>153</v>
      </c>
      <c r="E13" s="305" t="s">
        <v>422</v>
      </c>
      <c r="F13" s="335">
        <v>42912</v>
      </c>
      <c r="G13" s="309">
        <v>70</v>
      </c>
      <c r="H13" s="309">
        <v>0</v>
      </c>
      <c r="I13" s="309">
        <v>0</v>
      </c>
      <c r="J13" s="309">
        <v>0</v>
      </c>
      <c r="K13" s="309">
        <v>0</v>
      </c>
      <c r="L13" s="317">
        <v>70</v>
      </c>
      <c r="M13" s="309">
        <v>0</v>
      </c>
      <c r="N13" s="309">
        <v>0</v>
      </c>
      <c r="O13" s="309">
        <v>0</v>
      </c>
      <c r="P13" s="309">
        <v>0</v>
      </c>
      <c r="Q13" s="309">
        <v>0</v>
      </c>
      <c r="R13" s="317">
        <v>0</v>
      </c>
      <c r="S13" s="309">
        <v>70</v>
      </c>
    </row>
    <row r="14" spans="1:19" x14ac:dyDescent="0.2">
      <c r="A14" s="305" t="s">
        <v>2166</v>
      </c>
      <c r="B14" s="306" t="s">
        <v>3946</v>
      </c>
      <c r="C14" s="307" t="s">
        <v>2167</v>
      </c>
      <c r="D14" s="306" t="s">
        <v>153</v>
      </c>
      <c r="E14" s="305" t="s">
        <v>3798</v>
      </c>
      <c r="F14" s="335" t="s">
        <v>153</v>
      </c>
      <c r="G14" s="309">
        <v>0</v>
      </c>
      <c r="H14" s="309">
        <v>0</v>
      </c>
      <c r="I14" s="309">
        <v>0</v>
      </c>
      <c r="J14" s="309">
        <v>0</v>
      </c>
      <c r="K14" s="309">
        <v>0</v>
      </c>
      <c r="L14" s="317">
        <v>0</v>
      </c>
      <c r="M14" s="309">
        <v>0</v>
      </c>
      <c r="N14" s="309">
        <v>0</v>
      </c>
      <c r="O14" s="309">
        <v>0</v>
      </c>
      <c r="P14" s="309">
        <v>0</v>
      </c>
      <c r="Q14" s="309">
        <v>1013</v>
      </c>
      <c r="R14" s="317">
        <v>1013</v>
      </c>
      <c r="S14" s="309">
        <v>-1013</v>
      </c>
    </row>
    <row r="15" spans="1:19" ht="22.5" x14ac:dyDescent="0.2">
      <c r="A15" s="305" t="s">
        <v>1645</v>
      </c>
      <c r="B15" s="306" t="s">
        <v>3944</v>
      </c>
      <c r="C15" s="307" t="s">
        <v>761</v>
      </c>
      <c r="D15" s="306" t="s">
        <v>153</v>
      </c>
      <c r="E15" s="305" t="s">
        <v>3798</v>
      </c>
      <c r="F15" s="335">
        <v>42697</v>
      </c>
      <c r="G15" s="309">
        <v>0</v>
      </c>
      <c r="H15" s="309">
        <v>0</v>
      </c>
      <c r="I15" s="309">
        <v>0</v>
      </c>
      <c r="J15" s="309">
        <v>0</v>
      </c>
      <c r="K15" s="309">
        <v>4475</v>
      </c>
      <c r="L15" s="317">
        <v>4475</v>
      </c>
      <c r="M15" s="309">
        <v>0</v>
      </c>
      <c r="N15" s="309">
        <v>0</v>
      </c>
      <c r="O15" s="309">
        <v>0</v>
      </c>
      <c r="P15" s="309">
        <v>0</v>
      </c>
      <c r="Q15" s="309">
        <v>6675</v>
      </c>
      <c r="R15" s="317">
        <v>6675</v>
      </c>
      <c r="S15" s="309">
        <v>-2200</v>
      </c>
    </row>
    <row r="16" spans="1:19" s="320" customFormat="1" x14ac:dyDescent="0.2">
      <c r="A16" s="328" t="s">
        <v>95</v>
      </c>
      <c r="B16" s="329"/>
      <c r="C16" s="330"/>
      <c r="D16" s="329"/>
      <c r="E16" s="328"/>
      <c r="F16" s="349"/>
      <c r="G16" s="333">
        <v>930</v>
      </c>
      <c r="H16" s="333">
        <v>0</v>
      </c>
      <c r="I16" s="333">
        <v>0</v>
      </c>
      <c r="J16" s="333">
        <v>0</v>
      </c>
      <c r="K16" s="333">
        <v>4497</v>
      </c>
      <c r="L16" s="334">
        <v>5427</v>
      </c>
      <c r="M16" s="333">
        <v>791</v>
      </c>
      <c r="N16" s="333">
        <v>0</v>
      </c>
      <c r="O16" s="333">
        <v>0</v>
      </c>
      <c r="P16" s="333">
        <v>0</v>
      </c>
      <c r="Q16" s="333">
        <v>7688</v>
      </c>
      <c r="R16" s="334">
        <v>8479</v>
      </c>
      <c r="S16" s="333">
        <v>-3052</v>
      </c>
    </row>
  </sheetData>
  <mergeCells count="10">
    <mergeCell ref="G4:S4"/>
    <mergeCell ref="G5:L5"/>
    <mergeCell ref="M5:R5"/>
    <mergeCell ref="S5:S6"/>
    <mergeCell ref="A4:A6"/>
    <mergeCell ref="B4:B6"/>
    <mergeCell ref="C4:C6"/>
    <mergeCell ref="D4:D6"/>
    <mergeCell ref="E4:E6"/>
    <mergeCell ref="F4:F6"/>
  </mergeCells>
  <conditionalFormatting sqref="D1:D1048576 F1:F1048576">
    <cfRule type="cellIs" dxfId="51" priority="2"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S15"/>
  <sheetViews>
    <sheetView workbookViewId="0"/>
  </sheetViews>
  <sheetFormatPr defaultRowHeight="12" x14ac:dyDescent="0.2"/>
  <cols>
    <col min="1" max="1" width="107.42578125" bestFit="1" customWidth="1"/>
    <col min="2" max="4" width="14.42578125" bestFit="1" customWidth="1"/>
    <col min="5" max="5" width="13.42578125" bestFit="1" customWidth="1"/>
    <col min="6" max="9" width="14.42578125" bestFit="1" customWidth="1"/>
    <col min="10" max="11" width="13.42578125" bestFit="1" customWidth="1"/>
    <col min="12" max="12" width="16.85546875" bestFit="1" customWidth="1"/>
    <col min="13" max="15" width="14.85546875" bestFit="1" customWidth="1"/>
    <col min="16" max="17" width="13.85546875" bestFit="1" customWidth="1"/>
    <col min="18" max="18" width="17.42578125" bestFit="1" customWidth="1"/>
    <col min="19" max="19" width="16" bestFit="1" customWidth="1"/>
  </cols>
  <sheetData>
    <row r="1" spans="1:19" x14ac:dyDescent="0.2">
      <c r="A1" s="77" t="s">
        <v>2939</v>
      </c>
      <c r="B1" s="446" t="s">
        <v>429</v>
      </c>
    </row>
    <row r="2" spans="1:19" x14ac:dyDescent="0.2">
      <c r="A2" s="77" t="s">
        <v>2940</v>
      </c>
      <c r="B2" s="446" t="s">
        <v>429</v>
      </c>
    </row>
    <row r="3" spans="1:19" x14ac:dyDescent="0.2">
      <c r="A3" s="77" t="s">
        <v>3968</v>
      </c>
      <c r="B3" s="446" t="s">
        <v>126</v>
      </c>
    </row>
    <row r="5" spans="1:19" x14ac:dyDescent="0.2">
      <c r="A5" s="77" t="s">
        <v>185</v>
      </c>
      <c r="B5" s="77" t="s">
        <v>3938</v>
      </c>
      <c r="C5" s="77" t="s">
        <v>2848</v>
      </c>
      <c r="D5" s="77" t="s">
        <v>2844</v>
      </c>
      <c r="E5" s="77" t="s">
        <v>3966</v>
      </c>
      <c r="F5" s="77" t="s">
        <v>13</v>
      </c>
      <c r="G5" s="446" t="s">
        <v>3955</v>
      </c>
      <c r="H5" s="446" t="s">
        <v>3956</v>
      </c>
      <c r="I5" s="446" t="s">
        <v>3957</v>
      </c>
      <c r="J5" s="446" t="s">
        <v>3958</v>
      </c>
      <c r="K5" s="446" t="s">
        <v>3959</v>
      </c>
      <c r="L5" s="446" t="s">
        <v>3960</v>
      </c>
      <c r="M5" s="446" t="s">
        <v>3961</v>
      </c>
      <c r="N5" s="446" t="s">
        <v>3962</v>
      </c>
      <c r="O5" s="446" t="s">
        <v>3963</v>
      </c>
      <c r="P5" s="446" t="s">
        <v>3964</v>
      </c>
      <c r="Q5" s="446" t="s">
        <v>3965</v>
      </c>
      <c r="R5" s="446" t="s">
        <v>2921</v>
      </c>
      <c r="S5" s="446" t="s">
        <v>2982</v>
      </c>
    </row>
    <row r="6" spans="1:19" x14ac:dyDescent="0.2">
      <c r="A6" s="446" t="s">
        <v>1514</v>
      </c>
      <c r="B6" s="446" t="s">
        <v>3947</v>
      </c>
      <c r="C6" s="446" t="s">
        <v>1515</v>
      </c>
      <c r="D6" s="446" t="s">
        <v>153</v>
      </c>
      <c r="E6" s="446" t="s">
        <v>3798</v>
      </c>
      <c r="F6" s="298">
        <v>43031</v>
      </c>
      <c r="G6" s="297">
        <v>0</v>
      </c>
      <c r="H6" s="297">
        <v>0</v>
      </c>
      <c r="I6" s="297">
        <v>0</v>
      </c>
      <c r="J6" s="297">
        <v>0</v>
      </c>
      <c r="K6" s="297">
        <v>0</v>
      </c>
      <c r="L6" s="297">
        <v>0</v>
      </c>
      <c r="M6" s="297">
        <v>561</v>
      </c>
      <c r="N6" s="297">
        <v>0</v>
      </c>
      <c r="O6" s="297">
        <v>0</v>
      </c>
      <c r="P6" s="297">
        <v>0</v>
      </c>
      <c r="Q6" s="297">
        <v>0</v>
      </c>
      <c r="R6" s="297">
        <v>561</v>
      </c>
      <c r="S6" s="297">
        <v>-561</v>
      </c>
    </row>
    <row r="7" spans="1:19" x14ac:dyDescent="0.2">
      <c r="A7" s="446" t="s">
        <v>1328</v>
      </c>
      <c r="B7" s="446" t="s">
        <v>2904</v>
      </c>
      <c r="C7" s="446" t="s">
        <v>1296</v>
      </c>
      <c r="D7" s="446" t="s">
        <v>153</v>
      </c>
      <c r="E7" s="446" t="s">
        <v>3798</v>
      </c>
      <c r="F7" s="298">
        <v>42870</v>
      </c>
      <c r="G7" s="297">
        <v>230</v>
      </c>
      <c r="H7" s="297">
        <v>0</v>
      </c>
      <c r="I7" s="297">
        <v>0</v>
      </c>
      <c r="J7" s="297">
        <v>0</v>
      </c>
      <c r="K7" s="297">
        <v>0</v>
      </c>
      <c r="L7" s="297">
        <v>230</v>
      </c>
      <c r="M7" s="297">
        <v>230</v>
      </c>
      <c r="N7" s="297">
        <v>0</v>
      </c>
      <c r="O7" s="297">
        <v>0</v>
      </c>
      <c r="P7" s="297">
        <v>0</v>
      </c>
      <c r="Q7" s="297">
        <v>0</v>
      </c>
      <c r="R7" s="297">
        <v>230</v>
      </c>
      <c r="S7" s="297">
        <v>0</v>
      </c>
    </row>
    <row r="8" spans="1:19" x14ac:dyDescent="0.2">
      <c r="A8" s="446" t="s">
        <v>2808</v>
      </c>
      <c r="B8" s="446" t="s">
        <v>3943</v>
      </c>
      <c r="C8" s="446" t="s">
        <v>2809</v>
      </c>
      <c r="D8" s="446" t="s">
        <v>2811</v>
      </c>
      <c r="E8" s="446" t="s">
        <v>3798</v>
      </c>
      <c r="F8" s="298">
        <v>42681</v>
      </c>
      <c r="G8" s="297">
        <v>0</v>
      </c>
      <c r="H8" s="297">
        <v>0</v>
      </c>
      <c r="I8" s="297">
        <v>0</v>
      </c>
      <c r="J8" s="297">
        <v>0</v>
      </c>
      <c r="K8" s="297">
        <v>22</v>
      </c>
      <c r="L8" s="297">
        <v>22</v>
      </c>
      <c r="M8" s="297">
        <v>0</v>
      </c>
      <c r="N8" s="297">
        <v>0</v>
      </c>
      <c r="O8" s="297">
        <v>0</v>
      </c>
      <c r="P8" s="297">
        <v>0</v>
      </c>
      <c r="Q8" s="297">
        <v>0</v>
      </c>
      <c r="R8" s="297">
        <v>0</v>
      </c>
      <c r="S8" s="297">
        <v>22</v>
      </c>
    </row>
    <row r="9" spans="1:19" x14ac:dyDescent="0.2">
      <c r="D9" s="446" t="s">
        <v>2813</v>
      </c>
      <c r="E9" s="446" t="s">
        <v>3798</v>
      </c>
      <c r="F9" s="298">
        <v>42681</v>
      </c>
      <c r="G9" s="297">
        <v>74</v>
      </c>
      <c r="H9" s="297">
        <v>0</v>
      </c>
      <c r="I9" s="297">
        <v>0</v>
      </c>
      <c r="J9" s="297">
        <v>0</v>
      </c>
      <c r="K9" s="297">
        <v>0</v>
      </c>
      <c r="L9" s="297">
        <v>74</v>
      </c>
      <c r="M9" s="297">
        <v>0</v>
      </c>
      <c r="N9" s="297">
        <v>0</v>
      </c>
      <c r="O9" s="297">
        <v>0</v>
      </c>
      <c r="P9" s="297">
        <v>0</v>
      </c>
      <c r="Q9" s="297">
        <v>0</v>
      </c>
      <c r="R9" s="297">
        <v>0</v>
      </c>
      <c r="S9" s="297">
        <v>74</v>
      </c>
    </row>
    <row r="10" spans="1:19" x14ac:dyDescent="0.2">
      <c r="A10" s="446" t="s">
        <v>1981</v>
      </c>
      <c r="B10" s="446" t="s">
        <v>3940</v>
      </c>
      <c r="C10" s="446" t="s">
        <v>467</v>
      </c>
      <c r="D10" s="446" t="s">
        <v>153</v>
      </c>
      <c r="E10" s="446" t="s">
        <v>3798</v>
      </c>
      <c r="F10" s="298">
        <v>42165</v>
      </c>
      <c r="G10" s="297">
        <v>52</v>
      </c>
      <c r="H10" s="297">
        <v>0</v>
      </c>
      <c r="I10" s="297">
        <v>0</v>
      </c>
      <c r="J10" s="297">
        <v>0</v>
      </c>
      <c r="K10" s="297">
        <v>0</v>
      </c>
      <c r="L10" s="297">
        <v>52</v>
      </c>
      <c r="M10" s="297">
        <v>0</v>
      </c>
      <c r="N10" s="297">
        <v>0</v>
      </c>
      <c r="O10" s="297">
        <v>0</v>
      </c>
      <c r="P10" s="297">
        <v>0</v>
      </c>
      <c r="Q10" s="297">
        <v>0</v>
      </c>
      <c r="R10" s="297">
        <v>0</v>
      </c>
      <c r="S10" s="297">
        <v>52</v>
      </c>
    </row>
    <row r="11" spans="1:19" x14ac:dyDescent="0.2">
      <c r="A11" s="446" t="s">
        <v>1634</v>
      </c>
      <c r="B11" s="446" t="s">
        <v>3940</v>
      </c>
      <c r="C11" s="446" t="s">
        <v>1635</v>
      </c>
      <c r="D11" s="446" t="s">
        <v>153</v>
      </c>
      <c r="E11" s="446" t="s">
        <v>3798</v>
      </c>
      <c r="F11" s="446" t="s">
        <v>153</v>
      </c>
      <c r="G11" s="297">
        <v>504</v>
      </c>
      <c r="H11" s="297">
        <v>0</v>
      </c>
      <c r="I11" s="297">
        <v>0</v>
      </c>
      <c r="J11" s="297">
        <v>0</v>
      </c>
      <c r="K11" s="297">
        <v>0</v>
      </c>
      <c r="L11" s="297">
        <v>504</v>
      </c>
      <c r="M11" s="297">
        <v>0</v>
      </c>
      <c r="N11" s="297">
        <v>0</v>
      </c>
      <c r="O11" s="297">
        <v>0</v>
      </c>
      <c r="P11" s="297">
        <v>0</v>
      </c>
      <c r="Q11" s="297">
        <v>0</v>
      </c>
      <c r="R11" s="297">
        <v>0</v>
      </c>
      <c r="S11" s="297">
        <v>504</v>
      </c>
    </row>
    <row r="12" spans="1:19" x14ac:dyDescent="0.2">
      <c r="A12" s="446" t="s">
        <v>2497</v>
      </c>
      <c r="B12" s="446" t="s">
        <v>3943</v>
      </c>
      <c r="C12" s="446" t="s">
        <v>2498</v>
      </c>
      <c r="D12" s="446" t="s">
        <v>153</v>
      </c>
      <c r="E12" s="446" t="s">
        <v>422</v>
      </c>
      <c r="F12" s="298">
        <v>42912</v>
      </c>
      <c r="G12" s="297">
        <v>70</v>
      </c>
      <c r="H12" s="297">
        <v>0</v>
      </c>
      <c r="I12" s="297">
        <v>0</v>
      </c>
      <c r="J12" s="297">
        <v>0</v>
      </c>
      <c r="K12" s="297">
        <v>0</v>
      </c>
      <c r="L12" s="297">
        <v>70</v>
      </c>
      <c r="M12" s="297">
        <v>0</v>
      </c>
      <c r="N12" s="297">
        <v>0</v>
      </c>
      <c r="O12" s="297">
        <v>0</v>
      </c>
      <c r="P12" s="297">
        <v>0</v>
      </c>
      <c r="Q12" s="297">
        <v>0</v>
      </c>
      <c r="R12" s="297">
        <v>0</v>
      </c>
      <c r="S12" s="297">
        <v>70</v>
      </c>
    </row>
    <row r="13" spans="1:19" x14ac:dyDescent="0.2">
      <c r="A13" s="446" t="s">
        <v>2166</v>
      </c>
      <c r="B13" s="446" t="s">
        <v>3946</v>
      </c>
      <c r="C13" s="446" t="s">
        <v>2167</v>
      </c>
      <c r="D13" s="446" t="s">
        <v>153</v>
      </c>
      <c r="E13" s="446" t="s">
        <v>3798</v>
      </c>
      <c r="F13" s="446" t="s">
        <v>153</v>
      </c>
      <c r="G13" s="297">
        <v>0</v>
      </c>
      <c r="H13" s="297">
        <v>0</v>
      </c>
      <c r="I13" s="297">
        <v>0</v>
      </c>
      <c r="J13" s="297">
        <v>0</v>
      </c>
      <c r="K13" s="297">
        <v>0</v>
      </c>
      <c r="L13" s="297">
        <v>0</v>
      </c>
      <c r="M13" s="297">
        <v>0</v>
      </c>
      <c r="N13" s="297">
        <v>0</v>
      </c>
      <c r="O13" s="297">
        <v>0</v>
      </c>
      <c r="P13" s="297">
        <v>0</v>
      </c>
      <c r="Q13" s="297">
        <v>1013</v>
      </c>
      <c r="R13" s="297">
        <v>1013</v>
      </c>
      <c r="S13" s="297">
        <v>-1013</v>
      </c>
    </row>
    <row r="14" spans="1:19" x14ac:dyDescent="0.2">
      <c r="A14" s="446" t="s">
        <v>1645</v>
      </c>
      <c r="B14" s="446" t="s">
        <v>3944</v>
      </c>
      <c r="C14" s="446" t="s">
        <v>761</v>
      </c>
      <c r="D14" s="446" t="s">
        <v>153</v>
      </c>
      <c r="E14" s="446" t="s">
        <v>3798</v>
      </c>
      <c r="F14" s="298">
        <v>42697</v>
      </c>
      <c r="G14" s="297">
        <v>0</v>
      </c>
      <c r="H14" s="297">
        <v>0</v>
      </c>
      <c r="I14" s="297">
        <v>0</v>
      </c>
      <c r="J14" s="297">
        <v>0</v>
      </c>
      <c r="K14" s="297">
        <v>4475</v>
      </c>
      <c r="L14" s="297">
        <v>4475</v>
      </c>
      <c r="M14" s="297">
        <v>0</v>
      </c>
      <c r="N14" s="297">
        <v>0</v>
      </c>
      <c r="O14" s="297">
        <v>0</v>
      </c>
      <c r="P14" s="297">
        <v>0</v>
      </c>
      <c r="Q14" s="297">
        <v>6675</v>
      </c>
      <c r="R14" s="297">
        <v>6675</v>
      </c>
      <c r="S14" s="297">
        <v>-2200</v>
      </c>
    </row>
    <row r="15" spans="1:19" x14ac:dyDescent="0.2">
      <c r="A15" s="446" t="s">
        <v>95</v>
      </c>
      <c r="G15" s="297">
        <v>930</v>
      </c>
      <c r="H15" s="297">
        <v>0</v>
      </c>
      <c r="I15" s="297">
        <v>0</v>
      </c>
      <c r="J15" s="297">
        <v>0</v>
      </c>
      <c r="K15" s="297">
        <v>4497</v>
      </c>
      <c r="L15" s="297">
        <v>5427</v>
      </c>
      <c r="M15" s="297">
        <v>791</v>
      </c>
      <c r="N15" s="297">
        <v>0</v>
      </c>
      <c r="O15" s="297">
        <v>0</v>
      </c>
      <c r="P15" s="297">
        <v>0</v>
      </c>
      <c r="Q15" s="297">
        <v>7688</v>
      </c>
      <c r="R15" s="297">
        <v>8479</v>
      </c>
      <c r="S15" s="297">
        <v>-3052</v>
      </c>
    </row>
  </sheetData>
  <pageMargins left="0.39370078740157483" right="0.39370078740157483" top="0.39370078740157483" bottom="0.39370078740157483" header="0.19685039370078741" footer="0.19685039370078741"/>
  <pageSetup paperSize="9" orientation="landscape" verticalDpi="0" r:id="rId2"/>
  <headerFooter>
    <oddFooter>&amp;C&amp;8&amp;P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S96"/>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3891</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x14ac:dyDescent="0.2">
      <c r="A7" s="344" t="s">
        <v>2402</v>
      </c>
      <c r="B7" s="342" t="s">
        <v>3939</v>
      </c>
      <c r="C7" s="343" t="s">
        <v>1272</v>
      </c>
      <c r="D7" s="342" t="s">
        <v>153</v>
      </c>
      <c r="E7" s="344" t="s">
        <v>3798</v>
      </c>
      <c r="F7" s="345">
        <v>42873</v>
      </c>
      <c r="G7" s="346">
        <v>0</v>
      </c>
      <c r="H7" s="346">
        <v>0</v>
      </c>
      <c r="I7" s="346">
        <v>0</v>
      </c>
      <c r="J7" s="346">
        <v>0</v>
      </c>
      <c r="K7" s="346">
        <v>75</v>
      </c>
      <c r="L7" s="347">
        <v>75</v>
      </c>
      <c r="M7" s="346">
        <v>75</v>
      </c>
      <c r="N7" s="346">
        <v>0</v>
      </c>
      <c r="O7" s="346">
        <v>0</v>
      </c>
      <c r="P7" s="346">
        <v>0</v>
      </c>
      <c r="Q7" s="346">
        <v>0</v>
      </c>
      <c r="R7" s="347">
        <v>75</v>
      </c>
      <c r="S7" s="346">
        <v>0</v>
      </c>
    </row>
    <row r="8" spans="1:19" x14ac:dyDescent="0.2">
      <c r="A8" s="305" t="s">
        <v>1449</v>
      </c>
      <c r="B8" s="306" t="s">
        <v>3951</v>
      </c>
      <c r="C8" s="307" t="s">
        <v>1292</v>
      </c>
      <c r="D8" s="306" t="s">
        <v>153</v>
      </c>
      <c r="E8" s="305" t="s">
        <v>3798</v>
      </c>
      <c r="F8" s="335">
        <v>42860</v>
      </c>
      <c r="G8" s="309">
        <v>0</v>
      </c>
      <c r="H8" s="309">
        <v>0</v>
      </c>
      <c r="I8" s="309">
        <v>132</v>
      </c>
      <c r="J8" s="309">
        <v>0</v>
      </c>
      <c r="K8" s="309">
        <v>0</v>
      </c>
      <c r="L8" s="317">
        <v>132</v>
      </c>
      <c r="M8" s="309">
        <v>132</v>
      </c>
      <c r="N8" s="309">
        <v>0</v>
      </c>
      <c r="O8" s="309">
        <v>0</v>
      </c>
      <c r="P8" s="309">
        <v>0</v>
      </c>
      <c r="Q8" s="309">
        <v>0</v>
      </c>
      <c r="R8" s="317">
        <v>132</v>
      </c>
      <c r="S8" s="309">
        <v>0</v>
      </c>
    </row>
    <row r="9" spans="1:19" x14ac:dyDescent="0.2">
      <c r="A9" s="305" t="s">
        <v>1641</v>
      </c>
      <c r="B9" s="306" t="s">
        <v>150</v>
      </c>
      <c r="C9" s="307" t="s">
        <v>1642</v>
      </c>
      <c r="D9" s="306" t="s">
        <v>153</v>
      </c>
      <c r="E9" s="305" t="s">
        <v>3798</v>
      </c>
      <c r="F9" s="335">
        <v>43021</v>
      </c>
      <c r="G9" s="309">
        <v>0</v>
      </c>
      <c r="H9" s="309">
        <v>0</v>
      </c>
      <c r="I9" s="309">
        <v>9</v>
      </c>
      <c r="J9" s="309">
        <v>0</v>
      </c>
      <c r="K9" s="309">
        <v>0</v>
      </c>
      <c r="L9" s="317">
        <v>9</v>
      </c>
      <c r="M9" s="309">
        <v>9</v>
      </c>
      <c r="N9" s="309">
        <v>0</v>
      </c>
      <c r="O9" s="309">
        <v>0</v>
      </c>
      <c r="P9" s="309">
        <v>0</v>
      </c>
      <c r="Q9" s="309">
        <v>0</v>
      </c>
      <c r="R9" s="317">
        <v>9</v>
      </c>
      <c r="S9" s="309">
        <v>0</v>
      </c>
    </row>
    <row r="10" spans="1:19" x14ac:dyDescent="0.2">
      <c r="A10" s="305" t="s">
        <v>1994</v>
      </c>
      <c r="B10" s="306" t="s">
        <v>3946</v>
      </c>
      <c r="C10" s="307" t="s">
        <v>832</v>
      </c>
      <c r="D10" s="306" t="s">
        <v>153</v>
      </c>
      <c r="E10" s="305" t="s">
        <v>3798</v>
      </c>
      <c r="F10" s="335">
        <v>42517</v>
      </c>
      <c r="G10" s="309">
        <v>0</v>
      </c>
      <c r="H10" s="309">
        <v>46</v>
      </c>
      <c r="I10" s="309">
        <v>0</v>
      </c>
      <c r="J10" s="309">
        <v>0</v>
      </c>
      <c r="K10" s="309">
        <v>0</v>
      </c>
      <c r="L10" s="317">
        <v>46</v>
      </c>
      <c r="M10" s="309">
        <v>92</v>
      </c>
      <c r="N10" s="309">
        <v>0</v>
      </c>
      <c r="O10" s="309">
        <v>0</v>
      </c>
      <c r="P10" s="309">
        <v>0</v>
      </c>
      <c r="Q10" s="309">
        <v>0</v>
      </c>
      <c r="R10" s="317">
        <v>92</v>
      </c>
      <c r="S10" s="309">
        <v>-46</v>
      </c>
    </row>
    <row r="11" spans="1:19" ht="22.5" x14ac:dyDescent="0.2">
      <c r="A11" s="305" t="s">
        <v>1329</v>
      </c>
      <c r="B11" s="306" t="s">
        <v>3943</v>
      </c>
      <c r="C11" s="307" t="s">
        <v>287</v>
      </c>
      <c r="D11" s="306" t="s">
        <v>153</v>
      </c>
      <c r="E11" s="305" t="s">
        <v>3798</v>
      </c>
      <c r="F11" s="335">
        <v>42167</v>
      </c>
      <c r="G11" s="309">
        <v>0</v>
      </c>
      <c r="H11" s="309">
        <v>0</v>
      </c>
      <c r="I11" s="309">
        <v>300</v>
      </c>
      <c r="J11" s="309">
        <v>420</v>
      </c>
      <c r="K11" s="309">
        <v>0</v>
      </c>
      <c r="L11" s="317">
        <v>720</v>
      </c>
      <c r="M11" s="309">
        <v>0</v>
      </c>
      <c r="N11" s="309">
        <v>0</v>
      </c>
      <c r="O11" s="309">
        <v>0</v>
      </c>
      <c r="P11" s="309">
        <v>0</v>
      </c>
      <c r="Q11" s="309">
        <v>0</v>
      </c>
      <c r="R11" s="317">
        <v>0</v>
      </c>
      <c r="S11" s="309">
        <v>720</v>
      </c>
    </row>
    <row r="12" spans="1:19" ht="33.75" x14ac:dyDescent="0.2">
      <c r="A12" s="305" t="s">
        <v>1457</v>
      </c>
      <c r="B12" s="306" t="s">
        <v>3944</v>
      </c>
      <c r="C12" s="307" t="s">
        <v>1458</v>
      </c>
      <c r="D12" s="306" t="s">
        <v>153</v>
      </c>
      <c r="E12" s="305" t="s">
        <v>2944</v>
      </c>
      <c r="F12" s="335">
        <v>42963</v>
      </c>
      <c r="G12" s="309">
        <v>0</v>
      </c>
      <c r="H12" s="309">
        <v>0</v>
      </c>
      <c r="I12" s="309">
        <v>0</v>
      </c>
      <c r="J12" s="309">
        <v>0</v>
      </c>
      <c r="K12" s="309">
        <v>0</v>
      </c>
      <c r="L12" s="317">
        <v>0</v>
      </c>
      <c r="M12" s="309">
        <v>66</v>
      </c>
      <c r="N12" s="309">
        <v>0</v>
      </c>
      <c r="O12" s="309">
        <v>0</v>
      </c>
      <c r="P12" s="309">
        <v>0</v>
      </c>
      <c r="Q12" s="309">
        <v>0</v>
      </c>
      <c r="R12" s="317">
        <v>66</v>
      </c>
      <c r="S12" s="309">
        <v>-66</v>
      </c>
    </row>
    <row r="13" spans="1:19" x14ac:dyDescent="0.2">
      <c r="A13" s="305" t="s">
        <v>2541</v>
      </c>
      <c r="B13" s="306" t="s">
        <v>3945</v>
      </c>
      <c r="C13" s="307" t="s">
        <v>2542</v>
      </c>
      <c r="D13" s="306" t="s">
        <v>153</v>
      </c>
      <c r="E13" s="305" t="s">
        <v>3798</v>
      </c>
      <c r="F13" s="335">
        <v>43003</v>
      </c>
      <c r="G13" s="309">
        <v>47</v>
      </c>
      <c r="H13" s="309">
        <v>0</v>
      </c>
      <c r="I13" s="309">
        <v>0</v>
      </c>
      <c r="J13" s="309">
        <v>0</v>
      </c>
      <c r="K13" s="309">
        <v>0</v>
      </c>
      <c r="L13" s="317">
        <v>47</v>
      </c>
      <c r="M13" s="309">
        <v>96</v>
      </c>
      <c r="N13" s="309">
        <v>0</v>
      </c>
      <c r="O13" s="309">
        <v>0</v>
      </c>
      <c r="P13" s="309">
        <v>0</v>
      </c>
      <c r="Q13" s="309">
        <v>0</v>
      </c>
      <c r="R13" s="317">
        <v>96</v>
      </c>
      <c r="S13" s="309">
        <v>-49</v>
      </c>
    </row>
    <row r="14" spans="1:19" x14ac:dyDescent="0.2">
      <c r="A14" s="305" t="s">
        <v>2302</v>
      </c>
      <c r="B14" s="306" t="s">
        <v>3946</v>
      </c>
      <c r="C14" s="307" t="s">
        <v>1113</v>
      </c>
      <c r="D14" s="306" t="s">
        <v>153</v>
      </c>
      <c r="E14" s="305" t="s">
        <v>421</v>
      </c>
      <c r="F14" s="335">
        <v>42725</v>
      </c>
      <c r="G14" s="309">
        <v>0</v>
      </c>
      <c r="H14" s="309">
        <v>0</v>
      </c>
      <c r="I14" s="309">
        <v>0</v>
      </c>
      <c r="J14" s="309">
        <v>0</v>
      </c>
      <c r="K14" s="309">
        <v>0</v>
      </c>
      <c r="L14" s="317">
        <v>0</v>
      </c>
      <c r="M14" s="309">
        <v>85</v>
      </c>
      <c r="N14" s="309">
        <v>0</v>
      </c>
      <c r="O14" s="309">
        <v>0</v>
      </c>
      <c r="P14" s="309">
        <v>0</v>
      </c>
      <c r="Q14" s="309">
        <v>0</v>
      </c>
      <c r="R14" s="317">
        <v>85</v>
      </c>
      <c r="S14" s="309">
        <v>-85</v>
      </c>
    </row>
    <row r="15" spans="1:19" x14ac:dyDescent="0.2">
      <c r="A15" s="305" t="s">
        <v>1620</v>
      </c>
      <c r="B15" s="306" t="s">
        <v>3944</v>
      </c>
      <c r="C15" s="307" t="s">
        <v>776</v>
      </c>
      <c r="D15" s="306" t="s">
        <v>153</v>
      </c>
      <c r="E15" s="305" t="s">
        <v>3798</v>
      </c>
      <c r="F15" s="335">
        <v>42368</v>
      </c>
      <c r="G15" s="309">
        <v>20</v>
      </c>
      <c r="H15" s="309">
        <v>0</v>
      </c>
      <c r="I15" s="309">
        <v>0</v>
      </c>
      <c r="J15" s="309">
        <v>0</v>
      </c>
      <c r="K15" s="309">
        <v>0</v>
      </c>
      <c r="L15" s="317">
        <v>20</v>
      </c>
      <c r="M15" s="309">
        <v>28</v>
      </c>
      <c r="N15" s="309">
        <v>0</v>
      </c>
      <c r="O15" s="309">
        <v>0</v>
      </c>
      <c r="P15" s="309">
        <v>0</v>
      </c>
      <c r="Q15" s="309">
        <v>0</v>
      </c>
      <c r="R15" s="317">
        <v>28</v>
      </c>
      <c r="S15" s="309">
        <v>-8</v>
      </c>
    </row>
    <row r="16" spans="1:19" x14ac:dyDescent="0.2">
      <c r="A16" s="305" t="s">
        <v>2624</v>
      </c>
      <c r="B16" s="306" t="s">
        <v>149</v>
      </c>
      <c r="C16" s="307" t="s">
        <v>2625</v>
      </c>
      <c r="D16" s="306" t="s">
        <v>153</v>
      </c>
      <c r="E16" s="305" t="s">
        <v>3798</v>
      </c>
      <c r="F16" s="335">
        <v>43118</v>
      </c>
      <c r="G16" s="309">
        <v>0</v>
      </c>
      <c r="H16" s="309">
        <v>0</v>
      </c>
      <c r="I16" s="309">
        <v>100</v>
      </c>
      <c r="J16" s="309">
        <v>0</v>
      </c>
      <c r="K16" s="309">
        <v>0</v>
      </c>
      <c r="L16" s="317">
        <v>100</v>
      </c>
      <c r="M16" s="309">
        <v>100</v>
      </c>
      <c r="N16" s="309">
        <v>0</v>
      </c>
      <c r="O16" s="309">
        <v>0</v>
      </c>
      <c r="P16" s="309">
        <v>0</v>
      </c>
      <c r="Q16" s="309">
        <v>0</v>
      </c>
      <c r="R16" s="317">
        <v>100</v>
      </c>
      <c r="S16" s="309">
        <v>0</v>
      </c>
    </row>
    <row r="17" spans="1:19" ht="22.5" x14ac:dyDescent="0.2">
      <c r="A17" s="305" t="s">
        <v>1491</v>
      </c>
      <c r="B17" s="306" t="s">
        <v>2907</v>
      </c>
      <c r="C17" s="307" t="s">
        <v>951</v>
      </c>
      <c r="D17" s="306" t="s">
        <v>153</v>
      </c>
      <c r="E17" s="305" t="s">
        <v>3798</v>
      </c>
      <c r="F17" s="335">
        <v>42597</v>
      </c>
      <c r="G17" s="309">
        <v>0</v>
      </c>
      <c r="H17" s="309">
        <v>0</v>
      </c>
      <c r="I17" s="309">
        <v>0</v>
      </c>
      <c r="J17" s="309">
        <v>0</v>
      </c>
      <c r="K17" s="309">
        <v>0</v>
      </c>
      <c r="L17" s="317">
        <v>0</v>
      </c>
      <c r="M17" s="309">
        <v>0</v>
      </c>
      <c r="N17" s="309">
        <v>195</v>
      </c>
      <c r="O17" s="309">
        <v>0</v>
      </c>
      <c r="P17" s="309">
        <v>0</v>
      </c>
      <c r="Q17" s="309">
        <v>0</v>
      </c>
      <c r="R17" s="317">
        <v>195</v>
      </c>
      <c r="S17" s="309">
        <v>-195</v>
      </c>
    </row>
    <row r="18" spans="1:19" x14ac:dyDescent="0.2">
      <c r="A18" s="305" t="s">
        <v>1638</v>
      </c>
      <c r="B18" s="306" t="s">
        <v>3952</v>
      </c>
      <c r="C18" s="307" t="s">
        <v>1639</v>
      </c>
      <c r="D18" s="306" t="s">
        <v>153</v>
      </c>
      <c r="E18" s="305" t="s">
        <v>3798</v>
      </c>
      <c r="F18" s="335">
        <v>42977</v>
      </c>
      <c r="G18" s="309">
        <v>0</v>
      </c>
      <c r="H18" s="309">
        <v>0</v>
      </c>
      <c r="I18" s="309">
        <v>50</v>
      </c>
      <c r="J18" s="309">
        <v>0</v>
      </c>
      <c r="K18" s="309">
        <v>0</v>
      </c>
      <c r="L18" s="317">
        <v>50</v>
      </c>
      <c r="M18" s="309">
        <v>0</v>
      </c>
      <c r="N18" s="309">
        <v>50</v>
      </c>
      <c r="O18" s="309">
        <v>0</v>
      </c>
      <c r="P18" s="309">
        <v>0</v>
      </c>
      <c r="Q18" s="309">
        <v>0</v>
      </c>
      <c r="R18" s="317">
        <v>50</v>
      </c>
      <c r="S18" s="309">
        <v>0</v>
      </c>
    </row>
    <row r="19" spans="1:19" x14ac:dyDescent="0.2">
      <c r="A19" s="305" t="s">
        <v>2154</v>
      </c>
      <c r="B19" s="306" t="s">
        <v>2907</v>
      </c>
      <c r="C19" s="307" t="s">
        <v>518</v>
      </c>
      <c r="D19" s="306" t="s">
        <v>153</v>
      </c>
      <c r="E19" s="305" t="s">
        <v>3798</v>
      </c>
      <c r="F19" s="335">
        <v>42381</v>
      </c>
      <c r="G19" s="309">
        <v>0</v>
      </c>
      <c r="H19" s="309">
        <v>0</v>
      </c>
      <c r="I19" s="309">
        <v>0</v>
      </c>
      <c r="J19" s="309">
        <v>0</v>
      </c>
      <c r="K19" s="309">
        <v>0</v>
      </c>
      <c r="L19" s="317">
        <v>0</v>
      </c>
      <c r="M19" s="309">
        <v>0</v>
      </c>
      <c r="N19" s="309">
        <v>0</v>
      </c>
      <c r="O19" s="309">
        <v>170</v>
      </c>
      <c r="P19" s="309">
        <v>0</v>
      </c>
      <c r="Q19" s="309">
        <v>0</v>
      </c>
      <c r="R19" s="317">
        <v>170</v>
      </c>
      <c r="S19" s="309">
        <v>-170</v>
      </c>
    </row>
    <row r="20" spans="1:19" x14ac:dyDescent="0.2">
      <c r="A20" s="305" t="s">
        <v>1433</v>
      </c>
      <c r="B20" s="306" t="s">
        <v>3941</v>
      </c>
      <c r="C20" s="307" t="s">
        <v>1266</v>
      </c>
      <c r="D20" s="306" t="s">
        <v>153</v>
      </c>
      <c r="E20" s="305" t="s">
        <v>3798</v>
      </c>
      <c r="F20" s="335">
        <v>42850</v>
      </c>
      <c r="G20" s="309">
        <v>155</v>
      </c>
      <c r="H20" s="309">
        <v>0</v>
      </c>
      <c r="I20" s="309">
        <v>155</v>
      </c>
      <c r="J20" s="309">
        <v>0</v>
      </c>
      <c r="K20" s="309">
        <v>0</v>
      </c>
      <c r="L20" s="317">
        <v>310</v>
      </c>
      <c r="M20" s="309">
        <v>0</v>
      </c>
      <c r="N20" s="309">
        <v>0</v>
      </c>
      <c r="O20" s="309">
        <v>0</v>
      </c>
      <c r="P20" s="309">
        <v>0</v>
      </c>
      <c r="Q20" s="309">
        <v>0</v>
      </c>
      <c r="R20" s="317">
        <v>0</v>
      </c>
      <c r="S20" s="309">
        <v>310</v>
      </c>
    </row>
    <row r="21" spans="1:19" x14ac:dyDescent="0.2">
      <c r="A21" s="305" t="s">
        <v>1756</v>
      </c>
      <c r="B21" s="306" t="s">
        <v>3947</v>
      </c>
      <c r="C21" s="307" t="s">
        <v>622</v>
      </c>
      <c r="D21" s="306" t="s">
        <v>153</v>
      </c>
      <c r="E21" s="305" t="s">
        <v>3798</v>
      </c>
      <c r="F21" s="335">
        <v>42438</v>
      </c>
      <c r="G21" s="309">
        <v>70</v>
      </c>
      <c r="H21" s="309">
        <v>0</v>
      </c>
      <c r="I21" s="309">
        <v>0</v>
      </c>
      <c r="J21" s="309">
        <v>0</v>
      </c>
      <c r="K21" s="309">
        <v>0</v>
      </c>
      <c r="L21" s="317">
        <v>70</v>
      </c>
      <c r="M21" s="309">
        <v>0</v>
      </c>
      <c r="N21" s="309">
        <v>0</v>
      </c>
      <c r="O21" s="309">
        <v>0</v>
      </c>
      <c r="P21" s="309">
        <v>0</v>
      </c>
      <c r="Q21" s="309">
        <v>0</v>
      </c>
      <c r="R21" s="317">
        <v>0</v>
      </c>
      <c r="S21" s="309">
        <v>70</v>
      </c>
    </row>
    <row r="22" spans="1:19" x14ac:dyDescent="0.2">
      <c r="A22" s="305" t="s">
        <v>2418</v>
      </c>
      <c r="B22" s="306" t="s">
        <v>3942</v>
      </c>
      <c r="C22" s="307" t="s">
        <v>2419</v>
      </c>
      <c r="D22" s="306" t="s">
        <v>153</v>
      </c>
      <c r="E22" s="305" t="s">
        <v>3798</v>
      </c>
      <c r="F22" s="335">
        <v>42870</v>
      </c>
      <c r="G22" s="309">
        <v>0</v>
      </c>
      <c r="H22" s="309">
        <v>0</v>
      </c>
      <c r="I22" s="309">
        <v>0</v>
      </c>
      <c r="J22" s="309">
        <v>0</v>
      </c>
      <c r="K22" s="309">
        <v>0</v>
      </c>
      <c r="L22" s="317">
        <v>0</v>
      </c>
      <c r="M22" s="309">
        <v>88</v>
      </c>
      <c r="N22" s="309">
        <v>0</v>
      </c>
      <c r="O22" s="309">
        <v>0</v>
      </c>
      <c r="P22" s="309">
        <v>0</v>
      </c>
      <c r="Q22" s="309">
        <v>0</v>
      </c>
      <c r="R22" s="317">
        <v>88</v>
      </c>
      <c r="S22" s="309">
        <v>-88</v>
      </c>
    </row>
    <row r="23" spans="1:19" x14ac:dyDescent="0.2">
      <c r="A23" s="305" t="s">
        <v>1615</v>
      </c>
      <c r="B23" s="306" t="s">
        <v>3951</v>
      </c>
      <c r="C23" s="307" t="s">
        <v>628</v>
      </c>
      <c r="D23" s="306" t="s">
        <v>153</v>
      </c>
      <c r="E23" s="305" t="s">
        <v>3798</v>
      </c>
      <c r="F23" s="335">
        <v>42471</v>
      </c>
      <c r="G23" s="309">
        <v>0</v>
      </c>
      <c r="H23" s="309">
        <v>0</v>
      </c>
      <c r="I23" s="309">
        <v>0</v>
      </c>
      <c r="J23" s="309">
        <v>0</v>
      </c>
      <c r="K23" s="309">
        <v>0</v>
      </c>
      <c r="L23" s="317">
        <v>0</v>
      </c>
      <c r="M23" s="309">
        <v>180</v>
      </c>
      <c r="N23" s="309">
        <v>0</v>
      </c>
      <c r="O23" s="309">
        <v>0</v>
      </c>
      <c r="P23" s="309">
        <v>0</v>
      </c>
      <c r="Q23" s="309">
        <v>0</v>
      </c>
      <c r="R23" s="317">
        <v>180</v>
      </c>
      <c r="S23" s="309">
        <v>-180</v>
      </c>
    </row>
    <row r="24" spans="1:19" x14ac:dyDescent="0.2">
      <c r="A24" s="305" t="s">
        <v>1796</v>
      </c>
      <c r="B24" s="306" t="s">
        <v>3942</v>
      </c>
      <c r="C24" s="307" t="s">
        <v>1216</v>
      </c>
      <c r="D24" s="306" t="s">
        <v>153</v>
      </c>
      <c r="E24" s="305" t="s">
        <v>421</v>
      </c>
      <c r="F24" s="335">
        <v>42836</v>
      </c>
      <c r="G24" s="309">
        <v>38</v>
      </c>
      <c r="H24" s="309">
        <v>0</v>
      </c>
      <c r="I24" s="309">
        <v>0</v>
      </c>
      <c r="J24" s="309">
        <v>0</v>
      </c>
      <c r="K24" s="309">
        <v>0</v>
      </c>
      <c r="L24" s="317">
        <v>38</v>
      </c>
      <c r="M24" s="309">
        <v>95</v>
      </c>
      <c r="N24" s="309">
        <v>0</v>
      </c>
      <c r="O24" s="309">
        <v>0</v>
      </c>
      <c r="P24" s="309">
        <v>0</v>
      </c>
      <c r="Q24" s="309">
        <v>0</v>
      </c>
      <c r="R24" s="317">
        <v>95</v>
      </c>
      <c r="S24" s="309">
        <v>-57</v>
      </c>
    </row>
    <row r="25" spans="1:19" x14ac:dyDescent="0.2">
      <c r="A25" s="305" t="s">
        <v>1897</v>
      </c>
      <c r="B25" s="306" t="s">
        <v>3950</v>
      </c>
      <c r="C25" s="307" t="s">
        <v>353</v>
      </c>
      <c r="D25" s="306" t="s">
        <v>153</v>
      </c>
      <c r="E25" s="305" t="s">
        <v>3798</v>
      </c>
      <c r="F25" s="335">
        <v>41828</v>
      </c>
      <c r="G25" s="309">
        <v>0</v>
      </c>
      <c r="H25" s="309">
        <v>38</v>
      </c>
      <c r="I25" s="309">
        <v>0</v>
      </c>
      <c r="J25" s="309">
        <v>0</v>
      </c>
      <c r="K25" s="309">
        <v>0</v>
      </c>
      <c r="L25" s="317">
        <v>38</v>
      </c>
      <c r="M25" s="309">
        <v>0</v>
      </c>
      <c r="N25" s="309">
        <v>125</v>
      </c>
      <c r="O25" s="309">
        <v>0</v>
      </c>
      <c r="P25" s="309">
        <v>0</v>
      </c>
      <c r="Q25" s="309">
        <v>0</v>
      </c>
      <c r="R25" s="317">
        <v>125</v>
      </c>
      <c r="S25" s="309">
        <v>-87</v>
      </c>
    </row>
    <row r="26" spans="1:19" x14ac:dyDescent="0.2">
      <c r="C26" s="307" t="s">
        <v>1898</v>
      </c>
      <c r="D26" s="306" t="s">
        <v>153</v>
      </c>
      <c r="E26" s="305" t="s">
        <v>3798</v>
      </c>
      <c r="F26" s="335">
        <v>42942</v>
      </c>
      <c r="G26" s="309">
        <v>0</v>
      </c>
      <c r="H26" s="309">
        <v>62</v>
      </c>
      <c r="I26" s="309">
        <v>0</v>
      </c>
      <c r="J26" s="309">
        <v>0</v>
      </c>
      <c r="K26" s="309">
        <v>0</v>
      </c>
      <c r="L26" s="317">
        <v>62</v>
      </c>
      <c r="M26" s="309">
        <v>0</v>
      </c>
      <c r="N26" s="309">
        <v>86</v>
      </c>
      <c r="O26" s="309">
        <v>0</v>
      </c>
      <c r="P26" s="309">
        <v>0</v>
      </c>
      <c r="Q26" s="309">
        <v>0</v>
      </c>
      <c r="R26" s="317">
        <v>86</v>
      </c>
      <c r="S26" s="309">
        <v>-24</v>
      </c>
    </row>
    <row r="27" spans="1:19" x14ac:dyDescent="0.2">
      <c r="A27" s="305" t="s">
        <v>2357</v>
      </c>
      <c r="B27" s="306" t="s">
        <v>2904</v>
      </c>
      <c r="C27" s="307" t="s">
        <v>2358</v>
      </c>
      <c r="D27" s="306" t="s">
        <v>153</v>
      </c>
      <c r="E27" s="305" t="s">
        <v>3798</v>
      </c>
      <c r="F27" s="335">
        <v>42971</v>
      </c>
      <c r="G27" s="309">
        <v>0</v>
      </c>
      <c r="H27" s="309">
        <v>0</v>
      </c>
      <c r="I27" s="309">
        <v>41</v>
      </c>
      <c r="J27" s="309">
        <v>0</v>
      </c>
      <c r="K27" s="309">
        <v>0</v>
      </c>
      <c r="L27" s="317">
        <v>41</v>
      </c>
      <c r="M27" s="309">
        <v>0</v>
      </c>
      <c r="N27" s="309">
        <v>0</v>
      </c>
      <c r="O27" s="309">
        <v>66</v>
      </c>
      <c r="P27" s="309">
        <v>0</v>
      </c>
      <c r="Q27" s="309">
        <v>0</v>
      </c>
      <c r="R27" s="317">
        <v>66</v>
      </c>
      <c r="S27" s="309">
        <v>-25</v>
      </c>
    </row>
    <row r="28" spans="1:19" x14ac:dyDescent="0.2">
      <c r="A28" s="305" t="s">
        <v>2086</v>
      </c>
      <c r="B28" s="306" t="s">
        <v>3945</v>
      </c>
      <c r="C28" s="307" t="s">
        <v>284</v>
      </c>
      <c r="D28" s="306" t="s">
        <v>153</v>
      </c>
      <c r="E28" s="305" t="s">
        <v>3798</v>
      </c>
      <c r="F28" s="335">
        <v>42044</v>
      </c>
      <c r="G28" s="309">
        <v>0</v>
      </c>
      <c r="H28" s="309">
        <v>72</v>
      </c>
      <c r="I28" s="309">
        <v>0</v>
      </c>
      <c r="J28" s="309">
        <v>0</v>
      </c>
      <c r="K28" s="309">
        <v>0</v>
      </c>
      <c r="L28" s="317">
        <v>72</v>
      </c>
      <c r="M28" s="309">
        <v>0</v>
      </c>
      <c r="N28" s="309">
        <v>128</v>
      </c>
      <c r="O28" s="309">
        <v>0</v>
      </c>
      <c r="P28" s="309">
        <v>0</v>
      </c>
      <c r="Q28" s="309">
        <v>0</v>
      </c>
      <c r="R28" s="317">
        <v>128</v>
      </c>
      <c r="S28" s="309">
        <v>-56</v>
      </c>
    </row>
    <row r="29" spans="1:19" ht="22.5" x14ac:dyDescent="0.2">
      <c r="A29" s="305" t="s">
        <v>2201</v>
      </c>
      <c r="B29" s="306" t="s">
        <v>2907</v>
      </c>
      <c r="C29" s="307" t="s">
        <v>572</v>
      </c>
      <c r="D29" s="306" t="s">
        <v>153</v>
      </c>
      <c r="E29" s="305" t="s">
        <v>3798</v>
      </c>
      <c r="F29" s="335">
        <v>42513</v>
      </c>
      <c r="G29" s="309">
        <v>0</v>
      </c>
      <c r="H29" s="309">
        <v>0</v>
      </c>
      <c r="I29" s="309">
        <v>119</v>
      </c>
      <c r="J29" s="309">
        <v>60</v>
      </c>
      <c r="K29" s="309">
        <v>0</v>
      </c>
      <c r="L29" s="317">
        <v>179</v>
      </c>
      <c r="M29" s="309">
        <v>0</v>
      </c>
      <c r="N29" s="309">
        <v>0</v>
      </c>
      <c r="O29" s="309">
        <v>179</v>
      </c>
      <c r="P29" s="309">
        <v>0</v>
      </c>
      <c r="Q29" s="309">
        <v>0</v>
      </c>
      <c r="R29" s="317">
        <v>179</v>
      </c>
      <c r="S29" s="309">
        <v>0</v>
      </c>
    </row>
    <row r="30" spans="1:19" x14ac:dyDescent="0.2">
      <c r="A30" s="305" t="s">
        <v>2088</v>
      </c>
      <c r="B30" s="306" t="s">
        <v>2904</v>
      </c>
      <c r="C30" s="307" t="s">
        <v>907</v>
      </c>
      <c r="D30" s="306" t="s">
        <v>153</v>
      </c>
      <c r="E30" s="305" t="s">
        <v>3798</v>
      </c>
      <c r="F30" s="335">
        <v>42587</v>
      </c>
      <c r="G30" s="309">
        <v>45</v>
      </c>
      <c r="H30" s="309">
        <v>0</v>
      </c>
      <c r="I30" s="309">
        <v>0</v>
      </c>
      <c r="J30" s="309">
        <v>0</v>
      </c>
      <c r="K30" s="309">
        <v>0</v>
      </c>
      <c r="L30" s="317">
        <v>45</v>
      </c>
      <c r="M30" s="309">
        <v>0</v>
      </c>
      <c r="N30" s="309">
        <v>0</v>
      </c>
      <c r="O30" s="309">
        <v>0</v>
      </c>
      <c r="P30" s="309">
        <v>0</v>
      </c>
      <c r="Q30" s="309">
        <v>0</v>
      </c>
      <c r="R30" s="317">
        <v>0</v>
      </c>
      <c r="S30" s="309">
        <v>45</v>
      </c>
    </row>
    <row r="31" spans="1:19" x14ac:dyDescent="0.2">
      <c r="A31" s="305" t="s">
        <v>2095</v>
      </c>
      <c r="B31" s="306" t="s">
        <v>149</v>
      </c>
      <c r="C31" s="307" t="s">
        <v>298</v>
      </c>
      <c r="D31" s="306" t="s">
        <v>153</v>
      </c>
      <c r="E31" s="305" t="s">
        <v>421</v>
      </c>
      <c r="F31" s="335">
        <v>42044</v>
      </c>
      <c r="G31" s="309">
        <v>0</v>
      </c>
      <c r="H31" s="309">
        <v>0</v>
      </c>
      <c r="I31" s="309">
        <v>0</v>
      </c>
      <c r="J31" s="309">
        <v>0</v>
      </c>
      <c r="K31" s="309">
        <v>0</v>
      </c>
      <c r="L31" s="317">
        <v>0</v>
      </c>
      <c r="M31" s="309">
        <v>45</v>
      </c>
      <c r="N31" s="309">
        <v>0</v>
      </c>
      <c r="O31" s="309">
        <v>0</v>
      </c>
      <c r="P31" s="309">
        <v>0</v>
      </c>
      <c r="Q31" s="309">
        <v>0</v>
      </c>
      <c r="R31" s="317">
        <v>45</v>
      </c>
      <c r="S31" s="309">
        <v>-45</v>
      </c>
    </row>
    <row r="32" spans="1:19" x14ac:dyDescent="0.2">
      <c r="A32" s="305" t="s">
        <v>1986</v>
      </c>
      <c r="B32" s="306" t="s">
        <v>3952</v>
      </c>
      <c r="C32" s="307" t="s">
        <v>1987</v>
      </c>
      <c r="D32" s="306" t="s">
        <v>153</v>
      </c>
      <c r="E32" s="305" t="s">
        <v>3798</v>
      </c>
      <c r="F32" s="335">
        <v>42986</v>
      </c>
      <c r="G32" s="309">
        <v>0</v>
      </c>
      <c r="H32" s="309">
        <v>0</v>
      </c>
      <c r="I32" s="309">
        <v>83</v>
      </c>
      <c r="J32" s="309">
        <v>0</v>
      </c>
      <c r="K32" s="309">
        <v>0</v>
      </c>
      <c r="L32" s="317">
        <v>83</v>
      </c>
      <c r="M32" s="309">
        <v>83</v>
      </c>
      <c r="N32" s="309">
        <v>0</v>
      </c>
      <c r="O32" s="309">
        <v>0</v>
      </c>
      <c r="P32" s="309">
        <v>0</v>
      </c>
      <c r="Q32" s="309">
        <v>0</v>
      </c>
      <c r="R32" s="317">
        <v>83</v>
      </c>
      <c r="S32" s="309">
        <v>0</v>
      </c>
    </row>
    <row r="33" spans="1:19" x14ac:dyDescent="0.2">
      <c r="A33" s="305" t="s">
        <v>2586</v>
      </c>
      <c r="B33" s="306" t="s">
        <v>3946</v>
      </c>
      <c r="C33" s="307" t="s">
        <v>2587</v>
      </c>
      <c r="D33" s="306" t="s">
        <v>153</v>
      </c>
      <c r="E33" s="305" t="s">
        <v>3798</v>
      </c>
      <c r="F33" s="335">
        <v>43080</v>
      </c>
      <c r="G33" s="309">
        <v>0</v>
      </c>
      <c r="H33" s="309">
        <v>0</v>
      </c>
      <c r="I33" s="309">
        <v>0</v>
      </c>
      <c r="J33" s="309">
        <v>0</v>
      </c>
      <c r="K33" s="309">
        <v>85</v>
      </c>
      <c r="L33" s="317">
        <v>85</v>
      </c>
      <c r="M33" s="309">
        <v>0</v>
      </c>
      <c r="N33" s="309">
        <v>0</v>
      </c>
      <c r="O33" s="309">
        <v>85</v>
      </c>
      <c r="P33" s="309">
        <v>0</v>
      </c>
      <c r="Q33" s="309">
        <v>0</v>
      </c>
      <c r="R33" s="317">
        <v>85</v>
      </c>
      <c r="S33" s="309">
        <v>0</v>
      </c>
    </row>
    <row r="34" spans="1:19" x14ac:dyDescent="0.2">
      <c r="A34" s="305" t="s">
        <v>2180</v>
      </c>
      <c r="B34" s="306" t="s">
        <v>2904</v>
      </c>
      <c r="C34" s="307" t="s">
        <v>651</v>
      </c>
      <c r="D34" s="306" t="s">
        <v>153</v>
      </c>
      <c r="E34" s="305" t="s">
        <v>3798</v>
      </c>
      <c r="F34" s="335">
        <v>42481</v>
      </c>
      <c r="G34" s="309">
        <v>69</v>
      </c>
      <c r="H34" s="309">
        <v>0</v>
      </c>
      <c r="I34" s="309">
        <v>0</v>
      </c>
      <c r="J34" s="309">
        <v>0</v>
      </c>
      <c r="K34" s="309">
        <v>0</v>
      </c>
      <c r="L34" s="317">
        <v>69</v>
      </c>
      <c r="M34" s="309">
        <v>0</v>
      </c>
      <c r="N34" s="309">
        <v>0</v>
      </c>
      <c r="O34" s="309">
        <v>0</v>
      </c>
      <c r="P34" s="309">
        <v>0</v>
      </c>
      <c r="Q34" s="309">
        <v>0</v>
      </c>
      <c r="R34" s="317">
        <v>0</v>
      </c>
      <c r="S34" s="309">
        <v>69</v>
      </c>
    </row>
    <row r="35" spans="1:19" x14ac:dyDescent="0.2">
      <c r="A35" s="305" t="s">
        <v>2329</v>
      </c>
      <c r="B35" s="306" t="s">
        <v>3945</v>
      </c>
      <c r="C35" s="307" t="s">
        <v>1131</v>
      </c>
      <c r="D35" s="306" t="s">
        <v>153</v>
      </c>
      <c r="E35" s="305" t="s">
        <v>3798</v>
      </c>
      <c r="F35" s="335">
        <v>42825</v>
      </c>
      <c r="G35" s="309">
        <v>0</v>
      </c>
      <c r="H35" s="309">
        <v>0</v>
      </c>
      <c r="I35" s="309">
        <v>74</v>
      </c>
      <c r="J35" s="309">
        <v>74</v>
      </c>
      <c r="K35" s="309">
        <v>0</v>
      </c>
      <c r="L35" s="317">
        <v>148</v>
      </c>
      <c r="M35" s="309">
        <v>74</v>
      </c>
      <c r="N35" s="309">
        <v>0</v>
      </c>
      <c r="O35" s="309">
        <v>0</v>
      </c>
      <c r="P35" s="309">
        <v>0</v>
      </c>
      <c r="Q35" s="309">
        <v>0</v>
      </c>
      <c r="R35" s="317">
        <v>74</v>
      </c>
      <c r="S35" s="309">
        <v>74</v>
      </c>
    </row>
    <row r="36" spans="1:19" x14ac:dyDescent="0.2">
      <c r="A36" s="305" t="s">
        <v>1667</v>
      </c>
      <c r="B36" s="306" t="s">
        <v>3950</v>
      </c>
      <c r="C36" s="307" t="s">
        <v>1068</v>
      </c>
      <c r="D36" s="306" t="s">
        <v>153</v>
      </c>
      <c r="E36" s="305" t="s">
        <v>3798</v>
      </c>
      <c r="F36" s="335">
        <v>42696</v>
      </c>
      <c r="G36" s="309">
        <v>46</v>
      </c>
      <c r="H36" s="309">
        <v>0</v>
      </c>
      <c r="I36" s="309">
        <v>0</v>
      </c>
      <c r="J36" s="309">
        <v>0</v>
      </c>
      <c r="K36" s="309">
        <v>0</v>
      </c>
      <c r="L36" s="317">
        <v>46</v>
      </c>
      <c r="M36" s="309">
        <v>113</v>
      </c>
      <c r="N36" s="309">
        <v>0</v>
      </c>
      <c r="O36" s="309">
        <v>0</v>
      </c>
      <c r="P36" s="309">
        <v>0</v>
      </c>
      <c r="Q36" s="309">
        <v>0</v>
      </c>
      <c r="R36" s="317">
        <v>113</v>
      </c>
      <c r="S36" s="309">
        <v>-67</v>
      </c>
    </row>
    <row r="37" spans="1:19" x14ac:dyDescent="0.2">
      <c r="A37" s="305" t="s">
        <v>2559</v>
      </c>
      <c r="B37" s="306" t="s">
        <v>3943</v>
      </c>
      <c r="C37" s="307" t="s">
        <v>2560</v>
      </c>
      <c r="D37" s="306" t="s">
        <v>153</v>
      </c>
      <c r="E37" s="305" t="s">
        <v>3798</v>
      </c>
      <c r="F37" s="335">
        <v>43042</v>
      </c>
      <c r="G37" s="309">
        <v>32</v>
      </c>
      <c r="H37" s="309">
        <v>0</v>
      </c>
      <c r="I37" s="309">
        <v>0</v>
      </c>
      <c r="J37" s="309">
        <v>0</v>
      </c>
      <c r="K37" s="309">
        <v>0</v>
      </c>
      <c r="L37" s="317">
        <v>32</v>
      </c>
      <c r="M37" s="309">
        <v>62</v>
      </c>
      <c r="N37" s="309">
        <v>0</v>
      </c>
      <c r="O37" s="309">
        <v>0</v>
      </c>
      <c r="P37" s="309">
        <v>0</v>
      </c>
      <c r="Q37" s="309">
        <v>0</v>
      </c>
      <c r="R37" s="317">
        <v>62</v>
      </c>
      <c r="S37" s="309">
        <v>-30</v>
      </c>
    </row>
    <row r="38" spans="1:19" x14ac:dyDescent="0.2">
      <c r="A38" s="305" t="s">
        <v>1583</v>
      </c>
      <c r="B38" s="306" t="s">
        <v>150</v>
      </c>
      <c r="C38" s="307" t="s">
        <v>525</v>
      </c>
      <c r="D38" s="306" t="s">
        <v>153</v>
      </c>
      <c r="E38" s="305" t="s">
        <v>3798</v>
      </c>
      <c r="F38" s="335">
        <v>42394</v>
      </c>
      <c r="G38" s="309">
        <v>66</v>
      </c>
      <c r="H38" s="309">
        <v>0</v>
      </c>
      <c r="I38" s="309">
        <v>0</v>
      </c>
      <c r="J38" s="309">
        <v>0</v>
      </c>
      <c r="K38" s="309">
        <v>0</v>
      </c>
      <c r="L38" s="317">
        <v>66</v>
      </c>
      <c r="M38" s="309">
        <v>70</v>
      </c>
      <c r="N38" s="309">
        <v>0</v>
      </c>
      <c r="O38" s="309">
        <v>0</v>
      </c>
      <c r="P38" s="309">
        <v>0</v>
      </c>
      <c r="Q38" s="309">
        <v>0</v>
      </c>
      <c r="R38" s="317">
        <v>70</v>
      </c>
      <c r="S38" s="309">
        <v>-4</v>
      </c>
    </row>
    <row r="39" spans="1:19" ht="22.5" x14ac:dyDescent="0.2">
      <c r="A39" s="305" t="s">
        <v>2047</v>
      </c>
      <c r="B39" s="306" t="s">
        <v>3954</v>
      </c>
      <c r="C39" s="307" t="s">
        <v>363</v>
      </c>
      <c r="D39" s="306" t="s">
        <v>153</v>
      </c>
      <c r="E39" s="305" t="s">
        <v>3798</v>
      </c>
      <c r="F39" s="335">
        <v>41934</v>
      </c>
      <c r="G39" s="309">
        <v>25</v>
      </c>
      <c r="H39" s="309">
        <v>25</v>
      </c>
      <c r="I39" s="309">
        <v>0</v>
      </c>
      <c r="J39" s="309">
        <v>0</v>
      </c>
      <c r="K39" s="309">
        <v>0</v>
      </c>
      <c r="L39" s="317">
        <v>50</v>
      </c>
      <c r="M39" s="309">
        <v>0</v>
      </c>
      <c r="N39" s="309">
        <v>0</v>
      </c>
      <c r="O39" s="309">
        <v>220</v>
      </c>
      <c r="P39" s="309">
        <v>0</v>
      </c>
      <c r="Q39" s="309">
        <v>0</v>
      </c>
      <c r="R39" s="317">
        <v>220</v>
      </c>
      <c r="S39" s="309">
        <v>-170</v>
      </c>
    </row>
    <row r="40" spans="1:19" x14ac:dyDescent="0.2">
      <c r="A40" s="305" t="s">
        <v>2339</v>
      </c>
      <c r="B40" s="306" t="s">
        <v>2907</v>
      </c>
      <c r="C40" s="307" t="s">
        <v>1117</v>
      </c>
      <c r="D40" s="306" t="s">
        <v>153</v>
      </c>
      <c r="E40" s="305" t="s">
        <v>3798</v>
      </c>
      <c r="F40" s="335">
        <v>42725</v>
      </c>
      <c r="G40" s="309">
        <v>0</v>
      </c>
      <c r="H40" s="309">
        <v>0</v>
      </c>
      <c r="I40" s="309">
        <v>0</v>
      </c>
      <c r="J40" s="309">
        <v>0</v>
      </c>
      <c r="K40" s="309">
        <v>0</v>
      </c>
      <c r="L40" s="317">
        <v>0</v>
      </c>
      <c r="M40" s="309">
        <v>0</v>
      </c>
      <c r="N40" s="309">
        <v>0</v>
      </c>
      <c r="O40" s="309">
        <v>270</v>
      </c>
      <c r="P40" s="309">
        <v>0</v>
      </c>
      <c r="Q40" s="309">
        <v>0</v>
      </c>
      <c r="R40" s="317">
        <v>270</v>
      </c>
      <c r="S40" s="309">
        <v>-270</v>
      </c>
    </row>
    <row r="41" spans="1:19" x14ac:dyDescent="0.2">
      <c r="A41" s="305" t="s">
        <v>1384</v>
      </c>
      <c r="B41" s="306" t="s">
        <v>2907</v>
      </c>
      <c r="C41" s="307" t="s">
        <v>1046</v>
      </c>
      <c r="D41" s="306" t="s">
        <v>153</v>
      </c>
      <c r="E41" s="305" t="s">
        <v>3798</v>
      </c>
      <c r="F41" s="335">
        <v>42675</v>
      </c>
      <c r="G41" s="309">
        <v>0</v>
      </c>
      <c r="H41" s="309">
        <v>28</v>
      </c>
      <c r="I41" s="309">
        <v>0</v>
      </c>
      <c r="J41" s="309">
        <v>0</v>
      </c>
      <c r="K41" s="309">
        <v>0</v>
      </c>
      <c r="L41" s="317">
        <v>28</v>
      </c>
      <c r="M41" s="309">
        <v>0</v>
      </c>
      <c r="N41" s="309">
        <v>0</v>
      </c>
      <c r="O41" s="309">
        <v>0</v>
      </c>
      <c r="P41" s="309">
        <v>0</v>
      </c>
      <c r="Q41" s="309">
        <v>0</v>
      </c>
      <c r="R41" s="317">
        <v>0</v>
      </c>
      <c r="S41" s="309">
        <v>28</v>
      </c>
    </row>
    <row r="42" spans="1:19" x14ac:dyDescent="0.2">
      <c r="A42" s="305" t="s">
        <v>2115</v>
      </c>
      <c r="B42" s="306" t="s">
        <v>3942</v>
      </c>
      <c r="C42" s="307" t="s">
        <v>813</v>
      </c>
      <c r="D42" s="306" t="s">
        <v>153</v>
      </c>
      <c r="E42" s="305" t="s">
        <v>3798</v>
      </c>
      <c r="F42" s="335">
        <v>42529</v>
      </c>
      <c r="G42" s="309">
        <v>86</v>
      </c>
      <c r="H42" s="309">
        <v>0</v>
      </c>
      <c r="I42" s="309">
        <v>0</v>
      </c>
      <c r="J42" s="309">
        <v>0</v>
      </c>
      <c r="K42" s="309">
        <v>0</v>
      </c>
      <c r="L42" s="317">
        <v>86</v>
      </c>
      <c r="M42" s="309">
        <v>118</v>
      </c>
      <c r="N42" s="309">
        <v>0</v>
      </c>
      <c r="O42" s="309">
        <v>0</v>
      </c>
      <c r="P42" s="309">
        <v>0</v>
      </c>
      <c r="Q42" s="309">
        <v>0</v>
      </c>
      <c r="R42" s="317">
        <v>118</v>
      </c>
      <c r="S42" s="309">
        <v>-32</v>
      </c>
    </row>
    <row r="43" spans="1:19" x14ac:dyDescent="0.2">
      <c r="A43" s="305" t="s">
        <v>2231</v>
      </c>
      <c r="B43" s="306" t="s">
        <v>3947</v>
      </c>
      <c r="C43" s="307" t="s">
        <v>2232</v>
      </c>
      <c r="D43" s="306" t="s">
        <v>153</v>
      </c>
      <c r="E43" s="305" t="s">
        <v>3798</v>
      </c>
      <c r="F43" s="335">
        <v>43136</v>
      </c>
      <c r="G43" s="309">
        <v>0</v>
      </c>
      <c r="H43" s="309">
        <v>0</v>
      </c>
      <c r="I43" s="309">
        <v>0</v>
      </c>
      <c r="J43" s="309">
        <v>0</v>
      </c>
      <c r="K43" s="309">
        <v>0</v>
      </c>
      <c r="L43" s="317">
        <v>0</v>
      </c>
      <c r="M43" s="309">
        <v>0</v>
      </c>
      <c r="N43" s="309">
        <v>299</v>
      </c>
      <c r="O43" s="309">
        <v>0</v>
      </c>
      <c r="P43" s="309">
        <v>0</v>
      </c>
      <c r="Q43" s="309">
        <v>0</v>
      </c>
      <c r="R43" s="317">
        <v>299</v>
      </c>
      <c r="S43" s="309">
        <v>-299</v>
      </c>
    </row>
    <row r="44" spans="1:19" x14ac:dyDescent="0.2">
      <c r="A44" s="305" t="s">
        <v>2562</v>
      </c>
      <c r="B44" s="306" t="s">
        <v>2904</v>
      </c>
      <c r="C44" s="307" t="s">
        <v>2563</v>
      </c>
      <c r="D44" s="306" t="s">
        <v>153</v>
      </c>
      <c r="E44" s="305" t="s">
        <v>3798</v>
      </c>
      <c r="F44" s="335">
        <v>43049</v>
      </c>
      <c r="G44" s="309">
        <v>0</v>
      </c>
      <c r="H44" s="309">
        <v>0</v>
      </c>
      <c r="I44" s="309">
        <v>74</v>
      </c>
      <c r="J44" s="309">
        <v>0</v>
      </c>
      <c r="K44" s="309">
        <v>0</v>
      </c>
      <c r="L44" s="317">
        <v>74</v>
      </c>
      <c r="M44" s="309">
        <v>0</v>
      </c>
      <c r="N44" s="309">
        <v>0</v>
      </c>
      <c r="O44" s="309">
        <v>0</v>
      </c>
      <c r="P44" s="309">
        <v>74</v>
      </c>
      <c r="Q44" s="309">
        <v>0</v>
      </c>
      <c r="R44" s="317">
        <v>74</v>
      </c>
      <c r="S44" s="309">
        <v>0</v>
      </c>
    </row>
    <row r="45" spans="1:19" s="319" customFormat="1" x14ac:dyDescent="0.2">
      <c r="A45" s="321" t="s">
        <v>1377</v>
      </c>
      <c r="B45" s="322" t="s">
        <v>2904</v>
      </c>
      <c r="C45" s="323" t="s">
        <v>249</v>
      </c>
      <c r="D45" s="322" t="s">
        <v>153</v>
      </c>
      <c r="E45" s="321" t="s">
        <v>3798</v>
      </c>
      <c r="F45" s="352">
        <v>41757</v>
      </c>
      <c r="G45" s="326">
        <v>0</v>
      </c>
      <c r="H45" s="326">
        <v>0</v>
      </c>
      <c r="I45" s="326">
        <v>0</v>
      </c>
      <c r="J45" s="326">
        <v>0</v>
      </c>
      <c r="K45" s="326">
        <v>0</v>
      </c>
      <c r="L45" s="327">
        <v>0</v>
      </c>
      <c r="M45" s="326">
        <v>15</v>
      </c>
      <c r="N45" s="326">
        <v>0</v>
      </c>
      <c r="O45" s="326">
        <v>0</v>
      </c>
      <c r="P45" s="326">
        <v>0</v>
      </c>
      <c r="Q45" s="326">
        <v>0</v>
      </c>
      <c r="R45" s="327">
        <v>15</v>
      </c>
      <c r="S45" s="326">
        <v>-15</v>
      </c>
    </row>
    <row r="46" spans="1:19" x14ac:dyDescent="0.2">
      <c r="A46" s="305" t="s">
        <v>1324</v>
      </c>
      <c r="B46" s="306" t="s">
        <v>3944</v>
      </c>
      <c r="C46" s="307" t="s">
        <v>177</v>
      </c>
      <c r="D46" s="306" t="s">
        <v>153</v>
      </c>
      <c r="E46" s="305" t="s">
        <v>3798</v>
      </c>
      <c r="F46" s="335">
        <v>41145</v>
      </c>
      <c r="G46" s="309">
        <v>64</v>
      </c>
      <c r="H46" s="309">
        <v>0</v>
      </c>
      <c r="I46" s="309">
        <v>0</v>
      </c>
      <c r="J46" s="309">
        <v>0</v>
      </c>
      <c r="K46" s="309">
        <v>0</v>
      </c>
      <c r="L46" s="317">
        <v>64</v>
      </c>
      <c r="M46" s="309">
        <v>0</v>
      </c>
      <c r="N46" s="309">
        <v>0</v>
      </c>
      <c r="O46" s="309">
        <v>0</v>
      </c>
      <c r="P46" s="309">
        <v>0</v>
      </c>
      <c r="Q46" s="309">
        <v>0</v>
      </c>
      <c r="R46" s="317">
        <v>0</v>
      </c>
      <c r="S46" s="309">
        <v>64</v>
      </c>
    </row>
    <row r="47" spans="1:19" x14ac:dyDescent="0.2">
      <c r="C47" s="307" t="s">
        <v>1162</v>
      </c>
      <c r="D47" s="306" t="s">
        <v>153</v>
      </c>
      <c r="E47" s="305" t="s">
        <v>3798</v>
      </c>
      <c r="F47" s="335">
        <v>42782</v>
      </c>
      <c r="G47" s="309">
        <v>0</v>
      </c>
      <c r="H47" s="309">
        <v>32</v>
      </c>
      <c r="I47" s="309">
        <v>0</v>
      </c>
      <c r="J47" s="309">
        <v>0</v>
      </c>
      <c r="K47" s="309">
        <v>0</v>
      </c>
      <c r="L47" s="317">
        <v>32</v>
      </c>
      <c r="M47" s="309">
        <v>32</v>
      </c>
      <c r="N47" s="309">
        <v>0</v>
      </c>
      <c r="O47" s="309">
        <v>0</v>
      </c>
      <c r="P47" s="309">
        <v>0</v>
      </c>
      <c r="Q47" s="309">
        <v>0</v>
      </c>
      <c r="R47" s="317">
        <v>32</v>
      </c>
      <c r="S47" s="309">
        <v>0</v>
      </c>
    </row>
    <row r="48" spans="1:19" x14ac:dyDescent="0.2">
      <c r="A48" s="305" t="s">
        <v>2509</v>
      </c>
      <c r="B48" s="306" t="s">
        <v>149</v>
      </c>
      <c r="C48" s="307" t="s">
        <v>2510</v>
      </c>
      <c r="D48" s="306" t="s">
        <v>153</v>
      </c>
      <c r="E48" s="305" t="s">
        <v>421</v>
      </c>
      <c r="F48" s="335">
        <v>42982</v>
      </c>
      <c r="G48" s="309">
        <v>0</v>
      </c>
      <c r="H48" s="309">
        <v>0</v>
      </c>
      <c r="I48" s="309">
        <v>0</v>
      </c>
      <c r="J48" s="309">
        <v>0</v>
      </c>
      <c r="K48" s="309">
        <v>0</v>
      </c>
      <c r="L48" s="317">
        <v>0</v>
      </c>
      <c r="M48" s="309">
        <v>0</v>
      </c>
      <c r="N48" s="309">
        <v>65</v>
      </c>
      <c r="O48" s="309">
        <v>0</v>
      </c>
      <c r="P48" s="309">
        <v>0</v>
      </c>
      <c r="Q48" s="309">
        <v>0</v>
      </c>
      <c r="R48" s="317">
        <v>65</v>
      </c>
      <c r="S48" s="309">
        <v>-65</v>
      </c>
    </row>
    <row r="49" spans="1:19" x14ac:dyDescent="0.2">
      <c r="A49" s="305" t="s">
        <v>1617</v>
      </c>
      <c r="B49" s="306" t="s">
        <v>3946</v>
      </c>
      <c r="C49" s="307" t="s">
        <v>1618</v>
      </c>
      <c r="D49" s="306" t="s">
        <v>153</v>
      </c>
      <c r="E49" s="305" t="s">
        <v>3798</v>
      </c>
      <c r="F49" s="335">
        <v>42983</v>
      </c>
      <c r="G49" s="309">
        <v>0</v>
      </c>
      <c r="H49" s="309">
        <v>0</v>
      </c>
      <c r="I49" s="309">
        <v>95</v>
      </c>
      <c r="J49" s="309">
        <v>0</v>
      </c>
      <c r="K49" s="309">
        <v>0</v>
      </c>
      <c r="L49" s="317">
        <v>95</v>
      </c>
      <c r="M49" s="309">
        <v>95</v>
      </c>
      <c r="N49" s="309">
        <v>0</v>
      </c>
      <c r="O49" s="309">
        <v>0</v>
      </c>
      <c r="P49" s="309">
        <v>0</v>
      </c>
      <c r="Q49" s="309">
        <v>0</v>
      </c>
      <c r="R49" s="317">
        <v>95</v>
      </c>
      <c r="S49" s="309">
        <v>0</v>
      </c>
    </row>
    <row r="50" spans="1:19" x14ac:dyDescent="0.2">
      <c r="A50" s="305" t="s">
        <v>2228</v>
      </c>
      <c r="B50" s="306" t="s">
        <v>2904</v>
      </c>
      <c r="C50" s="307" t="s">
        <v>872</v>
      </c>
      <c r="D50" s="306" t="s">
        <v>153</v>
      </c>
      <c r="E50" s="305" t="s">
        <v>3798</v>
      </c>
      <c r="F50" s="335">
        <v>42640</v>
      </c>
      <c r="G50" s="309">
        <v>40</v>
      </c>
      <c r="H50" s="309">
        <v>0</v>
      </c>
      <c r="I50" s="309">
        <v>0</v>
      </c>
      <c r="J50" s="309">
        <v>0</v>
      </c>
      <c r="K50" s="309">
        <v>0</v>
      </c>
      <c r="L50" s="317">
        <v>40</v>
      </c>
      <c r="M50" s="309">
        <v>0</v>
      </c>
      <c r="N50" s="309">
        <v>0</v>
      </c>
      <c r="O50" s="309">
        <v>108</v>
      </c>
      <c r="P50" s="309">
        <v>0</v>
      </c>
      <c r="Q50" s="309">
        <v>0</v>
      </c>
      <c r="R50" s="317">
        <v>108</v>
      </c>
      <c r="S50" s="309">
        <v>-68</v>
      </c>
    </row>
    <row r="51" spans="1:19" x14ac:dyDescent="0.2">
      <c r="A51" s="305" t="s">
        <v>2260</v>
      </c>
      <c r="B51" s="306" t="s">
        <v>3943</v>
      </c>
      <c r="C51" s="307" t="s">
        <v>2261</v>
      </c>
      <c r="D51" s="306" t="s">
        <v>153</v>
      </c>
      <c r="E51" s="305" t="s">
        <v>3798</v>
      </c>
      <c r="F51" s="335">
        <v>42702</v>
      </c>
      <c r="G51" s="309">
        <v>0</v>
      </c>
      <c r="H51" s="309">
        <v>0</v>
      </c>
      <c r="I51" s="309">
        <v>0</v>
      </c>
      <c r="J51" s="309">
        <v>0</v>
      </c>
      <c r="K51" s="309">
        <v>0</v>
      </c>
      <c r="L51" s="317">
        <v>0</v>
      </c>
      <c r="M51" s="309">
        <v>236</v>
      </c>
      <c r="N51" s="309">
        <v>0</v>
      </c>
      <c r="O51" s="309">
        <v>0</v>
      </c>
      <c r="P51" s="309">
        <v>0</v>
      </c>
      <c r="Q51" s="309">
        <v>0</v>
      </c>
      <c r="R51" s="317">
        <v>236</v>
      </c>
      <c r="S51" s="309">
        <v>-236</v>
      </c>
    </row>
    <row r="52" spans="1:19" x14ac:dyDescent="0.2">
      <c r="A52" s="305" t="s">
        <v>1985</v>
      </c>
      <c r="B52" s="306" t="s">
        <v>3948</v>
      </c>
      <c r="C52" s="307" t="s">
        <v>368</v>
      </c>
      <c r="D52" s="306" t="s">
        <v>153</v>
      </c>
      <c r="E52" s="305" t="s">
        <v>3798</v>
      </c>
      <c r="F52" s="335">
        <v>42340</v>
      </c>
      <c r="G52" s="309">
        <v>238</v>
      </c>
      <c r="H52" s="309">
        <v>238</v>
      </c>
      <c r="I52" s="309">
        <v>0</v>
      </c>
      <c r="J52" s="309">
        <v>0</v>
      </c>
      <c r="K52" s="309">
        <v>0</v>
      </c>
      <c r="L52" s="317">
        <v>476</v>
      </c>
      <c r="M52" s="309">
        <v>0</v>
      </c>
      <c r="N52" s="309">
        <v>0</v>
      </c>
      <c r="O52" s="309">
        <v>0</v>
      </c>
      <c r="P52" s="309">
        <v>430</v>
      </c>
      <c r="Q52" s="309">
        <v>0</v>
      </c>
      <c r="R52" s="317">
        <v>430</v>
      </c>
      <c r="S52" s="309">
        <v>46</v>
      </c>
    </row>
    <row r="53" spans="1:19" x14ac:dyDescent="0.2">
      <c r="A53" s="305" t="s">
        <v>1906</v>
      </c>
      <c r="B53" s="306" t="s">
        <v>3941</v>
      </c>
      <c r="C53" s="307" t="s">
        <v>303</v>
      </c>
      <c r="D53" s="306" t="s">
        <v>153</v>
      </c>
      <c r="E53" s="305" t="s">
        <v>3798</v>
      </c>
      <c r="F53" s="335">
        <v>42066</v>
      </c>
      <c r="G53" s="309">
        <v>50</v>
      </c>
      <c r="H53" s="309">
        <v>0</v>
      </c>
      <c r="I53" s="309">
        <v>0</v>
      </c>
      <c r="J53" s="309">
        <v>0</v>
      </c>
      <c r="K53" s="309">
        <v>0</v>
      </c>
      <c r="L53" s="317">
        <v>50</v>
      </c>
      <c r="M53" s="309">
        <v>106</v>
      </c>
      <c r="N53" s="309">
        <v>0</v>
      </c>
      <c r="O53" s="309">
        <v>0</v>
      </c>
      <c r="P53" s="309">
        <v>0</v>
      </c>
      <c r="Q53" s="309">
        <v>0</v>
      </c>
      <c r="R53" s="317">
        <v>106</v>
      </c>
      <c r="S53" s="309">
        <v>-56</v>
      </c>
    </row>
    <row r="54" spans="1:19" ht="22.5" x14ac:dyDescent="0.2">
      <c r="A54" s="305" t="s">
        <v>2123</v>
      </c>
      <c r="B54" s="306" t="s">
        <v>3946</v>
      </c>
      <c r="C54" s="307" t="s">
        <v>472</v>
      </c>
      <c r="D54" s="306" t="s">
        <v>153</v>
      </c>
      <c r="E54" s="305" t="s">
        <v>3798</v>
      </c>
      <c r="F54" s="335">
        <v>42305</v>
      </c>
      <c r="G54" s="309">
        <v>77</v>
      </c>
      <c r="H54" s="309">
        <v>0</v>
      </c>
      <c r="I54" s="309">
        <v>0</v>
      </c>
      <c r="J54" s="309">
        <v>0</v>
      </c>
      <c r="K54" s="309">
        <v>0</v>
      </c>
      <c r="L54" s="317">
        <v>77</v>
      </c>
      <c r="M54" s="309">
        <v>107</v>
      </c>
      <c r="N54" s="309">
        <v>0</v>
      </c>
      <c r="O54" s="309">
        <v>0</v>
      </c>
      <c r="P54" s="309">
        <v>0</v>
      </c>
      <c r="Q54" s="309">
        <v>0</v>
      </c>
      <c r="R54" s="317">
        <v>107</v>
      </c>
      <c r="S54" s="309">
        <v>-30</v>
      </c>
    </row>
    <row r="55" spans="1:19" x14ac:dyDescent="0.2">
      <c r="A55" s="305" t="s">
        <v>1346</v>
      </c>
      <c r="B55" s="306" t="s">
        <v>3942</v>
      </c>
      <c r="C55" s="307" t="s">
        <v>1103</v>
      </c>
      <c r="D55" s="306" t="s">
        <v>153</v>
      </c>
      <c r="E55" s="305" t="s">
        <v>3798</v>
      </c>
      <c r="F55" s="335">
        <v>42739</v>
      </c>
      <c r="G55" s="309">
        <v>40</v>
      </c>
      <c r="H55" s="309">
        <v>0</v>
      </c>
      <c r="I55" s="309">
        <v>0</v>
      </c>
      <c r="J55" s="309">
        <v>0</v>
      </c>
      <c r="K55" s="309">
        <v>0</v>
      </c>
      <c r="L55" s="317">
        <v>40</v>
      </c>
      <c r="M55" s="309">
        <v>81</v>
      </c>
      <c r="N55" s="309">
        <v>0</v>
      </c>
      <c r="O55" s="309">
        <v>0</v>
      </c>
      <c r="P55" s="309">
        <v>0</v>
      </c>
      <c r="Q55" s="309">
        <v>0</v>
      </c>
      <c r="R55" s="317">
        <v>81</v>
      </c>
      <c r="S55" s="309">
        <v>-41</v>
      </c>
    </row>
    <row r="56" spans="1:19" x14ac:dyDescent="0.2">
      <c r="A56" s="305" t="s">
        <v>2234</v>
      </c>
      <c r="B56" s="306" t="s">
        <v>2904</v>
      </c>
      <c r="C56" s="307" t="s">
        <v>824</v>
      </c>
      <c r="D56" s="306" t="s">
        <v>153</v>
      </c>
      <c r="E56" s="305" t="s">
        <v>3798</v>
      </c>
      <c r="F56" s="335">
        <v>42536</v>
      </c>
      <c r="G56" s="309">
        <v>404</v>
      </c>
      <c r="H56" s="309">
        <v>0</v>
      </c>
      <c r="I56" s="309">
        <v>0</v>
      </c>
      <c r="J56" s="309">
        <v>0</v>
      </c>
      <c r="K56" s="309">
        <v>0</v>
      </c>
      <c r="L56" s="317">
        <v>404</v>
      </c>
      <c r="M56" s="309">
        <v>160</v>
      </c>
      <c r="N56" s="309">
        <v>0</v>
      </c>
      <c r="O56" s="309">
        <v>156</v>
      </c>
      <c r="P56" s="309">
        <v>0</v>
      </c>
      <c r="Q56" s="309">
        <v>0</v>
      </c>
      <c r="R56" s="317">
        <v>316</v>
      </c>
      <c r="S56" s="309">
        <v>88</v>
      </c>
    </row>
    <row r="57" spans="1:19" x14ac:dyDescent="0.2">
      <c r="C57" s="307" t="s">
        <v>2235</v>
      </c>
      <c r="D57" s="306" t="s">
        <v>153</v>
      </c>
      <c r="E57" s="305" t="s">
        <v>3798</v>
      </c>
      <c r="F57" s="335">
        <v>42851</v>
      </c>
      <c r="G57" s="309">
        <v>167</v>
      </c>
      <c r="H57" s="309">
        <v>0</v>
      </c>
      <c r="I57" s="309">
        <v>275</v>
      </c>
      <c r="J57" s="309">
        <v>0</v>
      </c>
      <c r="K57" s="309">
        <v>0</v>
      </c>
      <c r="L57" s="317">
        <v>442</v>
      </c>
      <c r="M57" s="309">
        <v>442</v>
      </c>
      <c r="N57" s="309">
        <v>0</v>
      </c>
      <c r="O57" s="309">
        <v>0</v>
      </c>
      <c r="P57" s="309">
        <v>0</v>
      </c>
      <c r="Q57" s="309">
        <v>0</v>
      </c>
      <c r="R57" s="317">
        <v>442</v>
      </c>
      <c r="S57" s="309">
        <v>0</v>
      </c>
    </row>
    <row r="58" spans="1:19" x14ac:dyDescent="0.2">
      <c r="A58" s="305" t="s">
        <v>2222</v>
      </c>
      <c r="B58" s="306" t="s">
        <v>3948</v>
      </c>
      <c r="C58" s="307" t="s">
        <v>1001</v>
      </c>
      <c r="D58" s="306" t="s">
        <v>153</v>
      </c>
      <c r="E58" s="305" t="s">
        <v>3798</v>
      </c>
      <c r="F58" s="335">
        <v>42702</v>
      </c>
      <c r="G58" s="309">
        <v>0</v>
      </c>
      <c r="H58" s="309">
        <v>43</v>
      </c>
      <c r="I58" s="309">
        <v>0</v>
      </c>
      <c r="J58" s="309">
        <v>0</v>
      </c>
      <c r="K58" s="309">
        <v>0</v>
      </c>
      <c r="L58" s="317">
        <v>43</v>
      </c>
      <c r="M58" s="309">
        <v>107</v>
      </c>
      <c r="N58" s="309">
        <v>0</v>
      </c>
      <c r="O58" s="309">
        <v>0</v>
      </c>
      <c r="P58" s="309">
        <v>0</v>
      </c>
      <c r="Q58" s="309">
        <v>0</v>
      </c>
      <c r="R58" s="317">
        <v>107</v>
      </c>
      <c r="S58" s="309">
        <v>-64</v>
      </c>
    </row>
    <row r="59" spans="1:19" x14ac:dyDescent="0.2">
      <c r="A59" s="305" t="s">
        <v>1795</v>
      </c>
      <c r="B59" s="306" t="s">
        <v>2904</v>
      </c>
      <c r="C59" s="307" t="s">
        <v>965</v>
      </c>
      <c r="D59" s="306" t="s">
        <v>153</v>
      </c>
      <c r="E59" s="305" t="s">
        <v>3798</v>
      </c>
      <c r="F59" s="335">
        <v>42618</v>
      </c>
      <c r="G59" s="309">
        <v>0</v>
      </c>
      <c r="H59" s="309">
        <v>0</v>
      </c>
      <c r="I59" s="309">
        <v>20</v>
      </c>
      <c r="J59" s="309">
        <v>0</v>
      </c>
      <c r="K59" s="309">
        <v>0</v>
      </c>
      <c r="L59" s="317">
        <v>20</v>
      </c>
      <c r="M59" s="309">
        <v>0</v>
      </c>
      <c r="N59" s="309">
        <v>0</v>
      </c>
      <c r="O59" s="309">
        <v>0</v>
      </c>
      <c r="P59" s="309">
        <v>0</v>
      </c>
      <c r="Q59" s="309">
        <v>0</v>
      </c>
      <c r="R59" s="317">
        <v>0</v>
      </c>
      <c r="S59" s="309">
        <v>20</v>
      </c>
    </row>
    <row r="60" spans="1:19" x14ac:dyDescent="0.2">
      <c r="A60" s="305" t="s">
        <v>1627</v>
      </c>
      <c r="B60" s="306" t="s">
        <v>2904</v>
      </c>
      <c r="C60" s="307" t="s">
        <v>1628</v>
      </c>
      <c r="D60" s="306" t="s">
        <v>153</v>
      </c>
      <c r="E60" s="305" t="s">
        <v>3798</v>
      </c>
      <c r="F60" s="335">
        <v>42950</v>
      </c>
      <c r="G60" s="309">
        <v>0</v>
      </c>
      <c r="H60" s="309">
        <v>0</v>
      </c>
      <c r="I60" s="309">
        <v>175</v>
      </c>
      <c r="J60" s="309">
        <v>0</v>
      </c>
      <c r="K60" s="309">
        <v>0</v>
      </c>
      <c r="L60" s="317">
        <v>175</v>
      </c>
      <c r="M60" s="309">
        <v>0</v>
      </c>
      <c r="N60" s="309">
        <v>0</v>
      </c>
      <c r="O60" s="309">
        <v>175</v>
      </c>
      <c r="P60" s="309">
        <v>0</v>
      </c>
      <c r="Q60" s="309">
        <v>0</v>
      </c>
      <c r="R60" s="317">
        <v>175</v>
      </c>
      <c r="S60" s="309">
        <v>0</v>
      </c>
    </row>
    <row r="61" spans="1:19" x14ac:dyDescent="0.2">
      <c r="A61" s="305" t="s">
        <v>2346</v>
      </c>
      <c r="B61" s="306" t="s">
        <v>2904</v>
      </c>
      <c r="C61" s="307" t="s">
        <v>662</v>
      </c>
      <c r="D61" s="306" t="s">
        <v>153</v>
      </c>
      <c r="E61" s="305" t="s">
        <v>3798</v>
      </c>
      <c r="F61" s="335">
        <v>42537</v>
      </c>
      <c r="G61" s="309">
        <v>37</v>
      </c>
      <c r="H61" s="309">
        <v>0</v>
      </c>
      <c r="I61" s="309">
        <v>0</v>
      </c>
      <c r="J61" s="309">
        <v>0</v>
      </c>
      <c r="K61" s="309">
        <v>0</v>
      </c>
      <c r="L61" s="317">
        <v>37</v>
      </c>
      <c r="M61" s="309">
        <v>0</v>
      </c>
      <c r="N61" s="309">
        <v>0</v>
      </c>
      <c r="O61" s="309">
        <v>0</v>
      </c>
      <c r="P61" s="309">
        <v>0</v>
      </c>
      <c r="Q61" s="309">
        <v>0</v>
      </c>
      <c r="R61" s="317">
        <v>0</v>
      </c>
      <c r="S61" s="309">
        <v>37</v>
      </c>
    </row>
    <row r="62" spans="1:19" x14ac:dyDescent="0.2">
      <c r="A62" s="305" t="s">
        <v>1839</v>
      </c>
      <c r="B62" s="306" t="s">
        <v>3948</v>
      </c>
      <c r="C62" s="307" t="s">
        <v>1840</v>
      </c>
      <c r="D62" s="306" t="s">
        <v>153</v>
      </c>
      <c r="E62" s="305" t="s">
        <v>3798</v>
      </c>
      <c r="F62" s="335">
        <v>42993</v>
      </c>
      <c r="G62" s="309">
        <v>21</v>
      </c>
      <c r="H62" s="309">
        <v>0</v>
      </c>
      <c r="I62" s="309">
        <v>0</v>
      </c>
      <c r="J62" s="309">
        <v>0</v>
      </c>
      <c r="K62" s="309">
        <v>0</v>
      </c>
      <c r="L62" s="317">
        <v>21</v>
      </c>
      <c r="M62" s="309">
        <v>0</v>
      </c>
      <c r="N62" s="309">
        <v>0</v>
      </c>
      <c r="O62" s="309">
        <v>0</v>
      </c>
      <c r="P62" s="309">
        <v>0</v>
      </c>
      <c r="Q62" s="309">
        <v>0</v>
      </c>
      <c r="R62" s="317">
        <v>0</v>
      </c>
      <c r="S62" s="309">
        <v>21</v>
      </c>
    </row>
    <row r="63" spans="1:19" x14ac:dyDescent="0.2">
      <c r="A63" s="305" t="s">
        <v>2136</v>
      </c>
      <c r="B63" s="306" t="s">
        <v>3951</v>
      </c>
      <c r="C63" s="307" t="s">
        <v>476</v>
      </c>
      <c r="D63" s="306" t="s">
        <v>153</v>
      </c>
      <c r="E63" s="305" t="s">
        <v>3798</v>
      </c>
      <c r="F63" s="335">
        <v>42347</v>
      </c>
      <c r="G63" s="309">
        <v>168</v>
      </c>
      <c r="H63" s="309">
        <v>0</v>
      </c>
      <c r="I63" s="309">
        <v>0</v>
      </c>
      <c r="J63" s="309">
        <v>0</v>
      </c>
      <c r="K63" s="309">
        <v>0</v>
      </c>
      <c r="L63" s="317">
        <v>168</v>
      </c>
      <c r="M63" s="309">
        <v>133</v>
      </c>
      <c r="N63" s="309">
        <v>0</v>
      </c>
      <c r="O63" s="309">
        <v>0</v>
      </c>
      <c r="P63" s="309">
        <v>0</v>
      </c>
      <c r="Q63" s="309">
        <v>0</v>
      </c>
      <c r="R63" s="317">
        <v>133</v>
      </c>
      <c r="S63" s="309">
        <v>35</v>
      </c>
    </row>
    <row r="64" spans="1:19" x14ac:dyDescent="0.2">
      <c r="A64" s="305" t="s">
        <v>2197</v>
      </c>
      <c r="B64" s="306" t="s">
        <v>2904</v>
      </c>
      <c r="C64" s="307" t="s">
        <v>573</v>
      </c>
      <c r="D64" s="306" t="s">
        <v>153</v>
      </c>
      <c r="E64" s="305" t="s">
        <v>3798</v>
      </c>
      <c r="F64" s="335">
        <v>42474</v>
      </c>
      <c r="G64" s="309">
        <v>21</v>
      </c>
      <c r="H64" s="309">
        <v>0</v>
      </c>
      <c r="I64" s="309">
        <v>0</v>
      </c>
      <c r="J64" s="309">
        <v>0</v>
      </c>
      <c r="K64" s="309">
        <v>0</v>
      </c>
      <c r="L64" s="317">
        <v>21</v>
      </c>
      <c r="M64" s="309">
        <v>58</v>
      </c>
      <c r="N64" s="309">
        <v>0</v>
      </c>
      <c r="O64" s="309">
        <v>0</v>
      </c>
      <c r="P64" s="309">
        <v>0</v>
      </c>
      <c r="Q64" s="309">
        <v>0</v>
      </c>
      <c r="R64" s="317">
        <v>58</v>
      </c>
      <c r="S64" s="309">
        <v>-37</v>
      </c>
    </row>
    <row r="65" spans="1:19" x14ac:dyDescent="0.2">
      <c r="A65" s="305" t="s">
        <v>2113</v>
      </c>
      <c r="B65" s="306" t="s">
        <v>2904</v>
      </c>
      <c r="C65" s="307" t="s">
        <v>437</v>
      </c>
      <c r="D65" s="306" t="s">
        <v>153</v>
      </c>
      <c r="E65" s="305" t="s">
        <v>3798</v>
      </c>
      <c r="F65" s="335">
        <v>42187</v>
      </c>
      <c r="G65" s="309">
        <v>75</v>
      </c>
      <c r="H65" s="309">
        <v>0</v>
      </c>
      <c r="I65" s="309">
        <v>0</v>
      </c>
      <c r="J65" s="309">
        <v>0</v>
      </c>
      <c r="K65" s="309">
        <v>0</v>
      </c>
      <c r="L65" s="317">
        <v>75</v>
      </c>
      <c r="M65" s="309">
        <v>141</v>
      </c>
      <c r="N65" s="309">
        <v>0</v>
      </c>
      <c r="O65" s="309">
        <v>0</v>
      </c>
      <c r="P65" s="309">
        <v>0</v>
      </c>
      <c r="Q65" s="309">
        <v>0</v>
      </c>
      <c r="R65" s="317">
        <v>141</v>
      </c>
      <c r="S65" s="309">
        <v>-66</v>
      </c>
    </row>
    <row r="66" spans="1:19" x14ac:dyDescent="0.2">
      <c r="A66" s="305" t="s">
        <v>1438</v>
      </c>
      <c r="B66" s="306" t="s">
        <v>3943</v>
      </c>
      <c r="C66" s="307" t="s">
        <v>1441</v>
      </c>
      <c r="D66" s="306" t="s">
        <v>153</v>
      </c>
      <c r="E66" s="305" t="s">
        <v>3798</v>
      </c>
      <c r="F66" s="335">
        <v>43024</v>
      </c>
      <c r="G66" s="309">
        <v>0</v>
      </c>
      <c r="H66" s="309">
        <v>0</v>
      </c>
      <c r="I66" s="309">
        <v>0</v>
      </c>
      <c r="J66" s="309">
        <v>0</v>
      </c>
      <c r="K66" s="309">
        <v>0</v>
      </c>
      <c r="L66" s="317">
        <v>0</v>
      </c>
      <c r="M66" s="309">
        <v>19</v>
      </c>
      <c r="N66" s="309">
        <v>0</v>
      </c>
      <c r="O66" s="309">
        <v>0</v>
      </c>
      <c r="P66" s="309">
        <v>0</v>
      </c>
      <c r="Q66" s="309">
        <v>0</v>
      </c>
      <c r="R66" s="317">
        <v>19</v>
      </c>
      <c r="S66" s="309">
        <v>-19</v>
      </c>
    </row>
    <row r="67" spans="1:19" x14ac:dyDescent="0.2">
      <c r="A67" s="305" t="s">
        <v>1428</v>
      </c>
      <c r="B67" s="306" t="s">
        <v>3944</v>
      </c>
      <c r="C67" s="307" t="s">
        <v>1158</v>
      </c>
      <c r="D67" s="306" t="s">
        <v>153</v>
      </c>
      <c r="E67" s="305" t="s">
        <v>421</v>
      </c>
      <c r="F67" s="335">
        <v>42752</v>
      </c>
      <c r="G67" s="309">
        <v>0</v>
      </c>
      <c r="H67" s="309">
        <v>0</v>
      </c>
      <c r="I67" s="309">
        <v>0</v>
      </c>
      <c r="J67" s="309">
        <v>0</v>
      </c>
      <c r="K67" s="309">
        <v>0</v>
      </c>
      <c r="L67" s="317">
        <v>0</v>
      </c>
      <c r="M67" s="309">
        <v>43</v>
      </c>
      <c r="N67" s="309">
        <v>0</v>
      </c>
      <c r="O67" s="309">
        <v>0</v>
      </c>
      <c r="P67" s="309">
        <v>0</v>
      </c>
      <c r="Q67" s="309">
        <v>0</v>
      </c>
      <c r="R67" s="317">
        <v>43</v>
      </c>
      <c r="S67" s="309">
        <v>-43</v>
      </c>
    </row>
    <row r="68" spans="1:19" x14ac:dyDescent="0.2">
      <c r="A68" s="305" t="s">
        <v>1668</v>
      </c>
      <c r="B68" s="306" t="s">
        <v>150</v>
      </c>
      <c r="C68" s="307" t="s">
        <v>1669</v>
      </c>
      <c r="D68" s="306" t="s">
        <v>153</v>
      </c>
      <c r="E68" s="305" t="s">
        <v>3798</v>
      </c>
      <c r="F68" s="335">
        <v>42971</v>
      </c>
      <c r="G68" s="309">
        <v>46</v>
      </c>
      <c r="H68" s="309">
        <v>0</v>
      </c>
      <c r="I68" s="309">
        <v>0</v>
      </c>
      <c r="J68" s="309">
        <v>0</v>
      </c>
      <c r="K68" s="309">
        <v>0</v>
      </c>
      <c r="L68" s="317">
        <v>46</v>
      </c>
      <c r="M68" s="309">
        <v>83</v>
      </c>
      <c r="N68" s="309">
        <v>0</v>
      </c>
      <c r="O68" s="309">
        <v>0</v>
      </c>
      <c r="P68" s="309">
        <v>0</v>
      </c>
      <c r="Q68" s="309">
        <v>0</v>
      </c>
      <c r="R68" s="317">
        <v>83</v>
      </c>
      <c r="S68" s="309">
        <v>-37</v>
      </c>
    </row>
    <row r="69" spans="1:19" ht="22.5" x14ac:dyDescent="0.2">
      <c r="A69" s="305" t="s">
        <v>2532</v>
      </c>
      <c r="B69" s="306" t="s">
        <v>150</v>
      </c>
      <c r="C69" s="307" t="s">
        <v>2533</v>
      </c>
      <c r="D69" s="306" t="s">
        <v>153</v>
      </c>
      <c r="E69" s="305" t="s">
        <v>3798</v>
      </c>
      <c r="F69" s="335">
        <v>43047</v>
      </c>
      <c r="G69" s="309">
        <v>0</v>
      </c>
      <c r="H69" s="309">
        <v>0</v>
      </c>
      <c r="I69" s="309">
        <v>0</v>
      </c>
      <c r="J69" s="309">
        <v>0</v>
      </c>
      <c r="K69" s="309">
        <v>0</v>
      </c>
      <c r="L69" s="317">
        <v>0</v>
      </c>
      <c r="M69" s="309">
        <v>80</v>
      </c>
      <c r="N69" s="309">
        <v>0</v>
      </c>
      <c r="O69" s="309">
        <v>0</v>
      </c>
      <c r="P69" s="309">
        <v>0</v>
      </c>
      <c r="Q69" s="309">
        <v>0</v>
      </c>
      <c r="R69" s="317">
        <v>80</v>
      </c>
      <c r="S69" s="309">
        <v>-80</v>
      </c>
    </row>
    <row r="70" spans="1:19" x14ac:dyDescent="0.2">
      <c r="A70" s="305" t="s">
        <v>2471</v>
      </c>
      <c r="B70" s="306" t="s">
        <v>149</v>
      </c>
      <c r="C70" s="307" t="s">
        <v>2472</v>
      </c>
      <c r="D70" s="306" t="s">
        <v>153</v>
      </c>
      <c r="E70" s="305" t="s">
        <v>421</v>
      </c>
      <c r="F70" s="335">
        <v>42941</v>
      </c>
      <c r="G70" s="309">
        <v>0</v>
      </c>
      <c r="H70" s="309">
        <v>0</v>
      </c>
      <c r="I70" s="309">
        <v>74</v>
      </c>
      <c r="J70" s="309">
        <v>0</v>
      </c>
      <c r="K70" s="309">
        <v>0</v>
      </c>
      <c r="L70" s="317">
        <v>74</v>
      </c>
      <c r="M70" s="309">
        <v>74</v>
      </c>
      <c r="N70" s="309">
        <v>0</v>
      </c>
      <c r="O70" s="309">
        <v>0</v>
      </c>
      <c r="P70" s="309">
        <v>0</v>
      </c>
      <c r="Q70" s="309">
        <v>0</v>
      </c>
      <c r="R70" s="317">
        <v>74</v>
      </c>
      <c r="S70" s="309">
        <v>0</v>
      </c>
    </row>
    <row r="71" spans="1:19" x14ac:dyDescent="0.2">
      <c r="A71" s="305" t="s">
        <v>2053</v>
      </c>
      <c r="B71" s="306" t="s">
        <v>3943</v>
      </c>
      <c r="C71" s="307" t="s">
        <v>819</v>
      </c>
      <c r="D71" s="306" t="s">
        <v>153</v>
      </c>
      <c r="E71" s="305" t="s">
        <v>3798</v>
      </c>
      <c r="F71" s="335">
        <v>42521</v>
      </c>
      <c r="G71" s="309">
        <v>0</v>
      </c>
      <c r="H71" s="309">
        <v>0</v>
      </c>
      <c r="I71" s="309">
        <v>28</v>
      </c>
      <c r="J71" s="309">
        <v>0</v>
      </c>
      <c r="K71" s="309">
        <v>0</v>
      </c>
      <c r="L71" s="317">
        <v>28</v>
      </c>
      <c r="M71" s="309">
        <v>0</v>
      </c>
      <c r="N71" s="309">
        <v>0</v>
      </c>
      <c r="O71" s="309">
        <v>0</v>
      </c>
      <c r="P71" s="309">
        <v>0</v>
      </c>
      <c r="Q71" s="309">
        <v>0</v>
      </c>
      <c r="R71" s="317">
        <v>0</v>
      </c>
      <c r="S71" s="309">
        <v>28</v>
      </c>
    </row>
    <row r="72" spans="1:19" x14ac:dyDescent="0.2">
      <c r="A72" s="305" t="s">
        <v>2212</v>
      </c>
      <c r="B72" s="306" t="s">
        <v>3946</v>
      </c>
      <c r="C72" s="307" t="s">
        <v>1231</v>
      </c>
      <c r="D72" s="306" t="s">
        <v>153</v>
      </c>
      <c r="E72" s="305" t="s">
        <v>3798</v>
      </c>
      <c r="F72" s="335">
        <v>42831</v>
      </c>
      <c r="G72" s="309">
        <v>0</v>
      </c>
      <c r="H72" s="309">
        <v>0</v>
      </c>
      <c r="I72" s="309">
        <v>35</v>
      </c>
      <c r="J72" s="309">
        <v>0</v>
      </c>
      <c r="K72" s="309">
        <v>0</v>
      </c>
      <c r="L72" s="317">
        <v>35</v>
      </c>
      <c r="M72" s="309">
        <v>35</v>
      </c>
      <c r="N72" s="309">
        <v>0</v>
      </c>
      <c r="O72" s="309">
        <v>0</v>
      </c>
      <c r="P72" s="309">
        <v>0</v>
      </c>
      <c r="Q72" s="309">
        <v>0</v>
      </c>
      <c r="R72" s="317">
        <v>35</v>
      </c>
      <c r="S72" s="309">
        <v>0</v>
      </c>
    </row>
    <row r="73" spans="1:19" x14ac:dyDescent="0.2">
      <c r="A73" s="305" t="s">
        <v>2200</v>
      </c>
      <c r="B73" s="306" t="s">
        <v>3946</v>
      </c>
      <c r="C73" s="307" t="s">
        <v>612</v>
      </c>
      <c r="D73" s="306" t="s">
        <v>153</v>
      </c>
      <c r="E73" s="305" t="s">
        <v>3798</v>
      </c>
      <c r="F73" s="335">
        <v>42461</v>
      </c>
      <c r="G73" s="309">
        <v>0</v>
      </c>
      <c r="H73" s="309">
        <v>0</v>
      </c>
      <c r="I73" s="309">
        <v>140</v>
      </c>
      <c r="J73" s="309">
        <v>0</v>
      </c>
      <c r="K73" s="309">
        <v>0</v>
      </c>
      <c r="L73" s="317">
        <v>140</v>
      </c>
      <c r="M73" s="309">
        <v>140</v>
      </c>
      <c r="N73" s="309">
        <v>0</v>
      </c>
      <c r="O73" s="309">
        <v>0</v>
      </c>
      <c r="P73" s="309">
        <v>0</v>
      </c>
      <c r="Q73" s="309">
        <v>0</v>
      </c>
      <c r="R73" s="317">
        <v>140</v>
      </c>
      <c r="S73" s="309">
        <v>0</v>
      </c>
    </row>
    <row r="74" spans="1:19" x14ac:dyDescent="0.2">
      <c r="A74" s="305" t="s">
        <v>1762</v>
      </c>
      <c r="B74" s="306" t="s">
        <v>3941</v>
      </c>
      <c r="C74" s="307" t="s">
        <v>885</v>
      </c>
      <c r="D74" s="306" t="s">
        <v>153</v>
      </c>
      <c r="E74" s="305" t="s">
        <v>3798</v>
      </c>
      <c r="F74" s="335">
        <v>42600</v>
      </c>
      <c r="G74" s="309">
        <v>0</v>
      </c>
      <c r="H74" s="309">
        <v>0</v>
      </c>
      <c r="I74" s="309">
        <v>0</v>
      </c>
      <c r="J74" s="309">
        <v>0</v>
      </c>
      <c r="K74" s="309">
        <v>0</v>
      </c>
      <c r="L74" s="317">
        <v>0</v>
      </c>
      <c r="M74" s="309">
        <v>75</v>
      </c>
      <c r="N74" s="309">
        <v>0</v>
      </c>
      <c r="O74" s="309">
        <v>0</v>
      </c>
      <c r="P74" s="309">
        <v>0</v>
      </c>
      <c r="Q74" s="309">
        <v>0</v>
      </c>
      <c r="R74" s="317">
        <v>75</v>
      </c>
      <c r="S74" s="309">
        <v>-75</v>
      </c>
    </row>
    <row r="75" spans="1:19" x14ac:dyDescent="0.2">
      <c r="A75" s="305" t="s">
        <v>1448</v>
      </c>
      <c r="B75" s="306" t="s">
        <v>3951</v>
      </c>
      <c r="C75" s="307" t="s">
        <v>1098</v>
      </c>
      <c r="D75" s="306" t="s">
        <v>153</v>
      </c>
      <c r="E75" s="305" t="s">
        <v>3798</v>
      </c>
      <c r="F75" s="335">
        <v>42765</v>
      </c>
      <c r="G75" s="309">
        <v>0</v>
      </c>
      <c r="H75" s="309">
        <v>0</v>
      </c>
      <c r="I75" s="309">
        <v>0</v>
      </c>
      <c r="J75" s="309">
        <v>0</v>
      </c>
      <c r="K75" s="309">
        <v>0</v>
      </c>
      <c r="L75" s="317">
        <v>0</v>
      </c>
      <c r="M75" s="309">
        <v>132</v>
      </c>
      <c r="N75" s="309">
        <v>0</v>
      </c>
      <c r="O75" s="309">
        <v>0</v>
      </c>
      <c r="P75" s="309">
        <v>0</v>
      </c>
      <c r="Q75" s="309">
        <v>0</v>
      </c>
      <c r="R75" s="317">
        <v>132</v>
      </c>
      <c r="S75" s="309">
        <v>-132</v>
      </c>
    </row>
    <row r="76" spans="1:19" x14ac:dyDescent="0.2">
      <c r="A76" s="305" t="s">
        <v>2250</v>
      </c>
      <c r="B76" s="306" t="s">
        <v>3952</v>
      </c>
      <c r="C76" s="307" t="s">
        <v>817</v>
      </c>
      <c r="D76" s="306" t="s">
        <v>153</v>
      </c>
      <c r="E76" s="305" t="s">
        <v>3798</v>
      </c>
      <c r="F76" s="335">
        <v>42535</v>
      </c>
      <c r="G76" s="309">
        <v>0</v>
      </c>
      <c r="H76" s="309">
        <v>0</v>
      </c>
      <c r="I76" s="309">
        <v>98</v>
      </c>
      <c r="J76" s="309">
        <v>0</v>
      </c>
      <c r="K76" s="309">
        <v>0</v>
      </c>
      <c r="L76" s="317">
        <v>98</v>
      </c>
      <c r="M76" s="309">
        <v>98</v>
      </c>
      <c r="N76" s="309">
        <v>0</v>
      </c>
      <c r="O76" s="309">
        <v>0</v>
      </c>
      <c r="P76" s="309">
        <v>0</v>
      </c>
      <c r="Q76" s="309">
        <v>0</v>
      </c>
      <c r="R76" s="317">
        <v>98</v>
      </c>
      <c r="S76" s="309">
        <v>0</v>
      </c>
    </row>
    <row r="77" spans="1:19" x14ac:dyDescent="0.2">
      <c r="A77" s="305" t="s">
        <v>2312</v>
      </c>
      <c r="B77" s="306" t="s">
        <v>3946</v>
      </c>
      <c r="C77" s="307" t="s">
        <v>1176</v>
      </c>
      <c r="D77" s="306" t="s">
        <v>153</v>
      </c>
      <c r="E77" s="305" t="s">
        <v>421</v>
      </c>
      <c r="F77" s="335">
        <v>42772</v>
      </c>
      <c r="G77" s="309">
        <v>0</v>
      </c>
      <c r="H77" s="309">
        <v>0</v>
      </c>
      <c r="I77" s="309">
        <v>78</v>
      </c>
      <c r="J77" s="309">
        <v>0</v>
      </c>
      <c r="K77" s="309">
        <v>0</v>
      </c>
      <c r="L77" s="317">
        <v>78</v>
      </c>
      <c r="M77" s="309">
        <v>78</v>
      </c>
      <c r="N77" s="309">
        <v>0</v>
      </c>
      <c r="O77" s="309">
        <v>0</v>
      </c>
      <c r="P77" s="309">
        <v>0</v>
      </c>
      <c r="Q77" s="309">
        <v>0</v>
      </c>
      <c r="R77" s="317">
        <v>78</v>
      </c>
      <c r="S77" s="309">
        <v>0</v>
      </c>
    </row>
    <row r="78" spans="1:19" x14ac:dyDescent="0.2">
      <c r="A78" s="305" t="s">
        <v>1419</v>
      </c>
      <c r="B78" s="306" t="s">
        <v>3942</v>
      </c>
      <c r="C78" s="307" t="s">
        <v>1420</v>
      </c>
      <c r="D78" s="306" t="s">
        <v>153</v>
      </c>
      <c r="E78" s="305" t="s">
        <v>3798</v>
      </c>
      <c r="F78" s="335">
        <v>43062</v>
      </c>
      <c r="G78" s="309">
        <v>33</v>
      </c>
      <c r="H78" s="309">
        <v>0</v>
      </c>
      <c r="I78" s="309">
        <v>0</v>
      </c>
      <c r="J78" s="309">
        <v>0</v>
      </c>
      <c r="K78" s="309">
        <v>0</v>
      </c>
      <c r="L78" s="317">
        <v>33</v>
      </c>
      <c r="M78" s="309">
        <v>66</v>
      </c>
      <c r="N78" s="309">
        <v>0</v>
      </c>
      <c r="O78" s="309">
        <v>0</v>
      </c>
      <c r="P78" s="309">
        <v>0</v>
      </c>
      <c r="Q78" s="309">
        <v>0</v>
      </c>
      <c r="R78" s="317">
        <v>66</v>
      </c>
      <c r="S78" s="309">
        <v>-33</v>
      </c>
    </row>
    <row r="79" spans="1:19" ht="22.5" x14ac:dyDescent="0.2">
      <c r="A79" s="305" t="s">
        <v>2565</v>
      </c>
      <c r="B79" s="306" t="s">
        <v>3951</v>
      </c>
      <c r="C79" s="307" t="s">
        <v>2566</v>
      </c>
      <c r="D79" s="306" t="s">
        <v>153</v>
      </c>
      <c r="E79" s="305" t="s">
        <v>3798</v>
      </c>
      <c r="F79" s="335">
        <v>43041</v>
      </c>
      <c r="G79" s="309">
        <v>0</v>
      </c>
      <c r="H79" s="309">
        <v>0</v>
      </c>
      <c r="I79" s="309">
        <v>0</v>
      </c>
      <c r="J79" s="309">
        <v>0</v>
      </c>
      <c r="K79" s="309">
        <v>0</v>
      </c>
      <c r="L79" s="317">
        <v>0</v>
      </c>
      <c r="M79" s="309">
        <v>90</v>
      </c>
      <c r="N79" s="309">
        <v>0</v>
      </c>
      <c r="O79" s="309">
        <v>0</v>
      </c>
      <c r="P79" s="309">
        <v>0</v>
      </c>
      <c r="Q79" s="309">
        <v>0</v>
      </c>
      <c r="R79" s="317">
        <v>90</v>
      </c>
      <c r="S79" s="309">
        <v>-90</v>
      </c>
    </row>
    <row r="80" spans="1:19" ht="22.5" x14ac:dyDescent="0.2">
      <c r="A80" s="305" t="s">
        <v>2675</v>
      </c>
      <c r="B80" s="306" t="s">
        <v>3946</v>
      </c>
      <c r="C80" s="307" t="s">
        <v>2676</v>
      </c>
      <c r="D80" s="306" t="s">
        <v>153</v>
      </c>
      <c r="E80" s="305" t="s">
        <v>3798</v>
      </c>
      <c r="F80" s="335">
        <v>43159</v>
      </c>
      <c r="G80" s="309">
        <v>0</v>
      </c>
      <c r="H80" s="309">
        <v>0</v>
      </c>
      <c r="I80" s="309">
        <v>0</v>
      </c>
      <c r="J80" s="309">
        <v>0</v>
      </c>
      <c r="K80" s="309">
        <v>0</v>
      </c>
      <c r="L80" s="317">
        <v>0</v>
      </c>
      <c r="M80" s="309">
        <v>64</v>
      </c>
      <c r="N80" s="309">
        <v>0</v>
      </c>
      <c r="O80" s="309">
        <v>0</v>
      </c>
      <c r="P80" s="309">
        <v>0</v>
      </c>
      <c r="Q80" s="309">
        <v>0</v>
      </c>
      <c r="R80" s="317">
        <v>64</v>
      </c>
      <c r="S80" s="309">
        <v>-64</v>
      </c>
    </row>
    <row r="81" spans="1:19" ht="22.5" x14ac:dyDescent="0.2">
      <c r="A81" s="305" t="s">
        <v>2445</v>
      </c>
      <c r="B81" s="306" t="s">
        <v>2907</v>
      </c>
      <c r="C81" s="307" t="s">
        <v>2446</v>
      </c>
      <c r="D81" s="306" t="s">
        <v>153</v>
      </c>
      <c r="E81" s="305" t="s">
        <v>3798</v>
      </c>
      <c r="F81" s="335">
        <v>42923</v>
      </c>
      <c r="G81" s="309">
        <v>0</v>
      </c>
      <c r="H81" s="309">
        <v>0</v>
      </c>
      <c r="I81" s="309">
        <v>0</v>
      </c>
      <c r="J81" s="309">
        <v>0</v>
      </c>
      <c r="K81" s="309">
        <v>0</v>
      </c>
      <c r="L81" s="317">
        <v>0</v>
      </c>
      <c r="M81" s="309">
        <v>536</v>
      </c>
      <c r="N81" s="309">
        <v>0</v>
      </c>
      <c r="O81" s="309">
        <v>0</v>
      </c>
      <c r="P81" s="309">
        <v>0</v>
      </c>
      <c r="Q81" s="309">
        <v>0</v>
      </c>
      <c r="R81" s="317">
        <v>536</v>
      </c>
      <c r="S81" s="309">
        <v>-536</v>
      </c>
    </row>
    <row r="82" spans="1:19" ht="33.75" x14ac:dyDescent="0.2">
      <c r="A82" s="305" t="s">
        <v>2391</v>
      </c>
      <c r="B82" s="306" t="s">
        <v>2907</v>
      </c>
      <c r="C82" s="307" t="s">
        <v>1248</v>
      </c>
      <c r="D82" s="306" t="s">
        <v>153</v>
      </c>
      <c r="E82" s="305" t="s">
        <v>2944</v>
      </c>
      <c r="F82" s="335">
        <v>42831</v>
      </c>
      <c r="G82" s="309">
        <v>0</v>
      </c>
      <c r="H82" s="309">
        <v>0</v>
      </c>
      <c r="I82" s="309">
        <v>0</v>
      </c>
      <c r="J82" s="309">
        <v>0</v>
      </c>
      <c r="K82" s="309">
        <v>0</v>
      </c>
      <c r="L82" s="317">
        <v>0</v>
      </c>
      <c r="M82" s="309">
        <v>44</v>
      </c>
      <c r="N82" s="309">
        <v>0</v>
      </c>
      <c r="O82" s="309">
        <v>0</v>
      </c>
      <c r="P82" s="309">
        <v>0</v>
      </c>
      <c r="Q82" s="309">
        <v>0</v>
      </c>
      <c r="R82" s="317">
        <v>44</v>
      </c>
      <c r="S82" s="309">
        <v>-44</v>
      </c>
    </row>
    <row r="83" spans="1:19" ht="22.5" x14ac:dyDescent="0.2">
      <c r="A83" s="305" t="s">
        <v>2400</v>
      </c>
      <c r="B83" s="306" t="s">
        <v>3951</v>
      </c>
      <c r="C83" s="307" t="s">
        <v>1242</v>
      </c>
      <c r="D83" s="306" t="s">
        <v>153</v>
      </c>
      <c r="E83" s="305" t="s">
        <v>3798</v>
      </c>
      <c r="F83" s="335">
        <v>42838</v>
      </c>
      <c r="G83" s="309">
        <v>0</v>
      </c>
      <c r="H83" s="309">
        <v>0</v>
      </c>
      <c r="I83" s="309">
        <v>120</v>
      </c>
      <c r="J83" s="309">
        <v>0</v>
      </c>
      <c r="K83" s="309">
        <v>0</v>
      </c>
      <c r="L83" s="317">
        <v>120</v>
      </c>
      <c r="M83" s="309">
        <v>120</v>
      </c>
      <c r="N83" s="309">
        <v>0</v>
      </c>
      <c r="O83" s="309">
        <v>0</v>
      </c>
      <c r="P83" s="309">
        <v>0</v>
      </c>
      <c r="Q83" s="309">
        <v>0</v>
      </c>
      <c r="R83" s="317">
        <v>120</v>
      </c>
      <c r="S83" s="309">
        <v>0</v>
      </c>
    </row>
    <row r="84" spans="1:19" ht="22.5" x14ac:dyDescent="0.2">
      <c r="A84" s="305" t="s">
        <v>1941</v>
      </c>
      <c r="B84" s="306" t="s">
        <v>150</v>
      </c>
      <c r="C84" s="307" t="s">
        <v>273</v>
      </c>
      <c r="D84" s="306" t="s">
        <v>153</v>
      </c>
      <c r="E84" s="305" t="s">
        <v>3798</v>
      </c>
      <c r="F84" s="335">
        <v>42261</v>
      </c>
      <c r="G84" s="309">
        <v>0</v>
      </c>
      <c r="H84" s="309">
        <v>0</v>
      </c>
      <c r="I84" s="309">
        <v>0</v>
      </c>
      <c r="J84" s="309">
        <v>48</v>
      </c>
      <c r="K84" s="309">
        <v>0</v>
      </c>
      <c r="L84" s="317">
        <v>48</v>
      </c>
      <c r="M84" s="309">
        <v>48</v>
      </c>
      <c r="N84" s="309">
        <v>0</v>
      </c>
      <c r="O84" s="309">
        <v>0</v>
      </c>
      <c r="P84" s="309">
        <v>0</v>
      </c>
      <c r="Q84" s="309">
        <v>0</v>
      </c>
      <c r="R84" s="317">
        <v>48</v>
      </c>
      <c r="S84" s="309">
        <v>0</v>
      </c>
    </row>
    <row r="85" spans="1:19" ht="22.5" x14ac:dyDescent="0.2">
      <c r="A85" s="305" t="s">
        <v>2367</v>
      </c>
      <c r="B85" s="306" t="s">
        <v>3942</v>
      </c>
      <c r="C85" s="307" t="s">
        <v>1058</v>
      </c>
      <c r="D85" s="306" t="s">
        <v>153</v>
      </c>
      <c r="E85" s="305" t="s">
        <v>3798</v>
      </c>
      <c r="F85" s="335">
        <v>42857</v>
      </c>
      <c r="G85" s="309">
        <v>0</v>
      </c>
      <c r="H85" s="309">
        <v>0</v>
      </c>
      <c r="I85" s="309">
        <v>0</v>
      </c>
      <c r="J85" s="309">
        <v>88</v>
      </c>
      <c r="K85" s="309">
        <v>0</v>
      </c>
      <c r="L85" s="317">
        <v>88</v>
      </c>
      <c r="M85" s="309">
        <v>88</v>
      </c>
      <c r="N85" s="309">
        <v>0</v>
      </c>
      <c r="O85" s="309">
        <v>0</v>
      </c>
      <c r="P85" s="309">
        <v>0</v>
      </c>
      <c r="Q85" s="309">
        <v>0</v>
      </c>
      <c r="R85" s="317">
        <v>88</v>
      </c>
      <c r="S85" s="309">
        <v>0</v>
      </c>
    </row>
    <row r="86" spans="1:19" ht="22.5" x14ac:dyDescent="0.2">
      <c r="A86" s="305" t="s">
        <v>2436</v>
      </c>
      <c r="B86" s="306" t="s">
        <v>3942</v>
      </c>
      <c r="C86" s="307" t="s">
        <v>2437</v>
      </c>
      <c r="D86" s="306" t="s">
        <v>153</v>
      </c>
      <c r="E86" s="305" t="s">
        <v>3798</v>
      </c>
      <c r="F86" s="335">
        <v>42930</v>
      </c>
      <c r="G86" s="309">
        <v>0</v>
      </c>
      <c r="H86" s="309">
        <v>0</v>
      </c>
      <c r="I86" s="309">
        <v>101</v>
      </c>
      <c r="J86" s="309">
        <v>0</v>
      </c>
      <c r="K86" s="309">
        <v>0</v>
      </c>
      <c r="L86" s="317">
        <v>101</v>
      </c>
      <c r="M86" s="309">
        <v>0</v>
      </c>
      <c r="N86" s="309">
        <v>101</v>
      </c>
      <c r="O86" s="309">
        <v>0</v>
      </c>
      <c r="P86" s="309">
        <v>0</v>
      </c>
      <c r="Q86" s="309">
        <v>0</v>
      </c>
      <c r="R86" s="317">
        <v>101</v>
      </c>
      <c r="S86" s="309">
        <v>0</v>
      </c>
    </row>
    <row r="87" spans="1:19" ht="22.5" x14ac:dyDescent="0.2">
      <c r="A87" s="305" t="s">
        <v>2159</v>
      </c>
      <c r="B87" s="306" t="s">
        <v>149</v>
      </c>
      <c r="C87" s="307" t="s">
        <v>554</v>
      </c>
      <c r="D87" s="306" t="s">
        <v>153</v>
      </c>
      <c r="E87" s="305" t="s">
        <v>3798</v>
      </c>
      <c r="F87" s="335">
        <v>42359</v>
      </c>
      <c r="G87" s="309">
        <v>0</v>
      </c>
      <c r="H87" s="309">
        <v>0</v>
      </c>
      <c r="I87" s="309">
        <v>0</v>
      </c>
      <c r="J87" s="309">
        <v>246</v>
      </c>
      <c r="K87" s="309">
        <v>0</v>
      </c>
      <c r="L87" s="317">
        <v>246</v>
      </c>
      <c r="M87" s="309">
        <v>0</v>
      </c>
      <c r="N87" s="309">
        <v>0</v>
      </c>
      <c r="O87" s="309">
        <v>0</v>
      </c>
      <c r="P87" s="309">
        <v>550</v>
      </c>
      <c r="Q87" s="309">
        <v>0</v>
      </c>
      <c r="R87" s="317">
        <v>550</v>
      </c>
      <c r="S87" s="309">
        <v>-304</v>
      </c>
    </row>
    <row r="88" spans="1:19" ht="33.75" x14ac:dyDescent="0.2">
      <c r="A88" s="305" t="s">
        <v>2681</v>
      </c>
      <c r="B88" s="306" t="s">
        <v>3950</v>
      </c>
      <c r="C88" s="307" t="s">
        <v>2682</v>
      </c>
      <c r="D88" s="306" t="s">
        <v>153</v>
      </c>
      <c r="E88" s="305" t="s">
        <v>2944</v>
      </c>
      <c r="F88" s="335">
        <v>43171</v>
      </c>
      <c r="G88" s="309">
        <v>0</v>
      </c>
      <c r="H88" s="309">
        <v>0</v>
      </c>
      <c r="I88" s="309">
        <v>0</v>
      </c>
      <c r="J88" s="309">
        <v>0</v>
      </c>
      <c r="K88" s="309">
        <v>0</v>
      </c>
      <c r="L88" s="317">
        <v>0</v>
      </c>
      <c r="M88" s="309">
        <v>23</v>
      </c>
      <c r="N88" s="309">
        <v>0</v>
      </c>
      <c r="O88" s="309">
        <v>0</v>
      </c>
      <c r="P88" s="309">
        <v>0</v>
      </c>
      <c r="Q88" s="309">
        <v>0</v>
      </c>
      <c r="R88" s="317">
        <v>23</v>
      </c>
      <c r="S88" s="309">
        <v>-23</v>
      </c>
    </row>
    <row r="89" spans="1:19" ht="22.5" x14ac:dyDescent="0.2">
      <c r="A89" s="305" t="s">
        <v>1555</v>
      </c>
      <c r="B89" s="306" t="s">
        <v>149</v>
      </c>
      <c r="C89" s="307" t="s">
        <v>464</v>
      </c>
      <c r="D89" s="306" t="s">
        <v>153</v>
      </c>
      <c r="E89" s="305" t="s">
        <v>3798</v>
      </c>
      <c r="F89" s="335">
        <v>42202</v>
      </c>
      <c r="G89" s="309">
        <v>191</v>
      </c>
      <c r="H89" s="309">
        <v>0</v>
      </c>
      <c r="I89" s="309">
        <v>0</v>
      </c>
      <c r="J89" s="309">
        <v>0</v>
      </c>
      <c r="K89" s="309">
        <v>0</v>
      </c>
      <c r="L89" s="317">
        <v>191</v>
      </c>
      <c r="M89" s="309">
        <v>0</v>
      </c>
      <c r="N89" s="309">
        <v>0</v>
      </c>
      <c r="O89" s="309">
        <v>0</v>
      </c>
      <c r="P89" s="309">
        <v>0</v>
      </c>
      <c r="Q89" s="309">
        <v>0</v>
      </c>
      <c r="R89" s="317">
        <v>0</v>
      </c>
      <c r="S89" s="309">
        <v>191</v>
      </c>
    </row>
    <row r="90" spans="1:19" ht="22.5" x14ac:dyDescent="0.2">
      <c r="A90" s="305" t="s">
        <v>1948</v>
      </c>
      <c r="B90" s="306" t="s">
        <v>3943</v>
      </c>
      <c r="C90" s="307" t="s">
        <v>1276</v>
      </c>
      <c r="D90" s="306" t="s">
        <v>153</v>
      </c>
      <c r="E90" s="305" t="s">
        <v>3798</v>
      </c>
      <c r="F90" s="335">
        <v>42998</v>
      </c>
      <c r="G90" s="309">
        <v>0</v>
      </c>
      <c r="H90" s="309">
        <v>0</v>
      </c>
      <c r="I90" s="309">
        <v>0</v>
      </c>
      <c r="J90" s="309">
        <v>0</v>
      </c>
      <c r="K90" s="309">
        <v>0</v>
      </c>
      <c r="L90" s="317">
        <v>0</v>
      </c>
      <c r="M90" s="309">
        <v>0</v>
      </c>
      <c r="N90" s="309">
        <v>0</v>
      </c>
      <c r="O90" s="309">
        <v>0</v>
      </c>
      <c r="P90" s="309">
        <v>379</v>
      </c>
      <c r="Q90" s="309">
        <v>0</v>
      </c>
      <c r="R90" s="317">
        <v>379</v>
      </c>
      <c r="S90" s="309">
        <v>-379</v>
      </c>
    </row>
    <row r="91" spans="1:19" ht="22.5" x14ac:dyDescent="0.2">
      <c r="A91" s="305" t="s">
        <v>1674</v>
      </c>
      <c r="B91" s="306" t="s">
        <v>3947</v>
      </c>
      <c r="C91" s="307" t="s">
        <v>170</v>
      </c>
      <c r="D91" s="306" t="s">
        <v>153</v>
      </c>
      <c r="E91" s="305" t="s">
        <v>3798</v>
      </c>
      <c r="F91" s="335">
        <v>40892</v>
      </c>
      <c r="G91" s="309">
        <v>380</v>
      </c>
      <c r="H91" s="309">
        <v>380</v>
      </c>
      <c r="I91" s="309">
        <v>674</v>
      </c>
      <c r="J91" s="309">
        <v>673</v>
      </c>
      <c r="K91" s="309">
        <v>0</v>
      </c>
      <c r="L91" s="317">
        <v>2107</v>
      </c>
      <c r="M91" s="309">
        <v>0</v>
      </c>
      <c r="N91" s="309">
        <v>0</v>
      </c>
      <c r="O91" s="309">
        <v>0</v>
      </c>
      <c r="P91" s="309">
        <v>0</v>
      </c>
      <c r="Q91" s="309">
        <v>0</v>
      </c>
      <c r="R91" s="317">
        <v>0</v>
      </c>
      <c r="S91" s="309">
        <v>2107</v>
      </c>
    </row>
    <row r="92" spans="1:19" x14ac:dyDescent="0.2">
      <c r="C92" s="307" t="s">
        <v>1676</v>
      </c>
      <c r="D92" s="306" t="s">
        <v>153</v>
      </c>
      <c r="E92" s="305" t="s">
        <v>3798</v>
      </c>
      <c r="F92" s="335">
        <v>42916</v>
      </c>
      <c r="G92" s="309">
        <v>0</v>
      </c>
      <c r="H92" s="309">
        <v>0</v>
      </c>
      <c r="I92" s="309">
        <v>85</v>
      </c>
      <c r="J92" s="309">
        <v>0</v>
      </c>
      <c r="K92" s="309">
        <v>0</v>
      </c>
      <c r="L92" s="317">
        <v>85</v>
      </c>
      <c r="M92" s="309">
        <v>0</v>
      </c>
      <c r="N92" s="309">
        <v>0</v>
      </c>
      <c r="O92" s="309">
        <v>0</v>
      </c>
      <c r="P92" s="309">
        <v>0</v>
      </c>
      <c r="Q92" s="309">
        <v>0</v>
      </c>
      <c r="R92" s="317">
        <v>0</v>
      </c>
      <c r="S92" s="309">
        <v>85</v>
      </c>
    </row>
    <row r="93" spans="1:19" x14ac:dyDescent="0.2">
      <c r="C93" s="307" t="s">
        <v>1680</v>
      </c>
      <c r="D93" s="306" t="s">
        <v>153</v>
      </c>
      <c r="E93" s="305" t="s">
        <v>3798</v>
      </c>
      <c r="F93" s="335">
        <v>43166</v>
      </c>
      <c r="G93" s="309">
        <v>0</v>
      </c>
      <c r="H93" s="309">
        <v>0</v>
      </c>
      <c r="I93" s="309">
        <v>32</v>
      </c>
      <c r="J93" s="309">
        <v>0</v>
      </c>
      <c r="K93" s="309">
        <v>0</v>
      </c>
      <c r="L93" s="317">
        <v>32</v>
      </c>
      <c r="M93" s="309">
        <v>0</v>
      </c>
      <c r="N93" s="309">
        <v>0</v>
      </c>
      <c r="O93" s="309">
        <v>0</v>
      </c>
      <c r="P93" s="309">
        <v>0</v>
      </c>
      <c r="Q93" s="309">
        <v>0</v>
      </c>
      <c r="R93" s="317">
        <v>0</v>
      </c>
      <c r="S93" s="309">
        <v>32</v>
      </c>
    </row>
    <row r="94" spans="1:19" ht="22.5" x14ac:dyDescent="0.2">
      <c r="A94" s="305" t="s">
        <v>1945</v>
      </c>
      <c r="B94" s="306" t="s">
        <v>3951</v>
      </c>
      <c r="C94" s="307" t="s">
        <v>1946</v>
      </c>
      <c r="D94" s="306" t="s">
        <v>153</v>
      </c>
      <c r="E94" s="305" t="s">
        <v>3798</v>
      </c>
      <c r="F94" s="335">
        <v>43070</v>
      </c>
      <c r="G94" s="309">
        <v>133</v>
      </c>
      <c r="H94" s="309">
        <v>133</v>
      </c>
      <c r="I94" s="309">
        <v>133</v>
      </c>
      <c r="J94" s="309">
        <v>132</v>
      </c>
      <c r="K94" s="309">
        <v>0</v>
      </c>
      <c r="L94" s="317">
        <v>531</v>
      </c>
      <c r="M94" s="309">
        <v>0</v>
      </c>
      <c r="N94" s="309">
        <v>0</v>
      </c>
      <c r="O94" s="309">
        <v>663</v>
      </c>
      <c r="P94" s="309">
        <v>0</v>
      </c>
      <c r="Q94" s="309">
        <v>0</v>
      </c>
      <c r="R94" s="317">
        <v>663</v>
      </c>
      <c r="S94" s="309">
        <v>-132</v>
      </c>
    </row>
    <row r="95" spans="1:19" ht="22.5" x14ac:dyDescent="0.2">
      <c r="A95" s="305" t="s">
        <v>2238</v>
      </c>
      <c r="B95" s="306" t="s">
        <v>3944</v>
      </c>
      <c r="C95" s="307" t="s">
        <v>888</v>
      </c>
      <c r="D95" s="306" t="s">
        <v>153</v>
      </c>
      <c r="E95" s="305" t="s">
        <v>3798</v>
      </c>
      <c r="F95" s="335">
        <v>42626</v>
      </c>
      <c r="G95" s="309">
        <v>0</v>
      </c>
      <c r="H95" s="309">
        <v>51</v>
      </c>
      <c r="I95" s="309">
        <v>0</v>
      </c>
      <c r="J95" s="309">
        <v>0</v>
      </c>
      <c r="K95" s="309">
        <v>0</v>
      </c>
      <c r="L95" s="317">
        <v>51</v>
      </c>
      <c r="M95" s="309">
        <v>0</v>
      </c>
      <c r="N95" s="309">
        <v>0</v>
      </c>
      <c r="O95" s="309">
        <v>0</v>
      </c>
      <c r="P95" s="309">
        <v>0</v>
      </c>
      <c r="Q95" s="309">
        <v>0</v>
      </c>
      <c r="R95" s="317">
        <v>0</v>
      </c>
      <c r="S95" s="309">
        <v>51</v>
      </c>
    </row>
    <row r="96" spans="1:19" x14ac:dyDescent="0.2">
      <c r="A96" s="328" t="s">
        <v>95</v>
      </c>
      <c r="B96" s="329"/>
      <c r="C96" s="330"/>
      <c r="D96" s="329"/>
      <c r="E96" s="328"/>
      <c r="F96" s="349"/>
      <c r="G96" s="333">
        <v>2884</v>
      </c>
      <c r="H96" s="333">
        <v>1148</v>
      </c>
      <c r="I96" s="333">
        <v>3300</v>
      </c>
      <c r="J96" s="333">
        <v>1741</v>
      </c>
      <c r="K96" s="333">
        <v>160</v>
      </c>
      <c r="L96" s="334">
        <v>9233</v>
      </c>
      <c r="M96" s="333">
        <v>5260</v>
      </c>
      <c r="N96" s="333">
        <v>1049</v>
      </c>
      <c r="O96" s="333">
        <v>2092</v>
      </c>
      <c r="P96" s="333">
        <v>1433</v>
      </c>
      <c r="Q96" s="333">
        <v>0</v>
      </c>
      <c r="R96" s="334">
        <v>9834</v>
      </c>
      <c r="S96" s="333">
        <v>-601</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50"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S96"/>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2936</v>
      </c>
    </row>
    <row r="2" spans="1:19" x14ac:dyDescent="0.2">
      <c r="A2" s="77" t="s">
        <v>2940</v>
      </c>
      <c r="B2" s="446" t="s">
        <v>429</v>
      </c>
    </row>
    <row r="3" spans="1:19" x14ac:dyDescent="0.2">
      <c r="A3" s="77" t="s">
        <v>2941</v>
      </c>
      <c r="B3" s="446" t="s">
        <v>2943</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2402</v>
      </c>
      <c r="B7" s="446" t="s">
        <v>3939</v>
      </c>
      <c r="C7" s="446" t="s">
        <v>1272</v>
      </c>
      <c r="D7" s="446" t="s">
        <v>153</v>
      </c>
      <c r="E7" s="446" t="s">
        <v>3798</v>
      </c>
      <c r="F7" s="298">
        <v>42873</v>
      </c>
      <c r="G7" s="74">
        <v>0</v>
      </c>
      <c r="H7" s="74">
        <v>0</v>
      </c>
      <c r="I7" s="74">
        <v>0</v>
      </c>
      <c r="J7" s="74">
        <v>0</v>
      </c>
      <c r="K7" s="74">
        <v>75</v>
      </c>
      <c r="L7" s="74">
        <v>75</v>
      </c>
      <c r="M7" s="74">
        <v>75</v>
      </c>
      <c r="N7" s="74">
        <v>0</v>
      </c>
      <c r="O7" s="74">
        <v>0</v>
      </c>
      <c r="P7" s="74">
        <v>0</v>
      </c>
      <c r="Q7" s="74">
        <v>0</v>
      </c>
      <c r="R7" s="74">
        <v>75</v>
      </c>
      <c r="S7" s="74">
        <v>0</v>
      </c>
    </row>
    <row r="8" spans="1:19" x14ac:dyDescent="0.2">
      <c r="A8" s="446" t="s">
        <v>1449</v>
      </c>
      <c r="B8" s="446" t="s">
        <v>3951</v>
      </c>
      <c r="C8" s="446" t="s">
        <v>1292</v>
      </c>
      <c r="D8" s="446" t="s">
        <v>153</v>
      </c>
      <c r="E8" s="446" t="s">
        <v>3798</v>
      </c>
      <c r="F8" s="298">
        <v>42860</v>
      </c>
      <c r="G8" s="74">
        <v>0</v>
      </c>
      <c r="H8" s="74">
        <v>0</v>
      </c>
      <c r="I8" s="74">
        <v>132</v>
      </c>
      <c r="J8" s="74">
        <v>0</v>
      </c>
      <c r="K8" s="74">
        <v>0</v>
      </c>
      <c r="L8" s="74">
        <v>132</v>
      </c>
      <c r="M8" s="74">
        <v>132</v>
      </c>
      <c r="N8" s="74">
        <v>0</v>
      </c>
      <c r="O8" s="74">
        <v>0</v>
      </c>
      <c r="P8" s="74">
        <v>0</v>
      </c>
      <c r="Q8" s="74">
        <v>0</v>
      </c>
      <c r="R8" s="74">
        <v>132</v>
      </c>
      <c r="S8" s="74">
        <v>0</v>
      </c>
    </row>
    <row r="9" spans="1:19" x14ac:dyDescent="0.2">
      <c r="A9" s="446" t="s">
        <v>1641</v>
      </c>
      <c r="B9" s="446" t="s">
        <v>150</v>
      </c>
      <c r="C9" s="446" t="s">
        <v>1642</v>
      </c>
      <c r="D9" s="446" t="s">
        <v>153</v>
      </c>
      <c r="E9" s="446" t="s">
        <v>3798</v>
      </c>
      <c r="F9" s="298">
        <v>43021</v>
      </c>
      <c r="G9" s="74">
        <v>0</v>
      </c>
      <c r="H9" s="74">
        <v>0</v>
      </c>
      <c r="I9" s="74">
        <v>9</v>
      </c>
      <c r="J9" s="74">
        <v>0</v>
      </c>
      <c r="K9" s="74">
        <v>0</v>
      </c>
      <c r="L9" s="74">
        <v>9</v>
      </c>
      <c r="M9" s="74">
        <v>9</v>
      </c>
      <c r="N9" s="74">
        <v>0</v>
      </c>
      <c r="O9" s="74">
        <v>0</v>
      </c>
      <c r="P9" s="74">
        <v>0</v>
      </c>
      <c r="Q9" s="74">
        <v>0</v>
      </c>
      <c r="R9" s="74">
        <v>9</v>
      </c>
      <c r="S9" s="74">
        <v>0</v>
      </c>
    </row>
    <row r="10" spans="1:19" x14ac:dyDescent="0.2">
      <c r="A10" s="446" t="s">
        <v>1994</v>
      </c>
      <c r="B10" s="446" t="s">
        <v>3946</v>
      </c>
      <c r="C10" s="446" t="s">
        <v>832</v>
      </c>
      <c r="D10" s="446" t="s">
        <v>153</v>
      </c>
      <c r="E10" s="446" t="s">
        <v>3798</v>
      </c>
      <c r="F10" s="298">
        <v>42517</v>
      </c>
      <c r="G10" s="74">
        <v>0</v>
      </c>
      <c r="H10" s="74">
        <v>46</v>
      </c>
      <c r="I10" s="74">
        <v>0</v>
      </c>
      <c r="J10" s="74">
        <v>0</v>
      </c>
      <c r="K10" s="74">
        <v>0</v>
      </c>
      <c r="L10" s="74">
        <v>46</v>
      </c>
      <c r="M10" s="74">
        <v>92</v>
      </c>
      <c r="N10" s="74">
        <v>0</v>
      </c>
      <c r="O10" s="74">
        <v>0</v>
      </c>
      <c r="P10" s="74">
        <v>0</v>
      </c>
      <c r="Q10" s="74">
        <v>0</v>
      </c>
      <c r="R10" s="74">
        <v>92</v>
      </c>
      <c r="S10" s="74">
        <v>-46</v>
      </c>
    </row>
    <row r="11" spans="1:19" x14ac:dyDescent="0.2">
      <c r="A11" s="446" t="s">
        <v>1329</v>
      </c>
      <c r="B11" s="446" t="s">
        <v>3943</v>
      </c>
      <c r="C11" s="446" t="s">
        <v>287</v>
      </c>
      <c r="D11" s="446" t="s">
        <v>153</v>
      </c>
      <c r="E11" s="446" t="s">
        <v>3798</v>
      </c>
      <c r="F11" s="298">
        <v>42167</v>
      </c>
      <c r="G11" s="74">
        <v>0</v>
      </c>
      <c r="H11" s="74">
        <v>0</v>
      </c>
      <c r="I11" s="74">
        <v>300</v>
      </c>
      <c r="J11" s="74">
        <v>420</v>
      </c>
      <c r="K11" s="74">
        <v>0</v>
      </c>
      <c r="L11" s="74">
        <v>720</v>
      </c>
      <c r="M11" s="74">
        <v>0</v>
      </c>
      <c r="N11" s="74">
        <v>0</v>
      </c>
      <c r="O11" s="74">
        <v>0</v>
      </c>
      <c r="P11" s="74">
        <v>0</v>
      </c>
      <c r="Q11" s="74">
        <v>0</v>
      </c>
      <c r="R11" s="74">
        <v>0</v>
      </c>
      <c r="S11" s="74">
        <v>720</v>
      </c>
    </row>
    <row r="12" spans="1:19" x14ac:dyDescent="0.2">
      <c r="A12" s="446" t="s">
        <v>1457</v>
      </c>
      <c r="B12" s="446" t="s">
        <v>3944</v>
      </c>
      <c r="C12" s="446" t="s">
        <v>1458</v>
      </c>
      <c r="D12" s="446" t="s">
        <v>153</v>
      </c>
      <c r="E12" s="446" t="s">
        <v>2944</v>
      </c>
      <c r="F12" s="298">
        <v>42963</v>
      </c>
      <c r="G12" s="74">
        <v>0</v>
      </c>
      <c r="H12" s="74">
        <v>0</v>
      </c>
      <c r="I12" s="74">
        <v>0</v>
      </c>
      <c r="J12" s="74">
        <v>0</v>
      </c>
      <c r="K12" s="74">
        <v>0</v>
      </c>
      <c r="L12" s="74">
        <v>0</v>
      </c>
      <c r="M12" s="74">
        <v>66</v>
      </c>
      <c r="N12" s="74">
        <v>0</v>
      </c>
      <c r="O12" s="74">
        <v>0</v>
      </c>
      <c r="P12" s="74">
        <v>0</v>
      </c>
      <c r="Q12" s="74">
        <v>0</v>
      </c>
      <c r="R12" s="74">
        <v>66</v>
      </c>
      <c r="S12" s="74">
        <v>-66</v>
      </c>
    </row>
    <row r="13" spans="1:19" x14ac:dyDescent="0.2">
      <c r="A13" s="446" t="s">
        <v>2541</v>
      </c>
      <c r="B13" s="446" t="s">
        <v>3945</v>
      </c>
      <c r="C13" s="446" t="s">
        <v>2542</v>
      </c>
      <c r="D13" s="446" t="s">
        <v>153</v>
      </c>
      <c r="E13" s="446" t="s">
        <v>3798</v>
      </c>
      <c r="F13" s="298">
        <v>43003</v>
      </c>
      <c r="G13" s="74">
        <v>47</v>
      </c>
      <c r="H13" s="74">
        <v>0</v>
      </c>
      <c r="I13" s="74">
        <v>0</v>
      </c>
      <c r="J13" s="74">
        <v>0</v>
      </c>
      <c r="K13" s="74">
        <v>0</v>
      </c>
      <c r="L13" s="74">
        <v>47</v>
      </c>
      <c r="M13" s="74">
        <v>96</v>
      </c>
      <c r="N13" s="74">
        <v>0</v>
      </c>
      <c r="O13" s="74">
        <v>0</v>
      </c>
      <c r="P13" s="74">
        <v>0</v>
      </c>
      <c r="Q13" s="74">
        <v>0</v>
      </c>
      <c r="R13" s="74">
        <v>96</v>
      </c>
      <c r="S13" s="74">
        <v>-49</v>
      </c>
    </row>
    <row r="14" spans="1:19" x14ac:dyDescent="0.2">
      <c r="A14" s="446" t="s">
        <v>2302</v>
      </c>
      <c r="B14" s="446" t="s">
        <v>3946</v>
      </c>
      <c r="C14" s="446" t="s">
        <v>1113</v>
      </c>
      <c r="D14" s="446" t="s">
        <v>153</v>
      </c>
      <c r="E14" s="446" t="s">
        <v>421</v>
      </c>
      <c r="F14" s="298">
        <v>42725</v>
      </c>
      <c r="G14" s="74">
        <v>0</v>
      </c>
      <c r="H14" s="74">
        <v>0</v>
      </c>
      <c r="I14" s="74">
        <v>0</v>
      </c>
      <c r="J14" s="74">
        <v>0</v>
      </c>
      <c r="K14" s="74">
        <v>0</v>
      </c>
      <c r="L14" s="74">
        <v>0</v>
      </c>
      <c r="M14" s="74">
        <v>85</v>
      </c>
      <c r="N14" s="74">
        <v>0</v>
      </c>
      <c r="O14" s="74">
        <v>0</v>
      </c>
      <c r="P14" s="74">
        <v>0</v>
      </c>
      <c r="Q14" s="74">
        <v>0</v>
      </c>
      <c r="R14" s="74">
        <v>85</v>
      </c>
      <c r="S14" s="74">
        <v>-85</v>
      </c>
    </row>
    <row r="15" spans="1:19" x14ac:dyDescent="0.2">
      <c r="A15" s="446" t="s">
        <v>1620</v>
      </c>
      <c r="B15" s="446" t="s">
        <v>3944</v>
      </c>
      <c r="C15" s="446" t="s">
        <v>776</v>
      </c>
      <c r="D15" s="446" t="s">
        <v>153</v>
      </c>
      <c r="E15" s="446" t="s">
        <v>3798</v>
      </c>
      <c r="F15" s="298">
        <v>42368</v>
      </c>
      <c r="G15" s="74">
        <v>20</v>
      </c>
      <c r="H15" s="74">
        <v>0</v>
      </c>
      <c r="I15" s="74">
        <v>0</v>
      </c>
      <c r="J15" s="74">
        <v>0</v>
      </c>
      <c r="K15" s="74">
        <v>0</v>
      </c>
      <c r="L15" s="74">
        <v>20</v>
      </c>
      <c r="M15" s="74">
        <v>28</v>
      </c>
      <c r="N15" s="74">
        <v>0</v>
      </c>
      <c r="O15" s="74">
        <v>0</v>
      </c>
      <c r="P15" s="74">
        <v>0</v>
      </c>
      <c r="Q15" s="74">
        <v>0</v>
      </c>
      <c r="R15" s="74">
        <v>28</v>
      </c>
      <c r="S15" s="74">
        <v>-8</v>
      </c>
    </row>
    <row r="16" spans="1:19" x14ac:dyDescent="0.2">
      <c r="A16" s="446" t="s">
        <v>2624</v>
      </c>
      <c r="B16" s="446" t="s">
        <v>149</v>
      </c>
      <c r="C16" s="446" t="s">
        <v>2625</v>
      </c>
      <c r="D16" s="446" t="s">
        <v>153</v>
      </c>
      <c r="E16" s="446" t="s">
        <v>3798</v>
      </c>
      <c r="F16" s="298">
        <v>43118</v>
      </c>
      <c r="G16" s="74">
        <v>0</v>
      </c>
      <c r="H16" s="74">
        <v>0</v>
      </c>
      <c r="I16" s="74">
        <v>100</v>
      </c>
      <c r="J16" s="74">
        <v>0</v>
      </c>
      <c r="K16" s="74">
        <v>0</v>
      </c>
      <c r="L16" s="74">
        <v>100</v>
      </c>
      <c r="M16" s="74">
        <v>100</v>
      </c>
      <c r="N16" s="74">
        <v>0</v>
      </c>
      <c r="O16" s="74">
        <v>0</v>
      </c>
      <c r="P16" s="74">
        <v>0</v>
      </c>
      <c r="Q16" s="74">
        <v>0</v>
      </c>
      <c r="R16" s="74">
        <v>100</v>
      </c>
      <c r="S16" s="74">
        <v>0</v>
      </c>
    </row>
    <row r="17" spans="1:19" x14ac:dyDescent="0.2">
      <c r="A17" s="446" t="s">
        <v>1491</v>
      </c>
      <c r="B17" s="446" t="s">
        <v>2907</v>
      </c>
      <c r="C17" s="446" t="s">
        <v>951</v>
      </c>
      <c r="D17" s="446" t="s">
        <v>153</v>
      </c>
      <c r="E17" s="446" t="s">
        <v>3798</v>
      </c>
      <c r="F17" s="298">
        <v>42597</v>
      </c>
      <c r="G17" s="74">
        <v>0</v>
      </c>
      <c r="H17" s="74">
        <v>0</v>
      </c>
      <c r="I17" s="74">
        <v>0</v>
      </c>
      <c r="J17" s="74">
        <v>0</v>
      </c>
      <c r="K17" s="74">
        <v>0</v>
      </c>
      <c r="L17" s="74">
        <v>0</v>
      </c>
      <c r="M17" s="74">
        <v>0</v>
      </c>
      <c r="N17" s="74">
        <v>195</v>
      </c>
      <c r="O17" s="74">
        <v>0</v>
      </c>
      <c r="P17" s="74">
        <v>0</v>
      </c>
      <c r="Q17" s="74">
        <v>0</v>
      </c>
      <c r="R17" s="74">
        <v>195</v>
      </c>
      <c r="S17" s="74">
        <v>-195</v>
      </c>
    </row>
    <row r="18" spans="1:19" x14ac:dyDescent="0.2">
      <c r="A18" s="446" t="s">
        <v>1638</v>
      </c>
      <c r="B18" s="446" t="s">
        <v>3952</v>
      </c>
      <c r="C18" s="446" t="s">
        <v>1639</v>
      </c>
      <c r="D18" s="446" t="s">
        <v>153</v>
      </c>
      <c r="E18" s="446" t="s">
        <v>3798</v>
      </c>
      <c r="F18" s="298">
        <v>42977</v>
      </c>
      <c r="G18" s="74">
        <v>0</v>
      </c>
      <c r="H18" s="74">
        <v>0</v>
      </c>
      <c r="I18" s="74">
        <v>50</v>
      </c>
      <c r="J18" s="74">
        <v>0</v>
      </c>
      <c r="K18" s="74">
        <v>0</v>
      </c>
      <c r="L18" s="74">
        <v>50</v>
      </c>
      <c r="M18" s="74">
        <v>0</v>
      </c>
      <c r="N18" s="74">
        <v>50</v>
      </c>
      <c r="O18" s="74">
        <v>0</v>
      </c>
      <c r="P18" s="74">
        <v>0</v>
      </c>
      <c r="Q18" s="74">
        <v>0</v>
      </c>
      <c r="R18" s="74">
        <v>50</v>
      </c>
      <c r="S18" s="74">
        <v>0</v>
      </c>
    </row>
    <row r="19" spans="1:19" x14ac:dyDescent="0.2">
      <c r="A19" s="446" t="s">
        <v>2154</v>
      </c>
      <c r="B19" s="446" t="s">
        <v>2907</v>
      </c>
      <c r="C19" s="446" t="s">
        <v>518</v>
      </c>
      <c r="D19" s="446" t="s">
        <v>153</v>
      </c>
      <c r="E19" s="446" t="s">
        <v>3798</v>
      </c>
      <c r="F19" s="298">
        <v>42381</v>
      </c>
      <c r="G19" s="74">
        <v>0</v>
      </c>
      <c r="H19" s="74">
        <v>0</v>
      </c>
      <c r="I19" s="74">
        <v>0</v>
      </c>
      <c r="J19" s="74">
        <v>0</v>
      </c>
      <c r="K19" s="74">
        <v>0</v>
      </c>
      <c r="L19" s="74">
        <v>0</v>
      </c>
      <c r="M19" s="74">
        <v>0</v>
      </c>
      <c r="N19" s="74">
        <v>0</v>
      </c>
      <c r="O19" s="74">
        <v>170</v>
      </c>
      <c r="P19" s="74">
        <v>0</v>
      </c>
      <c r="Q19" s="74">
        <v>0</v>
      </c>
      <c r="R19" s="74">
        <v>170</v>
      </c>
      <c r="S19" s="74">
        <v>-170</v>
      </c>
    </row>
    <row r="20" spans="1:19" x14ac:dyDescent="0.2">
      <c r="A20" s="446" t="s">
        <v>1433</v>
      </c>
      <c r="B20" s="446" t="s">
        <v>3941</v>
      </c>
      <c r="C20" s="446" t="s">
        <v>1266</v>
      </c>
      <c r="D20" s="446" t="s">
        <v>153</v>
      </c>
      <c r="E20" s="446" t="s">
        <v>3798</v>
      </c>
      <c r="F20" s="298">
        <v>42850</v>
      </c>
      <c r="G20" s="74">
        <v>155</v>
      </c>
      <c r="H20" s="74">
        <v>0</v>
      </c>
      <c r="I20" s="74">
        <v>155</v>
      </c>
      <c r="J20" s="74">
        <v>0</v>
      </c>
      <c r="K20" s="74">
        <v>0</v>
      </c>
      <c r="L20" s="74">
        <v>310</v>
      </c>
      <c r="M20" s="74">
        <v>0</v>
      </c>
      <c r="N20" s="74">
        <v>0</v>
      </c>
      <c r="O20" s="74">
        <v>0</v>
      </c>
      <c r="P20" s="74">
        <v>0</v>
      </c>
      <c r="Q20" s="74">
        <v>0</v>
      </c>
      <c r="R20" s="74">
        <v>0</v>
      </c>
      <c r="S20" s="74">
        <v>310</v>
      </c>
    </row>
    <row r="21" spans="1:19" x14ac:dyDescent="0.2">
      <c r="A21" s="446" t="s">
        <v>1756</v>
      </c>
      <c r="B21" s="446" t="s">
        <v>3947</v>
      </c>
      <c r="C21" s="446" t="s">
        <v>622</v>
      </c>
      <c r="D21" s="446" t="s">
        <v>153</v>
      </c>
      <c r="E21" s="446" t="s">
        <v>3798</v>
      </c>
      <c r="F21" s="298">
        <v>42438</v>
      </c>
      <c r="G21" s="74">
        <v>70</v>
      </c>
      <c r="H21" s="74">
        <v>0</v>
      </c>
      <c r="I21" s="74">
        <v>0</v>
      </c>
      <c r="J21" s="74">
        <v>0</v>
      </c>
      <c r="K21" s="74">
        <v>0</v>
      </c>
      <c r="L21" s="74">
        <v>70</v>
      </c>
      <c r="M21" s="74">
        <v>0</v>
      </c>
      <c r="N21" s="74">
        <v>0</v>
      </c>
      <c r="O21" s="74">
        <v>0</v>
      </c>
      <c r="P21" s="74">
        <v>0</v>
      </c>
      <c r="Q21" s="74">
        <v>0</v>
      </c>
      <c r="R21" s="74">
        <v>0</v>
      </c>
      <c r="S21" s="74">
        <v>70</v>
      </c>
    </row>
    <row r="22" spans="1:19" x14ac:dyDescent="0.2">
      <c r="A22" s="446" t="s">
        <v>2418</v>
      </c>
      <c r="B22" s="446" t="s">
        <v>3942</v>
      </c>
      <c r="C22" s="446" t="s">
        <v>2419</v>
      </c>
      <c r="D22" s="446" t="s">
        <v>153</v>
      </c>
      <c r="E22" s="446" t="s">
        <v>3798</v>
      </c>
      <c r="F22" s="298">
        <v>42870</v>
      </c>
      <c r="G22" s="74">
        <v>0</v>
      </c>
      <c r="H22" s="74">
        <v>0</v>
      </c>
      <c r="I22" s="74">
        <v>0</v>
      </c>
      <c r="J22" s="74">
        <v>0</v>
      </c>
      <c r="K22" s="74">
        <v>0</v>
      </c>
      <c r="L22" s="74">
        <v>0</v>
      </c>
      <c r="M22" s="74">
        <v>88</v>
      </c>
      <c r="N22" s="74">
        <v>0</v>
      </c>
      <c r="O22" s="74">
        <v>0</v>
      </c>
      <c r="P22" s="74">
        <v>0</v>
      </c>
      <c r="Q22" s="74">
        <v>0</v>
      </c>
      <c r="R22" s="74">
        <v>88</v>
      </c>
      <c r="S22" s="74">
        <v>-88</v>
      </c>
    </row>
    <row r="23" spans="1:19" x14ac:dyDescent="0.2">
      <c r="A23" s="446" t="s">
        <v>1615</v>
      </c>
      <c r="B23" s="446" t="s">
        <v>3951</v>
      </c>
      <c r="C23" s="446" t="s">
        <v>628</v>
      </c>
      <c r="D23" s="446" t="s">
        <v>153</v>
      </c>
      <c r="E23" s="446" t="s">
        <v>3798</v>
      </c>
      <c r="F23" s="298">
        <v>42471</v>
      </c>
      <c r="G23" s="74">
        <v>0</v>
      </c>
      <c r="H23" s="74">
        <v>0</v>
      </c>
      <c r="I23" s="74">
        <v>0</v>
      </c>
      <c r="J23" s="74">
        <v>0</v>
      </c>
      <c r="K23" s="74">
        <v>0</v>
      </c>
      <c r="L23" s="74">
        <v>0</v>
      </c>
      <c r="M23" s="74">
        <v>180</v>
      </c>
      <c r="N23" s="74">
        <v>0</v>
      </c>
      <c r="O23" s="74">
        <v>0</v>
      </c>
      <c r="P23" s="74">
        <v>0</v>
      </c>
      <c r="Q23" s="74">
        <v>0</v>
      </c>
      <c r="R23" s="74">
        <v>180</v>
      </c>
      <c r="S23" s="74">
        <v>-180</v>
      </c>
    </row>
    <row r="24" spans="1:19" x14ac:dyDescent="0.2">
      <c r="A24" s="446" t="s">
        <v>1796</v>
      </c>
      <c r="B24" s="446" t="s">
        <v>3942</v>
      </c>
      <c r="C24" s="446" t="s">
        <v>1216</v>
      </c>
      <c r="D24" s="446" t="s">
        <v>153</v>
      </c>
      <c r="E24" s="446" t="s">
        <v>421</v>
      </c>
      <c r="F24" s="298">
        <v>42836</v>
      </c>
      <c r="G24" s="74">
        <v>38</v>
      </c>
      <c r="H24" s="74">
        <v>0</v>
      </c>
      <c r="I24" s="74">
        <v>0</v>
      </c>
      <c r="J24" s="74">
        <v>0</v>
      </c>
      <c r="K24" s="74">
        <v>0</v>
      </c>
      <c r="L24" s="74">
        <v>38</v>
      </c>
      <c r="M24" s="74">
        <v>95</v>
      </c>
      <c r="N24" s="74">
        <v>0</v>
      </c>
      <c r="O24" s="74">
        <v>0</v>
      </c>
      <c r="P24" s="74">
        <v>0</v>
      </c>
      <c r="Q24" s="74">
        <v>0</v>
      </c>
      <c r="R24" s="74">
        <v>95</v>
      </c>
      <c r="S24" s="74">
        <v>-57</v>
      </c>
    </row>
    <row r="25" spans="1:19" x14ac:dyDescent="0.2">
      <c r="A25" s="446" t="s">
        <v>1897</v>
      </c>
      <c r="B25" s="446" t="s">
        <v>3950</v>
      </c>
      <c r="C25" s="446" t="s">
        <v>353</v>
      </c>
      <c r="D25" s="446" t="s">
        <v>153</v>
      </c>
      <c r="E25" s="446" t="s">
        <v>3798</v>
      </c>
      <c r="F25" s="298">
        <v>41828</v>
      </c>
      <c r="G25" s="74">
        <v>0</v>
      </c>
      <c r="H25" s="74">
        <v>38</v>
      </c>
      <c r="I25" s="74">
        <v>0</v>
      </c>
      <c r="J25" s="74">
        <v>0</v>
      </c>
      <c r="K25" s="74">
        <v>0</v>
      </c>
      <c r="L25" s="74">
        <v>38</v>
      </c>
      <c r="M25" s="74">
        <v>0</v>
      </c>
      <c r="N25" s="74">
        <v>125</v>
      </c>
      <c r="O25" s="74">
        <v>0</v>
      </c>
      <c r="P25" s="74">
        <v>0</v>
      </c>
      <c r="Q25" s="74">
        <v>0</v>
      </c>
      <c r="R25" s="74">
        <v>125</v>
      </c>
      <c r="S25" s="74">
        <v>-87</v>
      </c>
    </row>
    <row r="26" spans="1:19" x14ac:dyDescent="0.2">
      <c r="C26" s="446" t="s">
        <v>1898</v>
      </c>
      <c r="D26" s="446" t="s">
        <v>153</v>
      </c>
      <c r="E26" s="446" t="s">
        <v>3798</v>
      </c>
      <c r="F26" s="298">
        <v>42942</v>
      </c>
      <c r="G26" s="74">
        <v>0</v>
      </c>
      <c r="H26" s="74">
        <v>62</v>
      </c>
      <c r="I26" s="74">
        <v>0</v>
      </c>
      <c r="J26" s="74">
        <v>0</v>
      </c>
      <c r="K26" s="74">
        <v>0</v>
      </c>
      <c r="L26" s="74">
        <v>62</v>
      </c>
      <c r="M26" s="74">
        <v>0</v>
      </c>
      <c r="N26" s="74">
        <v>86</v>
      </c>
      <c r="O26" s="74">
        <v>0</v>
      </c>
      <c r="P26" s="74">
        <v>0</v>
      </c>
      <c r="Q26" s="74">
        <v>0</v>
      </c>
      <c r="R26" s="74">
        <v>86</v>
      </c>
      <c r="S26" s="74">
        <v>-24</v>
      </c>
    </row>
    <row r="27" spans="1:19" x14ac:dyDescent="0.2">
      <c r="A27" s="446" t="s">
        <v>2357</v>
      </c>
      <c r="B27" s="446" t="s">
        <v>2904</v>
      </c>
      <c r="C27" s="446" t="s">
        <v>2358</v>
      </c>
      <c r="D27" s="446" t="s">
        <v>153</v>
      </c>
      <c r="E27" s="446" t="s">
        <v>3798</v>
      </c>
      <c r="F27" s="298">
        <v>42971</v>
      </c>
      <c r="G27" s="74">
        <v>0</v>
      </c>
      <c r="H27" s="74">
        <v>0</v>
      </c>
      <c r="I27" s="74">
        <v>41</v>
      </c>
      <c r="J27" s="74">
        <v>0</v>
      </c>
      <c r="K27" s="74">
        <v>0</v>
      </c>
      <c r="L27" s="74">
        <v>41</v>
      </c>
      <c r="M27" s="74">
        <v>0</v>
      </c>
      <c r="N27" s="74">
        <v>0</v>
      </c>
      <c r="O27" s="74">
        <v>66</v>
      </c>
      <c r="P27" s="74">
        <v>0</v>
      </c>
      <c r="Q27" s="74">
        <v>0</v>
      </c>
      <c r="R27" s="74">
        <v>66</v>
      </c>
      <c r="S27" s="74">
        <v>-25</v>
      </c>
    </row>
    <row r="28" spans="1:19" x14ac:dyDescent="0.2">
      <c r="A28" s="446" t="s">
        <v>2086</v>
      </c>
      <c r="B28" s="446" t="s">
        <v>3945</v>
      </c>
      <c r="C28" s="446" t="s">
        <v>284</v>
      </c>
      <c r="D28" s="446" t="s">
        <v>153</v>
      </c>
      <c r="E28" s="446" t="s">
        <v>3798</v>
      </c>
      <c r="F28" s="298">
        <v>42044</v>
      </c>
      <c r="G28" s="74">
        <v>0</v>
      </c>
      <c r="H28" s="74">
        <v>72</v>
      </c>
      <c r="I28" s="74">
        <v>0</v>
      </c>
      <c r="J28" s="74">
        <v>0</v>
      </c>
      <c r="K28" s="74">
        <v>0</v>
      </c>
      <c r="L28" s="74">
        <v>72</v>
      </c>
      <c r="M28" s="74">
        <v>0</v>
      </c>
      <c r="N28" s="74">
        <v>128</v>
      </c>
      <c r="O28" s="74">
        <v>0</v>
      </c>
      <c r="P28" s="74">
        <v>0</v>
      </c>
      <c r="Q28" s="74">
        <v>0</v>
      </c>
      <c r="R28" s="74">
        <v>128</v>
      </c>
      <c r="S28" s="74">
        <v>-56</v>
      </c>
    </row>
    <row r="29" spans="1:19" x14ac:dyDescent="0.2">
      <c r="A29" s="446" t="s">
        <v>2201</v>
      </c>
      <c r="B29" s="446" t="s">
        <v>2907</v>
      </c>
      <c r="C29" s="446" t="s">
        <v>572</v>
      </c>
      <c r="D29" s="446" t="s">
        <v>153</v>
      </c>
      <c r="E29" s="446" t="s">
        <v>3798</v>
      </c>
      <c r="F29" s="298">
        <v>42513</v>
      </c>
      <c r="G29" s="74">
        <v>0</v>
      </c>
      <c r="H29" s="74">
        <v>0</v>
      </c>
      <c r="I29" s="74">
        <v>119</v>
      </c>
      <c r="J29" s="74">
        <v>60</v>
      </c>
      <c r="K29" s="74">
        <v>0</v>
      </c>
      <c r="L29" s="74">
        <v>179</v>
      </c>
      <c r="M29" s="74">
        <v>0</v>
      </c>
      <c r="N29" s="74">
        <v>0</v>
      </c>
      <c r="O29" s="74">
        <v>179</v>
      </c>
      <c r="P29" s="74">
        <v>0</v>
      </c>
      <c r="Q29" s="74">
        <v>0</v>
      </c>
      <c r="R29" s="74">
        <v>179</v>
      </c>
      <c r="S29" s="74">
        <v>0</v>
      </c>
    </row>
    <row r="30" spans="1:19" x14ac:dyDescent="0.2">
      <c r="A30" s="446" t="s">
        <v>2088</v>
      </c>
      <c r="B30" s="446" t="s">
        <v>2904</v>
      </c>
      <c r="C30" s="446" t="s">
        <v>907</v>
      </c>
      <c r="D30" s="446" t="s">
        <v>153</v>
      </c>
      <c r="E30" s="446" t="s">
        <v>3798</v>
      </c>
      <c r="F30" s="298">
        <v>42587</v>
      </c>
      <c r="G30" s="74">
        <v>45</v>
      </c>
      <c r="H30" s="74">
        <v>0</v>
      </c>
      <c r="I30" s="74">
        <v>0</v>
      </c>
      <c r="J30" s="74">
        <v>0</v>
      </c>
      <c r="K30" s="74">
        <v>0</v>
      </c>
      <c r="L30" s="74">
        <v>45</v>
      </c>
      <c r="M30" s="74">
        <v>0</v>
      </c>
      <c r="N30" s="74">
        <v>0</v>
      </c>
      <c r="O30" s="74">
        <v>0</v>
      </c>
      <c r="P30" s="74">
        <v>0</v>
      </c>
      <c r="Q30" s="74">
        <v>0</v>
      </c>
      <c r="R30" s="74">
        <v>0</v>
      </c>
      <c r="S30" s="74">
        <v>45</v>
      </c>
    </row>
    <row r="31" spans="1:19" x14ac:dyDescent="0.2">
      <c r="A31" s="446" t="s">
        <v>2095</v>
      </c>
      <c r="B31" s="446" t="s">
        <v>149</v>
      </c>
      <c r="C31" s="446" t="s">
        <v>298</v>
      </c>
      <c r="D31" s="446" t="s">
        <v>153</v>
      </c>
      <c r="E31" s="446" t="s">
        <v>421</v>
      </c>
      <c r="F31" s="298">
        <v>42044</v>
      </c>
      <c r="G31" s="74">
        <v>0</v>
      </c>
      <c r="H31" s="74">
        <v>0</v>
      </c>
      <c r="I31" s="74">
        <v>0</v>
      </c>
      <c r="J31" s="74">
        <v>0</v>
      </c>
      <c r="K31" s="74">
        <v>0</v>
      </c>
      <c r="L31" s="74">
        <v>0</v>
      </c>
      <c r="M31" s="74">
        <v>45</v>
      </c>
      <c r="N31" s="74">
        <v>0</v>
      </c>
      <c r="O31" s="74">
        <v>0</v>
      </c>
      <c r="P31" s="74">
        <v>0</v>
      </c>
      <c r="Q31" s="74">
        <v>0</v>
      </c>
      <c r="R31" s="74">
        <v>45</v>
      </c>
      <c r="S31" s="74">
        <v>-45</v>
      </c>
    </row>
    <row r="32" spans="1:19" x14ac:dyDescent="0.2">
      <c r="A32" s="446" t="s">
        <v>1986</v>
      </c>
      <c r="B32" s="446" t="s">
        <v>3952</v>
      </c>
      <c r="C32" s="446" t="s">
        <v>1987</v>
      </c>
      <c r="D32" s="446" t="s">
        <v>153</v>
      </c>
      <c r="E32" s="446" t="s">
        <v>3798</v>
      </c>
      <c r="F32" s="298">
        <v>42986</v>
      </c>
      <c r="G32" s="74">
        <v>0</v>
      </c>
      <c r="H32" s="74">
        <v>0</v>
      </c>
      <c r="I32" s="74">
        <v>83</v>
      </c>
      <c r="J32" s="74">
        <v>0</v>
      </c>
      <c r="K32" s="74">
        <v>0</v>
      </c>
      <c r="L32" s="74">
        <v>83</v>
      </c>
      <c r="M32" s="74">
        <v>83</v>
      </c>
      <c r="N32" s="74">
        <v>0</v>
      </c>
      <c r="O32" s="74">
        <v>0</v>
      </c>
      <c r="P32" s="74">
        <v>0</v>
      </c>
      <c r="Q32" s="74">
        <v>0</v>
      </c>
      <c r="R32" s="74">
        <v>83</v>
      </c>
      <c r="S32" s="74">
        <v>0</v>
      </c>
    </row>
    <row r="33" spans="1:19" x14ac:dyDescent="0.2">
      <c r="A33" s="446" t="s">
        <v>2586</v>
      </c>
      <c r="B33" s="446" t="s">
        <v>3946</v>
      </c>
      <c r="C33" s="446" t="s">
        <v>2587</v>
      </c>
      <c r="D33" s="446" t="s">
        <v>153</v>
      </c>
      <c r="E33" s="446" t="s">
        <v>3798</v>
      </c>
      <c r="F33" s="298">
        <v>43080</v>
      </c>
      <c r="G33" s="74">
        <v>0</v>
      </c>
      <c r="H33" s="74">
        <v>0</v>
      </c>
      <c r="I33" s="74">
        <v>0</v>
      </c>
      <c r="J33" s="74">
        <v>0</v>
      </c>
      <c r="K33" s="74">
        <v>85</v>
      </c>
      <c r="L33" s="74">
        <v>85</v>
      </c>
      <c r="M33" s="74">
        <v>0</v>
      </c>
      <c r="N33" s="74">
        <v>0</v>
      </c>
      <c r="O33" s="74">
        <v>85</v>
      </c>
      <c r="P33" s="74">
        <v>0</v>
      </c>
      <c r="Q33" s="74">
        <v>0</v>
      </c>
      <c r="R33" s="74">
        <v>85</v>
      </c>
      <c r="S33" s="74">
        <v>0</v>
      </c>
    </row>
    <row r="34" spans="1:19" x14ac:dyDescent="0.2">
      <c r="A34" s="446" t="s">
        <v>2180</v>
      </c>
      <c r="B34" s="446" t="s">
        <v>2904</v>
      </c>
      <c r="C34" s="446" t="s">
        <v>651</v>
      </c>
      <c r="D34" s="446" t="s">
        <v>153</v>
      </c>
      <c r="E34" s="446" t="s">
        <v>3798</v>
      </c>
      <c r="F34" s="298">
        <v>42481</v>
      </c>
      <c r="G34" s="74">
        <v>69</v>
      </c>
      <c r="H34" s="74">
        <v>0</v>
      </c>
      <c r="I34" s="74">
        <v>0</v>
      </c>
      <c r="J34" s="74">
        <v>0</v>
      </c>
      <c r="K34" s="74">
        <v>0</v>
      </c>
      <c r="L34" s="74">
        <v>69</v>
      </c>
      <c r="M34" s="74">
        <v>0</v>
      </c>
      <c r="N34" s="74">
        <v>0</v>
      </c>
      <c r="O34" s="74">
        <v>0</v>
      </c>
      <c r="P34" s="74">
        <v>0</v>
      </c>
      <c r="Q34" s="74">
        <v>0</v>
      </c>
      <c r="R34" s="74">
        <v>0</v>
      </c>
      <c r="S34" s="74">
        <v>69</v>
      </c>
    </row>
    <row r="35" spans="1:19" x14ac:dyDescent="0.2">
      <c r="A35" s="446" t="s">
        <v>2329</v>
      </c>
      <c r="B35" s="446" t="s">
        <v>3945</v>
      </c>
      <c r="C35" s="446" t="s">
        <v>1131</v>
      </c>
      <c r="D35" s="446" t="s">
        <v>153</v>
      </c>
      <c r="E35" s="446" t="s">
        <v>3798</v>
      </c>
      <c r="F35" s="298">
        <v>42825</v>
      </c>
      <c r="G35" s="74">
        <v>0</v>
      </c>
      <c r="H35" s="74">
        <v>0</v>
      </c>
      <c r="I35" s="74">
        <v>74</v>
      </c>
      <c r="J35" s="74">
        <v>74</v>
      </c>
      <c r="K35" s="74">
        <v>0</v>
      </c>
      <c r="L35" s="74">
        <v>148</v>
      </c>
      <c r="M35" s="74">
        <v>74</v>
      </c>
      <c r="N35" s="74">
        <v>0</v>
      </c>
      <c r="O35" s="74">
        <v>0</v>
      </c>
      <c r="P35" s="74">
        <v>0</v>
      </c>
      <c r="Q35" s="74">
        <v>0</v>
      </c>
      <c r="R35" s="74">
        <v>74</v>
      </c>
      <c r="S35" s="74">
        <v>74</v>
      </c>
    </row>
    <row r="36" spans="1:19" x14ac:dyDescent="0.2">
      <c r="A36" s="446" t="s">
        <v>1667</v>
      </c>
      <c r="B36" s="446" t="s">
        <v>3950</v>
      </c>
      <c r="C36" s="446" t="s">
        <v>1068</v>
      </c>
      <c r="D36" s="446" t="s">
        <v>153</v>
      </c>
      <c r="E36" s="446" t="s">
        <v>3798</v>
      </c>
      <c r="F36" s="298">
        <v>42696</v>
      </c>
      <c r="G36" s="74">
        <v>46</v>
      </c>
      <c r="H36" s="74">
        <v>0</v>
      </c>
      <c r="I36" s="74">
        <v>0</v>
      </c>
      <c r="J36" s="74">
        <v>0</v>
      </c>
      <c r="K36" s="74">
        <v>0</v>
      </c>
      <c r="L36" s="74">
        <v>46</v>
      </c>
      <c r="M36" s="74">
        <v>113</v>
      </c>
      <c r="N36" s="74">
        <v>0</v>
      </c>
      <c r="O36" s="74">
        <v>0</v>
      </c>
      <c r="P36" s="74">
        <v>0</v>
      </c>
      <c r="Q36" s="74">
        <v>0</v>
      </c>
      <c r="R36" s="74">
        <v>113</v>
      </c>
      <c r="S36" s="74">
        <v>-67</v>
      </c>
    </row>
    <row r="37" spans="1:19" x14ac:dyDescent="0.2">
      <c r="A37" s="446" t="s">
        <v>2559</v>
      </c>
      <c r="B37" s="446" t="s">
        <v>3943</v>
      </c>
      <c r="C37" s="446" t="s">
        <v>2560</v>
      </c>
      <c r="D37" s="446" t="s">
        <v>153</v>
      </c>
      <c r="E37" s="446" t="s">
        <v>3798</v>
      </c>
      <c r="F37" s="298">
        <v>43042</v>
      </c>
      <c r="G37" s="74">
        <v>32</v>
      </c>
      <c r="H37" s="74">
        <v>0</v>
      </c>
      <c r="I37" s="74">
        <v>0</v>
      </c>
      <c r="J37" s="74">
        <v>0</v>
      </c>
      <c r="K37" s="74">
        <v>0</v>
      </c>
      <c r="L37" s="74">
        <v>32</v>
      </c>
      <c r="M37" s="74">
        <v>62</v>
      </c>
      <c r="N37" s="74">
        <v>0</v>
      </c>
      <c r="O37" s="74">
        <v>0</v>
      </c>
      <c r="P37" s="74">
        <v>0</v>
      </c>
      <c r="Q37" s="74">
        <v>0</v>
      </c>
      <c r="R37" s="74">
        <v>62</v>
      </c>
      <c r="S37" s="74">
        <v>-30</v>
      </c>
    </row>
    <row r="38" spans="1:19" x14ac:dyDescent="0.2">
      <c r="A38" s="446" t="s">
        <v>1583</v>
      </c>
      <c r="B38" s="446" t="s">
        <v>150</v>
      </c>
      <c r="C38" s="446" t="s">
        <v>525</v>
      </c>
      <c r="D38" s="446" t="s">
        <v>153</v>
      </c>
      <c r="E38" s="446" t="s">
        <v>3798</v>
      </c>
      <c r="F38" s="298">
        <v>42394</v>
      </c>
      <c r="G38" s="74">
        <v>66</v>
      </c>
      <c r="H38" s="74">
        <v>0</v>
      </c>
      <c r="I38" s="74">
        <v>0</v>
      </c>
      <c r="J38" s="74">
        <v>0</v>
      </c>
      <c r="K38" s="74">
        <v>0</v>
      </c>
      <c r="L38" s="74">
        <v>66</v>
      </c>
      <c r="M38" s="74">
        <v>70</v>
      </c>
      <c r="N38" s="74">
        <v>0</v>
      </c>
      <c r="O38" s="74">
        <v>0</v>
      </c>
      <c r="P38" s="74">
        <v>0</v>
      </c>
      <c r="Q38" s="74">
        <v>0</v>
      </c>
      <c r="R38" s="74">
        <v>70</v>
      </c>
      <c r="S38" s="74">
        <v>-4</v>
      </c>
    </row>
    <row r="39" spans="1:19" x14ac:dyDescent="0.2">
      <c r="A39" s="446" t="s">
        <v>2047</v>
      </c>
      <c r="B39" s="446" t="s">
        <v>3954</v>
      </c>
      <c r="C39" s="446" t="s">
        <v>363</v>
      </c>
      <c r="D39" s="446" t="s">
        <v>153</v>
      </c>
      <c r="E39" s="446" t="s">
        <v>3798</v>
      </c>
      <c r="F39" s="298">
        <v>41934</v>
      </c>
      <c r="G39" s="74">
        <v>25</v>
      </c>
      <c r="H39" s="74">
        <v>25</v>
      </c>
      <c r="I39" s="74">
        <v>0</v>
      </c>
      <c r="J39" s="74">
        <v>0</v>
      </c>
      <c r="K39" s="74">
        <v>0</v>
      </c>
      <c r="L39" s="74">
        <v>50</v>
      </c>
      <c r="M39" s="74">
        <v>0</v>
      </c>
      <c r="N39" s="74">
        <v>0</v>
      </c>
      <c r="O39" s="74">
        <v>220</v>
      </c>
      <c r="P39" s="74">
        <v>0</v>
      </c>
      <c r="Q39" s="74">
        <v>0</v>
      </c>
      <c r="R39" s="74">
        <v>220</v>
      </c>
      <c r="S39" s="74">
        <v>-170</v>
      </c>
    </row>
    <row r="40" spans="1:19" x14ac:dyDescent="0.2">
      <c r="A40" s="446" t="s">
        <v>2339</v>
      </c>
      <c r="B40" s="446" t="s">
        <v>2907</v>
      </c>
      <c r="C40" s="446" t="s">
        <v>1117</v>
      </c>
      <c r="D40" s="446" t="s">
        <v>153</v>
      </c>
      <c r="E40" s="446" t="s">
        <v>3798</v>
      </c>
      <c r="F40" s="298">
        <v>42725</v>
      </c>
      <c r="G40" s="74">
        <v>0</v>
      </c>
      <c r="H40" s="74">
        <v>0</v>
      </c>
      <c r="I40" s="74">
        <v>0</v>
      </c>
      <c r="J40" s="74">
        <v>0</v>
      </c>
      <c r="K40" s="74">
        <v>0</v>
      </c>
      <c r="L40" s="74">
        <v>0</v>
      </c>
      <c r="M40" s="74">
        <v>0</v>
      </c>
      <c r="N40" s="74">
        <v>0</v>
      </c>
      <c r="O40" s="74">
        <v>270</v>
      </c>
      <c r="P40" s="74">
        <v>0</v>
      </c>
      <c r="Q40" s="74">
        <v>0</v>
      </c>
      <c r="R40" s="74">
        <v>270</v>
      </c>
      <c r="S40" s="74">
        <v>-270</v>
      </c>
    </row>
    <row r="41" spans="1:19" x14ac:dyDescent="0.2">
      <c r="A41" s="446" t="s">
        <v>1384</v>
      </c>
      <c r="B41" s="446" t="s">
        <v>2907</v>
      </c>
      <c r="C41" s="446" t="s">
        <v>1046</v>
      </c>
      <c r="D41" s="446" t="s">
        <v>153</v>
      </c>
      <c r="E41" s="446" t="s">
        <v>3798</v>
      </c>
      <c r="F41" s="298">
        <v>42675</v>
      </c>
      <c r="G41" s="74">
        <v>0</v>
      </c>
      <c r="H41" s="74">
        <v>28</v>
      </c>
      <c r="I41" s="74">
        <v>0</v>
      </c>
      <c r="J41" s="74">
        <v>0</v>
      </c>
      <c r="K41" s="74">
        <v>0</v>
      </c>
      <c r="L41" s="74">
        <v>28</v>
      </c>
      <c r="M41" s="74">
        <v>0</v>
      </c>
      <c r="N41" s="74">
        <v>0</v>
      </c>
      <c r="O41" s="74">
        <v>0</v>
      </c>
      <c r="P41" s="74">
        <v>0</v>
      </c>
      <c r="Q41" s="74">
        <v>0</v>
      </c>
      <c r="R41" s="74">
        <v>0</v>
      </c>
      <c r="S41" s="74">
        <v>28</v>
      </c>
    </row>
    <row r="42" spans="1:19" x14ac:dyDescent="0.2">
      <c r="A42" s="446" t="s">
        <v>2115</v>
      </c>
      <c r="B42" s="446" t="s">
        <v>3942</v>
      </c>
      <c r="C42" s="446" t="s">
        <v>813</v>
      </c>
      <c r="D42" s="446" t="s">
        <v>153</v>
      </c>
      <c r="E42" s="446" t="s">
        <v>3798</v>
      </c>
      <c r="F42" s="298">
        <v>42529</v>
      </c>
      <c r="G42" s="74">
        <v>86</v>
      </c>
      <c r="H42" s="74">
        <v>0</v>
      </c>
      <c r="I42" s="74">
        <v>0</v>
      </c>
      <c r="J42" s="74">
        <v>0</v>
      </c>
      <c r="K42" s="74">
        <v>0</v>
      </c>
      <c r="L42" s="74">
        <v>86</v>
      </c>
      <c r="M42" s="74">
        <v>118</v>
      </c>
      <c r="N42" s="74">
        <v>0</v>
      </c>
      <c r="O42" s="74">
        <v>0</v>
      </c>
      <c r="P42" s="74">
        <v>0</v>
      </c>
      <c r="Q42" s="74">
        <v>0</v>
      </c>
      <c r="R42" s="74">
        <v>118</v>
      </c>
      <c r="S42" s="74">
        <v>-32</v>
      </c>
    </row>
    <row r="43" spans="1:19" x14ac:dyDescent="0.2">
      <c r="A43" s="446" t="s">
        <v>2231</v>
      </c>
      <c r="B43" s="446" t="s">
        <v>3947</v>
      </c>
      <c r="C43" s="446" t="s">
        <v>2232</v>
      </c>
      <c r="D43" s="446" t="s">
        <v>153</v>
      </c>
      <c r="E43" s="446" t="s">
        <v>3798</v>
      </c>
      <c r="F43" s="298">
        <v>43136</v>
      </c>
      <c r="G43" s="74">
        <v>0</v>
      </c>
      <c r="H43" s="74">
        <v>0</v>
      </c>
      <c r="I43" s="74">
        <v>0</v>
      </c>
      <c r="J43" s="74">
        <v>0</v>
      </c>
      <c r="K43" s="74">
        <v>0</v>
      </c>
      <c r="L43" s="74">
        <v>0</v>
      </c>
      <c r="M43" s="74">
        <v>0</v>
      </c>
      <c r="N43" s="74">
        <v>299</v>
      </c>
      <c r="O43" s="74">
        <v>0</v>
      </c>
      <c r="P43" s="74">
        <v>0</v>
      </c>
      <c r="Q43" s="74">
        <v>0</v>
      </c>
      <c r="R43" s="74">
        <v>299</v>
      </c>
      <c r="S43" s="74">
        <v>-299</v>
      </c>
    </row>
    <row r="44" spans="1:19" x14ac:dyDescent="0.2">
      <c r="A44" s="446" t="s">
        <v>2562</v>
      </c>
      <c r="B44" s="446" t="s">
        <v>2904</v>
      </c>
      <c r="C44" s="446" t="s">
        <v>2563</v>
      </c>
      <c r="D44" s="446" t="s">
        <v>153</v>
      </c>
      <c r="E44" s="446" t="s">
        <v>3798</v>
      </c>
      <c r="F44" s="298">
        <v>43049</v>
      </c>
      <c r="G44" s="74">
        <v>0</v>
      </c>
      <c r="H44" s="74">
        <v>0</v>
      </c>
      <c r="I44" s="74">
        <v>74</v>
      </c>
      <c r="J44" s="74">
        <v>0</v>
      </c>
      <c r="K44" s="74">
        <v>0</v>
      </c>
      <c r="L44" s="74">
        <v>74</v>
      </c>
      <c r="M44" s="74">
        <v>0</v>
      </c>
      <c r="N44" s="74">
        <v>0</v>
      </c>
      <c r="O44" s="74">
        <v>0</v>
      </c>
      <c r="P44" s="74">
        <v>74</v>
      </c>
      <c r="Q44" s="74">
        <v>0</v>
      </c>
      <c r="R44" s="74">
        <v>74</v>
      </c>
      <c r="S44" s="74">
        <v>0</v>
      </c>
    </row>
    <row r="45" spans="1:19" x14ac:dyDescent="0.2">
      <c r="A45" s="446" t="s">
        <v>1377</v>
      </c>
      <c r="B45" s="446" t="s">
        <v>2904</v>
      </c>
      <c r="C45" s="446" t="s">
        <v>249</v>
      </c>
      <c r="D45" s="446" t="s">
        <v>153</v>
      </c>
      <c r="E45" s="446" t="s">
        <v>3798</v>
      </c>
      <c r="F45" s="298">
        <v>41757</v>
      </c>
      <c r="G45" s="74">
        <v>0</v>
      </c>
      <c r="H45" s="74">
        <v>0</v>
      </c>
      <c r="I45" s="74">
        <v>0</v>
      </c>
      <c r="J45" s="74">
        <v>0</v>
      </c>
      <c r="K45" s="74">
        <v>0</v>
      </c>
      <c r="L45" s="74">
        <v>0</v>
      </c>
      <c r="M45" s="74">
        <v>15</v>
      </c>
      <c r="N45" s="74">
        <v>0</v>
      </c>
      <c r="O45" s="74">
        <v>0</v>
      </c>
      <c r="P45" s="74">
        <v>0</v>
      </c>
      <c r="Q45" s="74">
        <v>0</v>
      </c>
      <c r="R45" s="74">
        <v>15</v>
      </c>
      <c r="S45" s="74">
        <v>-15</v>
      </c>
    </row>
    <row r="46" spans="1:19" x14ac:dyDescent="0.2">
      <c r="A46" s="446" t="s">
        <v>1324</v>
      </c>
      <c r="B46" s="446" t="s">
        <v>3944</v>
      </c>
      <c r="C46" s="446" t="s">
        <v>177</v>
      </c>
      <c r="D46" s="446" t="s">
        <v>153</v>
      </c>
      <c r="E46" s="446" t="s">
        <v>3798</v>
      </c>
      <c r="F46" s="298">
        <v>41145</v>
      </c>
      <c r="G46" s="74">
        <v>64</v>
      </c>
      <c r="H46" s="74">
        <v>0</v>
      </c>
      <c r="I46" s="74">
        <v>0</v>
      </c>
      <c r="J46" s="74">
        <v>0</v>
      </c>
      <c r="K46" s="74">
        <v>0</v>
      </c>
      <c r="L46" s="74">
        <v>64</v>
      </c>
      <c r="M46" s="74">
        <v>0</v>
      </c>
      <c r="N46" s="74">
        <v>0</v>
      </c>
      <c r="O46" s="74">
        <v>0</v>
      </c>
      <c r="P46" s="74">
        <v>0</v>
      </c>
      <c r="Q46" s="74">
        <v>0</v>
      </c>
      <c r="R46" s="74">
        <v>0</v>
      </c>
      <c r="S46" s="74">
        <v>64</v>
      </c>
    </row>
    <row r="47" spans="1:19" x14ac:dyDescent="0.2">
      <c r="C47" s="446" t="s">
        <v>1162</v>
      </c>
      <c r="D47" s="446" t="s">
        <v>153</v>
      </c>
      <c r="E47" s="446" t="s">
        <v>3798</v>
      </c>
      <c r="F47" s="298">
        <v>42782</v>
      </c>
      <c r="G47" s="74">
        <v>0</v>
      </c>
      <c r="H47" s="74">
        <v>32</v>
      </c>
      <c r="I47" s="74">
        <v>0</v>
      </c>
      <c r="J47" s="74">
        <v>0</v>
      </c>
      <c r="K47" s="74">
        <v>0</v>
      </c>
      <c r="L47" s="74">
        <v>32</v>
      </c>
      <c r="M47" s="74">
        <v>32</v>
      </c>
      <c r="N47" s="74">
        <v>0</v>
      </c>
      <c r="O47" s="74">
        <v>0</v>
      </c>
      <c r="P47" s="74">
        <v>0</v>
      </c>
      <c r="Q47" s="74">
        <v>0</v>
      </c>
      <c r="R47" s="74">
        <v>32</v>
      </c>
      <c r="S47" s="74">
        <v>0</v>
      </c>
    </row>
    <row r="48" spans="1:19" x14ac:dyDescent="0.2">
      <c r="A48" s="446" t="s">
        <v>2509</v>
      </c>
      <c r="B48" s="446" t="s">
        <v>149</v>
      </c>
      <c r="C48" s="446" t="s">
        <v>2510</v>
      </c>
      <c r="D48" s="446" t="s">
        <v>153</v>
      </c>
      <c r="E48" s="446" t="s">
        <v>421</v>
      </c>
      <c r="F48" s="298">
        <v>42982</v>
      </c>
      <c r="G48" s="74">
        <v>0</v>
      </c>
      <c r="H48" s="74">
        <v>0</v>
      </c>
      <c r="I48" s="74">
        <v>0</v>
      </c>
      <c r="J48" s="74">
        <v>0</v>
      </c>
      <c r="K48" s="74">
        <v>0</v>
      </c>
      <c r="L48" s="74">
        <v>0</v>
      </c>
      <c r="M48" s="74">
        <v>0</v>
      </c>
      <c r="N48" s="74">
        <v>65</v>
      </c>
      <c r="O48" s="74">
        <v>0</v>
      </c>
      <c r="P48" s="74">
        <v>0</v>
      </c>
      <c r="Q48" s="74">
        <v>0</v>
      </c>
      <c r="R48" s="74">
        <v>65</v>
      </c>
      <c r="S48" s="74">
        <v>-65</v>
      </c>
    </row>
    <row r="49" spans="1:19" x14ac:dyDescent="0.2">
      <c r="A49" s="446" t="s">
        <v>1617</v>
      </c>
      <c r="B49" s="446" t="s">
        <v>3946</v>
      </c>
      <c r="C49" s="446" t="s">
        <v>1618</v>
      </c>
      <c r="D49" s="446" t="s">
        <v>153</v>
      </c>
      <c r="E49" s="446" t="s">
        <v>3798</v>
      </c>
      <c r="F49" s="298">
        <v>42983</v>
      </c>
      <c r="G49" s="74">
        <v>0</v>
      </c>
      <c r="H49" s="74">
        <v>0</v>
      </c>
      <c r="I49" s="74">
        <v>95</v>
      </c>
      <c r="J49" s="74">
        <v>0</v>
      </c>
      <c r="K49" s="74">
        <v>0</v>
      </c>
      <c r="L49" s="74">
        <v>95</v>
      </c>
      <c r="M49" s="74">
        <v>95</v>
      </c>
      <c r="N49" s="74">
        <v>0</v>
      </c>
      <c r="O49" s="74">
        <v>0</v>
      </c>
      <c r="P49" s="74">
        <v>0</v>
      </c>
      <c r="Q49" s="74">
        <v>0</v>
      </c>
      <c r="R49" s="74">
        <v>95</v>
      </c>
      <c r="S49" s="74">
        <v>0</v>
      </c>
    </row>
    <row r="50" spans="1:19" x14ac:dyDescent="0.2">
      <c r="A50" s="446" t="s">
        <v>2228</v>
      </c>
      <c r="B50" s="446" t="s">
        <v>2904</v>
      </c>
      <c r="C50" s="446" t="s">
        <v>872</v>
      </c>
      <c r="D50" s="446" t="s">
        <v>153</v>
      </c>
      <c r="E50" s="446" t="s">
        <v>3798</v>
      </c>
      <c r="F50" s="298">
        <v>42640</v>
      </c>
      <c r="G50" s="74">
        <v>40</v>
      </c>
      <c r="H50" s="74">
        <v>0</v>
      </c>
      <c r="I50" s="74">
        <v>0</v>
      </c>
      <c r="J50" s="74">
        <v>0</v>
      </c>
      <c r="K50" s="74">
        <v>0</v>
      </c>
      <c r="L50" s="74">
        <v>40</v>
      </c>
      <c r="M50" s="74">
        <v>0</v>
      </c>
      <c r="N50" s="74">
        <v>0</v>
      </c>
      <c r="O50" s="74">
        <v>108</v>
      </c>
      <c r="P50" s="74">
        <v>0</v>
      </c>
      <c r="Q50" s="74">
        <v>0</v>
      </c>
      <c r="R50" s="74">
        <v>108</v>
      </c>
      <c r="S50" s="74">
        <v>-68</v>
      </c>
    </row>
    <row r="51" spans="1:19" x14ac:dyDescent="0.2">
      <c r="A51" s="446" t="s">
        <v>2260</v>
      </c>
      <c r="B51" s="446" t="s">
        <v>3943</v>
      </c>
      <c r="C51" s="446" t="s">
        <v>2261</v>
      </c>
      <c r="D51" s="446" t="s">
        <v>153</v>
      </c>
      <c r="E51" s="446" t="s">
        <v>3798</v>
      </c>
      <c r="F51" s="298">
        <v>42702</v>
      </c>
      <c r="G51" s="74">
        <v>0</v>
      </c>
      <c r="H51" s="74">
        <v>0</v>
      </c>
      <c r="I51" s="74">
        <v>0</v>
      </c>
      <c r="J51" s="74">
        <v>0</v>
      </c>
      <c r="K51" s="74">
        <v>0</v>
      </c>
      <c r="L51" s="74">
        <v>0</v>
      </c>
      <c r="M51" s="74">
        <v>236</v>
      </c>
      <c r="N51" s="74">
        <v>0</v>
      </c>
      <c r="O51" s="74">
        <v>0</v>
      </c>
      <c r="P51" s="74">
        <v>0</v>
      </c>
      <c r="Q51" s="74">
        <v>0</v>
      </c>
      <c r="R51" s="74">
        <v>236</v>
      </c>
      <c r="S51" s="74">
        <v>-236</v>
      </c>
    </row>
    <row r="52" spans="1:19" x14ac:dyDescent="0.2">
      <c r="A52" s="446" t="s">
        <v>1985</v>
      </c>
      <c r="B52" s="446" t="s">
        <v>3948</v>
      </c>
      <c r="C52" s="446" t="s">
        <v>368</v>
      </c>
      <c r="D52" s="446" t="s">
        <v>153</v>
      </c>
      <c r="E52" s="446" t="s">
        <v>3798</v>
      </c>
      <c r="F52" s="298">
        <v>42340</v>
      </c>
      <c r="G52" s="74">
        <v>238</v>
      </c>
      <c r="H52" s="74">
        <v>238</v>
      </c>
      <c r="I52" s="74">
        <v>0</v>
      </c>
      <c r="J52" s="74">
        <v>0</v>
      </c>
      <c r="K52" s="74">
        <v>0</v>
      </c>
      <c r="L52" s="74">
        <v>476</v>
      </c>
      <c r="M52" s="74">
        <v>0</v>
      </c>
      <c r="N52" s="74">
        <v>0</v>
      </c>
      <c r="O52" s="74">
        <v>0</v>
      </c>
      <c r="P52" s="74">
        <v>430</v>
      </c>
      <c r="Q52" s="74">
        <v>0</v>
      </c>
      <c r="R52" s="74">
        <v>430</v>
      </c>
      <c r="S52" s="74">
        <v>46</v>
      </c>
    </row>
    <row r="53" spans="1:19" x14ac:dyDescent="0.2">
      <c r="A53" s="446" t="s">
        <v>1906</v>
      </c>
      <c r="B53" s="446" t="s">
        <v>3941</v>
      </c>
      <c r="C53" s="446" t="s">
        <v>303</v>
      </c>
      <c r="D53" s="446" t="s">
        <v>153</v>
      </c>
      <c r="E53" s="446" t="s">
        <v>3798</v>
      </c>
      <c r="F53" s="298">
        <v>42066</v>
      </c>
      <c r="G53" s="74">
        <v>50</v>
      </c>
      <c r="H53" s="74">
        <v>0</v>
      </c>
      <c r="I53" s="74">
        <v>0</v>
      </c>
      <c r="J53" s="74">
        <v>0</v>
      </c>
      <c r="K53" s="74">
        <v>0</v>
      </c>
      <c r="L53" s="74">
        <v>50</v>
      </c>
      <c r="M53" s="74">
        <v>106</v>
      </c>
      <c r="N53" s="74">
        <v>0</v>
      </c>
      <c r="O53" s="74">
        <v>0</v>
      </c>
      <c r="P53" s="74">
        <v>0</v>
      </c>
      <c r="Q53" s="74">
        <v>0</v>
      </c>
      <c r="R53" s="74">
        <v>106</v>
      </c>
      <c r="S53" s="74">
        <v>-56</v>
      </c>
    </row>
    <row r="54" spans="1:19" x14ac:dyDescent="0.2">
      <c r="A54" s="446" t="s">
        <v>2123</v>
      </c>
      <c r="B54" s="446" t="s">
        <v>3946</v>
      </c>
      <c r="C54" s="446" t="s">
        <v>472</v>
      </c>
      <c r="D54" s="446" t="s">
        <v>153</v>
      </c>
      <c r="E54" s="446" t="s">
        <v>3798</v>
      </c>
      <c r="F54" s="298">
        <v>42305</v>
      </c>
      <c r="G54" s="74">
        <v>77</v>
      </c>
      <c r="H54" s="74">
        <v>0</v>
      </c>
      <c r="I54" s="74">
        <v>0</v>
      </c>
      <c r="J54" s="74">
        <v>0</v>
      </c>
      <c r="K54" s="74">
        <v>0</v>
      </c>
      <c r="L54" s="74">
        <v>77</v>
      </c>
      <c r="M54" s="74">
        <v>107</v>
      </c>
      <c r="N54" s="74">
        <v>0</v>
      </c>
      <c r="O54" s="74">
        <v>0</v>
      </c>
      <c r="P54" s="74">
        <v>0</v>
      </c>
      <c r="Q54" s="74">
        <v>0</v>
      </c>
      <c r="R54" s="74">
        <v>107</v>
      </c>
      <c r="S54" s="74">
        <v>-30</v>
      </c>
    </row>
    <row r="55" spans="1:19" x14ac:dyDescent="0.2">
      <c r="A55" s="446" t="s">
        <v>1346</v>
      </c>
      <c r="B55" s="446" t="s">
        <v>3942</v>
      </c>
      <c r="C55" s="446" t="s">
        <v>1103</v>
      </c>
      <c r="D55" s="446" t="s">
        <v>153</v>
      </c>
      <c r="E55" s="446" t="s">
        <v>3798</v>
      </c>
      <c r="F55" s="298">
        <v>42739</v>
      </c>
      <c r="G55" s="74">
        <v>40</v>
      </c>
      <c r="H55" s="74">
        <v>0</v>
      </c>
      <c r="I55" s="74">
        <v>0</v>
      </c>
      <c r="J55" s="74">
        <v>0</v>
      </c>
      <c r="K55" s="74">
        <v>0</v>
      </c>
      <c r="L55" s="74">
        <v>40</v>
      </c>
      <c r="M55" s="74">
        <v>81</v>
      </c>
      <c r="N55" s="74">
        <v>0</v>
      </c>
      <c r="O55" s="74">
        <v>0</v>
      </c>
      <c r="P55" s="74">
        <v>0</v>
      </c>
      <c r="Q55" s="74">
        <v>0</v>
      </c>
      <c r="R55" s="74">
        <v>81</v>
      </c>
      <c r="S55" s="74">
        <v>-41</v>
      </c>
    </row>
    <row r="56" spans="1:19" x14ac:dyDescent="0.2">
      <c r="A56" s="446" t="s">
        <v>2234</v>
      </c>
      <c r="B56" s="446" t="s">
        <v>2904</v>
      </c>
      <c r="C56" s="446" t="s">
        <v>824</v>
      </c>
      <c r="D56" s="446" t="s">
        <v>153</v>
      </c>
      <c r="E56" s="446" t="s">
        <v>3798</v>
      </c>
      <c r="F56" s="298">
        <v>42536</v>
      </c>
      <c r="G56" s="74">
        <v>404</v>
      </c>
      <c r="H56" s="74">
        <v>0</v>
      </c>
      <c r="I56" s="74">
        <v>0</v>
      </c>
      <c r="J56" s="74">
        <v>0</v>
      </c>
      <c r="K56" s="74">
        <v>0</v>
      </c>
      <c r="L56" s="74">
        <v>404</v>
      </c>
      <c r="M56" s="74">
        <v>160</v>
      </c>
      <c r="N56" s="74">
        <v>0</v>
      </c>
      <c r="O56" s="74">
        <v>156</v>
      </c>
      <c r="P56" s="74">
        <v>0</v>
      </c>
      <c r="Q56" s="74">
        <v>0</v>
      </c>
      <c r="R56" s="74">
        <v>316</v>
      </c>
      <c r="S56" s="74">
        <v>88</v>
      </c>
    </row>
    <row r="57" spans="1:19" x14ac:dyDescent="0.2">
      <c r="C57" s="446" t="s">
        <v>2235</v>
      </c>
      <c r="D57" s="446" t="s">
        <v>153</v>
      </c>
      <c r="E57" s="446" t="s">
        <v>3798</v>
      </c>
      <c r="F57" s="298">
        <v>42851</v>
      </c>
      <c r="G57" s="74">
        <v>167</v>
      </c>
      <c r="H57" s="74">
        <v>0</v>
      </c>
      <c r="I57" s="74">
        <v>275</v>
      </c>
      <c r="J57" s="74">
        <v>0</v>
      </c>
      <c r="K57" s="74">
        <v>0</v>
      </c>
      <c r="L57" s="74">
        <v>442</v>
      </c>
      <c r="M57" s="74">
        <v>442</v>
      </c>
      <c r="N57" s="74">
        <v>0</v>
      </c>
      <c r="O57" s="74">
        <v>0</v>
      </c>
      <c r="P57" s="74">
        <v>0</v>
      </c>
      <c r="Q57" s="74">
        <v>0</v>
      </c>
      <c r="R57" s="74">
        <v>442</v>
      </c>
      <c r="S57" s="74">
        <v>0</v>
      </c>
    </row>
    <row r="58" spans="1:19" x14ac:dyDescent="0.2">
      <c r="A58" s="446" t="s">
        <v>2222</v>
      </c>
      <c r="B58" s="446" t="s">
        <v>3948</v>
      </c>
      <c r="C58" s="446" t="s">
        <v>1001</v>
      </c>
      <c r="D58" s="446" t="s">
        <v>153</v>
      </c>
      <c r="E58" s="446" t="s">
        <v>3798</v>
      </c>
      <c r="F58" s="298">
        <v>42702</v>
      </c>
      <c r="G58" s="74">
        <v>0</v>
      </c>
      <c r="H58" s="74">
        <v>43</v>
      </c>
      <c r="I58" s="74">
        <v>0</v>
      </c>
      <c r="J58" s="74">
        <v>0</v>
      </c>
      <c r="K58" s="74">
        <v>0</v>
      </c>
      <c r="L58" s="74">
        <v>43</v>
      </c>
      <c r="M58" s="74">
        <v>107</v>
      </c>
      <c r="N58" s="74">
        <v>0</v>
      </c>
      <c r="O58" s="74">
        <v>0</v>
      </c>
      <c r="P58" s="74">
        <v>0</v>
      </c>
      <c r="Q58" s="74">
        <v>0</v>
      </c>
      <c r="R58" s="74">
        <v>107</v>
      </c>
      <c r="S58" s="74">
        <v>-64</v>
      </c>
    </row>
    <row r="59" spans="1:19" x14ac:dyDescent="0.2">
      <c r="A59" s="446" t="s">
        <v>1795</v>
      </c>
      <c r="B59" s="446" t="s">
        <v>2904</v>
      </c>
      <c r="C59" s="446" t="s">
        <v>965</v>
      </c>
      <c r="D59" s="446" t="s">
        <v>153</v>
      </c>
      <c r="E59" s="446" t="s">
        <v>3798</v>
      </c>
      <c r="F59" s="298">
        <v>42618</v>
      </c>
      <c r="G59" s="74">
        <v>0</v>
      </c>
      <c r="H59" s="74">
        <v>0</v>
      </c>
      <c r="I59" s="74">
        <v>20</v>
      </c>
      <c r="J59" s="74">
        <v>0</v>
      </c>
      <c r="K59" s="74">
        <v>0</v>
      </c>
      <c r="L59" s="74">
        <v>20</v>
      </c>
      <c r="M59" s="74">
        <v>0</v>
      </c>
      <c r="N59" s="74">
        <v>0</v>
      </c>
      <c r="O59" s="74">
        <v>0</v>
      </c>
      <c r="P59" s="74">
        <v>0</v>
      </c>
      <c r="Q59" s="74">
        <v>0</v>
      </c>
      <c r="R59" s="74">
        <v>0</v>
      </c>
      <c r="S59" s="74">
        <v>20</v>
      </c>
    </row>
    <row r="60" spans="1:19" x14ac:dyDescent="0.2">
      <c r="A60" s="446" t="s">
        <v>1627</v>
      </c>
      <c r="B60" s="446" t="s">
        <v>2904</v>
      </c>
      <c r="C60" s="446" t="s">
        <v>1628</v>
      </c>
      <c r="D60" s="446" t="s">
        <v>153</v>
      </c>
      <c r="E60" s="446" t="s">
        <v>3798</v>
      </c>
      <c r="F60" s="298">
        <v>42950</v>
      </c>
      <c r="G60" s="74">
        <v>0</v>
      </c>
      <c r="H60" s="74">
        <v>0</v>
      </c>
      <c r="I60" s="74">
        <v>175</v>
      </c>
      <c r="J60" s="74">
        <v>0</v>
      </c>
      <c r="K60" s="74">
        <v>0</v>
      </c>
      <c r="L60" s="74">
        <v>175</v>
      </c>
      <c r="M60" s="74">
        <v>0</v>
      </c>
      <c r="N60" s="74">
        <v>0</v>
      </c>
      <c r="O60" s="74">
        <v>175</v>
      </c>
      <c r="P60" s="74">
        <v>0</v>
      </c>
      <c r="Q60" s="74">
        <v>0</v>
      </c>
      <c r="R60" s="74">
        <v>175</v>
      </c>
      <c r="S60" s="74">
        <v>0</v>
      </c>
    </row>
    <row r="61" spans="1:19" x14ac:dyDescent="0.2">
      <c r="A61" s="446" t="s">
        <v>2346</v>
      </c>
      <c r="B61" s="446" t="s">
        <v>2904</v>
      </c>
      <c r="C61" s="446" t="s">
        <v>662</v>
      </c>
      <c r="D61" s="446" t="s">
        <v>153</v>
      </c>
      <c r="E61" s="446" t="s">
        <v>3798</v>
      </c>
      <c r="F61" s="298">
        <v>42537</v>
      </c>
      <c r="G61" s="74">
        <v>37</v>
      </c>
      <c r="H61" s="74">
        <v>0</v>
      </c>
      <c r="I61" s="74">
        <v>0</v>
      </c>
      <c r="J61" s="74">
        <v>0</v>
      </c>
      <c r="K61" s="74">
        <v>0</v>
      </c>
      <c r="L61" s="74">
        <v>37</v>
      </c>
      <c r="M61" s="74">
        <v>0</v>
      </c>
      <c r="N61" s="74">
        <v>0</v>
      </c>
      <c r="O61" s="74">
        <v>0</v>
      </c>
      <c r="P61" s="74">
        <v>0</v>
      </c>
      <c r="Q61" s="74">
        <v>0</v>
      </c>
      <c r="R61" s="74">
        <v>0</v>
      </c>
      <c r="S61" s="74">
        <v>37</v>
      </c>
    </row>
    <row r="62" spans="1:19" x14ac:dyDescent="0.2">
      <c r="A62" s="446" t="s">
        <v>1839</v>
      </c>
      <c r="B62" s="446" t="s">
        <v>3948</v>
      </c>
      <c r="C62" s="446" t="s">
        <v>1840</v>
      </c>
      <c r="D62" s="446" t="s">
        <v>153</v>
      </c>
      <c r="E62" s="446" t="s">
        <v>3798</v>
      </c>
      <c r="F62" s="298">
        <v>42993</v>
      </c>
      <c r="G62" s="74">
        <v>21</v>
      </c>
      <c r="H62" s="74">
        <v>0</v>
      </c>
      <c r="I62" s="74">
        <v>0</v>
      </c>
      <c r="J62" s="74">
        <v>0</v>
      </c>
      <c r="K62" s="74">
        <v>0</v>
      </c>
      <c r="L62" s="74">
        <v>21</v>
      </c>
      <c r="M62" s="74">
        <v>0</v>
      </c>
      <c r="N62" s="74">
        <v>0</v>
      </c>
      <c r="O62" s="74">
        <v>0</v>
      </c>
      <c r="P62" s="74">
        <v>0</v>
      </c>
      <c r="Q62" s="74">
        <v>0</v>
      </c>
      <c r="R62" s="74">
        <v>0</v>
      </c>
      <c r="S62" s="74">
        <v>21</v>
      </c>
    </row>
    <row r="63" spans="1:19" x14ac:dyDescent="0.2">
      <c r="A63" s="446" t="s">
        <v>2136</v>
      </c>
      <c r="B63" s="446" t="s">
        <v>3951</v>
      </c>
      <c r="C63" s="446" t="s">
        <v>476</v>
      </c>
      <c r="D63" s="446" t="s">
        <v>153</v>
      </c>
      <c r="E63" s="446" t="s">
        <v>3798</v>
      </c>
      <c r="F63" s="298">
        <v>42347</v>
      </c>
      <c r="G63" s="74">
        <v>168</v>
      </c>
      <c r="H63" s="74">
        <v>0</v>
      </c>
      <c r="I63" s="74">
        <v>0</v>
      </c>
      <c r="J63" s="74">
        <v>0</v>
      </c>
      <c r="K63" s="74">
        <v>0</v>
      </c>
      <c r="L63" s="74">
        <v>168</v>
      </c>
      <c r="M63" s="74">
        <v>133</v>
      </c>
      <c r="N63" s="74">
        <v>0</v>
      </c>
      <c r="O63" s="74">
        <v>0</v>
      </c>
      <c r="P63" s="74">
        <v>0</v>
      </c>
      <c r="Q63" s="74">
        <v>0</v>
      </c>
      <c r="R63" s="74">
        <v>133</v>
      </c>
      <c r="S63" s="74">
        <v>35</v>
      </c>
    </row>
    <row r="64" spans="1:19" x14ac:dyDescent="0.2">
      <c r="A64" s="446" t="s">
        <v>2197</v>
      </c>
      <c r="B64" s="446" t="s">
        <v>2904</v>
      </c>
      <c r="C64" s="446" t="s">
        <v>573</v>
      </c>
      <c r="D64" s="446" t="s">
        <v>153</v>
      </c>
      <c r="E64" s="446" t="s">
        <v>3798</v>
      </c>
      <c r="F64" s="298">
        <v>42474</v>
      </c>
      <c r="G64" s="74">
        <v>21</v>
      </c>
      <c r="H64" s="74">
        <v>0</v>
      </c>
      <c r="I64" s="74">
        <v>0</v>
      </c>
      <c r="J64" s="74">
        <v>0</v>
      </c>
      <c r="K64" s="74">
        <v>0</v>
      </c>
      <c r="L64" s="74">
        <v>21</v>
      </c>
      <c r="M64" s="74">
        <v>58</v>
      </c>
      <c r="N64" s="74">
        <v>0</v>
      </c>
      <c r="O64" s="74">
        <v>0</v>
      </c>
      <c r="P64" s="74">
        <v>0</v>
      </c>
      <c r="Q64" s="74">
        <v>0</v>
      </c>
      <c r="R64" s="74">
        <v>58</v>
      </c>
      <c r="S64" s="74">
        <v>-37</v>
      </c>
    </row>
    <row r="65" spans="1:19" x14ac:dyDescent="0.2">
      <c r="A65" s="446" t="s">
        <v>2113</v>
      </c>
      <c r="B65" s="446" t="s">
        <v>2904</v>
      </c>
      <c r="C65" s="446" t="s">
        <v>437</v>
      </c>
      <c r="D65" s="446" t="s">
        <v>153</v>
      </c>
      <c r="E65" s="446" t="s">
        <v>3798</v>
      </c>
      <c r="F65" s="298">
        <v>42187</v>
      </c>
      <c r="G65" s="74">
        <v>75</v>
      </c>
      <c r="H65" s="74">
        <v>0</v>
      </c>
      <c r="I65" s="74">
        <v>0</v>
      </c>
      <c r="J65" s="74">
        <v>0</v>
      </c>
      <c r="K65" s="74">
        <v>0</v>
      </c>
      <c r="L65" s="74">
        <v>75</v>
      </c>
      <c r="M65" s="74">
        <v>141</v>
      </c>
      <c r="N65" s="74">
        <v>0</v>
      </c>
      <c r="O65" s="74">
        <v>0</v>
      </c>
      <c r="P65" s="74">
        <v>0</v>
      </c>
      <c r="Q65" s="74">
        <v>0</v>
      </c>
      <c r="R65" s="74">
        <v>141</v>
      </c>
      <c r="S65" s="74">
        <v>-66</v>
      </c>
    </row>
    <row r="66" spans="1:19" x14ac:dyDescent="0.2">
      <c r="A66" s="446" t="s">
        <v>1438</v>
      </c>
      <c r="B66" s="446" t="s">
        <v>3943</v>
      </c>
      <c r="C66" s="446" t="s">
        <v>1441</v>
      </c>
      <c r="D66" s="446" t="s">
        <v>153</v>
      </c>
      <c r="E66" s="446" t="s">
        <v>3798</v>
      </c>
      <c r="F66" s="298">
        <v>43024</v>
      </c>
      <c r="G66" s="74">
        <v>0</v>
      </c>
      <c r="H66" s="74">
        <v>0</v>
      </c>
      <c r="I66" s="74">
        <v>0</v>
      </c>
      <c r="J66" s="74">
        <v>0</v>
      </c>
      <c r="K66" s="74">
        <v>0</v>
      </c>
      <c r="L66" s="74">
        <v>0</v>
      </c>
      <c r="M66" s="74">
        <v>19</v>
      </c>
      <c r="N66" s="74">
        <v>0</v>
      </c>
      <c r="O66" s="74">
        <v>0</v>
      </c>
      <c r="P66" s="74">
        <v>0</v>
      </c>
      <c r="Q66" s="74">
        <v>0</v>
      </c>
      <c r="R66" s="74">
        <v>19</v>
      </c>
      <c r="S66" s="74">
        <v>-19</v>
      </c>
    </row>
    <row r="67" spans="1:19" x14ac:dyDescent="0.2">
      <c r="A67" s="446" t="s">
        <v>1428</v>
      </c>
      <c r="B67" s="446" t="s">
        <v>3944</v>
      </c>
      <c r="C67" s="446" t="s">
        <v>1158</v>
      </c>
      <c r="D67" s="446" t="s">
        <v>153</v>
      </c>
      <c r="E67" s="446" t="s">
        <v>421</v>
      </c>
      <c r="F67" s="298">
        <v>42752</v>
      </c>
      <c r="G67" s="74">
        <v>0</v>
      </c>
      <c r="H67" s="74">
        <v>0</v>
      </c>
      <c r="I67" s="74">
        <v>0</v>
      </c>
      <c r="J67" s="74">
        <v>0</v>
      </c>
      <c r="K67" s="74">
        <v>0</v>
      </c>
      <c r="L67" s="74">
        <v>0</v>
      </c>
      <c r="M67" s="74">
        <v>43</v>
      </c>
      <c r="N67" s="74">
        <v>0</v>
      </c>
      <c r="O67" s="74">
        <v>0</v>
      </c>
      <c r="P67" s="74">
        <v>0</v>
      </c>
      <c r="Q67" s="74">
        <v>0</v>
      </c>
      <c r="R67" s="74">
        <v>43</v>
      </c>
      <c r="S67" s="74">
        <v>-43</v>
      </c>
    </row>
    <row r="68" spans="1:19" x14ac:dyDescent="0.2">
      <c r="A68" s="446" t="s">
        <v>1668</v>
      </c>
      <c r="B68" s="446" t="s">
        <v>150</v>
      </c>
      <c r="C68" s="446" t="s">
        <v>1669</v>
      </c>
      <c r="D68" s="446" t="s">
        <v>153</v>
      </c>
      <c r="E68" s="446" t="s">
        <v>3798</v>
      </c>
      <c r="F68" s="298">
        <v>42971</v>
      </c>
      <c r="G68" s="74">
        <v>46</v>
      </c>
      <c r="H68" s="74">
        <v>0</v>
      </c>
      <c r="I68" s="74">
        <v>0</v>
      </c>
      <c r="J68" s="74">
        <v>0</v>
      </c>
      <c r="K68" s="74">
        <v>0</v>
      </c>
      <c r="L68" s="74">
        <v>46</v>
      </c>
      <c r="M68" s="74">
        <v>83</v>
      </c>
      <c r="N68" s="74">
        <v>0</v>
      </c>
      <c r="O68" s="74">
        <v>0</v>
      </c>
      <c r="P68" s="74">
        <v>0</v>
      </c>
      <c r="Q68" s="74">
        <v>0</v>
      </c>
      <c r="R68" s="74">
        <v>83</v>
      </c>
      <c r="S68" s="74">
        <v>-37</v>
      </c>
    </row>
    <row r="69" spans="1:19" x14ac:dyDescent="0.2">
      <c r="A69" s="446" t="s">
        <v>2532</v>
      </c>
      <c r="B69" s="446" t="s">
        <v>150</v>
      </c>
      <c r="C69" s="446" t="s">
        <v>2533</v>
      </c>
      <c r="D69" s="446" t="s">
        <v>153</v>
      </c>
      <c r="E69" s="446" t="s">
        <v>3798</v>
      </c>
      <c r="F69" s="298">
        <v>43047</v>
      </c>
      <c r="G69" s="74">
        <v>0</v>
      </c>
      <c r="H69" s="74">
        <v>0</v>
      </c>
      <c r="I69" s="74">
        <v>0</v>
      </c>
      <c r="J69" s="74">
        <v>0</v>
      </c>
      <c r="K69" s="74">
        <v>0</v>
      </c>
      <c r="L69" s="74">
        <v>0</v>
      </c>
      <c r="M69" s="74">
        <v>80</v>
      </c>
      <c r="N69" s="74">
        <v>0</v>
      </c>
      <c r="O69" s="74">
        <v>0</v>
      </c>
      <c r="P69" s="74">
        <v>0</v>
      </c>
      <c r="Q69" s="74">
        <v>0</v>
      </c>
      <c r="R69" s="74">
        <v>80</v>
      </c>
      <c r="S69" s="74">
        <v>-80</v>
      </c>
    </row>
    <row r="70" spans="1:19" x14ac:dyDescent="0.2">
      <c r="A70" s="446" t="s">
        <v>2471</v>
      </c>
      <c r="B70" s="446" t="s">
        <v>149</v>
      </c>
      <c r="C70" s="446" t="s">
        <v>2472</v>
      </c>
      <c r="D70" s="446" t="s">
        <v>153</v>
      </c>
      <c r="E70" s="446" t="s">
        <v>421</v>
      </c>
      <c r="F70" s="298">
        <v>42941</v>
      </c>
      <c r="G70" s="74">
        <v>0</v>
      </c>
      <c r="H70" s="74">
        <v>0</v>
      </c>
      <c r="I70" s="74">
        <v>74</v>
      </c>
      <c r="J70" s="74">
        <v>0</v>
      </c>
      <c r="K70" s="74">
        <v>0</v>
      </c>
      <c r="L70" s="74">
        <v>74</v>
      </c>
      <c r="M70" s="74">
        <v>74</v>
      </c>
      <c r="N70" s="74">
        <v>0</v>
      </c>
      <c r="O70" s="74">
        <v>0</v>
      </c>
      <c r="P70" s="74">
        <v>0</v>
      </c>
      <c r="Q70" s="74">
        <v>0</v>
      </c>
      <c r="R70" s="74">
        <v>74</v>
      </c>
      <c r="S70" s="74">
        <v>0</v>
      </c>
    </row>
    <row r="71" spans="1:19" x14ac:dyDescent="0.2">
      <c r="A71" s="446" t="s">
        <v>2053</v>
      </c>
      <c r="B71" s="446" t="s">
        <v>3943</v>
      </c>
      <c r="C71" s="446" t="s">
        <v>819</v>
      </c>
      <c r="D71" s="446" t="s">
        <v>153</v>
      </c>
      <c r="E71" s="446" t="s">
        <v>3798</v>
      </c>
      <c r="F71" s="298">
        <v>42521</v>
      </c>
      <c r="G71" s="74">
        <v>0</v>
      </c>
      <c r="H71" s="74">
        <v>0</v>
      </c>
      <c r="I71" s="74">
        <v>28</v>
      </c>
      <c r="J71" s="74">
        <v>0</v>
      </c>
      <c r="K71" s="74">
        <v>0</v>
      </c>
      <c r="L71" s="74">
        <v>28</v>
      </c>
      <c r="M71" s="74">
        <v>0</v>
      </c>
      <c r="N71" s="74">
        <v>0</v>
      </c>
      <c r="O71" s="74">
        <v>0</v>
      </c>
      <c r="P71" s="74">
        <v>0</v>
      </c>
      <c r="Q71" s="74">
        <v>0</v>
      </c>
      <c r="R71" s="74">
        <v>0</v>
      </c>
      <c r="S71" s="74">
        <v>28</v>
      </c>
    </row>
    <row r="72" spans="1:19" x14ac:dyDescent="0.2">
      <c r="A72" s="446" t="s">
        <v>2212</v>
      </c>
      <c r="B72" s="446" t="s">
        <v>3946</v>
      </c>
      <c r="C72" s="446" t="s">
        <v>1231</v>
      </c>
      <c r="D72" s="446" t="s">
        <v>153</v>
      </c>
      <c r="E72" s="446" t="s">
        <v>3798</v>
      </c>
      <c r="F72" s="298">
        <v>42831</v>
      </c>
      <c r="G72" s="74">
        <v>0</v>
      </c>
      <c r="H72" s="74">
        <v>0</v>
      </c>
      <c r="I72" s="74">
        <v>35</v>
      </c>
      <c r="J72" s="74">
        <v>0</v>
      </c>
      <c r="K72" s="74">
        <v>0</v>
      </c>
      <c r="L72" s="74">
        <v>35</v>
      </c>
      <c r="M72" s="74">
        <v>35</v>
      </c>
      <c r="N72" s="74">
        <v>0</v>
      </c>
      <c r="O72" s="74">
        <v>0</v>
      </c>
      <c r="P72" s="74">
        <v>0</v>
      </c>
      <c r="Q72" s="74">
        <v>0</v>
      </c>
      <c r="R72" s="74">
        <v>35</v>
      </c>
      <c r="S72" s="74">
        <v>0</v>
      </c>
    </row>
    <row r="73" spans="1:19" x14ac:dyDescent="0.2">
      <c r="A73" s="446" t="s">
        <v>2200</v>
      </c>
      <c r="B73" s="446" t="s">
        <v>3946</v>
      </c>
      <c r="C73" s="446" t="s">
        <v>612</v>
      </c>
      <c r="D73" s="446" t="s">
        <v>153</v>
      </c>
      <c r="E73" s="446" t="s">
        <v>3798</v>
      </c>
      <c r="F73" s="298">
        <v>42461</v>
      </c>
      <c r="G73" s="74">
        <v>0</v>
      </c>
      <c r="H73" s="74">
        <v>0</v>
      </c>
      <c r="I73" s="74">
        <v>140</v>
      </c>
      <c r="J73" s="74">
        <v>0</v>
      </c>
      <c r="K73" s="74">
        <v>0</v>
      </c>
      <c r="L73" s="74">
        <v>140</v>
      </c>
      <c r="M73" s="74">
        <v>140</v>
      </c>
      <c r="N73" s="74">
        <v>0</v>
      </c>
      <c r="O73" s="74">
        <v>0</v>
      </c>
      <c r="P73" s="74">
        <v>0</v>
      </c>
      <c r="Q73" s="74">
        <v>0</v>
      </c>
      <c r="R73" s="74">
        <v>140</v>
      </c>
      <c r="S73" s="74">
        <v>0</v>
      </c>
    </row>
    <row r="74" spans="1:19" x14ac:dyDescent="0.2">
      <c r="A74" s="446" t="s">
        <v>1762</v>
      </c>
      <c r="B74" s="446" t="s">
        <v>3941</v>
      </c>
      <c r="C74" s="446" t="s">
        <v>885</v>
      </c>
      <c r="D74" s="446" t="s">
        <v>153</v>
      </c>
      <c r="E74" s="446" t="s">
        <v>3798</v>
      </c>
      <c r="F74" s="298">
        <v>42600</v>
      </c>
      <c r="G74" s="74">
        <v>0</v>
      </c>
      <c r="H74" s="74">
        <v>0</v>
      </c>
      <c r="I74" s="74">
        <v>0</v>
      </c>
      <c r="J74" s="74">
        <v>0</v>
      </c>
      <c r="K74" s="74">
        <v>0</v>
      </c>
      <c r="L74" s="74">
        <v>0</v>
      </c>
      <c r="M74" s="74">
        <v>75</v>
      </c>
      <c r="N74" s="74">
        <v>0</v>
      </c>
      <c r="O74" s="74">
        <v>0</v>
      </c>
      <c r="P74" s="74">
        <v>0</v>
      </c>
      <c r="Q74" s="74">
        <v>0</v>
      </c>
      <c r="R74" s="74">
        <v>75</v>
      </c>
      <c r="S74" s="74">
        <v>-75</v>
      </c>
    </row>
    <row r="75" spans="1:19" x14ac:dyDescent="0.2">
      <c r="A75" s="446" t="s">
        <v>1448</v>
      </c>
      <c r="B75" s="446" t="s">
        <v>3951</v>
      </c>
      <c r="C75" s="446" t="s">
        <v>1098</v>
      </c>
      <c r="D75" s="446" t="s">
        <v>153</v>
      </c>
      <c r="E75" s="446" t="s">
        <v>3798</v>
      </c>
      <c r="F75" s="298">
        <v>42765</v>
      </c>
      <c r="G75" s="74">
        <v>0</v>
      </c>
      <c r="H75" s="74">
        <v>0</v>
      </c>
      <c r="I75" s="74">
        <v>0</v>
      </c>
      <c r="J75" s="74">
        <v>0</v>
      </c>
      <c r="K75" s="74">
        <v>0</v>
      </c>
      <c r="L75" s="74">
        <v>0</v>
      </c>
      <c r="M75" s="74">
        <v>132</v>
      </c>
      <c r="N75" s="74">
        <v>0</v>
      </c>
      <c r="O75" s="74">
        <v>0</v>
      </c>
      <c r="P75" s="74">
        <v>0</v>
      </c>
      <c r="Q75" s="74">
        <v>0</v>
      </c>
      <c r="R75" s="74">
        <v>132</v>
      </c>
      <c r="S75" s="74">
        <v>-132</v>
      </c>
    </row>
    <row r="76" spans="1:19" x14ac:dyDescent="0.2">
      <c r="A76" s="446" t="s">
        <v>2250</v>
      </c>
      <c r="B76" s="446" t="s">
        <v>3952</v>
      </c>
      <c r="C76" s="446" t="s">
        <v>817</v>
      </c>
      <c r="D76" s="446" t="s">
        <v>153</v>
      </c>
      <c r="E76" s="446" t="s">
        <v>3798</v>
      </c>
      <c r="F76" s="298">
        <v>42535</v>
      </c>
      <c r="G76" s="74">
        <v>0</v>
      </c>
      <c r="H76" s="74">
        <v>0</v>
      </c>
      <c r="I76" s="74">
        <v>98</v>
      </c>
      <c r="J76" s="74">
        <v>0</v>
      </c>
      <c r="K76" s="74">
        <v>0</v>
      </c>
      <c r="L76" s="74">
        <v>98</v>
      </c>
      <c r="M76" s="74">
        <v>98</v>
      </c>
      <c r="N76" s="74">
        <v>0</v>
      </c>
      <c r="O76" s="74">
        <v>0</v>
      </c>
      <c r="P76" s="74">
        <v>0</v>
      </c>
      <c r="Q76" s="74">
        <v>0</v>
      </c>
      <c r="R76" s="74">
        <v>98</v>
      </c>
      <c r="S76" s="74">
        <v>0</v>
      </c>
    </row>
    <row r="77" spans="1:19" x14ac:dyDescent="0.2">
      <c r="A77" s="446" t="s">
        <v>2312</v>
      </c>
      <c r="B77" s="446" t="s">
        <v>3946</v>
      </c>
      <c r="C77" s="446" t="s">
        <v>1176</v>
      </c>
      <c r="D77" s="446" t="s">
        <v>153</v>
      </c>
      <c r="E77" s="446" t="s">
        <v>421</v>
      </c>
      <c r="F77" s="298">
        <v>42772</v>
      </c>
      <c r="G77" s="74">
        <v>0</v>
      </c>
      <c r="H77" s="74">
        <v>0</v>
      </c>
      <c r="I77" s="74">
        <v>78</v>
      </c>
      <c r="J77" s="74">
        <v>0</v>
      </c>
      <c r="K77" s="74">
        <v>0</v>
      </c>
      <c r="L77" s="74">
        <v>78</v>
      </c>
      <c r="M77" s="74">
        <v>78</v>
      </c>
      <c r="N77" s="74">
        <v>0</v>
      </c>
      <c r="O77" s="74">
        <v>0</v>
      </c>
      <c r="P77" s="74">
        <v>0</v>
      </c>
      <c r="Q77" s="74">
        <v>0</v>
      </c>
      <c r="R77" s="74">
        <v>78</v>
      </c>
      <c r="S77" s="74">
        <v>0</v>
      </c>
    </row>
    <row r="78" spans="1:19" x14ac:dyDescent="0.2">
      <c r="A78" s="446" t="s">
        <v>1419</v>
      </c>
      <c r="B78" s="446" t="s">
        <v>3942</v>
      </c>
      <c r="C78" s="446" t="s">
        <v>1420</v>
      </c>
      <c r="D78" s="446" t="s">
        <v>153</v>
      </c>
      <c r="E78" s="446" t="s">
        <v>3798</v>
      </c>
      <c r="F78" s="298">
        <v>43062</v>
      </c>
      <c r="G78" s="74">
        <v>33</v>
      </c>
      <c r="H78" s="74">
        <v>0</v>
      </c>
      <c r="I78" s="74">
        <v>0</v>
      </c>
      <c r="J78" s="74">
        <v>0</v>
      </c>
      <c r="K78" s="74">
        <v>0</v>
      </c>
      <c r="L78" s="74">
        <v>33</v>
      </c>
      <c r="M78" s="74">
        <v>66</v>
      </c>
      <c r="N78" s="74">
        <v>0</v>
      </c>
      <c r="O78" s="74">
        <v>0</v>
      </c>
      <c r="P78" s="74">
        <v>0</v>
      </c>
      <c r="Q78" s="74">
        <v>0</v>
      </c>
      <c r="R78" s="74">
        <v>66</v>
      </c>
      <c r="S78" s="74">
        <v>-33</v>
      </c>
    </row>
    <row r="79" spans="1:19" x14ac:dyDescent="0.2">
      <c r="A79" s="446" t="s">
        <v>2565</v>
      </c>
      <c r="B79" s="446" t="s">
        <v>3951</v>
      </c>
      <c r="C79" s="446" t="s">
        <v>2566</v>
      </c>
      <c r="D79" s="446" t="s">
        <v>153</v>
      </c>
      <c r="E79" s="446" t="s">
        <v>3798</v>
      </c>
      <c r="F79" s="298">
        <v>43041</v>
      </c>
      <c r="G79" s="74">
        <v>0</v>
      </c>
      <c r="H79" s="74">
        <v>0</v>
      </c>
      <c r="I79" s="74">
        <v>0</v>
      </c>
      <c r="J79" s="74">
        <v>0</v>
      </c>
      <c r="K79" s="74">
        <v>0</v>
      </c>
      <c r="L79" s="74">
        <v>0</v>
      </c>
      <c r="M79" s="74">
        <v>90</v>
      </c>
      <c r="N79" s="74">
        <v>0</v>
      </c>
      <c r="O79" s="74">
        <v>0</v>
      </c>
      <c r="P79" s="74">
        <v>0</v>
      </c>
      <c r="Q79" s="74">
        <v>0</v>
      </c>
      <c r="R79" s="74">
        <v>90</v>
      </c>
      <c r="S79" s="74">
        <v>-90</v>
      </c>
    </row>
    <row r="80" spans="1:19" x14ac:dyDescent="0.2">
      <c r="A80" s="446" t="s">
        <v>2675</v>
      </c>
      <c r="B80" s="446" t="s">
        <v>3946</v>
      </c>
      <c r="C80" s="446" t="s">
        <v>2676</v>
      </c>
      <c r="D80" s="446" t="s">
        <v>153</v>
      </c>
      <c r="E80" s="446" t="s">
        <v>3798</v>
      </c>
      <c r="F80" s="298">
        <v>43159</v>
      </c>
      <c r="G80" s="74">
        <v>0</v>
      </c>
      <c r="H80" s="74">
        <v>0</v>
      </c>
      <c r="I80" s="74">
        <v>0</v>
      </c>
      <c r="J80" s="74">
        <v>0</v>
      </c>
      <c r="K80" s="74">
        <v>0</v>
      </c>
      <c r="L80" s="74">
        <v>0</v>
      </c>
      <c r="M80" s="74">
        <v>64</v>
      </c>
      <c r="N80" s="74">
        <v>0</v>
      </c>
      <c r="O80" s="74">
        <v>0</v>
      </c>
      <c r="P80" s="74">
        <v>0</v>
      </c>
      <c r="Q80" s="74">
        <v>0</v>
      </c>
      <c r="R80" s="74">
        <v>64</v>
      </c>
      <c r="S80" s="74">
        <v>-64</v>
      </c>
    </row>
    <row r="81" spans="1:19" x14ac:dyDescent="0.2">
      <c r="A81" s="446" t="s">
        <v>2445</v>
      </c>
      <c r="B81" s="446" t="s">
        <v>2907</v>
      </c>
      <c r="C81" s="446" t="s">
        <v>2446</v>
      </c>
      <c r="D81" s="446" t="s">
        <v>153</v>
      </c>
      <c r="E81" s="446" t="s">
        <v>3798</v>
      </c>
      <c r="F81" s="298">
        <v>42923</v>
      </c>
      <c r="G81" s="74">
        <v>0</v>
      </c>
      <c r="H81" s="74">
        <v>0</v>
      </c>
      <c r="I81" s="74">
        <v>0</v>
      </c>
      <c r="J81" s="74">
        <v>0</v>
      </c>
      <c r="K81" s="74">
        <v>0</v>
      </c>
      <c r="L81" s="74">
        <v>0</v>
      </c>
      <c r="M81" s="74">
        <v>536</v>
      </c>
      <c r="N81" s="74">
        <v>0</v>
      </c>
      <c r="O81" s="74">
        <v>0</v>
      </c>
      <c r="P81" s="74">
        <v>0</v>
      </c>
      <c r="Q81" s="74">
        <v>0</v>
      </c>
      <c r="R81" s="74">
        <v>536</v>
      </c>
      <c r="S81" s="74">
        <v>-536</v>
      </c>
    </row>
    <row r="82" spans="1:19" x14ac:dyDescent="0.2">
      <c r="A82" s="446" t="s">
        <v>2391</v>
      </c>
      <c r="B82" s="446" t="s">
        <v>2907</v>
      </c>
      <c r="C82" s="446" t="s">
        <v>1248</v>
      </c>
      <c r="D82" s="446" t="s">
        <v>153</v>
      </c>
      <c r="E82" s="446" t="s">
        <v>2944</v>
      </c>
      <c r="F82" s="298">
        <v>42831</v>
      </c>
      <c r="G82" s="74">
        <v>0</v>
      </c>
      <c r="H82" s="74">
        <v>0</v>
      </c>
      <c r="I82" s="74">
        <v>0</v>
      </c>
      <c r="J82" s="74">
        <v>0</v>
      </c>
      <c r="K82" s="74">
        <v>0</v>
      </c>
      <c r="L82" s="74">
        <v>0</v>
      </c>
      <c r="M82" s="74">
        <v>44</v>
      </c>
      <c r="N82" s="74">
        <v>0</v>
      </c>
      <c r="O82" s="74">
        <v>0</v>
      </c>
      <c r="P82" s="74">
        <v>0</v>
      </c>
      <c r="Q82" s="74">
        <v>0</v>
      </c>
      <c r="R82" s="74">
        <v>44</v>
      </c>
      <c r="S82" s="74">
        <v>-44</v>
      </c>
    </row>
    <row r="83" spans="1:19" x14ac:dyDescent="0.2">
      <c r="A83" s="446" t="s">
        <v>2400</v>
      </c>
      <c r="B83" s="446" t="s">
        <v>3951</v>
      </c>
      <c r="C83" s="446" t="s">
        <v>1242</v>
      </c>
      <c r="D83" s="446" t="s">
        <v>153</v>
      </c>
      <c r="E83" s="446" t="s">
        <v>3798</v>
      </c>
      <c r="F83" s="298">
        <v>42838</v>
      </c>
      <c r="G83" s="74">
        <v>0</v>
      </c>
      <c r="H83" s="74">
        <v>0</v>
      </c>
      <c r="I83" s="74">
        <v>120</v>
      </c>
      <c r="J83" s="74">
        <v>0</v>
      </c>
      <c r="K83" s="74">
        <v>0</v>
      </c>
      <c r="L83" s="74">
        <v>120</v>
      </c>
      <c r="M83" s="74">
        <v>120</v>
      </c>
      <c r="N83" s="74">
        <v>0</v>
      </c>
      <c r="O83" s="74">
        <v>0</v>
      </c>
      <c r="P83" s="74">
        <v>0</v>
      </c>
      <c r="Q83" s="74">
        <v>0</v>
      </c>
      <c r="R83" s="74">
        <v>120</v>
      </c>
      <c r="S83" s="74">
        <v>0</v>
      </c>
    </row>
    <row r="84" spans="1:19" x14ac:dyDescent="0.2">
      <c r="A84" s="446" t="s">
        <v>1941</v>
      </c>
      <c r="B84" s="446" t="s">
        <v>150</v>
      </c>
      <c r="C84" s="446" t="s">
        <v>273</v>
      </c>
      <c r="D84" s="446" t="s">
        <v>153</v>
      </c>
      <c r="E84" s="446" t="s">
        <v>3798</v>
      </c>
      <c r="F84" s="298">
        <v>42261</v>
      </c>
      <c r="G84" s="74">
        <v>0</v>
      </c>
      <c r="H84" s="74">
        <v>0</v>
      </c>
      <c r="I84" s="74">
        <v>0</v>
      </c>
      <c r="J84" s="74">
        <v>48</v>
      </c>
      <c r="K84" s="74">
        <v>0</v>
      </c>
      <c r="L84" s="74">
        <v>48</v>
      </c>
      <c r="M84" s="74">
        <v>48</v>
      </c>
      <c r="N84" s="74">
        <v>0</v>
      </c>
      <c r="O84" s="74">
        <v>0</v>
      </c>
      <c r="P84" s="74">
        <v>0</v>
      </c>
      <c r="Q84" s="74">
        <v>0</v>
      </c>
      <c r="R84" s="74">
        <v>48</v>
      </c>
      <c r="S84" s="74">
        <v>0</v>
      </c>
    </row>
    <row r="85" spans="1:19" x14ac:dyDescent="0.2">
      <c r="A85" s="446" t="s">
        <v>2367</v>
      </c>
      <c r="B85" s="446" t="s">
        <v>3942</v>
      </c>
      <c r="C85" s="446" t="s">
        <v>1058</v>
      </c>
      <c r="D85" s="446" t="s">
        <v>153</v>
      </c>
      <c r="E85" s="446" t="s">
        <v>3798</v>
      </c>
      <c r="F85" s="298">
        <v>42857</v>
      </c>
      <c r="G85" s="74">
        <v>0</v>
      </c>
      <c r="H85" s="74">
        <v>0</v>
      </c>
      <c r="I85" s="74">
        <v>0</v>
      </c>
      <c r="J85" s="74">
        <v>88</v>
      </c>
      <c r="K85" s="74">
        <v>0</v>
      </c>
      <c r="L85" s="74">
        <v>88</v>
      </c>
      <c r="M85" s="74">
        <v>88</v>
      </c>
      <c r="N85" s="74">
        <v>0</v>
      </c>
      <c r="O85" s="74">
        <v>0</v>
      </c>
      <c r="P85" s="74">
        <v>0</v>
      </c>
      <c r="Q85" s="74">
        <v>0</v>
      </c>
      <c r="R85" s="74">
        <v>88</v>
      </c>
      <c r="S85" s="74">
        <v>0</v>
      </c>
    </row>
    <row r="86" spans="1:19" x14ac:dyDescent="0.2">
      <c r="A86" s="446" t="s">
        <v>2436</v>
      </c>
      <c r="B86" s="446" t="s">
        <v>3942</v>
      </c>
      <c r="C86" s="446" t="s">
        <v>2437</v>
      </c>
      <c r="D86" s="446" t="s">
        <v>153</v>
      </c>
      <c r="E86" s="446" t="s">
        <v>3798</v>
      </c>
      <c r="F86" s="298">
        <v>42930</v>
      </c>
      <c r="G86" s="74">
        <v>0</v>
      </c>
      <c r="H86" s="74">
        <v>0</v>
      </c>
      <c r="I86" s="74">
        <v>101</v>
      </c>
      <c r="J86" s="74">
        <v>0</v>
      </c>
      <c r="K86" s="74">
        <v>0</v>
      </c>
      <c r="L86" s="74">
        <v>101</v>
      </c>
      <c r="M86" s="74">
        <v>0</v>
      </c>
      <c r="N86" s="74">
        <v>101</v>
      </c>
      <c r="O86" s="74">
        <v>0</v>
      </c>
      <c r="P86" s="74">
        <v>0</v>
      </c>
      <c r="Q86" s="74">
        <v>0</v>
      </c>
      <c r="R86" s="74">
        <v>101</v>
      </c>
      <c r="S86" s="74">
        <v>0</v>
      </c>
    </row>
    <row r="87" spans="1:19" x14ac:dyDescent="0.2">
      <c r="A87" s="446" t="s">
        <v>2159</v>
      </c>
      <c r="B87" s="446" t="s">
        <v>149</v>
      </c>
      <c r="C87" s="446" t="s">
        <v>554</v>
      </c>
      <c r="D87" s="446" t="s">
        <v>153</v>
      </c>
      <c r="E87" s="446" t="s">
        <v>3798</v>
      </c>
      <c r="F87" s="298">
        <v>42359</v>
      </c>
      <c r="G87" s="74">
        <v>0</v>
      </c>
      <c r="H87" s="74">
        <v>0</v>
      </c>
      <c r="I87" s="74">
        <v>0</v>
      </c>
      <c r="J87" s="74">
        <v>246</v>
      </c>
      <c r="K87" s="74">
        <v>0</v>
      </c>
      <c r="L87" s="74">
        <v>246</v>
      </c>
      <c r="M87" s="74">
        <v>0</v>
      </c>
      <c r="N87" s="74">
        <v>0</v>
      </c>
      <c r="O87" s="74">
        <v>0</v>
      </c>
      <c r="P87" s="74">
        <v>550</v>
      </c>
      <c r="Q87" s="74">
        <v>0</v>
      </c>
      <c r="R87" s="74">
        <v>550</v>
      </c>
      <c r="S87" s="74">
        <v>-304</v>
      </c>
    </row>
    <row r="88" spans="1:19" x14ac:dyDescent="0.2">
      <c r="A88" s="446" t="s">
        <v>2681</v>
      </c>
      <c r="B88" s="446" t="s">
        <v>3950</v>
      </c>
      <c r="C88" s="446" t="s">
        <v>2682</v>
      </c>
      <c r="D88" s="446" t="s">
        <v>153</v>
      </c>
      <c r="E88" s="446" t="s">
        <v>2944</v>
      </c>
      <c r="F88" s="298">
        <v>43171</v>
      </c>
      <c r="G88" s="74">
        <v>0</v>
      </c>
      <c r="H88" s="74">
        <v>0</v>
      </c>
      <c r="I88" s="74">
        <v>0</v>
      </c>
      <c r="J88" s="74">
        <v>0</v>
      </c>
      <c r="K88" s="74">
        <v>0</v>
      </c>
      <c r="L88" s="74">
        <v>0</v>
      </c>
      <c r="M88" s="74">
        <v>23</v>
      </c>
      <c r="N88" s="74">
        <v>0</v>
      </c>
      <c r="O88" s="74">
        <v>0</v>
      </c>
      <c r="P88" s="74">
        <v>0</v>
      </c>
      <c r="Q88" s="74">
        <v>0</v>
      </c>
      <c r="R88" s="74">
        <v>23</v>
      </c>
      <c r="S88" s="74">
        <v>-23</v>
      </c>
    </row>
    <row r="89" spans="1:19" x14ac:dyDescent="0.2">
      <c r="A89" s="446" t="s">
        <v>1555</v>
      </c>
      <c r="B89" s="446" t="s">
        <v>149</v>
      </c>
      <c r="C89" s="446" t="s">
        <v>464</v>
      </c>
      <c r="D89" s="446" t="s">
        <v>153</v>
      </c>
      <c r="E89" s="446" t="s">
        <v>3798</v>
      </c>
      <c r="F89" s="298">
        <v>42202</v>
      </c>
      <c r="G89" s="74">
        <v>191</v>
      </c>
      <c r="H89" s="74">
        <v>0</v>
      </c>
      <c r="I89" s="74">
        <v>0</v>
      </c>
      <c r="J89" s="74">
        <v>0</v>
      </c>
      <c r="K89" s="74">
        <v>0</v>
      </c>
      <c r="L89" s="74">
        <v>191</v>
      </c>
      <c r="M89" s="74">
        <v>0</v>
      </c>
      <c r="N89" s="74">
        <v>0</v>
      </c>
      <c r="O89" s="74">
        <v>0</v>
      </c>
      <c r="P89" s="74">
        <v>0</v>
      </c>
      <c r="Q89" s="74">
        <v>0</v>
      </c>
      <c r="R89" s="74">
        <v>0</v>
      </c>
      <c r="S89" s="74">
        <v>191</v>
      </c>
    </row>
    <row r="90" spans="1:19" x14ac:dyDescent="0.2">
      <c r="A90" s="446" t="s">
        <v>1948</v>
      </c>
      <c r="B90" s="446" t="s">
        <v>3943</v>
      </c>
      <c r="C90" s="446" t="s">
        <v>1276</v>
      </c>
      <c r="D90" s="446" t="s">
        <v>153</v>
      </c>
      <c r="E90" s="446" t="s">
        <v>3798</v>
      </c>
      <c r="F90" s="298">
        <v>42998</v>
      </c>
      <c r="G90" s="74">
        <v>0</v>
      </c>
      <c r="H90" s="74">
        <v>0</v>
      </c>
      <c r="I90" s="74">
        <v>0</v>
      </c>
      <c r="J90" s="74">
        <v>0</v>
      </c>
      <c r="K90" s="74">
        <v>0</v>
      </c>
      <c r="L90" s="74">
        <v>0</v>
      </c>
      <c r="M90" s="74">
        <v>0</v>
      </c>
      <c r="N90" s="74">
        <v>0</v>
      </c>
      <c r="O90" s="74">
        <v>0</v>
      </c>
      <c r="P90" s="74">
        <v>379</v>
      </c>
      <c r="Q90" s="74">
        <v>0</v>
      </c>
      <c r="R90" s="74">
        <v>379</v>
      </c>
      <c r="S90" s="74">
        <v>-379</v>
      </c>
    </row>
    <row r="91" spans="1:19" x14ac:dyDescent="0.2">
      <c r="A91" s="446" t="s">
        <v>1674</v>
      </c>
      <c r="B91" s="446" t="s">
        <v>3947</v>
      </c>
      <c r="C91" s="446" t="s">
        <v>170</v>
      </c>
      <c r="D91" s="446" t="s">
        <v>153</v>
      </c>
      <c r="E91" s="446" t="s">
        <v>3798</v>
      </c>
      <c r="F91" s="298">
        <v>40892</v>
      </c>
      <c r="G91" s="74">
        <v>380</v>
      </c>
      <c r="H91" s="74">
        <v>380</v>
      </c>
      <c r="I91" s="74">
        <v>674</v>
      </c>
      <c r="J91" s="74">
        <v>673</v>
      </c>
      <c r="K91" s="74">
        <v>0</v>
      </c>
      <c r="L91" s="74">
        <v>2107</v>
      </c>
      <c r="M91" s="74">
        <v>0</v>
      </c>
      <c r="N91" s="74">
        <v>0</v>
      </c>
      <c r="O91" s="74">
        <v>0</v>
      </c>
      <c r="P91" s="74">
        <v>0</v>
      </c>
      <c r="Q91" s="74">
        <v>0</v>
      </c>
      <c r="R91" s="74">
        <v>0</v>
      </c>
      <c r="S91" s="74">
        <v>2107</v>
      </c>
    </row>
    <row r="92" spans="1:19" x14ac:dyDescent="0.2">
      <c r="C92" s="446" t="s">
        <v>1676</v>
      </c>
      <c r="D92" s="446" t="s">
        <v>153</v>
      </c>
      <c r="E92" s="446" t="s">
        <v>3798</v>
      </c>
      <c r="F92" s="298">
        <v>42916</v>
      </c>
      <c r="G92" s="74">
        <v>0</v>
      </c>
      <c r="H92" s="74">
        <v>0</v>
      </c>
      <c r="I92" s="74">
        <v>85</v>
      </c>
      <c r="J92" s="74">
        <v>0</v>
      </c>
      <c r="K92" s="74">
        <v>0</v>
      </c>
      <c r="L92" s="74">
        <v>85</v>
      </c>
      <c r="M92" s="74">
        <v>0</v>
      </c>
      <c r="N92" s="74">
        <v>0</v>
      </c>
      <c r="O92" s="74">
        <v>0</v>
      </c>
      <c r="P92" s="74">
        <v>0</v>
      </c>
      <c r="Q92" s="74">
        <v>0</v>
      </c>
      <c r="R92" s="74">
        <v>0</v>
      </c>
      <c r="S92" s="74">
        <v>85</v>
      </c>
    </row>
    <row r="93" spans="1:19" x14ac:dyDescent="0.2">
      <c r="C93" s="446" t="s">
        <v>1680</v>
      </c>
      <c r="D93" s="446" t="s">
        <v>153</v>
      </c>
      <c r="E93" s="446" t="s">
        <v>3798</v>
      </c>
      <c r="F93" s="298">
        <v>43166</v>
      </c>
      <c r="G93" s="74">
        <v>0</v>
      </c>
      <c r="H93" s="74">
        <v>0</v>
      </c>
      <c r="I93" s="74">
        <v>32</v>
      </c>
      <c r="J93" s="74">
        <v>0</v>
      </c>
      <c r="K93" s="74">
        <v>0</v>
      </c>
      <c r="L93" s="74">
        <v>32</v>
      </c>
      <c r="M93" s="74">
        <v>0</v>
      </c>
      <c r="N93" s="74">
        <v>0</v>
      </c>
      <c r="O93" s="74">
        <v>0</v>
      </c>
      <c r="P93" s="74">
        <v>0</v>
      </c>
      <c r="Q93" s="74">
        <v>0</v>
      </c>
      <c r="R93" s="74">
        <v>0</v>
      </c>
      <c r="S93" s="74">
        <v>32</v>
      </c>
    </row>
    <row r="94" spans="1:19" x14ac:dyDescent="0.2">
      <c r="A94" s="446" t="s">
        <v>1945</v>
      </c>
      <c r="B94" s="446" t="s">
        <v>3951</v>
      </c>
      <c r="C94" s="446" t="s">
        <v>1946</v>
      </c>
      <c r="D94" s="446" t="s">
        <v>153</v>
      </c>
      <c r="E94" s="446" t="s">
        <v>3798</v>
      </c>
      <c r="F94" s="298">
        <v>43070</v>
      </c>
      <c r="G94" s="74">
        <v>133</v>
      </c>
      <c r="H94" s="74">
        <v>133</v>
      </c>
      <c r="I94" s="74">
        <v>133</v>
      </c>
      <c r="J94" s="74">
        <v>132</v>
      </c>
      <c r="K94" s="74">
        <v>0</v>
      </c>
      <c r="L94" s="74">
        <v>531</v>
      </c>
      <c r="M94" s="74">
        <v>0</v>
      </c>
      <c r="N94" s="74">
        <v>0</v>
      </c>
      <c r="O94" s="74">
        <v>663</v>
      </c>
      <c r="P94" s="74">
        <v>0</v>
      </c>
      <c r="Q94" s="74">
        <v>0</v>
      </c>
      <c r="R94" s="74">
        <v>663</v>
      </c>
      <c r="S94" s="74">
        <v>-132</v>
      </c>
    </row>
    <row r="95" spans="1:19" x14ac:dyDescent="0.2">
      <c r="A95" s="446" t="s">
        <v>2238</v>
      </c>
      <c r="B95" s="446" t="s">
        <v>3944</v>
      </c>
      <c r="C95" s="446" t="s">
        <v>888</v>
      </c>
      <c r="D95" s="446" t="s">
        <v>153</v>
      </c>
      <c r="E95" s="446" t="s">
        <v>3798</v>
      </c>
      <c r="F95" s="298">
        <v>42626</v>
      </c>
      <c r="G95" s="74">
        <v>0</v>
      </c>
      <c r="H95" s="74">
        <v>51</v>
      </c>
      <c r="I95" s="74">
        <v>0</v>
      </c>
      <c r="J95" s="74">
        <v>0</v>
      </c>
      <c r="K95" s="74">
        <v>0</v>
      </c>
      <c r="L95" s="74">
        <v>51</v>
      </c>
      <c r="M95" s="74">
        <v>0</v>
      </c>
      <c r="N95" s="74">
        <v>0</v>
      </c>
      <c r="O95" s="74">
        <v>0</v>
      </c>
      <c r="P95" s="74">
        <v>0</v>
      </c>
      <c r="Q95" s="74">
        <v>0</v>
      </c>
      <c r="R95" s="74">
        <v>0</v>
      </c>
      <c r="S95" s="74">
        <v>51</v>
      </c>
    </row>
    <row r="96" spans="1:19" x14ac:dyDescent="0.2">
      <c r="A96" s="446" t="s">
        <v>95</v>
      </c>
      <c r="G96" s="74">
        <v>2884</v>
      </c>
      <c r="H96" s="74">
        <v>1148</v>
      </c>
      <c r="I96" s="74">
        <v>3300</v>
      </c>
      <c r="J96" s="74">
        <v>1741</v>
      </c>
      <c r="K96" s="74">
        <v>160</v>
      </c>
      <c r="L96" s="74">
        <v>9233</v>
      </c>
      <c r="M96" s="74">
        <v>5260</v>
      </c>
      <c r="N96" s="74">
        <v>1049</v>
      </c>
      <c r="O96" s="74">
        <v>2092</v>
      </c>
      <c r="P96" s="74">
        <v>1433</v>
      </c>
      <c r="Q96" s="74">
        <v>0</v>
      </c>
      <c r="R96" s="74">
        <v>9834</v>
      </c>
      <c r="S96" s="74">
        <v>-601</v>
      </c>
    </row>
  </sheetData>
  <conditionalFormatting sqref="D1:D1048576">
    <cfRule type="cellIs" dxfId="49"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S27"/>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3892</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x14ac:dyDescent="0.2">
      <c r="A7" s="344" t="s">
        <v>1511</v>
      </c>
      <c r="B7" s="342" t="s">
        <v>3951</v>
      </c>
      <c r="C7" s="343" t="s">
        <v>637</v>
      </c>
      <c r="D7" s="342" t="s">
        <v>153</v>
      </c>
      <c r="E7" s="344" t="s">
        <v>3798</v>
      </c>
      <c r="F7" s="345">
        <v>39527</v>
      </c>
      <c r="G7" s="346">
        <v>79</v>
      </c>
      <c r="H7" s="346">
        <v>79</v>
      </c>
      <c r="I7" s="346">
        <v>79</v>
      </c>
      <c r="J7" s="346">
        <v>79</v>
      </c>
      <c r="K7" s="346">
        <v>79</v>
      </c>
      <c r="L7" s="347">
        <v>395</v>
      </c>
      <c r="M7" s="346">
        <v>0</v>
      </c>
      <c r="N7" s="346">
        <v>0</v>
      </c>
      <c r="O7" s="346">
        <v>0</v>
      </c>
      <c r="P7" s="346">
        <v>0</v>
      </c>
      <c r="Q7" s="346">
        <v>0</v>
      </c>
      <c r="R7" s="347">
        <v>0</v>
      </c>
      <c r="S7" s="346">
        <v>395</v>
      </c>
    </row>
    <row r="8" spans="1:19" x14ac:dyDescent="0.2">
      <c r="A8" s="305" t="s">
        <v>1835</v>
      </c>
      <c r="B8" s="306" t="s">
        <v>3946</v>
      </c>
      <c r="C8" s="307" t="s">
        <v>1109</v>
      </c>
      <c r="D8" s="306" t="s">
        <v>153</v>
      </c>
      <c r="E8" s="305" t="s">
        <v>3798</v>
      </c>
      <c r="F8" s="335">
        <v>42852</v>
      </c>
      <c r="G8" s="309">
        <v>0</v>
      </c>
      <c r="H8" s="309">
        <v>0</v>
      </c>
      <c r="I8" s="309">
        <v>79</v>
      </c>
      <c r="J8" s="309">
        <v>0</v>
      </c>
      <c r="K8" s="309">
        <v>0</v>
      </c>
      <c r="L8" s="317">
        <v>79</v>
      </c>
      <c r="M8" s="309">
        <v>214</v>
      </c>
      <c r="N8" s="309">
        <v>0</v>
      </c>
      <c r="O8" s="309">
        <v>0</v>
      </c>
      <c r="P8" s="309">
        <v>0</v>
      </c>
      <c r="Q8" s="309">
        <v>0</v>
      </c>
      <c r="R8" s="317">
        <v>214</v>
      </c>
      <c r="S8" s="309">
        <v>-135</v>
      </c>
    </row>
    <row r="9" spans="1:19" x14ac:dyDescent="0.2">
      <c r="A9" s="305" t="s">
        <v>2277</v>
      </c>
      <c r="B9" s="306" t="s">
        <v>149</v>
      </c>
      <c r="C9" s="307" t="s">
        <v>1011</v>
      </c>
      <c r="D9" s="306" t="s">
        <v>153</v>
      </c>
      <c r="E9" s="305" t="s">
        <v>421</v>
      </c>
      <c r="F9" s="335">
        <v>42649</v>
      </c>
      <c r="G9" s="309">
        <v>0</v>
      </c>
      <c r="H9" s="309">
        <v>72</v>
      </c>
      <c r="I9" s="309">
        <v>0</v>
      </c>
      <c r="J9" s="309">
        <v>0</v>
      </c>
      <c r="K9" s="309">
        <v>0</v>
      </c>
      <c r="L9" s="317">
        <v>72</v>
      </c>
      <c r="M9" s="309">
        <v>0</v>
      </c>
      <c r="N9" s="309">
        <v>127</v>
      </c>
      <c r="O9" s="309">
        <v>0</v>
      </c>
      <c r="P9" s="309">
        <v>0</v>
      </c>
      <c r="Q9" s="309">
        <v>0</v>
      </c>
      <c r="R9" s="317">
        <v>127</v>
      </c>
      <c r="S9" s="309">
        <v>-55</v>
      </c>
    </row>
    <row r="10" spans="1:19" x14ac:dyDescent="0.2">
      <c r="A10" s="305" t="s">
        <v>2191</v>
      </c>
      <c r="B10" s="306" t="s">
        <v>3948</v>
      </c>
      <c r="C10" s="307" t="s">
        <v>1274</v>
      </c>
      <c r="D10" s="306" t="s">
        <v>153</v>
      </c>
      <c r="E10" s="305" t="s">
        <v>3798</v>
      </c>
      <c r="F10" s="335">
        <v>42947</v>
      </c>
      <c r="G10" s="309">
        <v>0</v>
      </c>
      <c r="H10" s="309">
        <v>78</v>
      </c>
      <c r="I10" s="309">
        <v>0</v>
      </c>
      <c r="J10" s="309">
        <v>0</v>
      </c>
      <c r="K10" s="309">
        <v>0</v>
      </c>
      <c r="L10" s="317">
        <v>78</v>
      </c>
      <c r="M10" s="309">
        <v>0</v>
      </c>
      <c r="N10" s="309">
        <v>102</v>
      </c>
      <c r="O10" s="309">
        <v>0</v>
      </c>
      <c r="P10" s="309">
        <v>0</v>
      </c>
      <c r="Q10" s="309">
        <v>0</v>
      </c>
      <c r="R10" s="317">
        <v>102</v>
      </c>
      <c r="S10" s="309">
        <v>-24</v>
      </c>
    </row>
    <row r="11" spans="1:19" x14ac:dyDescent="0.2">
      <c r="A11" s="305" t="s">
        <v>2170</v>
      </c>
      <c r="B11" s="306" t="s">
        <v>3946</v>
      </c>
      <c r="C11" s="307" t="s">
        <v>562</v>
      </c>
      <c r="D11" s="306" t="s">
        <v>153</v>
      </c>
      <c r="E11" s="305" t="s">
        <v>3798</v>
      </c>
      <c r="F11" s="335">
        <v>42354</v>
      </c>
      <c r="G11" s="309">
        <v>0</v>
      </c>
      <c r="H11" s="309">
        <v>0</v>
      </c>
      <c r="I11" s="309">
        <v>0</v>
      </c>
      <c r="J11" s="309">
        <v>0</v>
      </c>
      <c r="K11" s="309">
        <v>0</v>
      </c>
      <c r="L11" s="317">
        <v>0</v>
      </c>
      <c r="M11" s="309">
        <v>76</v>
      </c>
      <c r="N11" s="309">
        <v>0</v>
      </c>
      <c r="O11" s="309">
        <v>0</v>
      </c>
      <c r="P11" s="309">
        <v>0</v>
      </c>
      <c r="Q11" s="309">
        <v>0</v>
      </c>
      <c r="R11" s="317">
        <v>76</v>
      </c>
      <c r="S11" s="309">
        <v>-76</v>
      </c>
    </row>
    <row r="12" spans="1:19" x14ac:dyDescent="0.2">
      <c r="A12" s="305" t="s">
        <v>1936</v>
      </c>
      <c r="B12" s="306" t="s">
        <v>149</v>
      </c>
      <c r="C12" s="307" t="s">
        <v>1937</v>
      </c>
      <c r="D12" s="306" t="s">
        <v>153</v>
      </c>
      <c r="E12" s="305" t="s">
        <v>3798</v>
      </c>
      <c r="F12" s="335">
        <v>42922</v>
      </c>
      <c r="G12" s="309">
        <v>0</v>
      </c>
      <c r="H12" s="309">
        <v>0</v>
      </c>
      <c r="I12" s="309">
        <v>0</v>
      </c>
      <c r="J12" s="309">
        <v>117</v>
      </c>
      <c r="K12" s="309">
        <v>0</v>
      </c>
      <c r="L12" s="317">
        <v>117</v>
      </c>
      <c r="M12" s="309">
        <v>0</v>
      </c>
      <c r="N12" s="309">
        <v>117</v>
      </c>
      <c r="O12" s="309">
        <v>0</v>
      </c>
      <c r="P12" s="309">
        <v>0</v>
      </c>
      <c r="Q12" s="309">
        <v>0</v>
      </c>
      <c r="R12" s="317">
        <v>117</v>
      </c>
      <c r="S12" s="309">
        <v>0</v>
      </c>
    </row>
    <row r="13" spans="1:19" x14ac:dyDescent="0.2">
      <c r="A13" s="305" t="s">
        <v>2412</v>
      </c>
      <c r="B13" s="306" t="s">
        <v>3948</v>
      </c>
      <c r="C13" s="307" t="s">
        <v>2413</v>
      </c>
      <c r="D13" s="306" t="s">
        <v>153</v>
      </c>
      <c r="E13" s="305" t="s">
        <v>3798</v>
      </c>
      <c r="F13" s="335">
        <v>43039</v>
      </c>
      <c r="G13" s="309">
        <v>52</v>
      </c>
      <c r="H13" s="309">
        <v>0</v>
      </c>
      <c r="I13" s="309">
        <v>0</v>
      </c>
      <c r="J13" s="309">
        <v>0</v>
      </c>
      <c r="K13" s="309">
        <v>0</v>
      </c>
      <c r="L13" s="317">
        <v>52</v>
      </c>
      <c r="M13" s="309">
        <v>85</v>
      </c>
      <c r="N13" s="309">
        <v>0</v>
      </c>
      <c r="O13" s="309">
        <v>0</v>
      </c>
      <c r="P13" s="309">
        <v>0</v>
      </c>
      <c r="Q13" s="309">
        <v>0</v>
      </c>
      <c r="R13" s="317">
        <v>85</v>
      </c>
      <c r="S13" s="309">
        <v>-33</v>
      </c>
    </row>
    <row r="14" spans="1:19" x14ac:dyDescent="0.2">
      <c r="A14" s="305" t="s">
        <v>1729</v>
      </c>
      <c r="B14" s="306" t="s">
        <v>3947</v>
      </c>
      <c r="C14" s="307" t="s">
        <v>67</v>
      </c>
      <c r="D14" s="306" t="s">
        <v>153</v>
      </c>
      <c r="E14" s="305" t="s">
        <v>3798</v>
      </c>
      <c r="F14" s="335">
        <v>40464</v>
      </c>
      <c r="G14" s="309">
        <v>135</v>
      </c>
      <c r="H14" s="309">
        <v>0</v>
      </c>
      <c r="I14" s="309">
        <v>23</v>
      </c>
      <c r="J14" s="309">
        <v>0</v>
      </c>
      <c r="K14" s="309">
        <v>0</v>
      </c>
      <c r="L14" s="317">
        <v>158</v>
      </c>
      <c r="M14" s="309">
        <v>0</v>
      </c>
      <c r="N14" s="309">
        <v>0</v>
      </c>
      <c r="O14" s="309">
        <v>90</v>
      </c>
      <c r="P14" s="309">
        <v>630</v>
      </c>
      <c r="Q14" s="309">
        <v>0</v>
      </c>
      <c r="R14" s="317">
        <v>720</v>
      </c>
      <c r="S14" s="309">
        <v>-562</v>
      </c>
    </row>
    <row r="15" spans="1:19" x14ac:dyDescent="0.2">
      <c r="A15" s="305" t="s">
        <v>1460</v>
      </c>
      <c r="B15" s="306" t="s">
        <v>3944</v>
      </c>
      <c r="C15" s="307" t="s">
        <v>1461</v>
      </c>
      <c r="D15" s="306" t="s">
        <v>153</v>
      </c>
      <c r="E15" s="305" t="s">
        <v>3798</v>
      </c>
      <c r="F15" s="335">
        <v>43063</v>
      </c>
      <c r="G15" s="309">
        <v>0</v>
      </c>
      <c r="H15" s="309">
        <v>0</v>
      </c>
      <c r="I15" s="309">
        <v>0</v>
      </c>
      <c r="J15" s="309">
        <v>0</v>
      </c>
      <c r="K15" s="309">
        <v>0</v>
      </c>
      <c r="L15" s="317">
        <v>0</v>
      </c>
      <c r="M15" s="309">
        <v>113</v>
      </c>
      <c r="N15" s="309">
        <v>0</v>
      </c>
      <c r="O15" s="309">
        <v>0</v>
      </c>
      <c r="P15" s="309">
        <v>0</v>
      </c>
      <c r="Q15" s="309">
        <v>0</v>
      </c>
      <c r="R15" s="317">
        <v>113</v>
      </c>
      <c r="S15" s="309">
        <v>-113</v>
      </c>
    </row>
    <row r="16" spans="1:19" x14ac:dyDescent="0.2">
      <c r="A16" s="305" t="s">
        <v>2466</v>
      </c>
      <c r="B16" s="306" t="s">
        <v>3942</v>
      </c>
      <c r="C16" s="307" t="s">
        <v>2467</v>
      </c>
      <c r="D16" s="306" t="s">
        <v>153</v>
      </c>
      <c r="E16" s="305" t="s">
        <v>421</v>
      </c>
      <c r="F16" s="335">
        <v>42943</v>
      </c>
      <c r="G16" s="309">
        <v>0</v>
      </c>
      <c r="H16" s="309">
        <v>0</v>
      </c>
      <c r="I16" s="309">
        <v>134</v>
      </c>
      <c r="J16" s="309">
        <v>0</v>
      </c>
      <c r="K16" s="309">
        <v>0</v>
      </c>
      <c r="L16" s="317">
        <v>134</v>
      </c>
      <c r="M16" s="309">
        <v>134</v>
      </c>
      <c r="N16" s="309">
        <v>0</v>
      </c>
      <c r="O16" s="309">
        <v>0</v>
      </c>
      <c r="P16" s="309">
        <v>0</v>
      </c>
      <c r="Q16" s="309">
        <v>0</v>
      </c>
      <c r="R16" s="317">
        <v>134</v>
      </c>
      <c r="S16" s="309">
        <v>0</v>
      </c>
    </row>
    <row r="17" spans="1:19" ht="22.5" x14ac:dyDescent="0.2">
      <c r="A17" s="305" t="s">
        <v>2000</v>
      </c>
      <c r="B17" s="306" t="s">
        <v>150</v>
      </c>
      <c r="C17" s="307" t="s">
        <v>254</v>
      </c>
      <c r="D17" s="306" t="s">
        <v>153</v>
      </c>
      <c r="E17" s="305" t="s">
        <v>3798</v>
      </c>
      <c r="F17" s="335">
        <v>41883</v>
      </c>
      <c r="G17" s="309">
        <v>326</v>
      </c>
      <c r="H17" s="309">
        <v>0</v>
      </c>
      <c r="I17" s="309">
        <v>326</v>
      </c>
      <c r="J17" s="309">
        <v>0</v>
      </c>
      <c r="K17" s="309">
        <v>0</v>
      </c>
      <c r="L17" s="317">
        <v>652</v>
      </c>
      <c r="M17" s="309">
        <v>0</v>
      </c>
      <c r="N17" s="309">
        <v>0</v>
      </c>
      <c r="O17" s="309">
        <v>0</v>
      </c>
      <c r="P17" s="309">
        <v>0</v>
      </c>
      <c r="Q17" s="309">
        <v>0</v>
      </c>
      <c r="R17" s="317">
        <v>0</v>
      </c>
      <c r="S17" s="309">
        <v>652</v>
      </c>
    </row>
    <row r="18" spans="1:19" x14ac:dyDescent="0.2">
      <c r="A18" s="305" t="s">
        <v>2165</v>
      </c>
      <c r="B18" s="306" t="s">
        <v>3943</v>
      </c>
      <c r="C18" s="307" t="s">
        <v>516</v>
      </c>
      <c r="D18" s="306" t="s">
        <v>153</v>
      </c>
      <c r="E18" s="305" t="s">
        <v>3798</v>
      </c>
      <c r="F18" s="335">
        <v>42524</v>
      </c>
      <c r="G18" s="309">
        <v>0</v>
      </c>
      <c r="H18" s="309">
        <v>0</v>
      </c>
      <c r="I18" s="309">
        <v>46</v>
      </c>
      <c r="J18" s="309">
        <v>0</v>
      </c>
      <c r="K18" s="309">
        <v>0</v>
      </c>
      <c r="L18" s="317">
        <v>46</v>
      </c>
      <c r="M18" s="309">
        <v>0</v>
      </c>
      <c r="N18" s="309">
        <v>0</v>
      </c>
      <c r="O18" s="309">
        <v>144</v>
      </c>
      <c r="P18" s="309">
        <v>0</v>
      </c>
      <c r="Q18" s="309">
        <v>0</v>
      </c>
      <c r="R18" s="317">
        <v>144</v>
      </c>
      <c r="S18" s="309">
        <v>-98</v>
      </c>
    </row>
    <row r="19" spans="1:19" ht="22.5" x14ac:dyDescent="0.2">
      <c r="A19" s="305" t="s">
        <v>1867</v>
      </c>
      <c r="B19" s="306" t="s">
        <v>3947</v>
      </c>
      <c r="C19" s="307" t="s">
        <v>1262</v>
      </c>
      <c r="D19" s="306" t="s">
        <v>1885</v>
      </c>
      <c r="E19" s="305" t="s">
        <v>3798</v>
      </c>
      <c r="F19" s="335">
        <v>42845</v>
      </c>
      <c r="G19" s="309">
        <v>788</v>
      </c>
      <c r="H19" s="309">
        <v>736</v>
      </c>
      <c r="I19" s="309">
        <v>789</v>
      </c>
      <c r="J19" s="309">
        <v>736</v>
      </c>
      <c r="K19" s="309">
        <v>735</v>
      </c>
      <c r="L19" s="317">
        <v>3784</v>
      </c>
      <c r="M19" s="309">
        <v>0</v>
      </c>
      <c r="N19" s="309">
        <v>0</v>
      </c>
      <c r="O19" s="309">
        <v>0</v>
      </c>
      <c r="P19" s="309">
        <v>0</v>
      </c>
      <c r="Q19" s="309">
        <v>0</v>
      </c>
      <c r="R19" s="317">
        <v>0</v>
      </c>
      <c r="S19" s="309">
        <v>3784</v>
      </c>
    </row>
    <row r="20" spans="1:19" x14ac:dyDescent="0.2">
      <c r="D20" s="306" t="s">
        <v>1886</v>
      </c>
      <c r="E20" s="305" t="s">
        <v>3798</v>
      </c>
      <c r="F20" s="335">
        <v>42845</v>
      </c>
      <c r="G20" s="309">
        <v>27</v>
      </c>
      <c r="H20" s="309">
        <v>338</v>
      </c>
      <c r="I20" s="309">
        <v>217</v>
      </c>
      <c r="J20" s="309">
        <v>217</v>
      </c>
      <c r="K20" s="309">
        <v>27</v>
      </c>
      <c r="L20" s="317">
        <v>826</v>
      </c>
      <c r="M20" s="309">
        <v>0</v>
      </c>
      <c r="N20" s="309">
        <v>0</v>
      </c>
      <c r="O20" s="309">
        <v>0</v>
      </c>
      <c r="P20" s="309">
        <v>0</v>
      </c>
      <c r="Q20" s="309">
        <v>0</v>
      </c>
      <c r="R20" s="317">
        <v>0</v>
      </c>
      <c r="S20" s="309">
        <v>826</v>
      </c>
    </row>
    <row r="21" spans="1:19" x14ac:dyDescent="0.2">
      <c r="D21" s="306" t="s">
        <v>1887</v>
      </c>
      <c r="E21" s="305" t="s">
        <v>3798</v>
      </c>
      <c r="F21" s="335">
        <v>42845</v>
      </c>
      <c r="G21" s="309">
        <v>30</v>
      </c>
      <c r="H21" s="309">
        <v>150</v>
      </c>
      <c r="I21" s="309">
        <v>150</v>
      </c>
      <c r="J21" s="309">
        <v>149</v>
      </c>
      <c r="K21" s="309">
        <v>119</v>
      </c>
      <c r="L21" s="317">
        <v>598</v>
      </c>
      <c r="M21" s="309">
        <v>0</v>
      </c>
      <c r="N21" s="309">
        <v>0</v>
      </c>
      <c r="O21" s="309">
        <v>0</v>
      </c>
      <c r="P21" s="309">
        <v>0</v>
      </c>
      <c r="Q21" s="309">
        <v>0</v>
      </c>
      <c r="R21" s="317">
        <v>0</v>
      </c>
      <c r="S21" s="309">
        <v>598</v>
      </c>
    </row>
    <row r="22" spans="1:19" ht="33.75" x14ac:dyDescent="0.2">
      <c r="A22" s="305" t="s">
        <v>1706</v>
      </c>
      <c r="B22" s="306" t="s">
        <v>3947</v>
      </c>
      <c r="C22" s="307" t="s">
        <v>796</v>
      </c>
      <c r="D22" s="306" t="s">
        <v>153</v>
      </c>
      <c r="E22" s="305" t="s">
        <v>3798</v>
      </c>
      <c r="F22" s="335">
        <v>42541</v>
      </c>
      <c r="G22" s="309">
        <v>146</v>
      </c>
      <c r="H22" s="309">
        <v>146</v>
      </c>
      <c r="I22" s="309">
        <v>146</v>
      </c>
      <c r="J22" s="309">
        <v>0</v>
      </c>
      <c r="K22" s="309">
        <v>0</v>
      </c>
      <c r="L22" s="317">
        <v>438</v>
      </c>
      <c r="M22" s="309">
        <v>0</v>
      </c>
      <c r="N22" s="309">
        <v>0</v>
      </c>
      <c r="O22" s="309">
        <v>0</v>
      </c>
      <c r="P22" s="309">
        <v>0</v>
      </c>
      <c r="Q22" s="309">
        <v>0</v>
      </c>
      <c r="R22" s="317">
        <v>0</v>
      </c>
      <c r="S22" s="309">
        <v>438</v>
      </c>
    </row>
    <row r="23" spans="1:19" ht="56.25" x14ac:dyDescent="0.2">
      <c r="A23" s="305" t="s">
        <v>2017</v>
      </c>
      <c r="B23" s="306" t="s">
        <v>2907</v>
      </c>
      <c r="C23" s="307" t="s">
        <v>253</v>
      </c>
      <c r="D23" s="306" t="s">
        <v>153</v>
      </c>
      <c r="E23" s="305" t="s">
        <v>3798</v>
      </c>
      <c r="F23" s="335">
        <v>41842</v>
      </c>
      <c r="G23" s="309">
        <v>0</v>
      </c>
      <c r="H23" s="309">
        <v>0</v>
      </c>
      <c r="I23" s="309">
        <v>163</v>
      </c>
      <c r="J23" s="309">
        <v>0</v>
      </c>
      <c r="K23" s="309">
        <v>0</v>
      </c>
      <c r="L23" s="317">
        <v>163</v>
      </c>
      <c r="M23" s="309">
        <v>0</v>
      </c>
      <c r="N23" s="309">
        <v>0</v>
      </c>
      <c r="O23" s="309">
        <v>0</v>
      </c>
      <c r="P23" s="309">
        <v>0</v>
      </c>
      <c r="Q23" s="309">
        <v>0</v>
      </c>
      <c r="R23" s="317">
        <v>0</v>
      </c>
      <c r="S23" s="309">
        <v>163</v>
      </c>
    </row>
    <row r="24" spans="1:19" ht="33.75" x14ac:dyDescent="0.2">
      <c r="A24" s="305" t="s">
        <v>1544</v>
      </c>
      <c r="B24" s="306" t="s">
        <v>3946</v>
      </c>
      <c r="C24" s="307" t="s">
        <v>62</v>
      </c>
      <c r="D24" s="306" t="s">
        <v>153</v>
      </c>
      <c r="E24" s="305" t="s">
        <v>3798</v>
      </c>
      <c r="F24" s="335">
        <v>40434</v>
      </c>
      <c r="G24" s="309">
        <v>110</v>
      </c>
      <c r="H24" s="309">
        <v>0</v>
      </c>
      <c r="I24" s="309">
        <v>110</v>
      </c>
      <c r="J24" s="309">
        <v>100</v>
      </c>
      <c r="K24" s="309">
        <v>0</v>
      </c>
      <c r="L24" s="317">
        <v>320</v>
      </c>
      <c r="M24" s="309">
        <v>0</v>
      </c>
      <c r="N24" s="309">
        <v>0</v>
      </c>
      <c r="O24" s="309">
        <v>0</v>
      </c>
      <c r="P24" s="309">
        <v>0</v>
      </c>
      <c r="Q24" s="309">
        <v>0</v>
      </c>
      <c r="R24" s="317">
        <v>0</v>
      </c>
      <c r="S24" s="309">
        <v>320</v>
      </c>
    </row>
    <row r="25" spans="1:19" ht="33.75" x14ac:dyDescent="0.2">
      <c r="A25" s="305" t="s">
        <v>1974</v>
      </c>
      <c r="B25" s="306" t="s">
        <v>3951</v>
      </c>
      <c r="C25" s="307" t="s">
        <v>686</v>
      </c>
      <c r="D25" s="306" t="s">
        <v>153</v>
      </c>
      <c r="E25" s="305" t="s">
        <v>3798</v>
      </c>
      <c r="F25" s="335">
        <v>41488</v>
      </c>
      <c r="G25" s="309">
        <v>102</v>
      </c>
      <c r="H25" s="309">
        <v>0</v>
      </c>
      <c r="I25" s="309">
        <v>0</v>
      </c>
      <c r="J25" s="309">
        <v>0</v>
      </c>
      <c r="K25" s="309">
        <v>0</v>
      </c>
      <c r="L25" s="317">
        <v>102</v>
      </c>
      <c r="M25" s="309">
        <v>0</v>
      </c>
      <c r="N25" s="309">
        <v>0</v>
      </c>
      <c r="O25" s="309">
        <v>0</v>
      </c>
      <c r="P25" s="309">
        <v>0</v>
      </c>
      <c r="Q25" s="309">
        <v>0</v>
      </c>
      <c r="R25" s="317">
        <v>0</v>
      </c>
      <c r="S25" s="309">
        <v>102</v>
      </c>
    </row>
    <row r="26" spans="1:19" ht="45" x14ac:dyDescent="0.2">
      <c r="A26" s="305" t="s">
        <v>1525</v>
      </c>
      <c r="B26" s="306" t="s">
        <v>3947</v>
      </c>
      <c r="C26" s="307" t="s">
        <v>1535</v>
      </c>
      <c r="D26" s="306" t="s">
        <v>1538</v>
      </c>
      <c r="E26" s="305" t="s">
        <v>3798</v>
      </c>
      <c r="F26" s="335">
        <v>42682</v>
      </c>
      <c r="G26" s="309">
        <v>1112</v>
      </c>
      <c r="H26" s="309">
        <v>781</v>
      </c>
      <c r="I26" s="309">
        <v>1073</v>
      </c>
      <c r="J26" s="309">
        <v>1073</v>
      </c>
      <c r="K26" s="309">
        <v>1073</v>
      </c>
      <c r="L26" s="317">
        <v>5112</v>
      </c>
      <c r="M26" s="309">
        <v>0</v>
      </c>
      <c r="N26" s="309">
        <v>0</v>
      </c>
      <c r="O26" s="309">
        <v>0</v>
      </c>
      <c r="P26" s="309">
        <v>0</v>
      </c>
      <c r="Q26" s="309">
        <v>0</v>
      </c>
      <c r="R26" s="317">
        <v>0</v>
      </c>
      <c r="S26" s="309">
        <v>5112</v>
      </c>
    </row>
    <row r="27" spans="1:19" x14ac:dyDescent="0.2">
      <c r="A27" s="328" t="s">
        <v>95</v>
      </c>
      <c r="B27" s="329"/>
      <c r="C27" s="330"/>
      <c r="D27" s="329"/>
      <c r="E27" s="328"/>
      <c r="F27" s="349"/>
      <c r="G27" s="333">
        <v>2907</v>
      </c>
      <c r="H27" s="333">
        <v>2380</v>
      </c>
      <c r="I27" s="333">
        <v>3335</v>
      </c>
      <c r="J27" s="333">
        <v>2471</v>
      </c>
      <c r="K27" s="333">
        <v>2033</v>
      </c>
      <c r="L27" s="334">
        <v>13126</v>
      </c>
      <c r="M27" s="333">
        <v>622</v>
      </c>
      <c r="N27" s="333">
        <v>346</v>
      </c>
      <c r="O27" s="333">
        <v>234</v>
      </c>
      <c r="P27" s="333">
        <v>630</v>
      </c>
      <c r="Q27" s="333">
        <v>0</v>
      </c>
      <c r="R27" s="334">
        <v>1832</v>
      </c>
      <c r="S27" s="333">
        <v>11294</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47"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4"/>
  <sheetViews>
    <sheetView workbookViewId="0"/>
  </sheetViews>
  <sheetFormatPr defaultRowHeight="12" x14ac:dyDescent="0.2"/>
  <cols>
    <col min="1" max="1" width="19.5703125" customWidth="1"/>
    <col min="2" max="2" width="19" customWidth="1"/>
    <col min="3" max="6" width="14.42578125" customWidth="1"/>
    <col min="7" max="8" width="18" customWidth="1"/>
    <col min="9" max="10" width="18.42578125" customWidth="1"/>
    <col min="11" max="11" width="16" customWidth="1"/>
    <col min="12" max="13" width="17" bestFit="1" customWidth="1"/>
  </cols>
  <sheetData>
    <row r="1" spans="1:11" x14ac:dyDescent="0.2">
      <c r="A1" s="77" t="s">
        <v>2939</v>
      </c>
      <c r="B1" s="446" t="s">
        <v>2936</v>
      </c>
    </row>
    <row r="3" spans="1:11" x14ac:dyDescent="0.2">
      <c r="A3" s="446" t="s">
        <v>2976</v>
      </c>
      <c r="B3" s="446" t="s">
        <v>2977</v>
      </c>
      <c r="C3" s="446" t="s">
        <v>2978</v>
      </c>
      <c r="D3" s="446" t="s">
        <v>2979</v>
      </c>
      <c r="E3" s="446" t="s">
        <v>2980</v>
      </c>
      <c r="F3" s="446" t="s">
        <v>2981</v>
      </c>
      <c r="G3" s="446" t="s">
        <v>2920</v>
      </c>
      <c r="H3" s="446" t="s">
        <v>2924</v>
      </c>
      <c r="I3" s="446" t="s">
        <v>2922</v>
      </c>
      <c r="J3" s="446" t="s">
        <v>2983</v>
      </c>
      <c r="K3" s="446" t="s">
        <v>2982</v>
      </c>
    </row>
    <row r="4" spans="1:11" x14ac:dyDescent="0.2">
      <c r="A4" s="74">
        <v>22</v>
      </c>
      <c r="B4" s="74">
        <v>19060</v>
      </c>
      <c r="C4" s="74">
        <v>1</v>
      </c>
      <c r="D4" s="74">
        <v>43</v>
      </c>
      <c r="E4" s="74">
        <v>7</v>
      </c>
      <c r="F4" s="74">
        <v>3121</v>
      </c>
      <c r="G4" s="74">
        <v>30</v>
      </c>
      <c r="H4" s="74">
        <v>22224</v>
      </c>
      <c r="I4" s="74">
        <v>60</v>
      </c>
      <c r="J4" s="74">
        <v>68244</v>
      </c>
      <c r="K4" s="74">
        <v>-45820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S27"/>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2936</v>
      </c>
    </row>
    <row r="2" spans="1:19" x14ac:dyDescent="0.2">
      <c r="A2" s="77" t="s">
        <v>2940</v>
      </c>
      <c r="B2" s="446" t="s">
        <v>429</v>
      </c>
    </row>
    <row r="3" spans="1:19" x14ac:dyDescent="0.2">
      <c r="A3" s="77" t="s">
        <v>2941</v>
      </c>
      <c r="B3" s="446" t="s">
        <v>2942</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1511</v>
      </c>
      <c r="B7" s="446" t="s">
        <v>3951</v>
      </c>
      <c r="C7" s="446" t="s">
        <v>637</v>
      </c>
      <c r="D7" s="446" t="s">
        <v>153</v>
      </c>
      <c r="E7" s="446" t="s">
        <v>3798</v>
      </c>
      <c r="F7" s="298">
        <v>39527</v>
      </c>
      <c r="G7" s="74">
        <v>79</v>
      </c>
      <c r="H7" s="74">
        <v>79</v>
      </c>
      <c r="I7" s="74">
        <v>79</v>
      </c>
      <c r="J7" s="74">
        <v>79</v>
      </c>
      <c r="K7" s="74">
        <v>79</v>
      </c>
      <c r="L7" s="74">
        <v>395</v>
      </c>
      <c r="M7" s="74">
        <v>0</v>
      </c>
      <c r="N7" s="74">
        <v>0</v>
      </c>
      <c r="O7" s="74">
        <v>0</v>
      </c>
      <c r="P7" s="74">
        <v>0</v>
      </c>
      <c r="Q7" s="74">
        <v>0</v>
      </c>
      <c r="R7" s="74">
        <v>0</v>
      </c>
      <c r="S7" s="74">
        <v>395</v>
      </c>
    </row>
    <row r="8" spans="1:19" x14ac:dyDescent="0.2">
      <c r="A8" s="446" t="s">
        <v>1835</v>
      </c>
      <c r="B8" s="446" t="s">
        <v>3946</v>
      </c>
      <c r="C8" s="446" t="s">
        <v>1109</v>
      </c>
      <c r="D8" s="446" t="s">
        <v>153</v>
      </c>
      <c r="E8" s="446" t="s">
        <v>3798</v>
      </c>
      <c r="F8" s="298">
        <v>42852</v>
      </c>
      <c r="G8" s="74">
        <v>0</v>
      </c>
      <c r="H8" s="74">
        <v>0</v>
      </c>
      <c r="I8" s="74">
        <v>79</v>
      </c>
      <c r="J8" s="74">
        <v>0</v>
      </c>
      <c r="K8" s="74">
        <v>0</v>
      </c>
      <c r="L8" s="74">
        <v>79</v>
      </c>
      <c r="M8" s="74">
        <v>214</v>
      </c>
      <c r="N8" s="74">
        <v>0</v>
      </c>
      <c r="O8" s="74">
        <v>0</v>
      </c>
      <c r="P8" s="74">
        <v>0</v>
      </c>
      <c r="Q8" s="74">
        <v>0</v>
      </c>
      <c r="R8" s="74">
        <v>214</v>
      </c>
      <c r="S8" s="74">
        <v>-135</v>
      </c>
    </row>
    <row r="9" spans="1:19" x14ac:dyDescent="0.2">
      <c r="A9" s="446" t="s">
        <v>2277</v>
      </c>
      <c r="B9" s="446" t="s">
        <v>149</v>
      </c>
      <c r="C9" s="446" t="s">
        <v>1011</v>
      </c>
      <c r="D9" s="446" t="s">
        <v>153</v>
      </c>
      <c r="E9" s="446" t="s">
        <v>421</v>
      </c>
      <c r="F9" s="298">
        <v>42649</v>
      </c>
      <c r="G9" s="74">
        <v>0</v>
      </c>
      <c r="H9" s="74">
        <v>72</v>
      </c>
      <c r="I9" s="74">
        <v>0</v>
      </c>
      <c r="J9" s="74">
        <v>0</v>
      </c>
      <c r="K9" s="74">
        <v>0</v>
      </c>
      <c r="L9" s="74">
        <v>72</v>
      </c>
      <c r="M9" s="74">
        <v>0</v>
      </c>
      <c r="N9" s="74">
        <v>127</v>
      </c>
      <c r="O9" s="74">
        <v>0</v>
      </c>
      <c r="P9" s="74">
        <v>0</v>
      </c>
      <c r="Q9" s="74">
        <v>0</v>
      </c>
      <c r="R9" s="74">
        <v>127</v>
      </c>
      <c r="S9" s="74">
        <v>-55</v>
      </c>
    </row>
    <row r="10" spans="1:19" x14ac:dyDescent="0.2">
      <c r="A10" s="446" t="s">
        <v>2191</v>
      </c>
      <c r="B10" s="446" t="s">
        <v>3948</v>
      </c>
      <c r="C10" s="446" t="s">
        <v>1274</v>
      </c>
      <c r="D10" s="446" t="s">
        <v>153</v>
      </c>
      <c r="E10" s="446" t="s">
        <v>3798</v>
      </c>
      <c r="F10" s="298">
        <v>42947</v>
      </c>
      <c r="G10" s="74">
        <v>0</v>
      </c>
      <c r="H10" s="74">
        <v>78</v>
      </c>
      <c r="I10" s="74">
        <v>0</v>
      </c>
      <c r="J10" s="74">
        <v>0</v>
      </c>
      <c r="K10" s="74">
        <v>0</v>
      </c>
      <c r="L10" s="74">
        <v>78</v>
      </c>
      <c r="M10" s="74">
        <v>0</v>
      </c>
      <c r="N10" s="74">
        <v>102</v>
      </c>
      <c r="O10" s="74">
        <v>0</v>
      </c>
      <c r="P10" s="74">
        <v>0</v>
      </c>
      <c r="Q10" s="74">
        <v>0</v>
      </c>
      <c r="R10" s="74">
        <v>102</v>
      </c>
      <c r="S10" s="74">
        <v>-24</v>
      </c>
    </row>
    <row r="11" spans="1:19" x14ac:dyDescent="0.2">
      <c r="A11" s="446" t="s">
        <v>2170</v>
      </c>
      <c r="B11" s="446" t="s">
        <v>3946</v>
      </c>
      <c r="C11" s="446" t="s">
        <v>562</v>
      </c>
      <c r="D11" s="446" t="s">
        <v>153</v>
      </c>
      <c r="E11" s="446" t="s">
        <v>3798</v>
      </c>
      <c r="F11" s="298">
        <v>42354</v>
      </c>
      <c r="G11" s="74">
        <v>0</v>
      </c>
      <c r="H11" s="74">
        <v>0</v>
      </c>
      <c r="I11" s="74">
        <v>0</v>
      </c>
      <c r="J11" s="74">
        <v>0</v>
      </c>
      <c r="K11" s="74">
        <v>0</v>
      </c>
      <c r="L11" s="74">
        <v>0</v>
      </c>
      <c r="M11" s="74">
        <v>76</v>
      </c>
      <c r="N11" s="74">
        <v>0</v>
      </c>
      <c r="O11" s="74">
        <v>0</v>
      </c>
      <c r="P11" s="74">
        <v>0</v>
      </c>
      <c r="Q11" s="74">
        <v>0</v>
      </c>
      <c r="R11" s="74">
        <v>76</v>
      </c>
      <c r="S11" s="74">
        <v>-76</v>
      </c>
    </row>
    <row r="12" spans="1:19" x14ac:dyDescent="0.2">
      <c r="A12" s="446" t="s">
        <v>1936</v>
      </c>
      <c r="B12" s="446" t="s">
        <v>149</v>
      </c>
      <c r="C12" s="446" t="s">
        <v>1937</v>
      </c>
      <c r="D12" s="446" t="s">
        <v>153</v>
      </c>
      <c r="E12" s="446" t="s">
        <v>3798</v>
      </c>
      <c r="F12" s="298">
        <v>42922</v>
      </c>
      <c r="G12" s="74">
        <v>0</v>
      </c>
      <c r="H12" s="74">
        <v>0</v>
      </c>
      <c r="I12" s="74">
        <v>0</v>
      </c>
      <c r="J12" s="74">
        <v>117</v>
      </c>
      <c r="K12" s="74">
        <v>0</v>
      </c>
      <c r="L12" s="74">
        <v>117</v>
      </c>
      <c r="M12" s="74">
        <v>0</v>
      </c>
      <c r="N12" s="74">
        <v>117</v>
      </c>
      <c r="O12" s="74">
        <v>0</v>
      </c>
      <c r="P12" s="74">
        <v>0</v>
      </c>
      <c r="Q12" s="74">
        <v>0</v>
      </c>
      <c r="R12" s="74">
        <v>117</v>
      </c>
      <c r="S12" s="74">
        <v>0</v>
      </c>
    </row>
    <row r="13" spans="1:19" x14ac:dyDescent="0.2">
      <c r="A13" s="446" t="s">
        <v>2412</v>
      </c>
      <c r="B13" s="446" t="s">
        <v>3948</v>
      </c>
      <c r="C13" s="446" t="s">
        <v>2413</v>
      </c>
      <c r="D13" s="446" t="s">
        <v>153</v>
      </c>
      <c r="E13" s="446" t="s">
        <v>3798</v>
      </c>
      <c r="F13" s="298">
        <v>43039</v>
      </c>
      <c r="G13" s="74">
        <v>52</v>
      </c>
      <c r="H13" s="74">
        <v>0</v>
      </c>
      <c r="I13" s="74">
        <v>0</v>
      </c>
      <c r="J13" s="74">
        <v>0</v>
      </c>
      <c r="K13" s="74">
        <v>0</v>
      </c>
      <c r="L13" s="74">
        <v>52</v>
      </c>
      <c r="M13" s="74">
        <v>85</v>
      </c>
      <c r="N13" s="74">
        <v>0</v>
      </c>
      <c r="O13" s="74">
        <v>0</v>
      </c>
      <c r="P13" s="74">
        <v>0</v>
      </c>
      <c r="Q13" s="74">
        <v>0</v>
      </c>
      <c r="R13" s="74">
        <v>85</v>
      </c>
      <c r="S13" s="74">
        <v>-33</v>
      </c>
    </row>
    <row r="14" spans="1:19" x14ac:dyDescent="0.2">
      <c r="A14" s="446" t="s">
        <v>1729</v>
      </c>
      <c r="B14" s="446" t="s">
        <v>3947</v>
      </c>
      <c r="C14" s="446" t="s">
        <v>67</v>
      </c>
      <c r="D14" s="446" t="s">
        <v>153</v>
      </c>
      <c r="E14" s="446" t="s">
        <v>3798</v>
      </c>
      <c r="F14" s="298">
        <v>40464</v>
      </c>
      <c r="G14" s="74">
        <v>135</v>
      </c>
      <c r="H14" s="74">
        <v>0</v>
      </c>
      <c r="I14" s="74">
        <v>23</v>
      </c>
      <c r="J14" s="74">
        <v>0</v>
      </c>
      <c r="K14" s="74">
        <v>0</v>
      </c>
      <c r="L14" s="74">
        <v>158</v>
      </c>
      <c r="M14" s="74">
        <v>0</v>
      </c>
      <c r="N14" s="74">
        <v>0</v>
      </c>
      <c r="O14" s="74">
        <v>90</v>
      </c>
      <c r="P14" s="74">
        <v>630</v>
      </c>
      <c r="Q14" s="74">
        <v>0</v>
      </c>
      <c r="R14" s="74">
        <v>720</v>
      </c>
      <c r="S14" s="74">
        <v>-562</v>
      </c>
    </row>
    <row r="15" spans="1:19" x14ac:dyDescent="0.2">
      <c r="A15" s="446" t="s">
        <v>1460</v>
      </c>
      <c r="B15" s="446" t="s">
        <v>3944</v>
      </c>
      <c r="C15" s="446" t="s">
        <v>1461</v>
      </c>
      <c r="D15" s="446" t="s">
        <v>153</v>
      </c>
      <c r="E15" s="446" t="s">
        <v>3798</v>
      </c>
      <c r="F15" s="298">
        <v>43063</v>
      </c>
      <c r="G15" s="74">
        <v>0</v>
      </c>
      <c r="H15" s="74">
        <v>0</v>
      </c>
      <c r="I15" s="74">
        <v>0</v>
      </c>
      <c r="J15" s="74">
        <v>0</v>
      </c>
      <c r="K15" s="74">
        <v>0</v>
      </c>
      <c r="L15" s="74">
        <v>0</v>
      </c>
      <c r="M15" s="74">
        <v>113</v>
      </c>
      <c r="N15" s="74">
        <v>0</v>
      </c>
      <c r="O15" s="74">
        <v>0</v>
      </c>
      <c r="P15" s="74">
        <v>0</v>
      </c>
      <c r="Q15" s="74">
        <v>0</v>
      </c>
      <c r="R15" s="74">
        <v>113</v>
      </c>
      <c r="S15" s="74">
        <v>-113</v>
      </c>
    </row>
    <row r="16" spans="1:19" x14ac:dyDescent="0.2">
      <c r="A16" s="446" t="s">
        <v>2466</v>
      </c>
      <c r="B16" s="446" t="s">
        <v>3942</v>
      </c>
      <c r="C16" s="446" t="s">
        <v>2467</v>
      </c>
      <c r="D16" s="446" t="s">
        <v>153</v>
      </c>
      <c r="E16" s="446" t="s">
        <v>421</v>
      </c>
      <c r="F16" s="298">
        <v>42943</v>
      </c>
      <c r="G16" s="74">
        <v>0</v>
      </c>
      <c r="H16" s="74">
        <v>0</v>
      </c>
      <c r="I16" s="74">
        <v>134</v>
      </c>
      <c r="J16" s="74">
        <v>0</v>
      </c>
      <c r="K16" s="74">
        <v>0</v>
      </c>
      <c r="L16" s="74">
        <v>134</v>
      </c>
      <c r="M16" s="74">
        <v>134</v>
      </c>
      <c r="N16" s="74">
        <v>0</v>
      </c>
      <c r="O16" s="74">
        <v>0</v>
      </c>
      <c r="P16" s="74">
        <v>0</v>
      </c>
      <c r="Q16" s="74">
        <v>0</v>
      </c>
      <c r="R16" s="74">
        <v>134</v>
      </c>
      <c r="S16" s="74">
        <v>0</v>
      </c>
    </row>
    <row r="17" spans="1:19" x14ac:dyDescent="0.2">
      <c r="A17" s="446" t="s">
        <v>2000</v>
      </c>
      <c r="B17" s="446" t="s">
        <v>150</v>
      </c>
      <c r="C17" s="446" t="s">
        <v>254</v>
      </c>
      <c r="D17" s="446" t="s">
        <v>153</v>
      </c>
      <c r="E17" s="446" t="s">
        <v>3798</v>
      </c>
      <c r="F17" s="298">
        <v>41883</v>
      </c>
      <c r="G17" s="74">
        <v>326</v>
      </c>
      <c r="H17" s="74">
        <v>0</v>
      </c>
      <c r="I17" s="74">
        <v>326</v>
      </c>
      <c r="J17" s="74">
        <v>0</v>
      </c>
      <c r="K17" s="74">
        <v>0</v>
      </c>
      <c r="L17" s="74">
        <v>652</v>
      </c>
      <c r="M17" s="74">
        <v>0</v>
      </c>
      <c r="N17" s="74">
        <v>0</v>
      </c>
      <c r="O17" s="74">
        <v>0</v>
      </c>
      <c r="P17" s="74">
        <v>0</v>
      </c>
      <c r="Q17" s="74">
        <v>0</v>
      </c>
      <c r="R17" s="74">
        <v>0</v>
      </c>
      <c r="S17" s="74">
        <v>652</v>
      </c>
    </row>
    <row r="18" spans="1:19" x14ac:dyDescent="0.2">
      <c r="A18" s="446" t="s">
        <v>2165</v>
      </c>
      <c r="B18" s="446" t="s">
        <v>3943</v>
      </c>
      <c r="C18" s="446" t="s">
        <v>516</v>
      </c>
      <c r="D18" s="446" t="s">
        <v>153</v>
      </c>
      <c r="E18" s="446" t="s">
        <v>3798</v>
      </c>
      <c r="F18" s="298">
        <v>42524</v>
      </c>
      <c r="G18" s="74">
        <v>0</v>
      </c>
      <c r="H18" s="74">
        <v>0</v>
      </c>
      <c r="I18" s="74">
        <v>46</v>
      </c>
      <c r="J18" s="74">
        <v>0</v>
      </c>
      <c r="K18" s="74">
        <v>0</v>
      </c>
      <c r="L18" s="74">
        <v>46</v>
      </c>
      <c r="M18" s="74">
        <v>0</v>
      </c>
      <c r="N18" s="74">
        <v>0</v>
      </c>
      <c r="O18" s="74">
        <v>144</v>
      </c>
      <c r="P18" s="74">
        <v>0</v>
      </c>
      <c r="Q18" s="74">
        <v>0</v>
      </c>
      <c r="R18" s="74">
        <v>144</v>
      </c>
      <c r="S18" s="74">
        <v>-98</v>
      </c>
    </row>
    <row r="19" spans="1:19" x14ac:dyDescent="0.2">
      <c r="A19" s="446" t="s">
        <v>1867</v>
      </c>
      <c r="B19" s="446" t="s">
        <v>3947</v>
      </c>
      <c r="C19" s="446" t="s">
        <v>1262</v>
      </c>
      <c r="D19" s="446" t="s">
        <v>1885</v>
      </c>
      <c r="E19" s="446" t="s">
        <v>3798</v>
      </c>
      <c r="F19" s="298">
        <v>42845</v>
      </c>
      <c r="G19" s="74">
        <v>788</v>
      </c>
      <c r="H19" s="74">
        <v>736</v>
      </c>
      <c r="I19" s="74">
        <v>789</v>
      </c>
      <c r="J19" s="74">
        <v>736</v>
      </c>
      <c r="K19" s="74">
        <v>735</v>
      </c>
      <c r="L19" s="74">
        <v>3784</v>
      </c>
      <c r="M19" s="74">
        <v>0</v>
      </c>
      <c r="N19" s="74">
        <v>0</v>
      </c>
      <c r="O19" s="74">
        <v>0</v>
      </c>
      <c r="P19" s="74">
        <v>0</v>
      </c>
      <c r="Q19" s="74">
        <v>0</v>
      </c>
      <c r="R19" s="74">
        <v>0</v>
      </c>
      <c r="S19" s="74">
        <v>3784</v>
      </c>
    </row>
    <row r="20" spans="1:19" x14ac:dyDescent="0.2">
      <c r="D20" s="446" t="s">
        <v>1886</v>
      </c>
      <c r="E20" s="446" t="s">
        <v>3798</v>
      </c>
      <c r="F20" s="298">
        <v>42845</v>
      </c>
      <c r="G20" s="74">
        <v>27</v>
      </c>
      <c r="H20" s="74">
        <v>338</v>
      </c>
      <c r="I20" s="74">
        <v>217</v>
      </c>
      <c r="J20" s="74">
        <v>217</v>
      </c>
      <c r="K20" s="74">
        <v>27</v>
      </c>
      <c r="L20" s="74">
        <v>826</v>
      </c>
      <c r="M20" s="74">
        <v>0</v>
      </c>
      <c r="N20" s="74">
        <v>0</v>
      </c>
      <c r="O20" s="74">
        <v>0</v>
      </c>
      <c r="P20" s="74">
        <v>0</v>
      </c>
      <c r="Q20" s="74">
        <v>0</v>
      </c>
      <c r="R20" s="74">
        <v>0</v>
      </c>
      <c r="S20" s="74">
        <v>826</v>
      </c>
    </row>
    <row r="21" spans="1:19" x14ac:dyDescent="0.2">
      <c r="D21" s="446" t="s">
        <v>1887</v>
      </c>
      <c r="E21" s="446" t="s">
        <v>3798</v>
      </c>
      <c r="F21" s="298">
        <v>42845</v>
      </c>
      <c r="G21" s="74">
        <v>30</v>
      </c>
      <c r="H21" s="74">
        <v>150</v>
      </c>
      <c r="I21" s="74">
        <v>150</v>
      </c>
      <c r="J21" s="74">
        <v>149</v>
      </c>
      <c r="K21" s="74">
        <v>119</v>
      </c>
      <c r="L21" s="74">
        <v>598</v>
      </c>
      <c r="M21" s="74">
        <v>0</v>
      </c>
      <c r="N21" s="74">
        <v>0</v>
      </c>
      <c r="O21" s="74">
        <v>0</v>
      </c>
      <c r="P21" s="74">
        <v>0</v>
      </c>
      <c r="Q21" s="74">
        <v>0</v>
      </c>
      <c r="R21" s="74">
        <v>0</v>
      </c>
      <c r="S21" s="74">
        <v>598</v>
      </c>
    </row>
    <row r="22" spans="1:19" x14ac:dyDescent="0.2">
      <c r="A22" s="446" t="s">
        <v>1706</v>
      </c>
      <c r="B22" s="446" t="s">
        <v>3947</v>
      </c>
      <c r="C22" s="446" t="s">
        <v>796</v>
      </c>
      <c r="D22" s="446" t="s">
        <v>153</v>
      </c>
      <c r="E22" s="446" t="s">
        <v>3798</v>
      </c>
      <c r="F22" s="298">
        <v>42541</v>
      </c>
      <c r="G22" s="74">
        <v>146</v>
      </c>
      <c r="H22" s="74">
        <v>146</v>
      </c>
      <c r="I22" s="74">
        <v>146</v>
      </c>
      <c r="J22" s="74">
        <v>0</v>
      </c>
      <c r="K22" s="74">
        <v>0</v>
      </c>
      <c r="L22" s="74">
        <v>438</v>
      </c>
      <c r="M22" s="74">
        <v>0</v>
      </c>
      <c r="N22" s="74">
        <v>0</v>
      </c>
      <c r="O22" s="74">
        <v>0</v>
      </c>
      <c r="P22" s="74">
        <v>0</v>
      </c>
      <c r="Q22" s="74">
        <v>0</v>
      </c>
      <c r="R22" s="74">
        <v>0</v>
      </c>
      <c r="S22" s="74">
        <v>438</v>
      </c>
    </row>
    <row r="23" spans="1:19" x14ac:dyDescent="0.2">
      <c r="A23" s="446" t="s">
        <v>2017</v>
      </c>
      <c r="B23" s="446" t="s">
        <v>2907</v>
      </c>
      <c r="C23" s="446" t="s">
        <v>253</v>
      </c>
      <c r="D23" s="446" t="s">
        <v>153</v>
      </c>
      <c r="E23" s="446" t="s">
        <v>3798</v>
      </c>
      <c r="F23" s="298">
        <v>41842</v>
      </c>
      <c r="G23" s="74">
        <v>0</v>
      </c>
      <c r="H23" s="74">
        <v>0</v>
      </c>
      <c r="I23" s="74">
        <v>163</v>
      </c>
      <c r="J23" s="74">
        <v>0</v>
      </c>
      <c r="K23" s="74">
        <v>0</v>
      </c>
      <c r="L23" s="74">
        <v>163</v>
      </c>
      <c r="M23" s="74">
        <v>0</v>
      </c>
      <c r="N23" s="74">
        <v>0</v>
      </c>
      <c r="O23" s="74">
        <v>0</v>
      </c>
      <c r="P23" s="74">
        <v>0</v>
      </c>
      <c r="Q23" s="74">
        <v>0</v>
      </c>
      <c r="R23" s="74">
        <v>0</v>
      </c>
      <c r="S23" s="74">
        <v>163</v>
      </c>
    </row>
    <row r="24" spans="1:19" x14ac:dyDescent="0.2">
      <c r="A24" s="446" t="s">
        <v>1544</v>
      </c>
      <c r="B24" s="446" t="s">
        <v>3946</v>
      </c>
      <c r="C24" s="446" t="s">
        <v>62</v>
      </c>
      <c r="D24" s="446" t="s">
        <v>153</v>
      </c>
      <c r="E24" s="446" t="s">
        <v>3798</v>
      </c>
      <c r="F24" s="298">
        <v>40434</v>
      </c>
      <c r="G24" s="74">
        <v>110</v>
      </c>
      <c r="H24" s="74">
        <v>0</v>
      </c>
      <c r="I24" s="74">
        <v>110</v>
      </c>
      <c r="J24" s="74">
        <v>100</v>
      </c>
      <c r="K24" s="74">
        <v>0</v>
      </c>
      <c r="L24" s="74">
        <v>320</v>
      </c>
      <c r="M24" s="74">
        <v>0</v>
      </c>
      <c r="N24" s="74">
        <v>0</v>
      </c>
      <c r="O24" s="74">
        <v>0</v>
      </c>
      <c r="P24" s="74">
        <v>0</v>
      </c>
      <c r="Q24" s="74">
        <v>0</v>
      </c>
      <c r="R24" s="74">
        <v>0</v>
      </c>
      <c r="S24" s="74">
        <v>320</v>
      </c>
    </row>
    <row r="25" spans="1:19" x14ac:dyDescent="0.2">
      <c r="A25" s="446" t="s">
        <v>1974</v>
      </c>
      <c r="B25" s="446" t="s">
        <v>3951</v>
      </c>
      <c r="C25" s="446" t="s">
        <v>686</v>
      </c>
      <c r="D25" s="446" t="s">
        <v>153</v>
      </c>
      <c r="E25" s="446" t="s">
        <v>3798</v>
      </c>
      <c r="F25" s="298">
        <v>41488</v>
      </c>
      <c r="G25" s="74">
        <v>102</v>
      </c>
      <c r="H25" s="74">
        <v>0</v>
      </c>
      <c r="I25" s="74">
        <v>0</v>
      </c>
      <c r="J25" s="74">
        <v>0</v>
      </c>
      <c r="K25" s="74">
        <v>0</v>
      </c>
      <c r="L25" s="74">
        <v>102</v>
      </c>
      <c r="M25" s="74">
        <v>0</v>
      </c>
      <c r="N25" s="74">
        <v>0</v>
      </c>
      <c r="O25" s="74">
        <v>0</v>
      </c>
      <c r="P25" s="74">
        <v>0</v>
      </c>
      <c r="Q25" s="74">
        <v>0</v>
      </c>
      <c r="R25" s="74">
        <v>0</v>
      </c>
      <c r="S25" s="74">
        <v>102</v>
      </c>
    </row>
    <row r="26" spans="1:19" x14ac:dyDescent="0.2">
      <c r="A26" s="446" t="s">
        <v>1525</v>
      </c>
      <c r="B26" s="446" t="s">
        <v>3947</v>
      </c>
      <c r="C26" s="446" t="s">
        <v>1535</v>
      </c>
      <c r="D26" s="446" t="s">
        <v>1538</v>
      </c>
      <c r="E26" s="446" t="s">
        <v>3798</v>
      </c>
      <c r="F26" s="298">
        <v>42682</v>
      </c>
      <c r="G26" s="74">
        <v>1112</v>
      </c>
      <c r="H26" s="74">
        <v>781</v>
      </c>
      <c r="I26" s="74">
        <v>1073</v>
      </c>
      <c r="J26" s="74">
        <v>1073</v>
      </c>
      <c r="K26" s="74">
        <v>1073</v>
      </c>
      <c r="L26" s="74">
        <v>5112</v>
      </c>
      <c r="M26" s="74">
        <v>0</v>
      </c>
      <c r="N26" s="74">
        <v>0</v>
      </c>
      <c r="O26" s="74">
        <v>0</v>
      </c>
      <c r="P26" s="74">
        <v>0</v>
      </c>
      <c r="Q26" s="74">
        <v>0</v>
      </c>
      <c r="R26" s="74">
        <v>0</v>
      </c>
      <c r="S26" s="74">
        <v>5112</v>
      </c>
    </row>
    <row r="27" spans="1:19" x14ac:dyDescent="0.2">
      <c r="A27" s="446" t="s">
        <v>95</v>
      </c>
      <c r="G27" s="74">
        <v>2907</v>
      </c>
      <c r="H27" s="74">
        <v>2380</v>
      </c>
      <c r="I27" s="74">
        <v>3335</v>
      </c>
      <c r="J27" s="74">
        <v>2471</v>
      </c>
      <c r="K27" s="74">
        <v>2033</v>
      </c>
      <c r="L27" s="74">
        <v>13126</v>
      </c>
      <c r="M27" s="74">
        <v>622</v>
      </c>
      <c r="N27" s="74">
        <v>346</v>
      </c>
      <c r="O27" s="74">
        <v>234</v>
      </c>
      <c r="P27" s="74">
        <v>630</v>
      </c>
      <c r="Q27" s="74">
        <v>0</v>
      </c>
      <c r="R27" s="74">
        <v>1832</v>
      </c>
      <c r="S27" s="74">
        <v>11294</v>
      </c>
    </row>
  </sheetData>
  <conditionalFormatting sqref="D1:D1048576">
    <cfRule type="cellIs" dxfId="46"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S107"/>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3893</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ht="22.5" x14ac:dyDescent="0.2">
      <c r="A7" s="344" t="s">
        <v>1666</v>
      </c>
      <c r="B7" s="342" t="s">
        <v>3941</v>
      </c>
      <c r="C7" s="343" t="s">
        <v>890</v>
      </c>
      <c r="D7" s="342" t="s">
        <v>153</v>
      </c>
      <c r="E7" s="344" t="s">
        <v>3798</v>
      </c>
      <c r="F7" s="345">
        <v>42585</v>
      </c>
      <c r="G7" s="346">
        <v>51</v>
      </c>
      <c r="H7" s="346">
        <v>50</v>
      </c>
      <c r="I7" s="346">
        <v>51</v>
      </c>
      <c r="J7" s="346">
        <v>0</v>
      </c>
      <c r="K7" s="346">
        <v>0</v>
      </c>
      <c r="L7" s="347">
        <v>152</v>
      </c>
      <c r="M7" s="346">
        <v>152</v>
      </c>
      <c r="N7" s="346">
        <v>0</v>
      </c>
      <c r="O7" s="346">
        <v>0</v>
      </c>
      <c r="P7" s="346">
        <v>0</v>
      </c>
      <c r="Q7" s="346">
        <v>0</v>
      </c>
      <c r="R7" s="347">
        <v>152</v>
      </c>
      <c r="S7" s="346">
        <v>0</v>
      </c>
    </row>
    <row r="8" spans="1:19" x14ac:dyDescent="0.2">
      <c r="A8" s="305" t="s">
        <v>2028</v>
      </c>
      <c r="B8" s="306" t="s">
        <v>150</v>
      </c>
      <c r="C8" s="307" t="s">
        <v>398</v>
      </c>
      <c r="D8" s="306" t="s">
        <v>153</v>
      </c>
      <c r="E8" s="305" t="s">
        <v>3798</v>
      </c>
      <c r="F8" s="335">
        <v>41837</v>
      </c>
      <c r="G8" s="309">
        <v>102</v>
      </c>
      <c r="H8" s="309">
        <v>0</v>
      </c>
      <c r="I8" s="309">
        <v>0</v>
      </c>
      <c r="J8" s="309">
        <v>0</v>
      </c>
      <c r="K8" s="309">
        <v>0</v>
      </c>
      <c r="L8" s="317">
        <v>102</v>
      </c>
      <c r="M8" s="309">
        <v>131</v>
      </c>
      <c r="N8" s="309">
        <v>0</v>
      </c>
      <c r="O8" s="309">
        <v>0</v>
      </c>
      <c r="P8" s="309">
        <v>0</v>
      </c>
      <c r="Q8" s="309">
        <v>0</v>
      </c>
      <c r="R8" s="317">
        <v>131</v>
      </c>
      <c r="S8" s="309">
        <v>-29</v>
      </c>
    </row>
    <row r="9" spans="1:19" ht="45" x14ac:dyDescent="0.2">
      <c r="A9" s="305" t="s">
        <v>2601</v>
      </c>
      <c r="B9" s="306" t="s">
        <v>3943</v>
      </c>
      <c r="C9" s="307" t="s">
        <v>2602</v>
      </c>
      <c r="D9" s="306" t="s">
        <v>153</v>
      </c>
      <c r="E9" s="305" t="s">
        <v>3798</v>
      </c>
      <c r="F9" s="335">
        <v>43185</v>
      </c>
      <c r="G9" s="309">
        <v>40</v>
      </c>
      <c r="H9" s="309">
        <v>0</v>
      </c>
      <c r="I9" s="309">
        <v>81</v>
      </c>
      <c r="J9" s="309">
        <v>0</v>
      </c>
      <c r="K9" s="309">
        <v>0</v>
      </c>
      <c r="L9" s="317">
        <v>121</v>
      </c>
      <c r="M9" s="309">
        <v>0</v>
      </c>
      <c r="N9" s="309">
        <v>0</v>
      </c>
      <c r="O9" s="309">
        <v>0</v>
      </c>
      <c r="P9" s="309">
        <v>0</v>
      </c>
      <c r="Q9" s="309">
        <v>0</v>
      </c>
      <c r="R9" s="317">
        <v>0</v>
      </c>
      <c r="S9" s="309">
        <v>121</v>
      </c>
    </row>
    <row r="10" spans="1:19" x14ac:dyDescent="0.2">
      <c r="A10" s="305" t="s">
        <v>2305</v>
      </c>
      <c r="B10" s="306" t="s">
        <v>3950</v>
      </c>
      <c r="C10" s="307" t="s">
        <v>2306</v>
      </c>
      <c r="D10" s="306" t="s">
        <v>153</v>
      </c>
      <c r="E10" s="305" t="s">
        <v>3798</v>
      </c>
      <c r="F10" s="335">
        <v>43006</v>
      </c>
      <c r="G10" s="309">
        <v>121</v>
      </c>
      <c r="H10" s="309">
        <v>0</v>
      </c>
      <c r="I10" s="309">
        <v>0</v>
      </c>
      <c r="J10" s="309">
        <v>0</v>
      </c>
      <c r="K10" s="309">
        <v>0</v>
      </c>
      <c r="L10" s="317">
        <v>121</v>
      </c>
      <c r="M10" s="309">
        <v>217</v>
      </c>
      <c r="N10" s="309">
        <v>0</v>
      </c>
      <c r="O10" s="309">
        <v>0</v>
      </c>
      <c r="P10" s="309">
        <v>0</v>
      </c>
      <c r="Q10" s="309">
        <v>0</v>
      </c>
      <c r="R10" s="317">
        <v>217</v>
      </c>
      <c r="S10" s="309">
        <v>-96</v>
      </c>
    </row>
    <row r="11" spans="1:19" x14ac:dyDescent="0.2">
      <c r="A11" s="305" t="s">
        <v>2439</v>
      </c>
      <c r="B11" s="306" t="s">
        <v>3942</v>
      </c>
      <c r="C11" s="307" t="s">
        <v>2440</v>
      </c>
      <c r="D11" s="306" t="s">
        <v>153</v>
      </c>
      <c r="E11" s="305" t="s">
        <v>3798</v>
      </c>
      <c r="F11" s="335">
        <v>43021</v>
      </c>
      <c r="G11" s="309">
        <v>34</v>
      </c>
      <c r="H11" s="309">
        <v>0</v>
      </c>
      <c r="I11" s="309">
        <v>0</v>
      </c>
      <c r="J11" s="309">
        <v>0</v>
      </c>
      <c r="K11" s="309">
        <v>0</v>
      </c>
      <c r="L11" s="317">
        <v>34</v>
      </c>
      <c r="M11" s="309">
        <v>0</v>
      </c>
      <c r="N11" s="309">
        <v>0</v>
      </c>
      <c r="O11" s="309">
        <v>0</v>
      </c>
      <c r="P11" s="309">
        <v>0</v>
      </c>
      <c r="Q11" s="309">
        <v>0</v>
      </c>
      <c r="R11" s="317">
        <v>0</v>
      </c>
      <c r="S11" s="309">
        <v>34</v>
      </c>
    </row>
    <row r="12" spans="1:19" x14ac:dyDescent="0.2">
      <c r="A12" s="305" t="s">
        <v>1997</v>
      </c>
      <c r="B12" s="306" t="s">
        <v>3939</v>
      </c>
      <c r="C12" s="307" t="s">
        <v>1998</v>
      </c>
      <c r="D12" s="306" t="s">
        <v>153</v>
      </c>
      <c r="E12" s="305" t="s">
        <v>3798</v>
      </c>
      <c r="F12" s="335">
        <v>43126</v>
      </c>
      <c r="G12" s="309">
        <v>597</v>
      </c>
      <c r="H12" s="309">
        <v>0</v>
      </c>
      <c r="I12" s="309">
        <v>0</v>
      </c>
      <c r="J12" s="309">
        <v>0</v>
      </c>
      <c r="K12" s="309">
        <v>0</v>
      </c>
      <c r="L12" s="317">
        <v>597</v>
      </c>
      <c r="M12" s="309">
        <v>500</v>
      </c>
      <c r="N12" s="309">
        <v>0</v>
      </c>
      <c r="O12" s="309">
        <v>0</v>
      </c>
      <c r="P12" s="309">
        <v>0</v>
      </c>
      <c r="Q12" s="309">
        <v>0</v>
      </c>
      <c r="R12" s="317">
        <v>500</v>
      </c>
      <c r="S12" s="309">
        <v>97</v>
      </c>
    </row>
    <row r="13" spans="1:19" x14ac:dyDescent="0.2">
      <c r="A13" s="305" t="s">
        <v>2480</v>
      </c>
      <c r="B13" s="306" t="s">
        <v>3942</v>
      </c>
      <c r="C13" s="307" t="s">
        <v>2481</v>
      </c>
      <c r="D13" s="306" t="s">
        <v>153</v>
      </c>
      <c r="E13" s="305" t="s">
        <v>3798</v>
      </c>
      <c r="F13" s="335">
        <v>43032</v>
      </c>
      <c r="G13" s="309">
        <v>0</v>
      </c>
      <c r="H13" s="309">
        <v>0</v>
      </c>
      <c r="I13" s="309">
        <v>144</v>
      </c>
      <c r="J13" s="309">
        <v>0</v>
      </c>
      <c r="K13" s="309">
        <v>0</v>
      </c>
      <c r="L13" s="317">
        <v>144</v>
      </c>
      <c r="M13" s="309">
        <v>57</v>
      </c>
      <c r="N13" s="309">
        <v>0</v>
      </c>
      <c r="O13" s="309">
        <v>0</v>
      </c>
      <c r="P13" s="309">
        <v>0</v>
      </c>
      <c r="Q13" s="309">
        <v>0</v>
      </c>
      <c r="R13" s="317">
        <v>57</v>
      </c>
      <c r="S13" s="309">
        <v>87</v>
      </c>
    </row>
    <row r="14" spans="1:19" ht="22.5" x14ac:dyDescent="0.2">
      <c r="A14" s="305" t="s">
        <v>1952</v>
      </c>
      <c r="B14" s="306" t="s">
        <v>3951</v>
      </c>
      <c r="C14" s="307" t="s">
        <v>1302</v>
      </c>
      <c r="D14" s="306" t="s">
        <v>153</v>
      </c>
      <c r="E14" s="305" t="s">
        <v>3798</v>
      </c>
      <c r="F14" s="335">
        <v>42599</v>
      </c>
      <c r="G14" s="309">
        <v>833</v>
      </c>
      <c r="H14" s="309">
        <v>0</v>
      </c>
      <c r="I14" s="309">
        <v>0</v>
      </c>
      <c r="J14" s="309">
        <v>0</v>
      </c>
      <c r="K14" s="309">
        <v>0</v>
      </c>
      <c r="L14" s="317">
        <v>833</v>
      </c>
      <c r="M14" s="309">
        <v>0</v>
      </c>
      <c r="N14" s="309">
        <v>0</v>
      </c>
      <c r="O14" s="309">
        <v>0</v>
      </c>
      <c r="P14" s="309">
        <v>0</v>
      </c>
      <c r="Q14" s="309">
        <v>0</v>
      </c>
      <c r="R14" s="317">
        <v>0</v>
      </c>
      <c r="S14" s="309">
        <v>833</v>
      </c>
    </row>
    <row r="15" spans="1:19" x14ac:dyDescent="0.2">
      <c r="A15" s="305" t="s">
        <v>1817</v>
      </c>
      <c r="B15" s="306" t="s">
        <v>2904</v>
      </c>
      <c r="C15" s="307" t="s">
        <v>256</v>
      </c>
      <c r="D15" s="306" t="s">
        <v>153</v>
      </c>
      <c r="E15" s="305" t="s">
        <v>3798</v>
      </c>
      <c r="F15" s="335">
        <v>41568</v>
      </c>
      <c r="G15" s="309">
        <v>0</v>
      </c>
      <c r="H15" s="309">
        <v>0</v>
      </c>
      <c r="I15" s="309">
        <v>0</v>
      </c>
      <c r="J15" s="309">
        <v>0</v>
      </c>
      <c r="K15" s="309">
        <v>0</v>
      </c>
      <c r="L15" s="317">
        <v>0</v>
      </c>
      <c r="M15" s="309">
        <v>41</v>
      </c>
      <c r="N15" s="309">
        <v>0</v>
      </c>
      <c r="O15" s="309">
        <v>0</v>
      </c>
      <c r="P15" s="309">
        <v>0</v>
      </c>
      <c r="Q15" s="309">
        <v>0</v>
      </c>
      <c r="R15" s="317">
        <v>41</v>
      </c>
      <c r="S15" s="309">
        <v>-41</v>
      </c>
    </row>
    <row r="16" spans="1:19" x14ac:dyDescent="0.2">
      <c r="A16" s="305" t="s">
        <v>2117</v>
      </c>
      <c r="B16" s="306" t="s">
        <v>2907</v>
      </c>
      <c r="C16" s="307" t="s">
        <v>473</v>
      </c>
      <c r="D16" s="306" t="s">
        <v>153</v>
      </c>
      <c r="E16" s="305" t="s">
        <v>421</v>
      </c>
      <c r="F16" s="335">
        <v>42178</v>
      </c>
      <c r="G16" s="309">
        <v>0</v>
      </c>
      <c r="H16" s="309">
        <v>0</v>
      </c>
      <c r="I16" s="309">
        <v>0</v>
      </c>
      <c r="J16" s="309">
        <v>0</v>
      </c>
      <c r="K16" s="309">
        <v>0</v>
      </c>
      <c r="L16" s="317">
        <v>0</v>
      </c>
      <c r="M16" s="309">
        <v>42</v>
      </c>
      <c r="N16" s="309">
        <v>0</v>
      </c>
      <c r="O16" s="309">
        <v>0</v>
      </c>
      <c r="P16" s="309">
        <v>0</v>
      </c>
      <c r="Q16" s="309">
        <v>0</v>
      </c>
      <c r="R16" s="317">
        <v>42</v>
      </c>
      <c r="S16" s="309">
        <v>-42</v>
      </c>
    </row>
    <row r="17" spans="1:19" x14ac:dyDescent="0.2">
      <c r="A17" s="305" t="s">
        <v>1587</v>
      </c>
      <c r="B17" s="306" t="s">
        <v>3951</v>
      </c>
      <c r="C17" s="307" t="s">
        <v>1032</v>
      </c>
      <c r="D17" s="306" t="s">
        <v>153</v>
      </c>
      <c r="E17" s="305" t="s">
        <v>3798</v>
      </c>
      <c r="F17" s="335">
        <v>42664</v>
      </c>
      <c r="G17" s="309">
        <v>20</v>
      </c>
      <c r="H17" s="309">
        <v>0</v>
      </c>
      <c r="I17" s="309">
        <v>0</v>
      </c>
      <c r="J17" s="309">
        <v>0</v>
      </c>
      <c r="K17" s="309">
        <v>0</v>
      </c>
      <c r="L17" s="317">
        <v>20</v>
      </c>
      <c r="M17" s="309">
        <v>73</v>
      </c>
      <c r="N17" s="309">
        <v>0</v>
      </c>
      <c r="O17" s="309">
        <v>0</v>
      </c>
      <c r="P17" s="309">
        <v>0</v>
      </c>
      <c r="Q17" s="309">
        <v>0</v>
      </c>
      <c r="R17" s="317">
        <v>73</v>
      </c>
      <c r="S17" s="309">
        <v>-53</v>
      </c>
    </row>
    <row r="18" spans="1:19" x14ac:dyDescent="0.2">
      <c r="A18" s="305" t="s">
        <v>1892</v>
      </c>
      <c r="B18" s="306" t="s">
        <v>3941</v>
      </c>
      <c r="C18" s="307" t="s">
        <v>226</v>
      </c>
      <c r="D18" s="306" t="s">
        <v>153</v>
      </c>
      <c r="E18" s="305" t="s">
        <v>3798</v>
      </c>
      <c r="F18" s="335">
        <v>42114</v>
      </c>
      <c r="G18" s="309">
        <v>570</v>
      </c>
      <c r="H18" s="309">
        <v>0</v>
      </c>
      <c r="I18" s="309">
        <v>0</v>
      </c>
      <c r="J18" s="309">
        <v>0</v>
      </c>
      <c r="K18" s="309">
        <v>0</v>
      </c>
      <c r="L18" s="317">
        <v>570</v>
      </c>
      <c r="M18" s="309">
        <v>539</v>
      </c>
      <c r="N18" s="309">
        <v>0</v>
      </c>
      <c r="O18" s="309">
        <v>0</v>
      </c>
      <c r="P18" s="309">
        <v>0</v>
      </c>
      <c r="Q18" s="309">
        <v>0</v>
      </c>
      <c r="R18" s="317">
        <v>539</v>
      </c>
      <c r="S18" s="309">
        <v>31</v>
      </c>
    </row>
    <row r="19" spans="1:19" x14ac:dyDescent="0.2">
      <c r="A19" s="305" t="s">
        <v>2045</v>
      </c>
      <c r="B19" s="306" t="s">
        <v>150</v>
      </c>
      <c r="C19" s="307" t="s">
        <v>441</v>
      </c>
      <c r="D19" s="306" t="s">
        <v>153</v>
      </c>
      <c r="E19" s="305" t="s">
        <v>3798</v>
      </c>
      <c r="F19" s="335">
        <v>42165</v>
      </c>
      <c r="G19" s="309">
        <v>67</v>
      </c>
      <c r="H19" s="309">
        <v>0</v>
      </c>
      <c r="I19" s="309">
        <v>0</v>
      </c>
      <c r="J19" s="309">
        <v>0</v>
      </c>
      <c r="K19" s="309">
        <v>0</v>
      </c>
      <c r="L19" s="317">
        <v>67</v>
      </c>
      <c r="M19" s="309">
        <v>50</v>
      </c>
      <c r="N19" s="309">
        <v>0</v>
      </c>
      <c r="O19" s="309">
        <v>0</v>
      </c>
      <c r="P19" s="309">
        <v>0</v>
      </c>
      <c r="Q19" s="309">
        <v>0</v>
      </c>
      <c r="R19" s="317">
        <v>50</v>
      </c>
      <c r="S19" s="309">
        <v>17</v>
      </c>
    </row>
    <row r="20" spans="1:19" x14ac:dyDescent="0.2">
      <c r="A20" s="305" t="s">
        <v>2118</v>
      </c>
      <c r="B20" s="306" t="s">
        <v>3941</v>
      </c>
      <c r="C20" s="307" t="s">
        <v>837</v>
      </c>
      <c r="D20" s="306" t="s">
        <v>153</v>
      </c>
      <c r="E20" s="305" t="s">
        <v>3798</v>
      </c>
      <c r="F20" s="335">
        <v>42702</v>
      </c>
      <c r="G20" s="309">
        <v>326</v>
      </c>
      <c r="H20" s="309">
        <v>100</v>
      </c>
      <c r="I20" s="309">
        <v>0</v>
      </c>
      <c r="J20" s="309">
        <v>0</v>
      </c>
      <c r="K20" s="309">
        <v>0</v>
      </c>
      <c r="L20" s="317">
        <v>426</v>
      </c>
      <c r="M20" s="309">
        <v>346</v>
      </c>
      <c r="N20" s="309">
        <v>323</v>
      </c>
      <c r="O20" s="309">
        <v>0</v>
      </c>
      <c r="P20" s="309">
        <v>0</v>
      </c>
      <c r="Q20" s="309">
        <v>0</v>
      </c>
      <c r="R20" s="317">
        <v>669</v>
      </c>
      <c r="S20" s="309">
        <v>-243</v>
      </c>
    </row>
    <row r="21" spans="1:19" x14ac:dyDescent="0.2">
      <c r="A21" s="305" t="s">
        <v>1502</v>
      </c>
      <c r="B21" s="306" t="s">
        <v>3952</v>
      </c>
      <c r="C21" s="307" t="s">
        <v>569</v>
      </c>
      <c r="D21" s="306" t="s">
        <v>153</v>
      </c>
      <c r="E21" s="305" t="s">
        <v>3798</v>
      </c>
      <c r="F21" s="335">
        <v>42433</v>
      </c>
      <c r="G21" s="309">
        <v>130</v>
      </c>
      <c r="H21" s="309">
        <v>0</v>
      </c>
      <c r="I21" s="309">
        <v>130</v>
      </c>
      <c r="J21" s="309">
        <v>0</v>
      </c>
      <c r="K21" s="309">
        <v>0</v>
      </c>
      <c r="L21" s="317">
        <v>260</v>
      </c>
      <c r="M21" s="309">
        <v>165</v>
      </c>
      <c r="N21" s="309">
        <v>244</v>
      </c>
      <c r="O21" s="309">
        <v>0</v>
      </c>
      <c r="P21" s="309">
        <v>0</v>
      </c>
      <c r="Q21" s="309">
        <v>0</v>
      </c>
      <c r="R21" s="317">
        <v>409</v>
      </c>
      <c r="S21" s="309">
        <v>-149</v>
      </c>
    </row>
    <row r="22" spans="1:19" x14ac:dyDescent="0.2">
      <c r="A22" s="305" t="s">
        <v>1957</v>
      </c>
      <c r="B22" s="306" t="s">
        <v>3946</v>
      </c>
      <c r="C22" s="307" t="s">
        <v>230</v>
      </c>
      <c r="D22" s="306" t="s">
        <v>153</v>
      </c>
      <c r="E22" s="305" t="s">
        <v>3798</v>
      </c>
      <c r="F22" s="335">
        <v>41404</v>
      </c>
      <c r="G22" s="309">
        <v>30</v>
      </c>
      <c r="H22" s="309">
        <v>0</v>
      </c>
      <c r="I22" s="309">
        <v>0</v>
      </c>
      <c r="J22" s="309">
        <v>0</v>
      </c>
      <c r="K22" s="309">
        <v>0</v>
      </c>
      <c r="L22" s="317">
        <v>30</v>
      </c>
      <c r="M22" s="309">
        <v>0</v>
      </c>
      <c r="N22" s="309">
        <v>245</v>
      </c>
      <c r="O22" s="309">
        <v>0</v>
      </c>
      <c r="P22" s="309">
        <v>0</v>
      </c>
      <c r="Q22" s="309">
        <v>0</v>
      </c>
      <c r="R22" s="317">
        <v>245</v>
      </c>
      <c r="S22" s="309">
        <v>-215</v>
      </c>
    </row>
    <row r="23" spans="1:19" ht="22.5" x14ac:dyDescent="0.2">
      <c r="A23" s="305" t="s">
        <v>2287</v>
      </c>
      <c r="B23" s="306" t="s">
        <v>150</v>
      </c>
      <c r="C23" s="307" t="s">
        <v>999</v>
      </c>
      <c r="D23" s="306" t="s">
        <v>153</v>
      </c>
      <c r="E23" s="305" t="s">
        <v>3798</v>
      </c>
      <c r="F23" s="335">
        <v>42793</v>
      </c>
      <c r="G23" s="309">
        <v>0</v>
      </c>
      <c r="H23" s="309">
        <v>0</v>
      </c>
      <c r="I23" s="309">
        <v>257</v>
      </c>
      <c r="J23" s="309">
        <v>0</v>
      </c>
      <c r="K23" s="309">
        <v>0</v>
      </c>
      <c r="L23" s="317">
        <v>257</v>
      </c>
      <c r="M23" s="309">
        <v>0</v>
      </c>
      <c r="N23" s="309">
        <v>0</v>
      </c>
      <c r="O23" s="309">
        <v>290</v>
      </c>
      <c r="P23" s="309">
        <v>0</v>
      </c>
      <c r="Q23" s="309">
        <v>0</v>
      </c>
      <c r="R23" s="317">
        <v>290</v>
      </c>
      <c r="S23" s="309">
        <v>-33</v>
      </c>
    </row>
    <row r="24" spans="1:19" ht="22.5" x14ac:dyDescent="0.2">
      <c r="A24" s="305" t="s">
        <v>2396</v>
      </c>
      <c r="B24" s="306" t="s">
        <v>3941</v>
      </c>
      <c r="C24" s="307" t="s">
        <v>1196</v>
      </c>
      <c r="D24" s="306" t="s">
        <v>153</v>
      </c>
      <c r="E24" s="305" t="s">
        <v>3798</v>
      </c>
      <c r="F24" s="335">
        <v>42850</v>
      </c>
      <c r="G24" s="309">
        <v>0</v>
      </c>
      <c r="H24" s="309">
        <v>0</v>
      </c>
      <c r="I24" s="309">
        <v>0</v>
      </c>
      <c r="J24" s="309">
        <v>0</v>
      </c>
      <c r="K24" s="309">
        <v>0</v>
      </c>
      <c r="L24" s="317">
        <v>0</v>
      </c>
      <c r="M24" s="309">
        <v>86</v>
      </c>
      <c r="N24" s="309">
        <v>0</v>
      </c>
      <c r="O24" s="309">
        <v>0</v>
      </c>
      <c r="P24" s="309">
        <v>0</v>
      </c>
      <c r="Q24" s="309">
        <v>0</v>
      </c>
      <c r="R24" s="317">
        <v>86</v>
      </c>
      <c r="S24" s="309">
        <v>-86</v>
      </c>
    </row>
    <row r="25" spans="1:19" x14ac:dyDescent="0.2">
      <c r="A25" s="305" t="s">
        <v>2553</v>
      </c>
      <c r="B25" s="306" t="s">
        <v>3952</v>
      </c>
      <c r="C25" s="307" t="s">
        <v>2554</v>
      </c>
      <c r="D25" s="306" t="s">
        <v>153</v>
      </c>
      <c r="E25" s="305" t="s">
        <v>3798</v>
      </c>
      <c r="F25" s="335">
        <v>43034</v>
      </c>
      <c r="G25" s="309">
        <v>0</v>
      </c>
      <c r="H25" s="309">
        <v>0</v>
      </c>
      <c r="I25" s="309">
        <v>0</v>
      </c>
      <c r="J25" s="309">
        <v>0</v>
      </c>
      <c r="K25" s="309">
        <v>0</v>
      </c>
      <c r="L25" s="317">
        <v>0</v>
      </c>
      <c r="M25" s="309">
        <v>86</v>
      </c>
      <c r="N25" s="309">
        <v>0</v>
      </c>
      <c r="O25" s="309">
        <v>0</v>
      </c>
      <c r="P25" s="309">
        <v>0</v>
      </c>
      <c r="Q25" s="309">
        <v>0</v>
      </c>
      <c r="R25" s="317">
        <v>86</v>
      </c>
      <c r="S25" s="309">
        <v>-86</v>
      </c>
    </row>
    <row r="26" spans="1:19" ht="22.5" x14ac:dyDescent="0.2">
      <c r="A26" s="305" t="s">
        <v>1672</v>
      </c>
      <c r="B26" s="306" t="s">
        <v>3943</v>
      </c>
      <c r="C26" s="307" t="s">
        <v>378</v>
      </c>
      <c r="D26" s="306" t="s">
        <v>153</v>
      </c>
      <c r="E26" s="305" t="s">
        <v>3798</v>
      </c>
      <c r="F26" s="335">
        <v>42179</v>
      </c>
      <c r="G26" s="309">
        <v>362</v>
      </c>
      <c r="H26" s="309">
        <v>0</v>
      </c>
      <c r="I26" s="309">
        <v>0</v>
      </c>
      <c r="J26" s="309">
        <v>0</v>
      </c>
      <c r="K26" s="309">
        <v>0</v>
      </c>
      <c r="L26" s="317">
        <v>362</v>
      </c>
      <c r="M26" s="309">
        <v>0</v>
      </c>
      <c r="N26" s="309">
        <v>0</v>
      </c>
      <c r="O26" s="309">
        <v>0</v>
      </c>
      <c r="P26" s="309">
        <v>0</v>
      </c>
      <c r="Q26" s="309">
        <v>0</v>
      </c>
      <c r="R26" s="317">
        <v>0</v>
      </c>
      <c r="S26" s="309">
        <v>362</v>
      </c>
    </row>
    <row r="27" spans="1:19" x14ac:dyDescent="0.2">
      <c r="A27" s="321" t="s">
        <v>1964</v>
      </c>
      <c r="B27" s="322" t="s">
        <v>149</v>
      </c>
      <c r="C27" s="323" t="s">
        <v>1965</v>
      </c>
      <c r="D27" s="322" t="s">
        <v>153</v>
      </c>
      <c r="E27" s="321" t="s">
        <v>3798</v>
      </c>
      <c r="F27" s="352">
        <v>43000</v>
      </c>
      <c r="G27" s="326">
        <v>40</v>
      </c>
      <c r="H27" s="326">
        <v>0</v>
      </c>
      <c r="I27" s="326">
        <v>0</v>
      </c>
      <c r="J27" s="326">
        <v>0</v>
      </c>
      <c r="K27" s="326">
        <v>0</v>
      </c>
      <c r="L27" s="327">
        <v>40</v>
      </c>
      <c r="M27" s="326">
        <v>101</v>
      </c>
      <c r="N27" s="326">
        <v>0</v>
      </c>
      <c r="O27" s="326">
        <v>0</v>
      </c>
      <c r="P27" s="326">
        <v>0</v>
      </c>
      <c r="Q27" s="326">
        <v>0</v>
      </c>
      <c r="R27" s="327">
        <v>101</v>
      </c>
      <c r="S27" s="326">
        <v>-61</v>
      </c>
    </row>
    <row r="28" spans="1:19" x14ac:dyDescent="0.2">
      <c r="A28" s="305" t="s">
        <v>1325</v>
      </c>
      <c r="B28" s="306" t="s">
        <v>3946</v>
      </c>
      <c r="C28" s="307" t="s">
        <v>1326</v>
      </c>
      <c r="D28" s="306" t="s">
        <v>153</v>
      </c>
      <c r="E28" s="305" t="s">
        <v>3798</v>
      </c>
      <c r="F28" s="335">
        <v>43013</v>
      </c>
      <c r="G28" s="309">
        <v>0</v>
      </c>
      <c r="H28" s="309">
        <v>0</v>
      </c>
      <c r="I28" s="309">
        <v>0</v>
      </c>
      <c r="J28" s="309">
        <v>0</v>
      </c>
      <c r="K28" s="309">
        <v>0</v>
      </c>
      <c r="L28" s="317">
        <v>0</v>
      </c>
      <c r="M28" s="309">
        <v>0</v>
      </c>
      <c r="N28" s="309">
        <v>0</v>
      </c>
      <c r="O28" s="309">
        <v>91</v>
      </c>
      <c r="P28" s="309">
        <v>0</v>
      </c>
      <c r="Q28" s="309">
        <v>0</v>
      </c>
      <c r="R28" s="317">
        <v>91</v>
      </c>
      <c r="S28" s="309">
        <v>-91</v>
      </c>
    </row>
    <row r="29" spans="1:19" x14ac:dyDescent="0.2">
      <c r="A29" s="305" t="s">
        <v>1583</v>
      </c>
      <c r="B29" s="306" t="s">
        <v>150</v>
      </c>
      <c r="C29" s="307" t="s">
        <v>947</v>
      </c>
      <c r="D29" s="306" t="s">
        <v>153</v>
      </c>
      <c r="E29" s="305" t="s">
        <v>3798</v>
      </c>
      <c r="F29" s="335">
        <v>42681</v>
      </c>
      <c r="G29" s="309">
        <v>50</v>
      </c>
      <c r="H29" s="309">
        <v>0</v>
      </c>
      <c r="I29" s="309">
        <v>0</v>
      </c>
      <c r="J29" s="309">
        <v>0</v>
      </c>
      <c r="K29" s="309">
        <v>0</v>
      </c>
      <c r="L29" s="317">
        <v>50</v>
      </c>
      <c r="M29" s="309">
        <v>72</v>
      </c>
      <c r="N29" s="309">
        <v>0</v>
      </c>
      <c r="O29" s="309">
        <v>0</v>
      </c>
      <c r="P29" s="309">
        <v>0</v>
      </c>
      <c r="Q29" s="309">
        <v>0</v>
      </c>
      <c r="R29" s="317">
        <v>72</v>
      </c>
      <c r="S29" s="309">
        <v>-22</v>
      </c>
    </row>
    <row r="30" spans="1:19" x14ac:dyDescent="0.2">
      <c r="A30" s="305" t="s">
        <v>2657</v>
      </c>
      <c r="B30" s="306" t="s">
        <v>3946</v>
      </c>
      <c r="C30" s="307" t="s">
        <v>2658</v>
      </c>
      <c r="D30" s="306" t="s">
        <v>153</v>
      </c>
      <c r="E30" s="305" t="s">
        <v>3798</v>
      </c>
      <c r="F30" s="335">
        <v>43172</v>
      </c>
      <c r="G30" s="309">
        <v>46</v>
      </c>
      <c r="H30" s="309">
        <v>0</v>
      </c>
      <c r="I30" s="309">
        <v>0</v>
      </c>
      <c r="J30" s="309">
        <v>0</v>
      </c>
      <c r="K30" s="309">
        <v>0</v>
      </c>
      <c r="L30" s="317">
        <v>46</v>
      </c>
      <c r="M30" s="309">
        <v>164</v>
      </c>
      <c r="N30" s="309">
        <v>0</v>
      </c>
      <c r="O30" s="309">
        <v>0</v>
      </c>
      <c r="P30" s="309">
        <v>0</v>
      </c>
      <c r="Q30" s="309">
        <v>0</v>
      </c>
      <c r="R30" s="317">
        <v>164</v>
      </c>
      <c r="S30" s="309">
        <v>-118</v>
      </c>
    </row>
    <row r="31" spans="1:19" x14ac:dyDescent="0.2">
      <c r="A31" s="305" t="s">
        <v>1968</v>
      </c>
      <c r="B31" s="306" t="s">
        <v>3947</v>
      </c>
      <c r="C31" s="307" t="s">
        <v>235</v>
      </c>
      <c r="D31" s="306" t="s">
        <v>153</v>
      </c>
      <c r="E31" s="305" t="s">
        <v>3798</v>
      </c>
      <c r="F31" s="335">
        <v>41555</v>
      </c>
      <c r="G31" s="309">
        <v>0</v>
      </c>
      <c r="H31" s="309">
        <v>0</v>
      </c>
      <c r="I31" s="309">
        <v>0</v>
      </c>
      <c r="J31" s="309">
        <v>0</v>
      </c>
      <c r="K31" s="309">
        <v>0</v>
      </c>
      <c r="L31" s="317">
        <v>0</v>
      </c>
      <c r="M31" s="309">
        <v>0</v>
      </c>
      <c r="N31" s="309">
        <v>0</v>
      </c>
      <c r="O31" s="309">
        <v>0</v>
      </c>
      <c r="P31" s="309">
        <v>201</v>
      </c>
      <c r="Q31" s="309">
        <v>0</v>
      </c>
      <c r="R31" s="317">
        <v>201</v>
      </c>
      <c r="S31" s="309">
        <v>-201</v>
      </c>
    </row>
    <row r="32" spans="1:19" x14ac:dyDescent="0.2">
      <c r="A32" s="305" t="s">
        <v>1993</v>
      </c>
      <c r="B32" s="306" t="s">
        <v>3952</v>
      </c>
      <c r="C32" s="307" t="s">
        <v>995</v>
      </c>
      <c r="D32" s="306" t="s">
        <v>153</v>
      </c>
      <c r="E32" s="305" t="s">
        <v>3798</v>
      </c>
      <c r="F32" s="335">
        <v>42667</v>
      </c>
      <c r="G32" s="309">
        <v>0</v>
      </c>
      <c r="H32" s="309">
        <v>97</v>
      </c>
      <c r="I32" s="309">
        <v>0</v>
      </c>
      <c r="J32" s="309">
        <v>0</v>
      </c>
      <c r="K32" s="309">
        <v>0</v>
      </c>
      <c r="L32" s="317">
        <v>97</v>
      </c>
      <c r="M32" s="309">
        <v>0</v>
      </c>
      <c r="N32" s="309">
        <v>41</v>
      </c>
      <c r="O32" s="309">
        <v>0</v>
      </c>
      <c r="P32" s="309">
        <v>0</v>
      </c>
      <c r="Q32" s="309">
        <v>0</v>
      </c>
      <c r="R32" s="317">
        <v>41</v>
      </c>
      <c r="S32" s="309">
        <v>56</v>
      </c>
    </row>
    <row r="33" spans="1:19" ht="22.5" x14ac:dyDescent="0.2">
      <c r="A33" s="305" t="s">
        <v>2263</v>
      </c>
      <c r="B33" s="306" t="s">
        <v>3947</v>
      </c>
      <c r="C33" s="307" t="s">
        <v>913</v>
      </c>
      <c r="D33" s="306" t="s">
        <v>153</v>
      </c>
      <c r="E33" s="305" t="s">
        <v>3798</v>
      </c>
      <c r="F33" s="335">
        <v>42634</v>
      </c>
      <c r="G33" s="309">
        <v>0</v>
      </c>
      <c r="H33" s="309">
        <v>0</v>
      </c>
      <c r="I33" s="309">
        <v>0</v>
      </c>
      <c r="J33" s="309">
        <v>0</v>
      </c>
      <c r="K33" s="309">
        <v>0</v>
      </c>
      <c r="L33" s="317">
        <v>0</v>
      </c>
      <c r="M33" s="309">
        <v>303</v>
      </c>
      <c r="N33" s="309">
        <v>0</v>
      </c>
      <c r="O33" s="309">
        <v>0</v>
      </c>
      <c r="P33" s="309">
        <v>0</v>
      </c>
      <c r="Q33" s="309">
        <v>0</v>
      </c>
      <c r="R33" s="317">
        <v>303</v>
      </c>
      <c r="S33" s="309">
        <v>-303</v>
      </c>
    </row>
    <row r="34" spans="1:19" x14ac:dyDescent="0.2">
      <c r="A34" s="305" t="s">
        <v>1861</v>
      </c>
      <c r="B34" s="306" t="s">
        <v>3946</v>
      </c>
      <c r="C34" s="307" t="s">
        <v>295</v>
      </c>
      <c r="D34" s="306" t="s">
        <v>153</v>
      </c>
      <c r="E34" s="305" t="s">
        <v>3798</v>
      </c>
      <c r="F34" s="335">
        <v>42230</v>
      </c>
      <c r="G34" s="309">
        <v>0</v>
      </c>
      <c r="H34" s="309">
        <v>0</v>
      </c>
      <c r="I34" s="309">
        <v>457</v>
      </c>
      <c r="J34" s="309">
        <v>0</v>
      </c>
      <c r="K34" s="309">
        <v>0</v>
      </c>
      <c r="L34" s="317">
        <v>457</v>
      </c>
      <c r="M34" s="309">
        <v>0</v>
      </c>
      <c r="N34" s="309">
        <v>0</v>
      </c>
      <c r="O34" s="309">
        <v>448</v>
      </c>
      <c r="P34" s="309">
        <v>0</v>
      </c>
      <c r="Q34" s="309">
        <v>0</v>
      </c>
      <c r="R34" s="317">
        <v>448</v>
      </c>
      <c r="S34" s="309">
        <v>9</v>
      </c>
    </row>
    <row r="35" spans="1:19" x14ac:dyDescent="0.2">
      <c r="A35" s="305" t="s">
        <v>1598</v>
      </c>
      <c r="B35" s="306" t="s">
        <v>2904</v>
      </c>
      <c r="C35" s="307" t="s">
        <v>1111</v>
      </c>
      <c r="D35" s="306" t="s">
        <v>153</v>
      </c>
      <c r="E35" s="305" t="s">
        <v>3798</v>
      </c>
      <c r="F35" s="335">
        <v>42894</v>
      </c>
      <c r="G35" s="309">
        <v>83</v>
      </c>
      <c r="H35" s="309">
        <v>0</v>
      </c>
      <c r="I35" s="309">
        <v>0</v>
      </c>
      <c r="J35" s="309">
        <v>0</v>
      </c>
      <c r="K35" s="309">
        <v>0</v>
      </c>
      <c r="L35" s="317">
        <v>83</v>
      </c>
      <c r="M35" s="309">
        <v>57</v>
      </c>
      <c r="N35" s="309">
        <v>0</v>
      </c>
      <c r="O35" s="309">
        <v>0</v>
      </c>
      <c r="P35" s="309">
        <v>0</v>
      </c>
      <c r="Q35" s="309">
        <v>0</v>
      </c>
      <c r="R35" s="317">
        <v>57</v>
      </c>
      <c r="S35" s="309">
        <v>26</v>
      </c>
    </row>
    <row r="36" spans="1:19" x14ac:dyDescent="0.2">
      <c r="A36" s="305" t="s">
        <v>2090</v>
      </c>
      <c r="B36" s="306" t="s">
        <v>3948</v>
      </c>
      <c r="C36" s="307" t="s">
        <v>594</v>
      </c>
      <c r="D36" s="306" t="s">
        <v>153</v>
      </c>
      <c r="E36" s="305" t="s">
        <v>3798</v>
      </c>
      <c r="F36" s="335">
        <v>42552</v>
      </c>
      <c r="G36" s="309">
        <v>351</v>
      </c>
      <c r="H36" s="309">
        <v>0</v>
      </c>
      <c r="I36" s="309">
        <v>0</v>
      </c>
      <c r="J36" s="309">
        <v>0</v>
      </c>
      <c r="K36" s="309">
        <v>0</v>
      </c>
      <c r="L36" s="317">
        <v>351</v>
      </c>
      <c r="M36" s="309">
        <v>163</v>
      </c>
      <c r="N36" s="309">
        <v>0</v>
      </c>
      <c r="O36" s="309">
        <v>0</v>
      </c>
      <c r="P36" s="309">
        <v>0</v>
      </c>
      <c r="Q36" s="309">
        <v>0</v>
      </c>
      <c r="R36" s="317">
        <v>163</v>
      </c>
      <c r="S36" s="309">
        <v>188</v>
      </c>
    </row>
    <row r="37" spans="1:19" ht="22.5" x14ac:dyDescent="0.2">
      <c r="A37" s="305" t="s">
        <v>2177</v>
      </c>
      <c r="B37" s="306" t="s">
        <v>2904</v>
      </c>
      <c r="C37" s="307" t="s">
        <v>2178</v>
      </c>
      <c r="D37" s="306" t="s">
        <v>153</v>
      </c>
      <c r="E37" s="305" t="s">
        <v>3798</v>
      </c>
      <c r="F37" s="335">
        <v>43175</v>
      </c>
      <c r="G37" s="309">
        <v>142</v>
      </c>
      <c r="H37" s="309">
        <v>0</v>
      </c>
      <c r="I37" s="309">
        <v>0</v>
      </c>
      <c r="J37" s="309">
        <v>0</v>
      </c>
      <c r="K37" s="309">
        <v>0</v>
      </c>
      <c r="L37" s="317">
        <v>142</v>
      </c>
      <c r="M37" s="309">
        <v>441</v>
      </c>
      <c r="N37" s="309">
        <v>0</v>
      </c>
      <c r="O37" s="309">
        <v>0</v>
      </c>
      <c r="P37" s="309">
        <v>0</v>
      </c>
      <c r="Q37" s="309">
        <v>0</v>
      </c>
      <c r="R37" s="317">
        <v>441</v>
      </c>
      <c r="S37" s="309">
        <v>-299</v>
      </c>
    </row>
    <row r="38" spans="1:19" x14ac:dyDescent="0.2">
      <c r="A38" s="305" t="s">
        <v>1985</v>
      </c>
      <c r="B38" s="306" t="s">
        <v>3948</v>
      </c>
      <c r="C38" s="307" t="s">
        <v>1194</v>
      </c>
      <c r="D38" s="306" t="s">
        <v>153</v>
      </c>
      <c r="E38" s="305" t="s">
        <v>3798</v>
      </c>
      <c r="F38" s="335">
        <v>42814</v>
      </c>
      <c r="G38" s="309">
        <v>0</v>
      </c>
      <c r="H38" s="309">
        <v>0</v>
      </c>
      <c r="I38" s="309">
        <v>0</v>
      </c>
      <c r="J38" s="309">
        <v>0</v>
      </c>
      <c r="K38" s="309">
        <v>0</v>
      </c>
      <c r="L38" s="317">
        <v>0</v>
      </c>
      <c r="M38" s="309">
        <v>234</v>
      </c>
      <c r="N38" s="309">
        <v>234</v>
      </c>
      <c r="O38" s="309">
        <v>0</v>
      </c>
      <c r="P38" s="309">
        <v>0</v>
      </c>
      <c r="Q38" s="309">
        <v>0</v>
      </c>
      <c r="R38" s="317">
        <v>468</v>
      </c>
      <c r="S38" s="309">
        <v>-468</v>
      </c>
    </row>
    <row r="39" spans="1:19" x14ac:dyDescent="0.2">
      <c r="A39" s="305" t="s">
        <v>2084</v>
      </c>
      <c r="B39" s="306" t="s">
        <v>3947</v>
      </c>
      <c r="C39" s="307" t="s">
        <v>515</v>
      </c>
      <c r="D39" s="306" t="s">
        <v>153</v>
      </c>
      <c r="E39" s="305" t="s">
        <v>3798</v>
      </c>
      <c r="F39" s="335">
        <v>42647</v>
      </c>
      <c r="G39" s="309">
        <v>123</v>
      </c>
      <c r="H39" s="309">
        <v>123</v>
      </c>
      <c r="I39" s="309">
        <v>123</v>
      </c>
      <c r="J39" s="309">
        <v>0</v>
      </c>
      <c r="K39" s="309">
        <v>0</v>
      </c>
      <c r="L39" s="317">
        <v>369</v>
      </c>
      <c r="M39" s="309">
        <v>0</v>
      </c>
      <c r="N39" s="309">
        <v>0</v>
      </c>
      <c r="O39" s="309">
        <v>0</v>
      </c>
      <c r="P39" s="309">
        <v>0</v>
      </c>
      <c r="Q39" s="309">
        <v>0</v>
      </c>
      <c r="R39" s="317">
        <v>0</v>
      </c>
      <c r="S39" s="309">
        <v>369</v>
      </c>
    </row>
    <row r="40" spans="1:19" x14ac:dyDescent="0.2">
      <c r="A40" s="305" t="s">
        <v>2027</v>
      </c>
      <c r="B40" s="306" t="s">
        <v>3941</v>
      </c>
      <c r="C40" s="307" t="s">
        <v>384</v>
      </c>
      <c r="D40" s="306" t="s">
        <v>153</v>
      </c>
      <c r="E40" s="305" t="s">
        <v>3798</v>
      </c>
      <c r="F40" s="335">
        <v>41831</v>
      </c>
      <c r="G40" s="309">
        <v>34</v>
      </c>
      <c r="H40" s="309">
        <v>0</v>
      </c>
      <c r="I40" s="309">
        <v>0</v>
      </c>
      <c r="J40" s="309">
        <v>0</v>
      </c>
      <c r="K40" s="309">
        <v>0</v>
      </c>
      <c r="L40" s="317">
        <v>34</v>
      </c>
      <c r="M40" s="309">
        <v>55</v>
      </c>
      <c r="N40" s="309">
        <v>0</v>
      </c>
      <c r="O40" s="309">
        <v>0</v>
      </c>
      <c r="P40" s="309">
        <v>0</v>
      </c>
      <c r="Q40" s="309">
        <v>0</v>
      </c>
      <c r="R40" s="317">
        <v>55</v>
      </c>
      <c r="S40" s="309">
        <v>-21</v>
      </c>
    </row>
    <row r="41" spans="1:19" x14ac:dyDescent="0.2">
      <c r="A41" s="305" t="s">
        <v>2062</v>
      </c>
      <c r="B41" s="306" t="s">
        <v>3943</v>
      </c>
      <c r="C41" s="307" t="s">
        <v>326</v>
      </c>
      <c r="D41" s="306" t="s">
        <v>153</v>
      </c>
      <c r="E41" s="305" t="s">
        <v>3798</v>
      </c>
      <c r="F41" s="335">
        <v>42376</v>
      </c>
      <c r="G41" s="309">
        <v>318</v>
      </c>
      <c r="H41" s="309">
        <v>0</v>
      </c>
      <c r="I41" s="309">
        <v>0</v>
      </c>
      <c r="J41" s="309">
        <v>0</v>
      </c>
      <c r="K41" s="309">
        <v>0</v>
      </c>
      <c r="L41" s="317">
        <v>318</v>
      </c>
      <c r="M41" s="309">
        <v>0</v>
      </c>
      <c r="N41" s="309">
        <v>0</v>
      </c>
      <c r="O41" s="309">
        <v>0</v>
      </c>
      <c r="P41" s="309">
        <v>0</v>
      </c>
      <c r="Q41" s="309">
        <v>0</v>
      </c>
      <c r="R41" s="317">
        <v>0</v>
      </c>
      <c r="S41" s="309">
        <v>318</v>
      </c>
    </row>
    <row r="42" spans="1:19" x14ac:dyDescent="0.2">
      <c r="A42" s="305" t="s">
        <v>1831</v>
      </c>
      <c r="B42" s="306" t="s">
        <v>3945</v>
      </c>
      <c r="C42" s="307" t="s">
        <v>539</v>
      </c>
      <c r="D42" s="306" t="s">
        <v>153</v>
      </c>
      <c r="E42" s="305" t="s">
        <v>3798</v>
      </c>
      <c r="F42" s="335">
        <v>42445</v>
      </c>
      <c r="G42" s="309">
        <v>81</v>
      </c>
      <c r="H42" s="309">
        <v>0</v>
      </c>
      <c r="I42" s="309">
        <v>0</v>
      </c>
      <c r="J42" s="309">
        <v>0</v>
      </c>
      <c r="K42" s="309">
        <v>0</v>
      </c>
      <c r="L42" s="317">
        <v>81</v>
      </c>
      <c r="M42" s="309">
        <v>69</v>
      </c>
      <c r="N42" s="309">
        <v>0</v>
      </c>
      <c r="O42" s="309">
        <v>0</v>
      </c>
      <c r="P42" s="309">
        <v>0</v>
      </c>
      <c r="Q42" s="309">
        <v>0</v>
      </c>
      <c r="R42" s="317">
        <v>69</v>
      </c>
      <c r="S42" s="309">
        <v>12</v>
      </c>
    </row>
    <row r="43" spans="1:19" x14ac:dyDescent="0.2">
      <c r="A43" s="305" t="s">
        <v>2121</v>
      </c>
      <c r="B43" s="306" t="s">
        <v>3945</v>
      </c>
      <c r="C43" s="307" t="s">
        <v>466</v>
      </c>
      <c r="D43" s="306" t="s">
        <v>153</v>
      </c>
      <c r="E43" s="305" t="s">
        <v>3798</v>
      </c>
      <c r="F43" s="335">
        <v>42299</v>
      </c>
      <c r="G43" s="309">
        <v>42</v>
      </c>
      <c r="H43" s="309">
        <v>0</v>
      </c>
      <c r="I43" s="309">
        <v>0</v>
      </c>
      <c r="J43" s="309">
        <v>0</v>
      </c>
      <c r="K43" s="309">
        <v>0</v>
      </c>
      <c r="L43" s="317">
        <v>42</v>
      </c>
      <c r="M43" s="309">
        <v>102</v>
      </c>
      <c r="N43" s="309">
        <v>0</v>
      </c>
      <c r="O43" s="309">
        <v>0</v>
      </c>
      <c r="P43" s="309">
        <v>0</v>
      </c>
      <c r="Q43" s="309">
        <v>0</v>
      </c>
      <c r="R43" s="317">
        <v>102</v>
      </c>
      <c r="S43" s="309">
        <v>-60</v>
      </c>
    </row>
    <row r="44" spans="1:19" x14ac:dyDescent="0.2">
      <c r="C44" s="307" t="s">
        <v>660</v>
      </c>
      <c r="D44" s="306" t="s">
        <v>153</v>
      </c>
      <c r="E44" s="305" t="s">
        <v>3798</v>
      </c>
      <c r="F44" s="335">
        <v>42612</v>
      </c>
      <c r="G44" s="309">
        <v>23</v>
      </c>
      <c r="H44" s="309">
        <v>23</v>
      </c>
      <c r="I44" s="309">
        <v>0</v>
      </c>
      <c r="J44" s="309">
        <v>0</v>
      </c>
      <c r="K44" s="309">
        <v>0</v>
      </c>
      <c r="L44" s="317">
        <v>46</v>
      </c>
      <c r="M44" s="309">
        <v>46</v>
      </c>
      <c r="N44" s="309">
        <v>0</v>
      </c>
      <c r="O44" s="309">
        <v>0</v>
      </c>
      <c r="P44" s="309">
        <v>0</v>
      </c>
      <c r="Q44" s="309">
        <v>0</v>
      </c>
      <c r="R44" s="317">
        <v>46</v>
      </c>
      <c r="S44" s="309">
        <v>0</v>
      </c>
    </row>
    <row r="45" spans="1:19" ht="22.5" x14ac:dyDescent="0.2">
      <c r="A45" s="305" t="s">
        <v>1321</v>
      </c>
      <c r="B45" s="306" t="s">
        <v>3944</v>
      </c>
      <c r="C45" s="307" t="s">
        <v>257</v>
      </c>
      <c r="D45" s="306" t="s">
        <v>153</v>
      </c>
      <c r="E45" s="305" t="s">
        <v>3798</v>
      </c>
      <c r="F45" s="335">
        <v>42116</v>
      </c>
      <c r="G45" s="309">
        <v>263</v>
      </c>
      <c r="H45" s="309">
        <v>0</v>
      </c>
      <c r="I45" s="309">
        <v>0</v>
      </c>
      <c r="J45" s="309">
        <v>0</v>
      </c>
      <c r="K45" s="309">
        <v>0</v>
      </c>
      <c r="L45" s="317">
        <v>263</v>
      </c>
      <c r="M45" s="309">
        <v>0</v>
      </c>
      <c r="N45" s="309">
        <v>0</v>
      </c>
      <c r="O45" s="309">
        <v>0</v>
      </c>
      <c r="P45" s="309">
        <v>0</v>
      </c>
      <c r="Q45" s="309">
        <v>0</v>
      </c>
      <c r="R45" s="317">
        <v>0</v>
      </c>
      <c r="S45" s="309">
        <v>263</v>
      </c>
    </row>
    <row r="46" spans="1:19" x14ac:dyDescent="0.2">
      <c r="A46" s="305" t="s">
        <v>2052</v>
      </c>
      <c r="B46" s="306" t="s">
        <v>3945</v>
      </c>
      <c r="C46" s="307" t="s">
        <v>364</v>
      </c>
      <c r="D46" s="306" t="s">
        <v>153</v>
      </c>
      <c r="E46" s="305" t="s">
        <v>3798</v>
      </c>
      <c r="F46" s="335">
        <v>41968</v>
      </c>
      <c r="G46" s="309">
        <v>70</v>
      </c>
      <c r="H46" s="309">
        <v>0</v>
      </c>
      <c r="I46" s="309">
        <v>0</v>
      </c>
      <c r="J46" s="309">
        <v>0</v>
      </c>
      <c r="K46" s="309">
        <v>0</v>
      </c>
      <c r="L46" s="317">
        <v>70</v>
      </c>
      <c r="M46" s="309">
        <v>99</v>
      </c>
      <c r="N46" s="309">
        <v>0</v>
      </c>
      <c r="O46" s="309">
        <v>0</v>
      </c>
      <c r="P46" s="309">
        <v>0</v>
      </c>
      <c r="Q46" s="309">
        <v>0</v>
      </c>
      <c r="R46" s="317">
        <v>99</v>
      </c>
      <c r="S46" s="309">
        <v>-29</v>
      </c>
    </row>
    <row r="47" spans="1:19" x14ac:dyDescent="0.2">
      <c r="A47" s="305" t="s">
        <v>1633</v>
      </c>
      <c r="B47" s="306" t="s">
        <v>3946</v>
      </c>
      <c r="C47" s="307" t="s">
        <v>233</v>
      </c>
      <c r="D47" s="306" t="s">
        <v>153</v>
      </c>
      <c r="E47" s="305" t="s">
        <v>3798</v>
      </c>
      <c r="F47" s="335">
        <v>41404</v>
      </c>
      <c r="G47" s="309">
        <v>619</v>
      </c>
      <c r="H47" s="309">
        <v>0</v>
      </c>
      <c r="I47" s="309">
        <v>0</v>
      </c>
      <c r="J47" s="309">
        <v>0</v>
      </c>
      <c r="K47" s="309">
        <v>0</v>
      </c>
      <c r="L47" s="317">
        <v>619</v>
      </c>
      <c r="M47" s="309">
        <v>619</v>
      </c>
      <c r="N47" s="309">
        <v>0</v>
      </c>
      <c r="O47" s="309">
        <v>0</v>
      </c>
      <c r="P47" s="309">
        <v>0</v>
      </c>
      <c r="Q47" s="309">
        <v>0</v>
      </c>
      <c r="R47" s="317">
        <v>619</v>
      </c>
      <c r="S47" s="309">
        <v>0</v>
      </c>
    </row>
    <row r="48" spans="1:19" x14ac:dyDescent="0.2">
      <c r="A48" s="305" t="s">
        <v>2109</v>
      </c>
      <c r="B48" s="306" t="s">
        <v>3941</v>
      </c>
      <c r="C48" s="307" t="s">
        <v>269</v>
      </c>
      <c r="D48" s="306" t="s">
        <v>153</v>
      </c>
      <c r="E48" s="305" t="s">
        <v>3798</v>
      </c>
      <c r="F48" s="335">
        <v>42206</v>
      </c>
      <c r="G48" s="309">
        <v>52</v>
      </c>
      <c r="H48" s="309">
        <v>0</v>
      </c>
      <c r="I48" s="309">
        <v>0</v>
      </c>
      <c r="J48" s="309">
        <v>0</v>
      </c>
      <c r="K48" s="309">
        <v>0</v>
      </c>
      <c r="L48" s="317">
        <v>52</v>
      </c>
      <c r="M48" s="309">
        <v>62</v>
      </c>
      <c r="N48" s="309">
        <v>0</v>
      </c>
      <c r="O48" s="309">
        <v>0</v>
      </c>
      <c r="P48" s="309">
        <v>0</v>
      </c>
      <c r="Q48" s="309">
        <v>0</v>
      </c>
      <c r="R48" s="317">
        <v>62</v>
      </c>
      <c r="S48" s="309">
        <v>-10</v>
      </c>
    </row>
    <row r="49" spans="1:19" x14ac:dyDescent="0.2">
      <c r="A49" s="305" t="s">
        <v>1663</v>
      </c>
      <c r="B49" s="306" t="s">
        <v>3942</v>
      </c>
      <c r="C49" s="307" t="s">
        <v>1664</v>
      </c>
      <c r="D49" s="306" t="s">
        <v>153</v>
      </c>
      <c r="E49" s="305" t="s">
        <v>3798</v>
      </c>
      <c r="F49" s="335">
        <v>43063</v>
      </c>
      <c r="G49" s="309">
        <v>75</v>
      </c>
      <c r="H49" s="309">
        <v>75</v>
      </c>
      <c r="I49" s="309">
        <v>75</v>
      </c>
      <c r="J49" s="309">
        <v>0</v>
      </c>
      <c r="K49" s="309">
        <v>0</v>
      </c>
      <c r="L49" s="317">
        <v>225</v>
      </c>
      <c r="M49" s="309">
        <v>0</v>
      </c>
      <c r="N49" s="309">
        <v>0</v>
      </c>
      <c r="O49" s="309">
        <v>300</v>
      </c>
      <c r="P49" s="309">
        <v>0</v>
      </c>
      <c r="Q49" s="309">
        <v>0</v>
      </c>
      <c r="R49" s="317">
        <v>300</v>
      </c>
      <c r="S49" s="309">
        <v>-75</v>
      </c>
    </row>
    <row r="50" spans="1:19" x14ac:dyDescent="0.2">
      <c r="A50" s="305" t="s">
        <v>2341</v>
      </c>
      <c r="B50" s="306" t="s">
        <v>3950</v>
      </c>
      <c r="C50" s="307" t="s">
        <v>904</v>
      </c>
      <c r="D50" s="306" t="s">
        <v>153</v>
      </c>
      <c r="E50" s="305" t="s">
        <v>3798</v>
      </c>
      <c r="F50" s="335">
        <v>42579</v>
      </c>
      <c r="G50" s="309">
        <v>9</v>
      </c>
      <c r="H50" s="309">
        <v>0</v>
      </c>
      <c r="I50" s="309">
        <v>0</v>
      </c>
      <c r="J50" s="309">
        <v>0</v>
      </c>
      <c r="K50" s="309">
        <v>0</v>
      </c>
      <c r="L50" s="317">
        <v>9</v>
      </c>
      <c r="M50" s="309">
        <v>0</v>
      </c>
      <c r="N50" s="309">
        <v>0</v>
      </c>
      <c r="O50" s="309">
        <v>0</v>
      </c>
      <c r="P50" s="309">
        <v>0</v>
      </c>
      <c r="Q50" s="309">
        <v>0</v>
      </c>
      <c r="R50" s="317">
        <v>0</v>
      </c>
      <c r="S50" s="309">
        <v>9</v>
      </c>
    </row>
    <row r="51" spans="1:19" x14ac:dyDescent="0.2">
      <c r="A51" s="305" t="s">
        <v>2103</v>
      </c>
      <c r="B51" s="306" t="s">
        <v>3946</v>
      </c>
      <c r="C51" s="307" t="s">
        <v>316</v>
      </c>
      <c r="D51" s="306" t="s">
        <v>153</v>
      </c>
      <c r="E51" s="305" t="s">
        <v>3798</v>
      </c>
      <c r="F51" s="335">
        <v>42125</v>
      </c>
      <c r="G51" s="309">
        <v>112</v>
      </c>
      <c r="H51" s="309">
        <v>0</v>
      </c>
      <c r="I51" s="309">
        <v>0</v>
      </c>
      <c r="J51" s="309">
        <v>0</v>
      </c>
      <c r="K51" s="309">
        <v>0</v>
      </c>
      <c r="L51" s="317">
        <v>112</v>
      </c>
      <c r="M51" s="309">
        <v>215</v>
      </c>
      <c r="N51" s="309">
        <v>0</v>
      </c>
      <c r="O51" s="309">
        <v>0</v>
      </c>
      <c r="P51" s="309">
        <v>0</v>
      </c>
      <c r="Q51" s="309">
        <v>0</v>
      </c>
      <c r="R51" s="317">
        <v>215</v>
      </c>
      <c r="S51" s="309">
        <v>-103</v>
      </c>
    </row>
    <row r="52" spans="1:19" x14ac:dyDescent="0.2">
      <c r="A52" s="305" t="s">
        <v>1508</v>
      </c>
      <c r="B52" s="306" t="s">
        <v>3946</v>
      </c>
      <c r="C52" s="307" t="s">
        <v>474</v>
      </c>
      <c r="D52" s="306" t="s">
        <v>153</v>
      </c>
      <c r="E52" s="305" t="s">
        <v>3798</v>
      </c>
      <c r="F52" s="335">
        <v>42494</v>
      </c>
      <c r="G52" s="309">
        <v>914</v>
      </c>
      <c r="H52" s="309">
        <v>0</v>
      </c>
      <c r="I52" s="309">
        <v>0</v>
      </c>
      <c r="J52" s="309">
        <v>0</v>
      </c>
      <c r="K52" s="309">
        <v>0</v>
      </c>
      <c r="L52" s="317">
        <v>914</v>
      </c>
      <c r="M52" s="309">
        <v>1154</v>
      </c>
      <c r="N52" s="309">
        <v>0</v>
      </c>
      <c r="O52" s="309">
        <v>0</v>
      </c>
      <c r="P52" s="309">
        <v>0</v>
      </c>
      <c r="Q52" s="309">
        <v>0</v>
      </c>
      <c r="R52" s="317">
        <v>1154</v>
      </c>
      <c r="S52" s="309">
        <v>-240</v>
      </c>
    </row>
    <row r="53" spans="1:19" x14ac:dyDescent="0.2">
      <c r="C53" s="307" t="s">
        <v>670</v>
      </c>
      <c r="D53" s="306" t="s">
        <v>153</v>
      </c>
      <c r="E53" s="305" t="s">
        <v>3798</v>
      </c>
      <c r="F53" s="335">
        <v>42762</v>
      </c>
      <c r="G53" s="309">
        <v>457</v>
      </c>
      <c r="H53" s="309">
        <v>457</v>
      </c>
      <c r="I53" s="309">
        <v>0</v>
      </c>
      <c r="J53" s="309">
        <v>0</v>
      </c>
      <c r="K53" s="309">
        <v>0</v>
      </c>
      <c r="L53" s="317">
        <v>914</v>
      </c>
      <c r="M53" s="309">
        <v>914</v>
      </c>
      <c r="N53" s="309">
        <v>0</v>
      </c>
      <c r="O53" s="309">
        <v>0</v>
      </c>
      <c r="P53" s="309">
        <v>0</v>
      </c>
      <c r="Q53" s="309">
        <v>0</v>
      </c>
      <c r="R53" s="317">
        <v>914</v>
      </c>
      <c r="S53" s="309">
        <v>0</v>
      </c>
    </row>
    <row r="54" spans="1:19" x14ac:dyDescent="0.2">
      <c r="C54" s="307" t="s">
        <v>1241</v>
      </c>
      <c r="D54" s="306" t="s">
        <v>153</v>
      </c>
      <c r="E54" s="305" t="s">
        <v>3798</v>
      </c>
      <c r="F54" s="335">
        <v>42984</v>
      </c>
      <c r="G54" s="309">
        <v>460</v>
      </c>
      <c r="H54" s="309">
        <v>460</v>
      </c>
      <c r="I54" s="309">
        <v>0</v>
      </c>
      <c r="J54" s="309">
        <v>0</v>
      </c>
      <c r="K54" s="309">
        <v>0</v>
      </c>
      <c r="L54" s="317">
        <v>920</v>
      </c>
      <c r="M54" s="309">
        <v>457</v>
      </c>
      <c r="N54" s="309">
        <v>457</v>
      </c>
      <c r="O54" s="309">
        <v>0</v>
      </c>
      <c r="P54" s="309">
        <v>0</v>
      </c>
      <c r="Q54" s="309">
        <v>0</v>
      </c>
      <c r="R54" s="317">
        <v>914</v>
      </c>
      <c r="S54" s="309">
        <v>6</v>
      </c>
    </row>
    <row r="55" spans="1:19" x14ac:dyDescent="0.2">
      <c r="A55" s="305" t="s">
        <v>2310</v>
      </c>
      <c r="B55" s="306" t="s">
        <v>3946</v>
      </c>
      <c r="C55" s="307" t="s">
        <v>1164</v>
      </c>
      <c r="D55" s="306" t="s">
        <v>153</v>
      </c>
      <c r="E55" s="305" t="s">
        <v>3798</v>
      </c>
      <c r="F55" s="335">
        <v>42768</v>
      </c>
      <c r="G55" s="309">
        <v>0</v>
      </c>
      <c r="H55" s="309">
        <v>0</v>
      </c>
      <c r="I55" s="309">
        <v>0</v>
      </c>
      <c r="J55" s="309">
        <v>0</v>
      </c>
      <c r="K55" s="309">
        <v>0</v>
      </c>
      <c r="L55" s="317">
        <v>0</v>
      </c>
      <c r="M55" s="309">
        <v>0</v>
      </c>
      <c r="N55" s="309">
        <v>0</v>
      </c>
      <c r="O55" s="309">
        <v>121</v>
      </c>
      <c r="P55" s="309">
        <v>0</v>
      </c>
      <c r="Q55" s="309">
        <v>0</v>
      </c>
      <c r="R55" s="317">
        <v>121</v>
      </c>
      <c r="S55" s="309">
        <v>-121</v>
      </c>
    </row>
    <row r="56" spans="1:19" x14ac:dyDescent="0.2">
      <c r="A56" s="305" t="s">
        <v>2184</v>
      </c>
      <c r="B56" s="306" t="s">
        <v>3944</v>
      </c>
      <c r="C56" s="307" t="s">
        <v>583</v>
      </c>
      <c r="D56" s="306" t="s">
        <v>153</v>
      </c>
      <c r="E56" s="305" t="s">
        <v>3798</v>
      </c>
      <c r="F56" s="335">
        <v>42429</v>
      </c>
      <c r="G56" s="309">
        <v>57</v>
      </c>
      <c r="H56" s="309">
        <v>0</v>
      </c>
      <c r="I56" s="309">
        <v>0</v>
      </c>
      <c r="J56" s="309">
        <v>0</v>
      </c>
      <c r="K56" s="309">
        <v>0</v>
      </c>
      <c r="L56" s="317">
        <v>57</v>
      </c>
      <c r="M56" s="309">
        <v>127</v>
      </c>
      <c r="N56" s="309">
        <v>0</v>
      </c>
      <c r="O56" s="309">
        <v>0</v>
      </c>
      <c r="P56" s="309">
        <v>0</v>
      </c>
      <c r="Q56" s="309">
        <v>0</v>
      </c>
      <c r="R56" s="317">
        <v>127</v>
      </c>
      <c r="S56" s="309">
        <v>-70</v>
      </c>
    </row>
    <row r="57" spans="1:19" ht="22.5" x14ac:dyDescent="0.2">
      <c r="A57" s="305" t="s">
        <v>1905</v>
      </c>
      <c r="B57" s="306" t="s">
        <v>3952</v>
      </c>
      <c r="C57" s="307" t="s">
        <v>180</v>
      </c>
      <c r="D57" s="306" t="s">
        <v>153</v>
      </c>
      <c r="E57" s="305" t="s">
        <v>3798</v>
      </c>
      <c r="F57" s="335">
        <v>41178</v>
      </c>
      <c r="G57" s="309">
        <v>107</v>
      </c>
      <c r="H57" s="309">
        <v>0</v>
      </c>
      <c r="I57" s="309">
        <v>0</v>
      </c>
      <c r="J57" s="309">
        <v>0</v>
      </c>
      <c r="K57" s="309">
        <v>0</v>
      </c>
      <c r="L57" s="317">
        <v>107</v>
      </c>
      <c r="M57" s="309">
        <v>83</v>
      </c>
      <c r="N57" s="309">
        <v>0</v>
      </c>
      <c r="O57" s="309">
        <v>0</v>
      </c>
      <c r="P57" s="309">
        <v>0</v>
      </c>
      <c r="Q57" s="309">
        <v>0</v>
      </c>
      <c r="R57" s="317">
        <v>83</v>
      </c>
      <c r="S57" s="309">
        <v>24</v>
      </c>
    </row>
    <row r="58" spans="1:19" ht="22.5" x14ac:dyDescent="0.2">
      <c r="A58" s="305" t="s">
        <v>2097</v>
      </c>
      <c r="B58" s="306" t="s">
        <v>150</v>
      </c>
      <c r="C58" s="307" t="s">
        <v>270</v>
      </c>
      <c r="D58" s="306" t="s">
        <v>153</v>
      </c>
      <c r="E58" s="305" t="s">
        <v>3798</v>
      </c>
      <c r="F58" s="335">
        <v>42256</v>
      </c>
      <c r="G58" s="309">
        <v>0</v>
      </c>
      <c r="H58" s="309">
        <v>0</v>
      </c>
      <c r="I58" s="309">
        <v>0</v>
      </c>
      <c r="J58" s="309">
        <v>0</v>
      </c>
      <c r="K58" s="309">
        <v>0</v>
      </c>
      <c r="L58" s="317">
        <v>0</v>
      </c>
      <c r="M58" s="309">
        <v>96</v>
      </c>
      <c r="N58" s="309">
        <v>0</v>
      </c>
      <c r="O58" s="309">
        <v>0</v>
      </c>
      <c r="P58" s="309">
        <v>0</v>
      </c>
      <c r="Q58" s="309">
        <v>0</v>
      </c>
      <c r="R58" s="317">
        <v>96</v>
      </c>
      <c r="S58" s="309">
        <v>-96</v>
      </c>
    </row>
    <row r="59" spans="1:19" ht="56.25" x14ac:dyDescent="0.2">
      <c r="A59" s="305" t="s">
        <v>2823</v>
      </c>
      <c r="B59" s="306" t="s">
        <v>3947</v>
      </c>
      <c r="C59" s="307" t="s">
        <v>2824</v>
      </c>
      <c r="D59" s="306" t="s">
        <v>2834</v>
      </c>
      <c r="E59" s="305" t="s">
        <v>3798</v>
      </c>
      <c r="F59" s="335">
        <v>42774</v>
      </c>
      <c r="G59" s="309">
        <v>0</v>
      </c>
      <c r="H59" s="309">
        <v>0</v>
      </c>
      <c r="I59" s="309">
        <v>75</v>
      </c>
      <c r="J59" s="309">
        <v>75</v>
      </c>
      <c r="K59" s="309">
        <v>0</v>
      </c>
      <c r="L59" s="317">
        <v>150</v>
      </c>
      <c r="M59" s="309">
        <v>0</v>
      </c>
      <c r="N59" s="309">
        <v>0</v>
      </c>
      <c r="O59" s="309">
        <v>0</v>
      </c>
      <c r="P59" s="309">
        <v>0</v>
      </c>
      <c r="Q59" s="309">
        <v>0</v>
      </c>
      <c r="R59" s="317">
        <v>0</v>
      </c>
      <c r="S59" s="309">
        <v>150</v>
      </c>
    </row>
    <row r="60" spans="1:19" x14ac:dyDescent="0.2">
      <c r="D60" s="306" t="s">
        <v>2835</v>
      </c>
      <c r="E60" s="305" t="s">
        <v>3798</v>
      </c>
      <c r="F60" s="335">
        <v>42774</v>
      </c>
      <c r="G60" s="309">
        <v>74</v>
      </c>
      <c r="H60" s="309">
        <v>0</v>
      </c>
      <c r="I60" s="309">
        <v>75</v>
      </c>
      <c r="J60" s="309">
        <v>0</v>
      </c>
      <c r="K60" s="309">
        <v>0</v>
      </c>
      <c r="L60" s="317">
        <v>149</v>
      </c>
      <c r="M60" s="309">
        <v>0</v>
      </c>
      <c r="N60" s="309">
        <v>0</v>
      </c>
      <c r="O60" s="309">
        <v>0</v>
      </c>
      <c r="P60" s="309">
        <v>0</v>
      </c>
      <c r="Q60" s="309">
        <v>0</v>
      </c>
      <c r="R60" s="317">
        <v>0</v>
      </c>
      <c r="S60" s="309">
        <v>149</v>
      </c>
    </row>
    <row r="61" spans="1:19" x14ac:dyDescent="0.2">
      <c r="D61" s="306" t="s">
        <v>2836</v>
      </c>
      <c r="E61" s="305" t="s">
        <v>3798</v>
      </c>
      <c r="F61" s="335">
        <v>42774</v>
      </c>
      <c r="G61" s="309">
        <v>75</v>
      </c>
      <c r="H61" s="309">
        <v>0</v>
      </c>
      <c r="I61" s="309">
        <v>75</v>
      </c>
      <c r="J61" s="309">
        <v>0</v>
      </c>
      <c r="K61" s="309">
        <v>0</v>
      </c>
      <c r="L61" s="317">
        <v>150</v>
      </c>
      <c r="M61" s="309">
        <v>0</v>
      </c>
      <c r="N61" s="309">
        <v>0</v>
      </c>
      <c r="O61" s="309">
        <v>0</v>
      </c>
      <c r="P61" s="309">
        <v>0</v>
      </c>
      <c r="Q61" s="309">
        <v>0</v>
      </c>
      <c r="R61" s="317">
        <v>0</v>
      </c>
      <c r="S61" s="309">
        <v>150</v>
      </c>
    </row>
    <row r="62" spans="1:19" x14ac:dyDescent="0.2">
      <c r="D62" s="306" t="s">
        <v>2837</v>
      </c>
      <c r="E62" s="305" t="s">
        <v>3798</v>
      </c>
      <c r="F62" s="335">
        <v>42774</v>
      </c>
      <c r="G62" s="309">
        <v>39</v>
      </c>
      <c r="H62" s="309">
        <v>0</v>
      </c>
      <c r="I62" s="309">
        <v>39</v>
      </c>
      <c r="J62" s="309">
        <v>0</v>
      </c>
      <c r="K62" s="309">
        <v>0</v>
      </c>
      <c r="L62" s="317">
        <v>78</v>
      </c>
      <c r="M62" s="309">
        <v>0</v>
      </c>
      <c r="N62" s="309">
        <v>0</v>
      </c>
      <c r="O62" s="309">
        <v>0</v>
      </c>
      <c r="P62" s="309">
        <v>0</v>
      </c>
      <c r="Q62" s="309">
        <v>0</v>
      </c>
      <c r="R62" s="317">
        <v>0</v>
      </c>
      <c r="S62" s="309">
        <v>78</v>
      </c>
    </row>
    <row r="63" spans="1:19" x14ac:dyDescent="0.2">
      <c r="D63" s="306" t="s">
        <v>2838</v>
      </c>
      <c r="E63" s="305" t="s">
        <v>3798</v>
      </c>
      <c r="F63" s="335">
        <v>42774</v>
      </c>
      <c r="G63" s="309">
        <v>47</v>
      </c>
      <c r="H63" s="309">
        <v>0</v>
      </c>
      <c r="I63" s="309">
        <v>48</v>
      </c>
      <c r="J63" s="309">
        <v>0</v>
      </c>
      <c r="K63" s="309">
        <v>0</v>
      </c>
      <c r="L63" s="317">
        <v>95</v>
      </c>
      <c r="M63" s="309">
        <v>0</v>
      </c>
      <c r="N63" s="309">
        <v>0</v>
      </c>
      <c r="O63" s="309">
        <v>0</v>
      </c>
      <c r="P63" s="309">
        <v>0</v>
      </c>
      <c r="Q63" s="309">
        <v>0</v>
      </c>
      <c r="R63" s="317">
        <v>0</v>
      </c>
      <c r="S63" s="309">
        <v>95</v>
      </c>
    </row>
    <row r="64" spans="1:19" x14ac:dyDescent="0.2">
      <c r="D64" s="306" t="s">
        <v>2840</v>
      </c>
      <c r="E64" s="305" t="s">
        <v>3798</v>
      </c>
      <c r="F64" s="335">
        <v>42774</v>
      </c>
      <c r="G64" s="309">
        <v>0</v>
      </c>
      <c r="H64" s="309">
        <v>0</v>
      </c>
      <c r="I64" s="309">
        <v>156</v>
      </c>
      <c r="J64" s="309">
        <v>156</v>
      </c>
      <c r="K64" s="309">
        <v>0</v>
      </c>
      <c r="L64" s="317">
        <v>312</v>
      </c>
      <c r="M64" s="309">
        <v>0</v>
      </c>
      <c r="N64" s="309">
        <v>0</v>
      </c>
      <c r="O64" s="309">
        <v>0</v>
      </c>
      <c r="P64" s="309">
        <v>0</v>
      </c>
      <c r="Q64" s="309">
        <v>0</v>
      </c>
      <c r="R64" s="317">
        <v>0</v>
      </c>
      <c r="S64" s="309">
        <v>312</v>
      </c>
    </row>
    <row r="65" spans="1:19" x14ac:dyDescent="0.2">
      <c r="D65" s="306" t="s">
        <v>2841</v>
      </c>
      <c r="E65" s="305" t="s">
        <v>3798</v>
      </c>
      <c r="F65" s="335">
        <v>42774</v>
      </c>
      <c r="G65" s="309">
        <v>0</v>
      </c>
      <c r="H65" s="309">
        <v>0</v>
      </c>
      <c r="I65" s="309">
        <v>234</v>
      </c>
      <c r="J65" s="309">
        <v>234</v>
      </c>
      <c r="K65" s="309">
        <v>0</v>
      </c>
      <c r="L65" s="317">
        <v>468</v>
      </c>
      <c r="M65" s="309">
        <v>0</v>
      </c>
      <c r="N65" s="309">
        <v>0</v>
      </c>
      <c r="O65" s="309">
        <v>0</v>
      </c>
      <c r="P65" s="309">
        <v>0</v>
      </c>
      <c r="Q65" s="309">
        <v>0</v>
      </c>
      <c r="R65" s="317">
        <v>0</v>
      </c>
      <c r="S65" s="309">
        <v>468</v>
      </c>
    </row>
    <row r="66" spans="1:19" x14ac:dyDescent="0.2">
      <c r="D66" s="306" t="s">
        <v>2842</v>
      </c>
      <c r="E66" s="305" t="s">
        <v>3798</v>
      </c>
      <c r="F66" s="335">
        <v>42774</v>
      </c>
      <c r="G66" s="309">
        <v>0</v>
      </c>
      <c r="H66" s="309">
        <v>0</v>
      </c>
      <c r="I66" s="309">
        <v>220</v>
      </c>
      <c r="J66" s="309">
        <v>220</v>
      </c>
      <c r="K66" s="309">
        <v>0</v>
      </c>
      <c r="L66" s="317">
        <v>440</v>
      </c>
      <c r="M66" s="309">
        <v>0</v>
      </c>
      <c r="N66" s="309">
        <v>0</v>
      </c>
      <c r="O66" s="309">
        <v>0</v>
      </c>
      <c r="P66" s="309">
        <v>0</v>
      </c>
      <c r="Q66" s="309">
        <v>0</v>
      </c>
      <c r="R66" s="317">
        <v>0</v>
      </c>
      <c r="S66" s="309">
        <v>440</v>
      </c>
    </row>
    <row r="67" spans="1:19" ht="22.5" x14ac:dyDescent="0.2">
      <c r="A67" s="305" t="s">
        <v>2356</v>
      </c>
      <c r="B67" s="306" t="s">
        <v>3947</v>
      </c>
      <c r="C67" s="307" t="s">
        <v>1264</v>
      </c>
      <c r="D67" s="306" t="s">
        <v>153</v>
      </c>
      <c r="E67" s="305" t="s">
        <v>421</v>
      </c>
      <c r="F67" s="335">
        <v>42859</v>
      </c>
      <c r="G67" s="309">
        <v>0</v>
      </c>
      <c r="H67" s="309">
        <v>42</v>
      </c>
      <c r="I67" s="309">
        <v>0</v>
      </c>
      <c r="J67" s="309">
        <v>0</v>
      </c>
      <c r="K67" s="309">
        <v>0</v>
      </c>
      <c r="L67" s="317">
        <v>42</v>
      </c>
      <c r="M67" s="309">
        <v>0</v>
      </c>
      <c r="N67" s="309">
        <v>136</v>
      </c>
      <c r="O67" s="309">
        <v>0</v>
      </c>
      <c r="P67" s="309">
        <v>0</v>
      </c>
      <c r="Q67" s="309">
        <v>0</v>
      </c>
      <c r="R67" s="317">
        <v>136</v>
      </c>
      <c r="S67" s="309">
        <v>-94</v>
      </c>
    </row>
    <row r="68" spans="1:19" ht="22.5" x14ac:dyDescent="0.2">
      <c r="A68" s="305" t="s">
        <v>1700</v>
      </c>
      <c r="B68" s="306" t="s">
        <v>3947</v>
      </c>
      <c r="C68" s="307" t="s">
        <v>1306</v>
      </c>
      <c r="D68" s="306" t="s">
        <v>153</v>
      </c>
      <c r="E68" s="305" t="s">
        <v>3798</v>
      </c>
      <c r="F68" s="335">
        <v>42265</v>
      </c>
      <c r="G68" s="309">
        <v>507</v>
      </c>
      <c r="H68" s="309">
        <v>0</v>
      </c>
      <c r="I68" s="309">
        <v>218</v>
      </c>
      <c r="J68" s="309">
        <v>0</v>
      </c>
      <c r="K68" s="309">
        <v>0</v>
      </c>
      <c r="L68" s="317">
        <v>725</v>
      </c>
      <c r="M68" s="309">
        <v>0</v>
      </c>
      <c r="N68" s="309">
        <v>0</v>
      </c>
      <c r="O68" s="309">
        <v>0</v>
      </c>
      <c r="P68" s="309">
        <v>0</v>
      </c>
      <c r="Q68" s="309">
        <v>0</v>
      </c>
      <c r="R68" s="317">
        <v>0</v>
      </c>
      <c r="S68" s="309">
        <v>725</v>
      </c>
    </row>
    <row r="69" spans="1:19" x14ac:dyDescent="0.2">
      <c r="C69" s="307" t="s">
        <v>821</v>
      </c>
      <c r="D69" s="306" t="s">
        <v>153</v>
      </c>
      <c r="E69" s="305" t="s">
        <v>3798</v>
      </c>
      <c r="F69" s="335">
        <v>42667</v>
      </c>
      <c r="G69" s="309">
        <v>102</v>
      </c>
      <c r="H69" s="309">
        <v>0</v>
      </c>
      <c r="I69" s="309">
        <v>198</v>
      </c>
      <c r="J69" s="309">
        <v>0</v>
      </c>
      <c r="K69" s="309">
        <v>0</v>
      </c>
      <c r="L69" s="317">
        <v>300</v>
      </c>
      <c r="M69" s="309">
        <v>0</v>
      </c>
      <c r="N69" s="309">
        <v>0</v>
      </c>
      <c r="O69" s="309">
        <v>0</v>
      </c>
      <c r="P69" s="309">
        <v>0</v>
      </c>
      <c r="Q69" s="309">
        <v>0</v>
      </c>
      <c r="R69" s="317">
        <v>0</v>
      </c>
      <c r="S69" s="309">
        <v>300</v>
      </c>
    </row>
    <row r="70" spans="1:19" x14ac:dyDescent="0.2">
      <c r="C70" s="307" t="s">
        <v>1119</v>
      </c>
      <c r="D70" s="306" t="s">
        <v>153</v>
      </c>
      <c r="E70" s="305" t="s">
        <v>3798</v>
      </c>
      <c r="F70" s="335">
        <v>42702</v>
      </c>
      <c r="G70" s="309">
        <v>0</v>
      </c>
      <c r="H70" s="309">
        <v>0</v>
      </c>
      <c r="I70" s="309">
        <v>135</v>
      </c>
      <c r="J70" s="309">
        <v>0</v>
      </c>
      <c r="K70" s="309">
        <v>0</v>
      </c>
      <c r="L70" s="317">
        <v>135</v>
      </c>
      <c r="M70" s="309">
        <v>0</v>
      </c>
      <c r="N70" s="309">
        <v>0</v>
      </c>
      <c r="O70" s="309">
        <v>0</v>
      </c>
      <c r="P70" s="309">
        <v>0</v>
      </c>
      <c r="Q70" s="309">
        <v>0</v>
      </c>
      <c r="R70" s="317">
        <v>0</v>
      </c>
      <c r="S70" s="309">
        <v>135</v>
      </c>
    </row>
    <row r="71" spans="1:19" x14ac:dyDescent="0.2">
      <c r="C71" s="307" t="s">
        <v>1126</v>
      </c>
      <c r="D71" s="306" t="s">
        <v>153</v>
      </c>
      <c r="E71" s="305" t="s">
        <v>3798</v>
      </c>
      <c r="F71" s="335">
        <v>42858</v>
      </c>
      <c r="G71" s="309">
        <v>527</v>
      </c>
      <c r="H71" s="309">
        <v>0</v>
      </c>
      <c r="I71" s="309">
        <v>135</v>
      </c>
      <c r="J71" s="309">
        <v>0</v>
      </c>
      <c r="K71" s="309">
        <v>0</v>
      </c>
      <c r="L71" s="317">
        <v>662</v>
      </c>
      <c r="M71" s="309">
        <v>0</v>
      </c>
      <c r="N71" s="309">
        <v>0</v>
      </c>
      <c r="O71" s="309">
        <v>0</v>
      </c>
      <c r="P71" s="309">
        <v>0</v>
      </c>
      <c r="Q71" s="309">
        <v>0</v>
      </c>
      <c r="R71" s="317">
        <v>0</v>
      </c>
      <c r="S71" s="309">
        <v>662</v>
      </c>
    </row>
    <row r="72" spans="1:19" ht="33.75" x14ac:dyDescent="0.2">
      <c r="A72" s="305" t="s">
        <v>2070</v>
      </c>
      <c r="B72" s="306" t="s">
        <v>3947</v>
      </c>
      <c r="C72" s="307" t="s">
        <v>380</v>
      </c>
      <c r="D72" s="306" t="s">
        <v>153</v>
      </c>
      <c r="E72" s="305" t="s">
        <v>3798</v>
      </c>
      <c r="F72" s="335">
        <v>42075</v>
      </c>
      <c r="G72" s="309">
        <v>300</v>
      </c>
      <c r="H72" s="309">
        <v>844</v>
      </c>
      <c r="I72" s="309">
        <v>844</v>
      </c>
      <c r="J72" s="309">
        <v>0</v>
      </c>
      <c r="K72" s="309">
        <v>0</v>
      </c>
      <c r="L72" s="317">
        <v>1988</v>
      </c>
      <c r="M72" s="309">
        <v>0</v>
      </c>
      <c r="N72" s="309">
        <v>0</v>
      </c>
      <c r="O72" s="309">
        <v>0</v>
      </c>
      <c r="P72" s="309">
        <v>0</v>
      </c>
      <c r="Q72" s="309">
        <v>0</v>
      </c>
      <c r="R72" s="317">
        <v>0</v>
      </c>
      <c r="S72" s="309">
        <v>1988</v>
      </c>
    </row>
    <row r="73" spans="1:19" ht="22.5" x14ac:dyDescent="0.2">
      <c r="A73" s="305" t="s">
        <v>2075</v>
      </c>
      <c r="B73" s="306" t="s">
        <v>3946</v>
      </c>
      <c r="C73" s="307" t="s">
        <v>279</v>
      </c>
      <c r="D73" s="306" t="s">
        <v>153</v>
      </c>
      <c r="E73" s="305" t="s">
        <v>3798</v>
      </c>
      <c r="F73" s="335">
        <v>42264</v>
      </c>
      <c r="G73" s="309">
        <v>138</v>
      </c>
      <c r="H73" s="309">
        <v>110</v>
      </c>
      <c r="I73" s="309">
        <v>105</v>
      </c>
      <c r="J73" s="309">
        <v>0</v>
      </c>
      <c r="K73" s="309">
        <v>0</v>
      </c>
      <c r="L73" s="317">
        <v>353</v>
      </c>
      <c r="M73" s="309">
        <v>0</v>
      </c>
      <c r="N73" s="309">
        <v>0</v>
      </c>
      <c r="O73" s="309">
        <v>0</v>
      </c>
      <c r="P73" s="309">
        <v>0</v>
      </c>
      <c r="Q73" s="309">
        <v>0</v>
      </c>
      <c r="R73" s="317">
        <v>0</v>
      </c>
      <c r="S73" s="309">
        <v>353</v>
      </c>
    </row>
    <row r="74" spans="1:19" ht="33.75" x14ac:dyDescent="0.2">
      <c r="A74" s="305" t="s">
        <v>1983</v>
      </c>
      <c r="B74" s="306" t="s">
        <v>3949</v>
      </c>
      <c r="C74" s="307" t="s">
        <v>493</v>
      </c>
      <c r="D74" s="306" t="s">
        <v>153</v>
      </c>
      <c r="E74" s="305" t="s">
        <v>3798</v>
      </c>
      <c r="F74" s="335">
        <v>42335</v>
      </c>
      <c r="G74" s="309">
        <v>677</v>
      </c>
      <c r="H74" s="309">
        <v>677</v>
      </c>
      <c r="I74" s="309">
        <v>0</v>
      </c>
      <c r="J74" s="309">
        <v>0</v>
      </c>
      <c r="K74" s="309">
        <v>0</v>
      </c>
      <c r="L74" s="317">
        <v>1354</v>
      </c>
      <c r="M74" s="309">
        <v>0</v>
      </c>
      <c r="N74" s="309">
        <v>0</v>
      </c>
      <c r="O74" s="309">
        <v>0</v>
      </c>
      <c r="P74" s="309">
        <v>0</v>
      </c>
      <c r="Q74" s="309">
        <v>0</v>
      </c>
      <c r="R74" s="317">
        <v>0</v>
      </c>
      <c r="S74" s="309">
        <v>1354</v>
      </c>
    </row>
    <row r="75" spans="1:19" ht="33.75" x14ac:dyDescent="0.2">
      <c r="A75" s="305" t="s">
        <v>1781</v>
      </c>
      <c r="B75" s="306" t="s">
        <v>3947</v>
      </c>
      <c r="C75" s="307" t="s">
        <v>1783</v>
      </c>
      <c r="D75" s="306" t="s">
        <v>153</v>
      </c>
      <c r="E75" s="305" t="s">
        <v>3798</v>
      </c>
      <c r="F75" s="335">
        <v>42810</v>
      </c>
      <c r="G75" s="309">
        <v>312</v>
      </c>
      <c r="H75" s="309">
        <v>312</v>
      </c>
      <c r="I75" s="309">
        <v>312</v>
      </c>
      <c r="J75" s="309">
        <v>0</v>
      </c>
      <c r="K75" s="309">
        <v>0</v>
      </c>
      <c r="L75" s="317">
        <v>936</v>
      </c>
      <c r="M75" s="309">
        <v>0</v>
      </c>
      <c r="N75" s="309">
        <v>0</v>
      </c>
      <c r="O75" s="309">
        <v>0</v>
      </c>
      <c r="P75" s="309">
        <v>0</v>
      </c>
      <c r="Q75" s="309">
        <v>0</v>
      </c>
      <c r="R75" s="317">
        <v>0</v>
      </c>
      <c r="S75" s="309">
        <v>936</v>
      </c>
    </row>
    <row r="76" spans="1:19" ht="22.5" x14ac:dyDescent="0.2">
      <c r="A76" s="305" t="s">
        <v>2619</v>
      </c>
      <c r="B76" s="306" t="s">
        <v>3941</v>
      </c>
      <c r="C76" s="307" t="s">
        <v>2620</v>
      </c>
      <c r="D76" s="306" t="s">
        <v>153</v>
      </c>
      <c r="E76" s="305" t="s">
        <v>421</v>
      </c>
      <c r="F76" s="335">
        <v>43108</v>
      </c>
      <c r="G76" s="309">
        <v>0</v>
      </c>
      <c r="H76" s="309">
        <v>0</v>
      </c>
      <c r="I76" s="309">
        <v>0</v>
      </c>
      <c r="J76" s="309">
        <v>0</v>
      </c>
      <c r="K76" s="309">
        <v>0</v>
      </c>
      <c r="L76" s="317">
        <v>0</v>
      </c>
      <c r="M76" s="309">
        <v>73</v>
      </c>
      <c r="N76" s="309">
        <v>0</v>
      </c>
      <c r="O76" s="309">
        <v>0</v>
      </c>
      <c r="P76" s="309">
        <v>0</v>
      </c>
      <c r="Q76" s="309">
        <v>0</v>
      </c>
      <c r="R76" s="317">
        <v>73</v>
      </c>
      <c r="S76" s="309">
        <v>-73</v>
      </c>
    </row>
    <row r="77" spans="1:19" ht="45" x14ac:dyDescent="0.2">
      <c r="A77" s="305" t="s">
        <v>1517</v>
      </c>
      <c r="B77" s="306" t="s">
        <v>3943</v>
      </c>
      <c r="C77" s="307" t="s">
        <v>367</v>
      </c>
      <c r="D77" s="306" t="s">
        <v>153</v>
      </c>
      <c r="E77" s="305" t="s">
        <v>3798</v>
      </c>
      <c r="F77" s="335">
        <v>42185</v>
      </c>
      <c r="G77" s="309">
        <v>526</v>
      </c>
      <c r="H77" s="309">
        <v>0</v>
      </c>
      <c r="I77" s="309">
        <v>117</v>
      </c>
      <c r="J77" s="309">
        <v>353</v>
      </c>
      <c r="K77" s="309">
        <v>0</v>
      </c>
      <c r="L77" s="317">
        <v>996</v>
      </c>
      <c r="M77" s="309">
        <v>135</v>
      </c>
      <c r="N77" s="309">
        <v>0</v>
      </c>
      <c r="O77" s="309">
        <v>0</v>
      </c>
      <c r="P77" s="309">
        <v>0</v>
      </c>
      <c r="Q77" s="309">
        <v>0</v>
      </c>
      <c r="R77" s="317">
        <v>135</v>
      </c>
      <c r="S77" s="309">
        <v>861</v>
      </c>
    </row>
    <row r="78" spans="1:19" ht="45" x14ac:dyDescent="0.2">
      <c r="A78" s="305" t="s">
        <v>1322</v>
      </c>
      <c r="B78" s="306" t="s">
        <v>3943</v>
      </c>
      <c r="C78" s="307" t="s">
        <v>643</v>
      </c>
      <c r="D78" s="306" t="s">
        <v>153</v>
      </c>
      <c r="E78" s="305" t="s">
        <v>3798</v>
      </c>
      <c r="F78" s="335">
        <v>40588</v>
      </c>
      <c r="G78" s="309">
        <v>110</v>
      </c>
      <c r="H78" s="309">
        <v>110</v>
      </c>
      <c r="I78" s="309">
        <v>109</v>
      </c>
      <c r="J78" s="309">
        <v>109</v>
      </c>
      <c r="K78" s="309">
        <v>0</v>
      </c>
      <c r="L78" s="317">
        <v>438</v>
      </c>
      <c r="M78" s="309">
        <v>0</v>
      </c>
      <c r="N78" s="309">
        <v>0</v>
      </c>
      <c r="O78" s="309">
        <v>0</v>
      </c>
      <c r="P78" s="309">
        <v>0</v>
      </c>
      <c r="Q78" s="309">
        <v>0</v>
      </c>
      <c r="R78" s="317">
        <v>0</v>
      </c>
      <c r="S78" s="309">
        <v>438</v>
      </c>
    </row>
    <row r="79" spans="1:19" ht="22.5" x14ac:dyDescent="0.2">
      <c r="A79" s="305" t="s">
        <v>2094</v>
      </c>
      <c r="B79" s="306" t="s">
        <v>2907</v>
      </c>
      <c r="C79" s="307" t="s">
        <v>309</v>
      </c>
      <c r="D79" s="306" t="s">
        <v>153</v>
      </c>
      <c r="E79" s="305" t="s">
        <v>421</v>
      </c>
      <c r="F79" s="335">
        <v>42066</v>
      </c>
      <c r="G79" s="309">
        <v>18</v>
      </c>
      <c r="H79" s="309">
        <v>0</v>
      </c>
      <c r="I79" s="309">
        <v>0</v>
      </c>
      <c r="J79" s="309">
        <v>0</v>
      </c>
      <c r="K79" s="309">
        <v>0</v>
      </c>
      <c r="L79" s="317">
        <v>18</v>
      </c>
      <c r="M79" s="309">
        <v>60</v>
      </c>
      <c r="N79" s="309">
        <v>0</v>
      </c>
      <c r="O79" s="309">
        <v>0</v>
      </c>
      <c r="P79" s="309">
        <v>0</v>
      </c>
      <c r="Q79" s="309">
        <v>0</v>
      </c>
      <c r="R79" s="317">
        <v>60</v>
      </c>
      <c r="S79" s="309">
        <v>-42</v>
      </c>
    </row>
    <row r="80" spans="1:19" x14ac:dyDescent="0.2">
      <c r="A80" s="305" t="s">
        <v>1723</v>
      </c>
      <c r="B80" s="306" t="s">
        <v>3943</v>
      </c>
      <c r="C80" s="307" t="s">
        <v>1725</v>
      </c>
      <c r="D80" s="306" t="s">
        <v>153</v>
      </c>
      <c r="E80" s="305" t="s">
        <v>3798</v>
      </c>
      <c r="F80" s="335">
        <v>43160</v>
      </c>
      <c r="G80" s="309">
        <v>0</v>
      </c>
      <c r="H80" s="309">
        <v>0</v>
      </c>
      <c r="I80" s="309">
        <v>0</v>
      </c>
      <c r="J80" s="309">
        <v>0</v>
      </c>
      <c r="K80" s="309">
        <v>0</v>
      </c>
      <c r="L80" s="317">
        <v>0</v>
      </c>
      <c r="M80" s="309">
        <v>5011</v>
      </c>
      <c r="N80" s="309">
        <v>0</v>
      </c>
      <c r="O80" s="309">
        <v>0</v>
      </c>
      <c r="P80" s="309">
        <v>0</v>
      </c>
      <c r="Q80" s="309">
        <v>0</v>
      </c>
      <c r="R80" s="317">
        <v>5011</v>
      </c>
      <c r="S80" s="309">
        <v>-5011</v>
      </c>
    </row>
    <row r="81" spans="1:19" x14ac:dyDescent="0.2">
      <c r="A81" s="305" t="s">
        <v>1837</v>
      </c>
      <c r="B81" s="306" t="s">
        <v>3946</v>
      </c>
      <c r="C81" s="307" t="s">
        <v>66</v>
      </c>
      <c r="D81" s="306" t="s">
        <v>153</v>
      </c>
      <c r="E81" s="305" t="s">
        <v>3798</v>
      </c>
      <c r="F81" s="335">
        <v>40882</v>
      </c>
      <c r="G81" s="309">
        <v>0</v>
      </c>
      <c r="H81" s="309">
        <v>84</v>
      </c>
      <c r="I81" s="309">
        <v>0</v>
      </c>
      <c r="J81" s="309">
        <v>0</v>
      </c>
      <c r="K81" s="309">
        <v>0</v>
      </c>
      <c r="L81" s="317">
        <v>84</v>
      </c>
      <c r="M81" s="309">
        <v>0</v>
      </c>
      <c r="N81" s="309">
        <v>0</v>
      </c>
      <c r="O81" s="309">
        <v>0</v>
      </c>
      <c r="P81" s="309">
        <v>0</v>
      </c>
      <c r="Q81" s="309">
        <v>0</v>
      </c>
      <c r="R81" s="317">
        <v>0</v>
      </c>
      <c r="S81" s="309">
        <v>84</v>
      </c>
    </row>
    <row r="82" spans="1:19" ht="22.5" x14ac:dyDescent="0.2">
      <c r="A82" s="305" t="s">
        <v>1992</v>
      </c>
      <c r="B82" s="306" t="s">
        <v>3941</v>
      </c>
      <c r="C82" s="307" t="s">
        <v>248</v>
      </c>
      <c r="D82" s="306" t="s">
        <v>153</v>
      </c>
      <c r="E82" s="305" t="s">
        <v>3798</v>
      </c>
      <c r="F82" s="335">
        <v>41843</v>
      </c>
      <c r="G82" s="309">
        <v>52</v>
      </c>
      <c r="H82" s="309">
        <v>0</v>
      </c>
      <c r="I82" s="309">
        <v>0</v>
      </c>
      <c r="J82" s="309">
        <v>0</v>
      </c>
      <c r="K82" s="309">
        <v>0</v>
      </c>
      <c r="L82" s="317">
        <v>52</v>
      </c>
      <c r="M82" s="309">
        <v>0</v>
      </c>
      <c r="N82" s="309">
        <v>0</v>
      </c>
      <c r="O82" s="309">
        <v>0</v>
      </c>
      <c r="P82" s="309">
        <v>0</v>
      </c>
      <c r="Q82" s="309">
        <v>0</v>
      </c>
      <c r="R82" s="317">
        <v>0</v>
      </c>
      <c r="S82" s="309">
        <v>52</v>
      </c>
    </row>
    <row r="83" spans="1:19" ht="45" x14ac:dyDescent="0.2">
      <c r="A83" s="305" t="s">
        <v>2377</v>
      </c>
      <c r="B83" s="306" t="s">
        <v>3946</v>
      </c>
      <c r="C83" s="307" t="s">
        <v>1210</v>
      </c>
      <c r="D83" s="306" t="s">
        <v>153</v>
      </c>
      <c r="E83" s="305" t="s">
        <v>3798</v>
      </c>
      <c r="F83" s="335">
        <v>43090</v>
      </c>
      <c r="G83" s="309">
        <v>107</v>
      </c>
      <c r="H83" s="309">
        <v>0</v>
      </c>
      <c r="I83" s="309">
        <v>194</v>
      </c>
      <c r="J83" s="309">
        <v>87</v>
      </c>
      <c r="K83" s="309">
        <v>0</v>
      </c>
      <c r="L83" s="317">
        <v>388</v>
      </c>
      <c r="M83" s="309">
        <v>23</v>
      </c>
      <c r="N83" s="309">
        <v>0</v>
      </c>
      <c r="O83" s="309">
        <v>23</v>
      </c>
      <c r="P83" s="309">
        <v>21</v>
      </c>
      <c r="Q83" s="309">
        <v>0</v>
      </c>
      <c r="R83" s="317">
        <v>67</v>
      </c>
      <c r="S83" s="309">
        <v>321</v>
      </c>
    </row>
    <row r="84" spans="1:19" ht="33.75" x14ac:dyDescent="0.2">
      <c r="A84" s="305" t="s">
        <v>1849</v>
      </c>
      <c r="B84" s="306" t="s">
        <v>3946</v>
      </c>
      <c r="C84" s="307" t="s">
        <v>1107</v>
      </c>
      <c r="D84" s="306" t="s">
        <v>153</v>
      </c>
      <c r="E84" s="305" t="s">
        <v>3798</v>
      </c>
      <c r="F84" s="335">
        <v>42985</v>
      </c>
      <c r="G84" s="309">
        <v>154</v>
      </c>
      <c r="H84" s="309">
        <v>154</v>
      </c>
      <c r="I84" s="309">
        <v>154</v>
      </c>
      <c r="J84" s="309">
        <v>0</v>
      </c>
      <c r="K84" s="309">
        <v>0</v>
      </c>
      <c r="L84" s="317">
        <v>462</v>
      </c>
      <c r="M84" s="309">
        <v>0</v>
      </c>
      <c r="N84" s="309">
        <v>0</v>
      </c>
      <c r="O84" s="309">
        <v>0</v>
      </c>
      <c r="P84" s="309">
        <v>0</v>
      </c>
      <c r="Q84" s="309">
        <v>0</v>
      </c>
      <c r="R84" s="317">
        <v>0</v>
      </c>
      <c r="S84" s="309">
        <v>462</v>
      </c>
    </row>
    <row r="85" spans="1:19" ht="22.5" x14ac:dyDescent="0.2">
      <c r="A85" s="305" t="s">
        <v>1867</v>
      </c>
      <c r="B85" s="306" t="s">
        <v>3947</v>
      </c>
      <c r="C85" s="307" t="s">
        <v>1871</v>
      </c>
      <c r="D85" s="306" t="s">
        <v>1873</v>
      </c>
      <c r="E85" s="305" t="s">
        <v>3798</v>
      </c>
      <c r="F85" s="335">
        <v>42880</v>
      </c>
      <c r="G85" s="309">
        <v>121</v>
      </c>
      <c r="H85" s="309">
        <v>121</v>
      </c>
      <c r="I85" s="309">
        <v>121</v>
      </c>
      <c r="J85" s="309">
        <v>120</v>
      </c>
      <c r="K85" s="309">
        <v>120</v>
      </c>
      <c r="L85" s="317">
        <v>603</v>
      </c>
      <c r="M85" s="309">
        <v>0</v>
      </c>
      <c r="N85" s="309">
        <v>0</v>
      </c>
      <c r="O85" s="309">
        <v>0</v>
      </c>
      <c r="P85" s="309">
        <v>0</v>
      </c>
      <c r="Q85" s="309">
        <v>0</v>
      </c>
      <c r="R85" s="317">
        <v>0</v>
      </c>
      <c r="S85" s="309">
        <v>603</v>
      </c>
    </row>
    <row r="86" spans="1:19" x14ac:dyDescent="0.2">
      <c r="D86" s="306" t="s">
        <v>1874</v>
      </c>
      <c r="E86" s="305" t="s">
        <v>3798</v>
      </c>
      <c r="F86" s="335">
        <v>42880</v>
      </c>
      <c r="G86" s="309">
        <v>125</v>
      </c>
      <c r="H86" s="309">
        <v>125</v>
      </c>
      <c r="I86" s="309">
        <v>125</v>
      </c>
      <c r="J86" s="309">
        <v>124</v>
      </c>
      <c r="K86" s="309">
        <v>124</v>
      </c>
      <c r="L86" s="317">
        <v>623</v>
      </c>
      <c r="M86" s="309">
        <v>0</v>
      </c>
      <c r="N86" s="309">
        <v>0</v>
      </c>
      <c r="O86" s="309">
        <v>0</v>
      </c>
      <c r="P86" s="309">
        <v>0</v>
      </c>
      <c r="Q86" s="309">
        <v>0</v>
      </c>
      <c r="R86" s="317">
        <v>0</v>
      </c>
      <c r="S86" s="309">
        <v>623</v>
      </c>
    </row>
    <row r="87" spans="1:19" x14ac:dyDescent="0.2">
      <c r="D87" s="306" t="s">
        <v>1875</v>
      </c>
      <c r="E87" s="305" t="s">
        <v>3798</v>
      </c>
      <c r="F87" s="335">
        <v>42880</v>
      </c>
      <c r="G87" s="309">
        <v>128</v>
      </c>
      <c r="H87" s="309">
        <v>128</v>
      </c>
      <c r="I87" s="309">
        <v>128</v>
      </c>
      <c r="J87" s="309">
        <v>127</v>
      </c>
      <c r="K87" s="309">
        <v>127</v>
      </c>
      <c r="L87" s="317">
        <v>638</v>
      </c>
      <c r="M87" s="309">
        <v>0</v>
      </c>
      <c r="N87" s="309">
        <v>0</v>
      </c>
      <c r="O87" s="309">
        <v>0</v>
      </c>
      <c r="P87" s="309">
        <v>0</v>
      </c>
      <c r="Q87" s="309">
        <v>0</v>
      </c>
      <c r="R87" s="317">
        <v>0</v>
      </c>
      <c r="S87" s="309">
        <v>638</v>
      </c>
    </row>
    <row r="88" spans="1:19" x14ac:dyDescent="0.2">
      <c r="C88" s="307" t="s">
        <v>1879</v>
      </c>
      <c r="D88" s="306" t="s">
        <v>1881</v>
      </c>
      <c r="E88" s="305" t="s">
        <v>3798</v>
      </c>
      <c r="F88" s="335">
        <v>42870</v>
      </c>
      <c r="G88" s="309">
        <v>29</v>
      </c>
      <c r="H88" s="309">
        <v>29</v>
      </c>
      <c r="I88" s="309">
        <v>29</v>
      </c>
      <c r="J88" s="309">
        <v>30</v>
      </c>
      <c r="K88" s="309">
        <v>30</v>
      </c>
      <c r="L88" s="317">
        <v>147</v>
      </c>
      <c r="M88" s="309">
        <v>0</v>
      </c>
      <c r="N88" s="309">
        <v>0</v>
      </c>
      <c r="O88" s="309">
        <v>0</v>
      </c>
      <c r="P88" s="309">
        <v>0</v>
      </c>
      <c r="Q88" s="309">
        <v>0</v>
      </c>
      <c r="R88" s="317">
        <v>0</v>
      </c>
      <c r="S88" s="309">
        <v>147</v>
      </c>
    </row>
    <row r="89" spans="1:19" ht="22.5" x14ac:dyDescent="0.2">
      <c r="A89" s="305" t="s">
        <v>1358</v>
      </c>
      <c r="B89" s="306" t="s">
        <v>3947</v>
      </c>
      <c r="C89" s="307" t="s">
        <v>1360</v>
      </c>
      <c r="D89" s="306" t="s">
        <v>153</v>
      </c>
      <c r="E89" s="305" t="s">
        <v>3798</v>
      </c>
      <c r="F89" s="335">
        <v>41877</v>
      </c>
      <c r="G89" s="309">
        <v>83</v>
      </c>
      <c r="H89" s="309">
        <v>83</v>
      </c>
      <c r="I89" s="309">
        <v>83</v>
      </c>
      <c r="J89" s="309">
        <v>84</v>
      </c>
      <c r="K89" s="309">
        <v>0</v>
      </c>
      <c r="L89" s="317">
        <v>333</v>
      </c>
      <c r="M89" s="309">
        <v>0</v>
      </c>
      <c r="N89" s="309">
        <v>1736</v>
      </c>
      <c r="O89" s="309">
        <v>0</v>
      </c>
      <c r="P89" s="309">
        <v>470</v>
      </c>
      <c r="Q89" s="309">
        <v>0</v>
      </c>
      <c r="R89" s="317">
        <v>2206</v>
      </c>
      <c r="S89" s="309">
        <v>-1873</v>
      </c>
    </row>
    <row r="90" spans="1:19" x14ac:dyDescent="0.2">
      <c r="C90" s="307" t="s">
        <v>1362</v>
      </c>
      <c r="D90" s="306" t="s">
        <v>153</v>
      </c>
      <c r="E90" s="305" t="s">
        <v>3798</v>
      </c>
      <c r="F90" s="335">
        <v>42542</v>
      </c>
      <c r="G90" s="309">
        <v>109</v>
      </c>
      <c r="H90" s="309">
        <v>109</v>
      </c>
      <c r="I90" s="309">
        <v>109</v>
      </c>
      <c r="J90" s="309">
        <v>110</v>
      </c>
      <c r="K90" s="309">
        <v>0</v>
      </c>
      <c r="L90" s="317">
        <v>437</v>
      </c>
      <c r="M90" s="309">
        <v>83</v>
      </c>
      <c r="N90" s="309">
        <v>83</v>
      </c>
      <c r="O90" s="309">
        <v>83</v>
      </c>
      <c r="P90" s="309">
        <v>84</v>
      </c>
      <c r="Q90" s="309">
        <v>0</v>
      </c>
      <c r="R90" s="317">
        <v>333</v>
      </c>
      <c r="S90" s="309">
        <v>104</v>
      </c>
    </row>
    <row r="91" spans="1:19" ht="45" x14ac:dyDescent="0.2">
      <c r="A91" s="305" t="s">
        <v>1682</v>
      </c>
      <c r="B91" s="306" t="s">
        <v>3947</v>
      </c>
      <c r="C91" s="307" t="s">
        <v>354</v>
      </c>
      <c r="D91" s="306" t="s">
        <v>1688</v>
      </c>
      <c r="E91" s="305" t="s">
        <v>3798</v>
      </c>
      <c r="F91" s="335">
        <v>42046</v>
      </c>
      <c r="G91" s="309">
        <v>103</v>
      </c>
      <c r="H91" s="309">
        <v>103</v>
      </c>
      <c r="I91" s="309">
        <v>103</v>
      </c>
      <c r="J91" s="309">
        <v>104</v>
      </c>
      <c r="K91" s="309">
        <v>104</v>
      </c>
      <c r="L91" s="317">
        <v>517</v>
      </c>
      <c r="M91" s="309">
        <v>0</v>
      </c>
      <c r="N91" s="309">
        <v>0</v>
      </c>
      <c r="O91" s="309">
        <v>0</v>
      </c>
      <c r="P91" s="309">
        <v>0</v>
      </c>
      <c r="Q91" s="309">
        <v>0</v>
      </c>
      <c r="R91" s="317">
        <v>0</v>
      </c>
      <c r="S91" s="309">
        <v>517</v>
      </c>
    </row>
    <row r="92" spans="1:19" ht="33.75" x14ac:dyDescent="0.2">
      <c r="A92" s="305" t="s">
        <v>1476</v>
      </c>
      <c r="B92" s="306" t="s">
        <v>3947</v>
      </c>
      <c r="C92" s="307" t="s">
        <v>251</v>
      </c>
      <c r="D92" s="306" t="s">
        <v>153</v>
      </c>
      <c r="E92" s="305" t="s">
        <v>3798</v>
      </c>
      <c r="F92" s="335">
        <v>41940</v>
      </c>
      <c r="G92" s="309">
        <v>488</v>
      </c>
      <c r="H92" s="309">
        <v>0</v>
      </c>
      <c r="I92" s="309">
        <v>0</v>
      </c>
      <c r="J92" s="309">
        <v>0</v>
      </c>
      <c r="K92" s="309">
        <v>0</v>
      </c>
      <c r="L92" s="317">
        <v>488</v>
      </c>
      <c r="M92" s="309">
        <v>0</v>
      </c>
      <c r="N92" s="309">
        <v>0</v>
      </c>
      <c r="O92" s="309">
        <v>0</v>
      </c>
      <c r="P92" s="309">
        <v>0</v>
      </c>
      <c r="Q92" s="309">
        <v>0</v>
      </c>
      <c r="R92" s="317">
        <v>0</v>
      </c>
      <c r="S92" s="309">
        <v>488</v>
      </c>
    </row>
    <row r="93" spans="1:19" x14ac:dyDescent="0.2">
      <c r="A93" s="305" t="s">
        <v>1719</v>
      </c>
      <c r="B93" s="306" t="s">
        <v>3942</v>
      </c>
      <c r="C93" s="307" t="s">
        <v>176</v>
      </c>
      <c r="D93" s="306" t="s">
        <v>153</v>
      </c>
      <c r="E93" s="305" t="s">
        <v>3798</v>
      </c>
      <c r="F93" s="335">
        <v>41200</v>
      </c>
      <c r="G93" s="309">
        <v>95</v>
      </c>
      <c r="H93" s="309">
        <v>95</v>
      </c>
      <c r="I93" s="309">
        <v>95</v>
      </c>
      <c r="J93" s="309">
        <v>95</v>
      </c>
      <c r="K93" s="309">
        <v>95</v>
      </c>
      <c r="L93" s="317">
        <v>475</v>
      </c>
      <c r="M93" s="309">
        <v>0</v>
      </c>
      <c r="N93" s="309">
        <v>0</v>
      </c>
      <c r="O93" s="309">
        <v>0</v>
      </c>
      <c r="P93" s="309">
        <v>0</v>
      </c>
      <c r="Q93" s="309">
        <v>0</v>
      </c>
      <c r="R93" s="317">
        <v>0</v>
      </c>
      <c r="S93" s="309">
        <v>475</v>
      </c>
    </row>
    <row r="94" spans="1:19" ht="56.25" x14ac:dyDescent="0.2">
      <c r="A94" s="305" t="s">
        <v>1713</v>
      </c>
      <c r="B94" s="306" t="s">
        <v>3944</v>
      </c>
      <c r="C94" s="307" t="s">
        <v>229</v>
      </c>
      <c r="D94" s="306" t="s">
        <v>153</v>
      </c>
      <c r="E94" s="305" t="s">
        <v>3798</v>
      </c>
      <c r="F94" s="335">
        <v>41614</v>
      </c>
      <c r="G94" s="309">
        <v>2329</v>
      </c>
      <c r="H94" s="309">
        <v>2329</v>
      </c>
      <c r="I94" s="309">
        <v>2329</v>
      </c>
      <c r="J94" s="309">
        <v>0</v>
      </c>
      <c r="K94" s="309">
        <v>2330</v>
      </c>
      <c r="L94" s="317">
        <v>9317</v>
      </c>
      <c r="M94" s="309">
        <v>0</v>
      </c>
      <c r="N94" s="309">
        <v>0</v>
      </c>
      <c r="O94" s="309">
        <v>0</v>
      </c>
      <c r="P94" s="309">
        <v>0</v>
      </c>
      <c r="Q94" s="309">
        <v>0</v>
      </c>
      <c r="R94" s="317">
        <v>0</v>
      </c>
      <c r="S94" s="309">
        <v>9317</v>
      </c>
    </row>
    <row r="95" spans="1:19" x14ac:dyDescent="0.2">
      <c r="C95" s="307" t="s">
        <v>1715</v>
      </c>
      <c r="D95" s="306" t="s">
        <v>153</v>
      </c>
      <c r="E95" s="305" t="s">
        <v>3798</v>
      </c>
      <c r="F95" s="335">
        <v>43076</v>
      </c>
      <c r="G95" s="309">
        <v>0</v>
      </c>
      <c r="H95" s="309">
        <v>0</v>
      </c>
      <c r="I95" s="309">
        <v>377</v>
      </c>
      <c r="J95" s="309">
        <v>0</v>
      </c>
      <c r="K95" s="309">
        <v>0</v>
      </c>
      <c r="L95" s="317">
        <v>377</v>
      </c>
      <c r="M95" s="309">
        <v>0</v>
      </c>
      <c r="N95" s="309">
        <v>0</v>
      </c>
      <c r="O95" s="309">
        <v>377</v>
      </c>
      <c r="P95" s="309">
        <v>0</v>
      </c>
      <c r="Q95" s="309">
        <v>0</v>
      </c>
      <c r="R95" s="317">
        <v>377</v>
      </c>
      <c r="S95" s="309">
        <v>0</v>
      </c>
    </row>
    <row r="96" spans="1:19" ht="45" x14ac:dyDescent="0.2">
      <c r="A96" s="305" t="s">
        <v>1525</v>
      </c>
      <c r="B96" s="306" t="s">
        <v>3947</v>
      </c>
      <c r="C96" s="307" t="s">
        <v>1528</v>
      </c>
      <c r="D96" s="306" t="s">
        <v>1530</v>
      </c>
      <c r="E96" s="305" t="s">
        <v>3798</v>
      </c>
      <c r="F96" s="335">
        <v>42426</v>
      </c>
      <c r="G96" s="309">
        <v>4485</v>
      </c>
      <c r="H96" s="309">
        <v>4486</v>
      </c>
      <c r="I96" s="309">
        <v>282</v>
      </c>
      <c r="J96" s="309">
        <v>282</v>
      </c>
      <c r="K96" s="309">
        <v>282</v>
      </c>
      <c r="L96" s="317">
        <v>9817</v>
      </c>
      <c r="M96" s="309">
        <v>0</v>
      </c>
      <c r="N96" s="309">
        <v>0</v>
      </c>
      <c r="O96" s="309">
        <v>0</v>
      </c>
      <c r="P96" s="309">
        <v>0</v>
      </c>
      <c r="Q96" s="309">
        <v>0</v>
      </c>
      <c r="R96" s="317">
        <v>0</v>
      </c>
      <c r="S96" s="309">
        <v>9817</v>
      </c>
    </row>
    <row r="97" spans="1:19" ht="22.5" x14ac:dyDescent="0.2">
      <c r="D97" s="306" t="s">
        <v>1531</v>
      </c>
      <c r="E97" s="305" t="s">
        <v>3798</v>
      </c>
      <c r="F97" s="335">
        <v>42426</v>
      </c>
      <c r="G97" s="309">
        <v>6704</v>
      </c>
      <c r="H97" s="309">
        <v>6704</v>
      </c>
      <c r="I97" s="309">
        <v>1913</v>
      </c>
      <c r="J97" s="309">
        <v>1913</v>
      </c>
      <c r="K97" s="309">
        <v>1913</v>
      </c>
      <c r="L97" s="317">
        <v>19147</v>
      </c>
      <c r="M97" s="309">
        <v>0</v>
      </c>
      <c r="N97" s="309">
        <v>0</v>
      </c>
      <c r="O97" s="309">
        <v>0</v>
      </c>
      <c r="P97" s="309">
        <v>0</v>
      </c>
      <c r="Q97" s="309">
        <v>0</v>
      </c>
      <c r="R97" s="317">
        <v>0</v>
      </c>
      <c r="S97" s="309">
        <v>19147</v>
      </c>
    </row>
    <row r="98" spans="1:19" ht="33.75" x14ac:dyDescent="0.2">
      <c r="C98" s="307" t="s">
        <v>1287</v>
      </c>
      <c r="D98" s="306" t="s">
        <v>2819</v>
      </c>
      <c r="E98" s="305" t="s">
        <v>3798</v>
      </c>
      <c r="F98" s="335">
        <v>42873</v>
      </c>
      <c r="G98" s="309">
        <v>17998</v>
      </c>
      <c r="H98" s="309">
        <v>17930</v>
      </c>
      <c r="I98" s="309">
        <v>2351</v>
      </c>
      <c r="J98" s="309">
        <v>2351</v>
      </c>
      <c r="K98" s="309">
        <v>2283</v>
      </c>
      <c r="L98" s="317">
        <v>42913</v>
      </c>
      <c r="M98" s="309">
        <v>0</v>
      </c>
      <c r="N98" s="309">
        <v>0</v>
      </c>
      <c r="O98" s="309">
        <v>0</v>
      </c>
      <c r="P98" s="309">
        <v>0</v>
      </c>
      <c r="Q98" s="309">
        <v>0</v>
      </c>
      <c r="R98" s="317">
        <v>0</v>
      </c>
      <c r="S98" s="309">
        <v>42913</v>
      </c>
    </row>
    <row r="99" spans="1:19" ht="33.75" x14ac:dyDescent="0.2">
      <c r="A99" s="305" t="s">
        <v>1864</v>
      </c>
      <c r="B99" s="306" t="s">
        <v>3944</v>
      </c>
      <c r="C99" s="307" t="s">
        <v>323</v>
      </c>
      <c r="D99" s="306" t="s">
        <v>153</v>
      </c>
      <c r="E99" s="305" t="s">
        <v>3798</v>
      </c>
      <c r="F99" s="335">
        <v>42193</v>
      </c>
      <c r="G99" s="309">
        <v>212</v>
      </c>
      <c r="H99" s="309">
        <v>212</v>
      </c>
      <c r="I99" s="309">
        <v>212</v>
      </c>
      <c r="J99" s="309">
        <v>212</v>
      </c>
      <c r="K99" s="309">
        <v>212</v>
      </c>
      <c r="L99" s="317">
        <v>1060</v>
      </c>
      <c r="M99" s="309">
        <v>0</v>
      </c>
      <c r="N99" s="309">
        <v>0</v>
      </c>
      <c r="O99" s="309">
        <v>0</v>
      </c>
      <c r="P99" s="309">
        <v>0</v>
      </c>
      <c r="Q99" s="309">
        <v>0</v>
      </c>
      <c r="R99" s="317">
        <v>0</v>
      </c>
      <c r="S99" s="309">
        <v>1060</v>
      </c>
    </row>
    <row r="100" spans="1:19" x14ac:dyDescent="0.2">
      <c r="C100" s="307" t="s">
        <v>865</v>
      </c>
      <c r="D100" s="306" t="s">
        <v>153</v>
      </c>
      <c r="E100" s="305" t="s">
        <v>3798</v>
      </c>
      <c r="F100" s="335">
        <v>42556</v>
      </c>
      <c r="G100" s="309">
        <v>93</v>
      </c>
      <c r="H100" s="309">
        <v>93</v>
      </c>
      <c r="I100" s="309">
        <v>93</v>
      </c>
      <c r="J100" s="309">
        <v>92</v>
      </c>
      <c r="K100" s="309">
        <v>92</v>
      </c>
      <c r="L100" s="317">
        <v>463</v>
      </c>
      <c r="M100" s="309">
        <v>82</v>
      </c>
      <c r="N100" s="309">
        <v>82</v>
      </c>
      <c r="O100" s="309">
        <v>82</v>
      </c>
      <c r="P100" s="309">
        <v>81</v>
      </c>
      <c r="Q100" s="309">
        <v>81</v>
      </c>
      <c r="R100" s="317">
        <v>408</v>
      </c>
      <c r="S100" s="309">
        <v>55</v>
      </c>
    </row>
    <row r="101" spans="1:19" ht="22.5" x14ac:dyDescent="0.2">
      <c r="A101" s="305" t="s">
        <v>1546</v>
      </c>
      <c r="B101" s="306" t="s">
        <v>3953</v>
      </c>
      <c r="C101" s="307" t="s">
        <v>68</v>
      </c>
      <c r="D101" s="306" t="s">
        <v>153</v>
      </c>
      <c r="E101" s="305" t="s">
        <v>3798</v>
      </c>
      <c r="F101" s="335">
        <v>40587</v>
      </c>
      <c r="G101" s="309">
        <v>400</v>
      </c>
      <c r="H101" s="309">
        <v>200</v>
      </c>
      <c r="I101" s="309">
        <v>300</v>
      </c>
      <c r="J101" s="309">
        <v>250</v>
      </c>
      <c r="K101" s="309">
        <v>0</v>
      </c>
      <c r="L101" s="317">
        <v>1150</v>
      </c>
      <c r="M101" s="309">
        <v>0</v>
      </c>
      <c r="N101" s="309">
        <v>0</v>
      </c>
      <c r="O101" s="309">
        <v>768</v>
      </c>
      <c r="P101" s="309">
        <v>0</v>
      </c>
      <c r="Q101" s="309">
        <v>0</v>
      </c>
      <c r="R101" s="317">
        <v>768</v>
      </c>
      <c r="S101" s="309">
        <v>382</v>
      </c>
    </row>
    <row r="102" spans="1:19" ht="33.75" x14ac:dyDescent="0.2">
      <c r="A102" s="305" t="s">
        <v>1766</v>
      </c>
      <c r="B102" s="306" t="s">
        <v>3948</v>
      </c>
      <c r="C102" s="307" t="s">
        <v>57</v>
      </c>
      <c r="D102" s="306" t="s">
        <v>153</v>
      </c>
      <c r="E102" s="305" t="s">
        <v>3798</v>
      </c>
      <c r="F102" s="335">
        <v>40921</v>
      </c>
      <c r="G102" s="309">
        <v>0</v>
      </c>
      <c r="H102" s="309">
        <v>0</v>
      </c>
      <c r="I102" s="309">
        <v>0</v>
      </c>
      <c r="J102" s="309">
        <v>0</v>
      </c>
      <c r="K102" s="309">
        <v>0</v>
      </c>
      <c r="L102" s="317">
        <v>0</v>
      </c>
      <c r="M102" s="309">
        <v>200</v>
      </c>
      <c r="N102" s="309">
        <v>0</v>
      </c>
      <c r="O102" s="309">
        <v>0</v>
      </c>
      <c r="P102" s="309">
        <v>0</v>
      </c>
      <c r="Q102" s="309">
        <v>0</v>
      </c>
      <c r="R102" s="317">
        <v>200</v>
      </c>
      <c r="S102" s="309">
        <v>-200</v>
      </c>
    </row>
    <row r="103" spans="1:19" ht="22.5" x14ac:dyDescent="0.2">
      <c r="A103" s="305" t="s">
        <v>1830</v>
      </c>
      <c r="B103" s="306" t="s">
        <v>3944</v>
      </c>
      <c r="C103" s="307" t="s">
        <v>802</v>
      </c>
      <c r="D103" s="306" t="s">
        <v>153</v>
      </c>
      <c r="E103" s="305" t="s">
        <v>3798</v>
      </c>
      <c r="F103" s="335">
        <v>42628</v>
      </c>
      <c r="G103" s="309">
        <v>85</v>
      </c>
      <c r="H103" s="309">
        <v>85</v>
      </c>
      <c r="I103" s="309">
        <v>86</v>
      </c>
      <c r="J103" s="309">
        <v>86</v>
      </c>
      <c r="K103" s="309">
        <v>0</v>
      </c>
      <c r="L103" s="317">
        <v>342</v>
      </c>
      <c r="M103" s="309">
        <v>0</v>
      </c>
      <c r="N103" s="309">
        <v>0</v>
      </c>
      <c r="O103" s="309">
        <v>0</v>
      </c>
      <c r="P103" s="309">
        <v>298</v>
      </c>
      <c r="Q103" s="309">
        <v>0</v>
      </c>
      <c r="R103" s="317">
        <v>298</v>
      </c>
      <c r="S103" s="309">
        <v>44</v>
      </c>
    </row>
    <row r="104" spans="1:19" ht="22.5" x14ac:dyDescent="0.2">
      <c r="A104" s="305" t="s">
        <v>1928</v>
      </c>
      <c r="B104" s="306" t="s">
        <v>3946</v>
      </c>
      <c r="C104" s="307" t="s">
        <v>896</v>
      </c>
      <c r="D104" s="306" t="s">
        <v>153</v>
      </c>
      <c r="E104" s="305" t="s">
        <v>3798</v>
      </c>
      <c r="F104" s="335">
        <v>42628</v>
      </c>
      <c r="G104" s="309">
        <v>0</v>
      </c>
      <c r="H104" s="309">
        <v>0</v>
      </c>
      <c r="I104" s="309">
        <v>69</v>
      </c>
      <c r="J104" s="309">
        <v>0</v>
      </c>
      <c r="K104" s="309">
        <v>0</v>
      </c>
      <c r="L104" s="317">
        <v>69</v>
      </c>
      <c r="M104" s="309">
        <v>0</v>
      </c>
      <c r="N104" s="309">
        <v>0</v>
      </c>
      <c r="O104" s="309">
        <v>0</v>
      </c>
      <c r="P104" s="309">
        <v>0</v>
      </c>
      <c r="Q104" s="309">
        <v>0</v>
      </c>
      <c r="R104" s="317">
        <v>0</v>
      </c>
      <c r="S104" s="309">
        <v>69</v>
      </c>
    </row>
    <row r="105" spans="1:19" x14ac:dyDescent="0.2">
      <c r="A105" s="305" t="s">
        <v>2503</v>
      </c>
      <c r="B105" s="306" t="s">
        <v>3941</v>
      </c>
      <c r="C105" s="307" t="s">
        <v>2504</v>
      </c>
      <c r="D105" s="306" t="s">
        <v>153</v>
      </c>
      <c r="E105" s="305" t="s">
        <v>3798</v>
      </c>
      <c r="F105" s="335">
        <v>43039</v>
      </c>
      <c r="G105" s="309">
        <v>0</v>
      </c>
      <c r="H105" s="309">
        <v>0</v>
      </c>
      <c r="I105" s="309">
        <v>34</v>
      </c>
      <c r="J105" s="309">
        <v>0</v>
      </c>
      <c r="K105" s="309">
        <v>0</v>
      </c>
      <c r="L105" s="317">
        <v>34</v>
      </c>
      <c r="M105" s="309">
        <v>34</v>
      </c>
      <c r="N105" s="309">
        <v>0</v>
      </c>
      <c r="O105" s="309">
        <v>0</v>
      </c>
      <c r="P105" s="309">
        <v>0</v>
      </c>
      <c r="Q105" s="309">
        <v>0</v>
      </c>
      <c r="R105" s="317">
        <v>34</v>
      </c>
      <c r="S105" s="309">
        <v>0</v>
      </c>
    </row>
    <row r="106" spans="1:19" ht="22.5" x14ac:dyDescent="0.2">
      <c r="A106" s="305" t="s">
        <v>1401</v>
      </c>
      <c r="B106" s="306" t="s">
        <v>3944</v>
      </c>
      <c r="C106" s="307" t="s">
        <v>1402</v>
      </c>
      <c r="D106" s="306" t="s">
        <v>153</v>
      </c>
      <c r="E106" s="305" t="s">
        <v>3798</v>
      </c>
      <c r="F106" s="335">
        <v>43089</v>
      </c>
      <c r="G106" s="309">
        <v>0</v>
      </c>
      <c r="H106" s="309">
        <v>0</v>
      </c>
      <c r="I106" s="309">
        <v>236</v>
      </c>
      <c r="J106" s="309">
        <v>0</v>
      </c>
      <c r="K106" s="309">
        <v>0</v>
      </c>
      <c r="L106" s="317">
        <v>236</v>
      </c>
      <c r="M106" s="309">
        <v>0</v>
      </c>
      <c r="N106" s="309">
        <v>0</v>
      </c>
      <c r="O106" s="309">
        <v>238</v>
      </c>
      <c r="P106" s="309">
        <v>0</v>
      </c>
      <c r="Q106" s="309">
        <v>0</v>
      </c>
      <c r="R106" s="317">
        <v>238</v>
      </c>
      <c r="S106" s="309">
        <v>-2</v>
      </c>
    </row>
    <row r="107" spans="1:19" x14ac:dyDescent="0.2">
      <c r="A107" s="328" t="s">
        <v>95</v>
      </c>
      <c r="B107" s="329"/>
      <c r="C107" s="330"/>
      <c r="D107" s="329"/>
      <c r="E107" s="328"/>
      <c r="F107" s="349"/>
      <c r="G107" s="333">
        <v>45163</v>
      </c>
      <c r="H107" s="333">
        <v>36550</v>
      </c>
      <c r="I107" s="333">
        <v>13836</v>
      </c>
      <c r="J107" s="333">
        <v>7214</v>
      </c>
      <c r="K107" s="333">
        <v>7712</v>
      </c>
      <c r="L107" s="334">
        <v>110475</v>
      </c>
      <c r="M107" s="333">
        <v>13819</v>
      </c>
      <c r="N107" s="333">
        <v>3581</v>
      </c>
      <c r="O107" s="333">
        <v>2821</v>
      </c>
      <c r="P107" s="333">
        <v>1155</v>
      </c>
      <c r="Q107" s="333">
        <v>81</v>
      </c>
      <c r="R107" s="334">
        <v>21457</v>
      </c>
      <c r="S107" s="333">
        <v>89018</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44"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S107"/>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2935</v>
      </c>
    </row>
    <row r="2" spans="1:19" x14ac:dyDescent="0.2">
      <c r="A2" s="77" t="s">
        <v>2940</v>
      </c>
      <c r="B2" s="446" t="s">
        <v>429</v>
      </c>
    </row>
    <row r="3" spans="1:19" x14ac:dyDescent="0.2">
      <c r="A3" s="77" t="s">
        <v>2941</v>
      </c>
      <c r="B3" s="446" t="s">
        <v>429</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1666</v>
      </c>
      <c r="B7" s="446" t="s">
        <v>3941</v>
      </c>
      <c r="C7" s="446" t="s">
        <v>890</v>
      </c>
      <c r="D7" s="446" t="s">
        <v>153</v>
      </c>
      <c r="E7" s="446" t="s">
        <v>3798</v>
      </c>
      <c r="F7" s="298">
        <v>42585</v>
      </c>
      <c r="G7" s="74">
        <v>51</v>
      </c>
      <c r="H7" s="74">
        <v>50</v>
      </c>
      <c r="I7" s="74">
        <v>51</v>
      </c>
      <c r="J7" s="74">
        <v>0</v>
      </c>
      <c r="K7" s="74">
        <v>0</v>
      </c>
      <c r="L7" s="74">
        <v>152</v>
      </c>
      <c r="M7" s="74">
        <v>152</v>
      </c>
      <c r="N7" s="74">
        <v>0</v>
      </c>
      <c r="O7" s="74">
        <v>0</v>
      </c>
      <c r="P7" s="74">
        <v>0</v>
      </c>
      <c r="Q7" s="74">
        <v>0</v>
      </c>
      <c r="R7" s="74">
        <v>152</v>
      </c>
      <c r="S7" s="74">
        <v>0</v>
      </c>
    </row>
    <row r="8" spans="1:19" x14ac:dyDescent="0.2">
      <c r="A8" s="446" t="s">
        <v>2028</v>
      </c>
      <c r="B8" s="446" t="s">
        <v>150</v>
      </c>
      <c r="C8" s="446" t="s">
        <v>398</v>
      </c>
      <c r="D8" s="446" t="s">
        <v>153</v>
      </c>
      <c r="E8" s="446" t="s">
        <v>3798</v>
      </c>
      <c r="F8" s="298">
        <v>41837</v>
      </c>
      <c r="G8" s="74">
        <v>102</v>
      </c>
      <c r="H8" s="74">
        <v>0</v>
      </c>
      <c r="I8" s="74">
        <v>0</v>
      </c>
      <c r="J8" s="74">
        <v>0</v>
      </c>
      <c r="K8" s="74">
        <v>0</v>
      </c>
      <c r="L8" s="74">
        <v>102</v>
      </c>
      <c r="M8" s="74">
        <v>131</v>
      </c>
      <c r="N8" s="74">
        <v>0</v>
      </c>
      <c r="O8" s="74">
        <v>0</v>
      </c>
      <c r="P8" s="74">
        <v>0</v>
      </c>
      <c r="Q8" s="74">
        <v>0</v>
      </c>
      <c r="R8" s="74">
        <v>131</v>
      </c>
      <c r="S8" s="74">
        <v>-29</v>
      </c>
    </row>
    <row r="9" spans="1:19" x14ac:dyDescent="0.2">
      <c r="A9" s="446" t="s">
        <v>2601</v>
      </c>
      <c r="B9" s="446" t="s">
        <v>3943</v>
      </c>
      <c r="C9" s="446" t="s">
        <v>2602</v>
      </c>
      <c r="D9" s="446" t="s">
        <v>153</v>
      </c>
      <c r="E9" s="446" t="s">
        <v>3798</v>
      </c>
      <c r="F9" s="298">
        <v>43185</v>
      </c>
      <c r="G9" s="74">
        <v>40</v>
      </c>
      <c r="H9" s="74">
        <v>0</v>
      </c>
      <c r="I9" s="74">
        <v>81</v>
      </c>
      <c r="J9" s="74">
        <v>0</v>
      </c>
      <c r="K9" s="74">
        <v>0</v>
      </c>
      <c r="L9" s="74">
        <v>121</v>
      </c>
      <c r="M9" s="74">
        <v>0</v>
      </c>
      <c r="N9" s="74">
        <v>0</v>
      </c>
      <c r="O9" s="74">
        <v>0</v>
      </c>
      <c r="P9" s="74">
        <v>0</v>
      </c>
      <c r="Q9" s="74">
        <v>0</v>
      </c>
      <c r="R9" s="74">
        <v>0</v>
      </c>
      <c r="S9" s="74">
        <v>121</v>
      </c>
    </row>
    <row r="10" spans="1:19" x14ac:dyDescent="0.2">
      <c r="A10" s="446" t="s">
        <v>2305</v>
      </c>
      <c r="B10" s="446" t="s">
        <v>3950</v>
      </c>
      <c r="C10" s="446" t="s">
        <v>2306</v>
      </c>
      <c r="D10" s="446" t="s">
        <v>153</v>
      </c>
      <c r="E10" s="446" t="s">
        <v>3798</v>
      </c>
      <c r="F10" s="298">
        <v>43006</v>
      </c>
      <c r="G10" s="74">
        <v>121</v>
      </c>
      <c r="H10" s="74">
        <v>0</v>
      </c>
      <c r="I10" s="74">
        <v>0</v>
      </c>
      <c r="J10" s="74">
        <v>0</v>
      </c>
      <c r="K10" s="74">
        <v>0</v>
      </c>
      <c r="L10" s="74">
        <v>121</v>
      </c>
      <c r="M10" s="74">
        <v>217</v>
      </c>
      <c r="N10" s="74">
        <v>0</v>
      </c>
      <c r="O10" s="74">
        <v>0</v>
      </c>
      <c r="P10" s="74">
        <v>0</v>
      </c>
      <c r="Q10" s="74">
        <v>0</v>
      </c>
      <c r="R10" s="74">
        <v>217</v>
      </c>
      <c r="S10" s="74">
        <v>-96</v>
      </c>
    </row>
    <row r="11" spans="1:19" x14ac:dyDescent="0.2">
      <c r="A11" s="446" t="s">
        <v>2439</v>
      </c>
      <c r="B11" s="446" t="s">
        <v>3942</v>
      </c>
      <c r="C11" s="446" t="s">
        <v>2440</v>
      </c>
      <c r="D11" s="446" t="s">
        <v>153</v>
      </c>
      <c r="E11" s="446" t="s">
        <v>3798</v>
      </c>
      <c r="F11" s="298">
        <v>43021</v>
      </c>
      <c r="G11" s="74">
        <v>34</v>
      </c>
      <c r="H11" s="74">
        <v>0</v>
      </c>
      <c r="I11" s="74">
        <v>0</v>
      </c>
      <c r="J11" s="74">
        <v>0</v>
      </c>
      <c r="K11" s="74">
        <v>0</v>
      </c>
      <c r="L11" s="74">
        <v>34</v>
      </c>
      <c r="M11" s="74">
        <v>0</v>
      </c>
      <c r="N11" s="74">
        <v>0</v>
      </c>
      <c r="O11" s="74">
        <v>0</v>
      </c>
      <c r="P11" s="74">
        <v>0</v>
      </c>
      <c r="Q11" s="74">
        <v>0</v>
      </c>
      <c r="R11" s="74">
        <v>0</v>
      </c>
      <c r="S11" s="74">
        <v>34</v>
      </c>
    </row>
    <row r="12" spans="1:19" x14ac:dyDescent="0.2">
      <c r="A12" s="446" t="s">
        <v>1997</v>
      </c>
      <c r="B12" s="446" t="s">
        <v>3939</v>
      </c>
      <c r="C12" s="446" t="s">
        <v>1998</v>
      </c>
      <c r="D12" s="446" t="s">
        <v>153</v>
      </c>
      <c r="E12" s="446" t="s">
        <v>3798</v>
      </c>
      <c r="F12" s="298">
        <v>43126</v>
      </c>
      <c r="G12" s="74">
        <v>597</v>
      </c>
      <c r="H12" s="74">
        <v>0</v>
      </c>
      <c r="I12" s="74">
        <v>0</v>
      </c>
      <c r="J12" s="74">
        <v>0</v>
      </c>
      <c r="K12" s="74">
        <v>0</v>
      </c>
      <c r="L12" s="74">
        <v>597</v>
      </c>
      <c r="M12" s="74">
        <v>500</v>
      </c>
      <c r="N12" s="74">
        <v>0</v>
      </c>
      <c r="O12" s="74">
        <v>0</v>
      </c>
      <c r="P12" s="74">
        <v>0</v>
      </c>
      <c r="Q12" s="74">
        <v>0</v>
      </c>
      <c r="R12" s="74">
        <v>500</v>
      </c>
      <c r="S12" s="74">
        <v>97</v>
      </c>
    </row>
    <row r="13" spans="1:19" x14ac:dyDescent="0.2">
      <c r="A13" s="446" t="s">
        <v>2480</v>
      </c>
      <c r="B13" s="446" t="s">
        <v>3942</v>
      </c>
      <c r="C13" s="446" t="s">
        <v>2481</v>
      </c>
      <c r="D13" s="446" t="s">
        <v>153</v>
      </c>
      <c r="E13" s="446" t="s">
        <v>3798</v>
      </c>
      <c r="F13" s="298">
        <v>43032</v>
      </c>
      <c r="G13" s="74">
        <v>0</v>
      </c>
      <c r="H13" s="74">
        <v>0</v>
      </c>
      <c r="I13" s="74">
        <v>144</v>
      </c>
      <c r="J13" s="74">
        <v>0</v>
      </c>
      <c r="K13" s="74">
        <v>0</v>
      </c>
      <c r="L13" s="74">
        <v>144</v>
      </c>
      <c r="M13" s="74">
        <v>57</v>
      </c>
      <c r="N13" s="74">
        <v>0</v>
      </c>
      <c r="O13" s="74">
        <v>0</v>
      </c>
      <c r="P13" s="74">
        <v>0</v>
      </c>
      <c r="Q13" s="74">
        <v>0</v>
      </c>
      <c r="R13" s="74">
        <v>57</v>
      </c>
      <c r="S13" s="74">
        <v>87</v>
      </c>
    </row>
    <row r="14" spans="1:19" x14ac:dyDescent="0.2">
      <c r="A14" s="446" t="s">
        <v>1952</v>
      </c>
      <c r="B14" s="446" t="s">
        <v>3951</v>
      </c>
      <c r="C14" s="446" t="s">
        <v>1302</v>
      </c>
      <c r="D14" s="446" t="s">
        <v>153</v>
      </c>
      <c r="E14" s="446" t="s">
        <v>3798</v>
      </c>
      <c r="F14" s="298">
        <v>42599</v>
      </c>
      <c r="G14" s="74">
        <v>833</v>
      </c>
      <c r="H14" s="74">
        <v>0</v>
      </c>
      <c r="I14" s="74">
        <v>0</v>
      </c>
      <c r="J14" s="74">
        <v>0</v>
      </c>
      <c r="K14" s="74">
        <v>0</v>
      </c>
      <c r="L14" s="74">
        <v>833</v>
      </c>
      <c r="M14" s="74">
        <v>0</v>
      </c>
      <c r="N14" s="74">
        <v>0</v>
      </c>
      <c r="O14" s="74">
        <v>0</v>
      </c>
      <c r="P14" s="74">
        <v>0</v>
      </c>
      <c r="Q14" s="74">
        <v>0</v>
      </c>
      <c r="R14" s="74">
        <v>0</v>
      </c>
      <c r="S14" s="74">
        <v>833</v>
      </c>
    </row>
    <row r="15" spans="1:19" x14ac:dyDescent="0.2">
      <c r="A15" s="446" t="s">
        <v>1817</v>
      </c>
      <c r="B15" s="446" t="s">
        <v>2904</v>
      </c>
      <c r="C15" s="446" t="s">
        <v>256</v>
      </c>
      <c r="D15" s="446" t="s">
        <v>153</v>
      </c>
      <c r="E15" s="446" t="s">
        <v>3798</v>
      </c>
      <c r="F15" s="298">
        <v>41568</v>
      </c>
      <c r="G15" s="74">
        <v>0</v>
      </c>
      <c r="H15" s="74">
        <v>0</v>
      </c>
      <c r="I15" s="74">
        <v>0</v>
      </c>
      <c r="J15" s="74">
        <v>0</v>
      </c>
      <c r="K15" s="74">
        <v>0</v>
      </c>
      <c r="L15" s="74">
        <v>0</v>
      </c>
      <c r="M15" s="74">
        <v>41</v>
      </c>
      <c r="N15" s="74">
        <v>0</v>
      </c>
      <c r="O15" s="74">
        <v>0</v>
      </c>
      <c r="P15" s="74">
        <v>0</v>
      </c>
      <c r="Q15" s="74">
        <v>0</v>
      </c>
      <c r="R15" s="74">
        <v>41</v>
      </c>
      <c r="S15" s="74">
        <v>-41</v>
      </c>
    </row>
    <row r="16" spans="1:19" x14ac:dyDescent="0.2">
      <c r="A16" s="446" t="s">
        <v>2117</v>
      </c>
      <c r="B16" s="446" t="s">
        <v>2907</v>
      </c>
      <c r="C16" s="446" t="s">
        <v>473</v>
      </c>
      <c r="D16" s="446" t="s">
        <v>153</v>
      </c>
      <c r="E16" s="446" t="s">
        <v>421</v>
      </c>
      <c r="F16" s="298">
        <v>42178</v>
      </c>
      <c r="G16" s="74">
        <v>0</v>
      </c>
      <c r="H16" s="74">
        <v>0</v>
      </c>
      <c r="I16" s="74">
        <v>0</v>
      </c>
      <c r="J16" s="74">
        <v>0</v>
      </c>
      <c r="K16" s="74">
        <v>0</v>
      </c>
      <c r="L16" s="74">
        <v>0</v>
      </c>
      <c r="M16" s="74">
        <v>42</v>
      </c>
      <c r="N16" s="74">
        <v>0</v>
      </c>
      <c r="O16" s="74">
        <v>0</v>
      </c>
      <c r="P16" s="74">
        <v>0</v>
      </c>
      <c r="Q16" s="74">
        <v>0</v>
      </c>
      <c r="R16" s="74">
        <v>42</v>
      </c>
      <c r="S16" s="74">
        <v>-42</v>
      </c>
    </row>
    <row r="17" spans="1:19" x14ac:dyDescent="0.2">
      <c r="A17" s="446" t="s">
        <v>1587</v>
      </c>
      <c r="B17" s="446" t="s">
        <v>3951</v>
      </c>
      <c r="C17" s="446" t="s">
        <v>1032</v>
      </c>
      <c r="D17" s="446" t="s">
        <v>153</v>
      </c>
      <c r="E17" s="446" t="s">
        <v>3798</v>
      </c>
      <c r="F17" s="298">
        <v>42664</v>
      </c>
      <c r="G17" s="74">
        <v>20</v>
      </c>
      <c r="H17" s="74">
        <v>0</v>
      </c>
      <c r="I17" s="74">
        <v>0</v>
      </c>
      <c r="J17" s="74">
        <v>0</v>
      </c>
      <c r="K17" s="74">
        <v>0</v>
      </c>
      <c r="L17" s="74">
        <v>20</v>
      </c>
      <c r="M17" s="74">
        <v>73</v>
      </c>
      <c r="N17" s="74">
        <v>0</v>
      </c>
      <c r="O17" s="74">
        <v>0</v>
      </c>
      <c r="P17" s="74">
        <v>0</v>
      </c>
      <c r="Q17" s="74">
        <v>0</v>
      </c>
      <c r="R17" s="74">
        <v>73</v>
      </c>
      <c r="S17" s="74">
        <v>-53</v>
      </c>
    </row>
    <row r="18" spans="1:19" x14ac:dyDescent="0.2">
      <c r="A18" s="446" t="s">
        <v>1892</v>
      </c>
      <c r="B18" s="446" t="s">
        <v>3941</v>
      </c>
      <c r="C18" s="446" t="s">
        <v>226</v>
      </c>
      <c r="D18" s="446" t="s">
        <v>153</v>
      </c>
      <c r="E18" s="446" t="s">
        <v>3798</v>
      </c>
      <c r="F18" s="298">
        <v>42114</v>
      </c>
      <c r="G18" s="74">
        <v>570</v>
      </c>
      <c r="H18" s="74">
        <v>0</v>
      </c>
      <c r="I18" s="74">
        <v>0</v>
      </c>
      <c r="J18" s="74">
        <v>0</v>
      </c>
      <c r="K18" s="74">
        <v>0</v>
      </c>
      <c r="L18" s="74">
        <v>570</v>
      </c>
      <c r="M18" s="74">
        <v>539</v>
      </c>
      <c r="N18" s="74">
        <v>0</v>
      </c>
      <c r="O18" s="74">
        <v>0</v>
      </c>
      <c r="P18" s="74">
        <v>0</v>
      </c>
      <c r="Q18" s="74">
        <v>0</v>
      </c>
      <c r="R18" s="74">
        <v>539</v>
      </c>
      <c r="S18" s="74">
        <v>31</v>
      </c>
    </row>
    <row r="19" spans="1:19" x14ac:dyDescent="0.2">
      <c r="A19" s="446" t="s">
        <v>2045</v>
      </c>
      <c r="B19" s="446" t="s">
        <v>150</v>
      </c>
      <c r="C19" s="446" t="s">
        <v>441</v>
      </c>
      <c r="D19" s="446" t="s">
        <v>153</v>
      </c>
      <c r="E19" s="446" t="s">
        <v>3798</v>
      </c>
      <c r="F19" s="298">
        <v>42165</v>
      </c>
      <c r="G19" s="74">
        <v>67</v>
      </c>
      <c r="H19" s="74">
        <v>0</v>
      </c>
      <c r="I19" s="74">
        <v>0</v>
      </c>
      <c r="J19" s="74">
        <v>0</v>
      </c>
      <c r="K19" s="74">
        <v>0</v>
      </c>
      <c r="L19" s="74">
        <v>67</v>
      </c>
      <c r="M19" s="74">
        <v>50</v>
      </c>
      <c r="N19" s="74">
        <v>0</v>
      </c>
      <c r="O19" s="74">
        <v>0</v>
      </c>
      <c r="P19" s="74">
        <v>0</v>
      </c>
      <c r="Q19" s="74">
        <v>0</v>
      </c>
      <c r="R19" s="74">
        <v>50</v>
      </c>
      <c r="S19" s="74">
        <v>17</v>
      </c>
    </row>
    <row r="20" spans="1:19" x14ac:dyDescent="0.2">
      <c r="A20" s="446" t="s">
        <v>2118</v>
      </c>
      <c r="B20" s="446" t="s">
        <v>3941</v>
      </c>
      <c r="C20" s="446" t="s">
        <v>837</v>
      </c>
      <c r="D20" s="446" t="s">
        <v>153</v>
      </c>
      <c r="E20" s="446" t="s">
        <v>3798</v>
      </c>
      <c r="F20" s="298">
        <v>42702</v>
      </c>
      <c r="G20" s="74">
        <v>326</v>
      </c>
      <c r="H20" s="74">
        <v>100</v>
      </c>
      <c r="I20" s="74">
        <v>0</v>
      </c>
      <c r="J20" s="74">
        <v>0</v>
      </c>
      <c r="K20" s="74">
        <v>0</v>
      </c>
      <c r="L20" s="74">
        <v>426</v>
      </c>
      <c r="M20" s="74">
        <v>346</v>
      </c>
      <c r="N20" s="74">
        <v>323</v>
      </c>
      <c r="O20" s="74">
        <v>0</v>
      </c>
      <c r="P20" s="74">
        <v>0</v>
      </c>
      <c r="Q20" s="74">
        <v>0</v>
      </c>
      <c r="R20" s="74">
        <v>669</v>
      </c>
      <c r="S20" s="74">
        <v>-243</v>
      </c>
    </row>
    <row r="21" spans="1:19" x14ac:dyDescent="0.2">
      <c r="A21" s="446" t="s">
        <v>1502</v>
      </c>
      <c r="B21" s="446" t="s">
        <v>3952</v>
      </c>
      <c r="C21" s="446" t="s">
        <v>569</v>
      </c>
      <c r="D21" s="446" t="s">
        <v>153</v>
      </c>
      <c r="E21" s="446" t="s">
        <v>3798</v>
      </c>
      <c r="F21" s="298">
        <v>42433</v>
      </c>
      <c r="G21" s="74">
        <v>130</v>
      </c>
      <c r="H21" s="74">
        <v>0</v>
      </c>
      <c r="I21" s="74">
        <v>130</v>
      </c>
      <c r="J21" s="74">
        <v>0</v>
      </c>
      <c r="K21" s="74">
        <v>0</v>
      </c>
      <c r="L21" s="74">
        <v>260</v>
      </c>
      <c r="M21" s="74">
        <v>165</v>
      </c>
      <c r="N21" s="74">
        <v>244</v>
      </c>
      <c r="O21" s="74">
        <v>0</v>
      </c>
      <c r="P21" s="74">
        <v>0</v>
      </c>
      <c r="Q21" s="74">
        <v>0</v>
      </c>
      <c r="R21" s="74">
        <v>409</v>
      </c>
      <c r="S21" s="74">
        <v>-149</v>
      </c>
    </row>
    <row r="22" spans="1:19" x14ac:dyDescent="0.2">
      <c r="A22" s="446" t="s">
        <v>1957</v>
      </c>
      <c r="B22" s="446" t="s">
        <v>3946</v>
      </c>
      <c r="C22" s="446" t="s">
        <v>230</v>
      </c>
      <c r="D22" s="446" t="s">
        <v>153</v>
      </c>
      <c r="E22" s="446" t="s">
        <v>3798</v>
      </c>
      <c r="F22" s="298">
        <v>41404</v>
      </c>
      <c r="G22" s="74">
        <v>30</v>
      </c>
      <c r="H22" s="74">
        <v>0</v>
      </c>
      <c r="I22" s="74">
        <v>0</v>
      </c>
      <c r="J22" s="74">
        <v>0</v>
      </c>
      <c r="K22" s="74">
        <v>0</v>
      </c>
      <c r="L22" s="74">
        <v>30</v>
      </c>
      <c r="M22" s="74">
        <v>0</v>
      </c>
      <c r="N22" s="74">
        <v>245</v>
      </c>
      <c r="O22" s="74">
        <v>0</v>
      </c>
      <c r="P22" s="74">
        <v>0</v>
      </c>
      <c r="Q22" s="74">
        <v>0</v>
      </c>
      <c r="R22" s="74">
        <v>245</v>
      </c>
      <c r="S22" s="74">
        <v>-215</v>
      </c>
    </row>
    <row r="23" spans="1:19" x14ac:dyDescent="0.2">
      <c r="A23" s="446" t="s">
        <v>2287</v>
      </c>
      <c r="B23" s="446" t="s">
        <v>150</v>
      </c>
      <c r="C23" s="446" t="s">
        <v>999</v>
      </c>
      <c r="D23" s="446" t="s">
        <v>153</v>
      </c>
      <c r="E23" s="446" t="s">
        <v>3798</v>
      </c>
      <c r="F23" s="298">
        <v>42793</v>
      </c>
      <c r="G23" s="74">
        <v>0</v>
      </c>
      <c r="H23" s="74">
        <v>0</v>
      </c>
      <c r="I23" s="74">
        <v>257</v>
      </c>
      <c r="J23" s="74">
        <v>0</v>
      </c>
      <c r="K23" s="74">
        <v>0</v>
      </c>
      <c r="L23" s="74">
        <v>257</v>
      </c>
      <c r="M23" s="74">
        <v>0</v>
      </c>
      <c r="N23" s="74">
        <v>0</v>
      </c>
      <c r="O23" s="74">
        <v>290</v>
      </c>
      <c r="P23" s="74">
        <v>0</v>
      </c>
      <c r="Q23" s="74">
        <v>0</v>
      </c>
      <c r="R23" s="74">
        <v>290</v>
      </c>
      <c r="S23" s="74">
        <v>-33</v>
      </c>
    </row>
    <row r="24" spans="1:19" x14ac:dyDescent="0.2">
      <c r="A24" s="446" t="s">
        <v>2396</v>
      </c>
      <c r="B24" s="446" t="s">
        <v>3941</v>
      </c>
      <c r="C24" s="446" t="s">
        <v>1196</v>
      </c>
      <c r="D24" s="446" t="s">
        <v>153</v>
      </c>
      <c r="E24" s="446" t="s">
        <v>3798</v>
      </c>
      <c r="F24" s="298">
        <v>42850</v>
      </c>
      <c r="G24" s="74">
        <v>0</v>
      </c>
      <c r="H24" s="74">
        <v>0</v>
      </c>
      <c r="I24" s="74">
        <v>0</v>
      </c>
      <c r="J24" s="74">
        <v>0</v>
      </c>
      <c r="K24" s="74">
        <v>0</v>
      </c>
      <c r="L24" s="74">
        <v>0</v>
      </c>
      <c r="M24" s="74">
        <v>86</v>
      </c>
      <c r="N24" s="74">
        <v>0</v>
      </c>
      <c r="O24" s="74">
        <v>0</v>
      </c>
      <c r="P24" s="74">
        <v>0</v>
      </c>
      <c r="Q24" s="74">
        <v>0</v>
      </c>
      <c r="R24" s="74">
        <v>86</v>
      </c>
      <c r="S24" s="74">
        <v>-86</v>
      </c>
    </row>
    <row r="25" spans="1:19" x14ac:dyDescent="0.2">
      <c r="A25" s="446" t="s">
        <v>2553</v>
      </c>
      <c r="B25" s="446" t="s">
        <v>3952</v>
      </c>
      <c r="C25" s="446" t="s">
        <v>2554</v>
      </c>
      <c r="D25" s="446" t="s">
        <v>153</v>
      </c>
      <c r="E25" s="446" t="s">
        <v>3798</v>
      </c>
      <c r="F25" s="298">
        <v>43034</v>
      </c>
      <c r="G25" s="74">
        <v>0</v>
      </c>
      <c r="H25" s="74">
        <v>0</v>
      </c>
      <c r="I25" s="74">
        <v>0</v>
      </c>
      <c r="J25" s="74">
        <v>0</v>
      </c>
      <c r="K25" s="74">
        <v>0</v>
      </c>
      <c r="L25" s="74">
        <v>0</v>
      </c>
      <c r="M25" s="74">
        <v>86</v>
      </c>
      <c r="N25" s="74">
        <v>0</v>
      </c>
      <c r="O25" s="74">
        <v>0</v>
      </c>
      <c r="P25" s="74">
        <v>0</v>
      </c>
      <c r="Q25" s="74">
        <v>0</v>
      </c>
      <c r="R25" s="74">
        <v>86</v>
      </c>
      <c r="S25" s="74">
        <v>-86</v>
      </c>
    </row>
    <row r="26" spans="1:19" x14ac:dyDescent="0.2">
      <c r="A26" s="446" t="s">
        <v>1672</v>
      </c>
      <c r="B26" s="446" t="s">
        <v>3943</v>
      </c>
      <c r="C26" s="446" t="s">
        <v>378</v>
      </c>
      <c r="D26" s="446" t="s">
        <v>153</v>
      </c>
      <c r="E26" s="446" t="s">
        <v>3798</v>
      </c>
      <c r="F26" s="298">
        <v>42179</v>
      </c>
      <c r="G26" s="74">
        <v>362</v>
      </c>
      <c r="H26" s="74">
        <v>0</v>
      </c>
      <c r="I26" s="74">
        <v>0</v>
      </c>
      <c r="J26" s="74">
        <v>0</v>
      </c>
      <c r="K26" s="74">
        <v>0</v>
      </c>
      <c r="L26" s="74">
        <v>362</v>
      </c>
      <c r="M26" s="74">
        <v>0</v>
      </c>
      <c r="N26" s="74">
        <v>0</v>
      </c>
      <c r="O26" s="74">
        <v>0</v>
      </c>
      <c r="P26" s="74">
        <v>0</v>
      </c>
      <c r="Q26" s="74">
        <v>0</v>
      </c>
      <c r="R26" s="74">
        <v>0</v>
      </c>
      <c r="S26" s="74">
        <v>362</v>
      </c>
    </row>
    <row r="27" spans="1:19" x14ac:dyDescent="0.2">
      <c r="A27" s="446" t="s">
        <v>1964</v>
      </c>
      <c r="B27" s="446" t="s">
        <v>149</v>
      </c>
      <c r="C27" s="446" t="s">
        <v>1965</v>
      </c>
      <c r="D27" s="446" t="s">
        <v>153</v>
      </c>
      <c r="E27" s="446" t="s">
        <v>3798</v>
      </c>
      <c r="F27" s="298">
        <v>43000</v>
      </c>
      <c r="G27" s="74">
        <v>40</v>
      </c>
      <c r="H27" s="74">
        <v>0</v>
      </c>
      <c r="I27" s="74">
        <v>0</v>
      </c>
      <c r="J27" s="74">
        <v>0</v>
      </c>
      <c r="K27" s="74">
        <v>0</v>
      </c>
      <c r="L27" s="74">
        <v>40</v>
      </c>
      <c r="M27" s="74">
        <v>101</v>
      </c>
      <c r="N27" s="74">
        <v>0</v>
      </c>
      <c r="O27" s="74">
        <v>0</v>
      </c>
      <c r="P27" s="74">
        <v>0</v>
      </c>
      <c r="Q27" s="74">
        <v>0</v>
      </c>
      <c r="R27" s="74">
        <v>101</v>
      </c>
      <c r="S27" s="74">
        <v>-61</v>
      </c>
    </row>
    <row r="28" spans="1:19" x14ac:dyDescent="0.2">
      <c r="A28" s="446" t="s">
        <v>1325</v>
      </c>
      <c r="B28" s="446" t="s">
        <v>3946</v>
      </c>
      <c r="C28" s="446" t="s">
        <v>1326</v>
      </c>
      <c r="D28" s="446" t="s">
        <v>153</v>
      </c>
      <c r="E28" s="446" t="s">
        <v>3798</v>
      </c>
      <c r="F28" s="298">
        <v>43013</v>
      </c>
      <c r="G28" s="74">
        <v>0</v>
      </c>
      <c r="H28" s="74">
        <v>0</v>
      </c>
      <c r="I28" s="74">
        <v>0</v>
      </c>
      <c r="J28" s="74">
        <v>0</v>
      </c>
      <c r="K28" s="74">
        <v>0</v>
      </c>
      <c r="L28" s="74">
        <v>0</v>
      </c>
      <c r="M28" s="74">
        <v>0</v>
      </c>
      <c r="N28" s="74">
        <v>0</v>
      </c>
      <c r="O28" s="74">
        <v>91</v>
      </c>
      <c r="P28" s="74">
        <v>0</v>
      </c>
      <c r="Q28" s="74">
        <v>0</v>
      </c>
      <c r="R28" s="74">
        <v>91</v>
      </c>
      <c r="S28" s="74">
        <v>-91</v>
      </c>
    </row>
    <row r="29" spans="1:19" x14ac:dyDescent="0.2">
      <c r="A29" s="446" t="s">
        <v>1583</v>
      </c>
      <c r="B29" s="446" t="s">
        <v>150</v>
      </c>
      <c r="C29" s="446" t="s">
        <v>947</v>
      </c>
      <c r="D29" s="446" t="s">
        <v>153</v>
      </c>
      <c r="E29" s="446" t="s">
        <v>3798</v>
      </c>
      <c r="F29" s="298">
        <v>42681</v>
      </c>
      <c r="G29" s="74">
        <v>50</v>
      </c>
      <c r="H29" s="74">
        <v>0</v>
      </c>
      <c r="I29" s="74">
        <v>0</v>
      </c>
      <c r="J29" s="74">
        <v>0</v>
      </c>
      <c r="K29" s="74">
        <v>0</v>
      </c>
      <c r="L29" s="74">
        <v>50</v>
      </c>
      <c r="M29" s="74">
        <v>72</v>
      </c>
      <c r="N29" s="74">
        <v>0</v>
      </c>
      <c r="O29" s="74">
        <v>0</v>
      </c>
      <c r="P29" s="74">
        <v>0</v>
      </c>
      <c r="Q29" s="74">
        <v>0</v>
      </c>
      <c r="R29" s="74">
        <v>72</v>
      </c>
      <c r="S29" s="74">
        <v>-22</v>
      </c>
    </row>
    <row r="30" spans="1:19" x14ac:dyDescent="0.2">
      <c r="A30" s="446" t="s">
        <v>2657</v>
      </c>
      <c r="B30" s="446" t="s">
        <v>3946</v>
      </c>
      <c r="C30" s="446" t="s">
        <v>2658</v>
      </c>
      <c r="D30" s="446" t="s">
        <v>153</v>
      </c>
      <c r="E30" s="446" t="s">
        <v>3798</v>
      </c>
      <c r="F30" s="298">
        <v>43172</v>
      </c>
      <c r="G30" s="74">
        <v>46</v>
      </c>
      <c r="H30" s="74">
        <v>0</v>
      </c>
      <c r="I30" s="74">
        <v>0</v>
      </c>
      <c r="J30" s="74">
        <v>0</v>
      </c>
      <c r="K30" s="74">
        <v>0</v>
      </c>
      <c r="L30" s="74">
        <v>46</v>
      </c>
      <c r="M30" s="74">
        <v>164</v>
      </c>
      <c r="N30" s="74">
        <v>0</v>
      </c>
      <c r="O30" s="74">
        <v>0</v>
      </c>
      <c r="P30" s="74">
        <v>0</v>
      </c>
      <c r="Q30" s="74">
        <v>0</v>
      </c>
      <c r="R30" s="74">
        <v>164</v>
      </c>
      <c r="S30" s="74">
        <v>-118</v>
      </c>
    </row>
    <row r="31" spans="1:19" x14ac:dyDescent="0.2">
      <c r="A31" s="446" t="s">
        <v>1968</v>
      </c>
      <c r="B31" s="446" t="s">
        <v>3947</v>
      </c>
      <c r="C31" s="446" t="s">
        <v>235</v>
      </c>
      <c r="D31" s="446" t="s">
        <v>153</v>
      </c>
      <c r="E31" s="446" t="s">
        <v>3798</v>
      </c>
      <c r="F31" s="298">
        <v>41555</v>
      </c>
      <c r="G31" s="74">
        <v>0</v>
      </c>
      <c r="H31" s="74">
        <v>0</v>
      </c>
      <c r="I31" s="74">
        <v>0</v>
      </c>
      <c r="J31" s="74">
        <v>0</v>
      </c>
      <c r="K31" s="74">
        <v>0</v>
      </c>
      <c r="L31" s="74">
        <v>0</v>
      </c>
      <c r="M31" s="74">
        <v>0</v>
      </c>
      <c r="N31" s="74">
        <v>0</v>
      </c>
      <c r="O31" s="74">
        <v>0</v>
      </c>
      <c r="P31" s="74">
        <v>201</v>
      </c>
      <c r="Q31" s="74">
        <v>0</v>
      </c>
      <c r="R31" s="74">
        <v>201</v>
      </c>
      <c r="S31" s="74">
        <v>-201</v>
      </c>
    </row>
    <row r="32" spans="1:19" x14ac:dyDescent="0.2">
      <c r="A32" s="446" t="s">
        <v>1993</v>
      </c>
      <c r="B32" s="446" t="s">
        <v>3952</v>
      </c>
      <c r="C32" s="446" t="s">
        <v>995</v>
      </c>
      <c r="D32" s="446" t="s">
        <v>153</v>
      </c>
      <c r="E32" s="446" t="s">
        <v>3798</v>
      </c>
      <c r="F32" s="298">
        <v>42667</v>
      </c>
      <c r="G32" s="74">
        <v>0</v>
      </c>
      <c r="H32" s="74">
        <v>97</v>
      </c>
      <c r="I32" s="74">
        <v>0</v>
      </c>
      <c r="J32" s="74">
        <v>0</v>
      </c>
      <c r="K32" s="74">
        <v>0</v>
      </c>
      <c r="L32" s="74">
        <v>97</v>
      </c>
      <c r="M32" s="74">
        <v>0</v>
      </c>
      <c r="N32" s="74">
        <v>41</v>
      </c>
      <c r="O32" s="74">
        <v>0</v>
      </c>
      <c r="P32" s="74">
        <v>0</v>
      </c>
      <c r="Q32" s="74">
        <v>0</v>
      </c>
      <c r="R32" s="74">
        <v>41</v>
      </c>
      <c r="S32" s="74">
        <v>56</v>
      </c>
    </row>
    <row r="33" spans="1:19" x14ac:dyDescent="0.2">
      <c r="A33" s="446" t="s">
        <v>2263</v>
      </c>
      <c r="B33" s="446" t="s">
        <v>3947</v>
      </c>
      <c r="C33" s="446" t="s">
        <v>913</v>
      </c>
      <c r="D33" s="446" t="s">
        <v>153</v>
      </c>
      <c r="E33" s="446" t="s">
        <v>3798</v>
      </c>
      <c r="F33" s="298">
        <v>42634</v>
      </c>
      <c r="G33" s="74">
        <v>0</v>
      </c>
      <c r="H33" s="74">
        <v>0</v>
      </c>
      <c r="I33" s="74">
        <v>0</v>
      </c>
      <c r="J33" s="74">
        <v>0</v>
      </c>
      <c r="K33" s="74">
        <v>0</v>
      </c>
      <c r="L33" s="74">
        <v>0</v>
      </c>
      <c r="M33" s="74">
        <v>303</v>
      </c>
      <c r="N33" s="74">
        <v>0</v>
      </c>
      <c r="O33" s="74">
        <v>0</v>
      </c>
      <c r="P33" s="74">
        <v>0</v>
      </c>
      <c r="Q33" s="74">
        <v>0</v>
      </c>
      <c r="R33" s="74">
        <v>303</v>
      </c>
      <c r="S33" s="74">
        <v>-303</v>
      </c>
    </row>
    <row r="34" spans="1:19" x14ac:dyDescent="0.2">
      <c r="A34" s="446" t="s">
        <v>1861</v>
      </c>
      <c r="B34" s="446" t="s">
        <v>3946</v>
      </c>
      <c r="C34" s="446" t="s">
        <v>295</v>
      </c>
      <c r="D34" s="446" t="s">
        <v>153</v>
      </c>
      <c r="E34" s="446" t="s">
        <v>3798</v>
      </c>
      <c r="F34" s="298">
        <v>42230</v>
      </c>
      <c r="G34" s="74">
        <v>0</v>
      </c>
      <c r="H34" s="74">
        <v>0</v>
      </c>
      <c r="I34" s="74">
        <v>457</v>
      </c>
      <c r="J34" s="74">
        <v>0</v>
      </c>
      <c r="K34" s="74">
        <v>0</v>
      </c>
      <c r="L34" s="74">
        <v>457</v>
      </c>
      <c r="M34" s="74">
        <v>0</v>
      </c>
      <c r="N34" s="74">
        <v>0</v>
      </c>
      <c r="O34" s="74">
        <v>448</v>
      </c>
      <c r="P34" s="74">
        <v>0</v>
      </c>
      <c r="Q34" s="74">
        <v>0</v>
      </c>
      <c r="R34" s="74">
        <v>448</v>
      </c>
      <c r="S34" s="74">
        <v>9</v>
      </c>
    </row>
    <row r="35" spans="1:19" x14ac:dyDescent="0.2">
      <c r="A35" s="446" t="s">
        <v>1598</v>
      </c>
      <c r="B35" s="446" t="s">
        <v>2904</v>
      </c>
      <c r="C35" s="446" t="s">
        <v>1111</v>
      </c>
      <c r="D35" s="446" t="s">
        <v>153</v>
      </c>
      <c r="E35" s="446" t="s">
        <v>3798</v>
      </c>
      <c r="F35" s="298">
        <v>42894</v>
      </c>
      <c r="G35" s="74">
        <v>83</v>
      </c>
      <c r="H35" s="74">
        <v>0</v>
      </c>
      <c r="I35" s="74">
        <v>0</v>
      </c>
      <c r="J35" s="74">
        <v>0</v>
      </c>
      <c r="K35" s="74">
        <v>0</v>
      </c>
      <c r="L35" s="74">
        <v>83</v>
      </c>
      <c r="M35" s="74">
        <v>57</v>
      </c>
      <c r="N35" s="74">
        <v>0</v>
      </c>
      <c r="O35" s="74">
        <v>0</v>
      </c>
      <c r="P35" s="74">
        <v>0</v>
      </c>
      <c r="Q35" s="74">
        <v>0</v>
      </c>
      <c r="R35" s="74">
        <v>57</v>
      </c>
      <c r="S35" s="74">
        <v>26</v>
      </c>
    </row>
    <row r="36" spans="1:19" x14ac:dyDescent="0.2">
      <c r="A36" s="446" t="s">
        <v>2090</v>
      </c>
      <c r="B36" s="446" t="s">
        <v>3948</v>
      </c>
      <c r="C36" s="446" t="s">
        <v>594</v>
      </c>
      <c r="D36" s="446" t="s">
        <v>153</v>
      </c>
      <c r="E36" s="446" t="s">
        <v>3798</v>
      </c>
      <c r="F36" s="298">
        <v>42552</v>
      </c>
      <c r="G36" s="74">
        <v>351</v>
      </c>
      <c r="H36" s="74">
        <v>0</v>
      </c>
      <c r="I36" s="74">
        <v>0</v>
      </c>
      <c r="J36" s="74">
        <v>0</v>
      </c>
      <c r="K36" s="74">
        <v>0</v>
      </c>
      <c r="L36" s="74">
        <v>351</v>
      </c>
      <c r="M36" s="74">
        <v>163</v>
      </c>
      <c r="N36" s="74">
        <v>0</v>
      </c>
      <c r="O36" s="74">
        <v>0</v>
      </c>
      <c r="P36" s="74">
        <v>0</v>
      </c>
      <c r="Q36" s="74">
        <v>0</v>
      </c>
      <c r="R36" s="74">
        <v>163</v>
      </c>
      <c r="S36" s="74">
        <v>188</v>
      </c>
    </row>
    <row r="37" spans="1:19" x14ac:dyDescent="0.2">
      <c r="A37" s="446" t="s">
        <v>2177</v>
      </c>
      <c r="B37" s="446" t="s">
        <v>2904</v>
      </c>
      <c r="C37" s="446" t="s">
        <v>2178</v>
      </c>
      <c r="D37" s="446" t="s">
        <v>153</v>
      </c>
      <c r="E37" s="446" t="s">
        <v>3798</v>
      </c>
      <c r="F37" s="298">
        <v>43175</v>
      </c>
      <c r="G37" s="74">
        <v>142</v>
      </c>
      <c r="H37" s="74">
        <v>0</v>
      </c>
      <c r="I37" s="74">
        <v>0</v>
      </c>
      <c r="J37" s="74">
        <v>0</v>
      </c>
      <c r="K37" s="74">
        <v>0</v>
      </c>
      <c r="L37" s="74">
        <v>142</v>
      </c>
      <c r="M37" s="74">
        <v>441</v>
      </c>
      <c r="N37" s="74">
        <v>0</v>
      </c>
      <c r="O37" s="74">
        <v>0</v>
      </c>
      <c r="P37" s="74">
        <v>0</v>
      </c>
      <c r="Q37" s="74">
        <v>0</v>
      </c>
      <c r="R37" s="74">
        <v>441</v>
      </c>
      <c r="S37" s="74">
        <v>-299</v>
      </c>
    </row>
    <row r="38" spans="1:19" x14ac:dyDescent="0.2">
      <c r="A38" s="446" t="s">
        <v>1985</v>
      </c>
      <c r="B38" s="446" t="s">
        <v>3948</v>
      </c>
      <c r="C38" s="446" t="s">
        <v>1194</v>
      </c>
      <c r="D38" s="446" t="s">
        <v>153</v>
      </c>
      <c r="E38" s="446" t="s">
        <v>3798</v>
      </c>
      <c r="F38" s="298">
        <v>42814</v>
      </c>
      <c r="G38" s="74">
        <v>0</v>
      </c>
      <c r="H38" s="74">
        <v>0</v>
      </c>
      <c r="I38" s="74">
        <v>0</v>
      </c>
      <c r="J38" s="74">
        <v>0</v>
      </c>
      <c r="K38" s="74">
        <v>0</v>
      </c>
      <c r="L38" s="74">
        <v>0</v>
      </c>
      <c r="M38" s="74">
        <v>234</v>
      </c>
      <c r="N38" s="74">
        <v>234</v>
      </c>
      <c r="O38" s="74">
        <v>0</v>
      </c>
      <c r="P38" s="74">
        <v>0</v>
      </c>
      <c r="Q38" s="74">
        <v>0</v>
      </c>
      <c r="R38" s="74">
        <v>468</v>
      </c>
      <c r="S38" s="74">
        <v>-468</v>
      </c>
    </row>
    <row r="39" spans="1:19" x14ac:dyDescent="0.2">
      <c r="A39" s="446" t="s">
        <v>2084</v>
      </c>
      <c r="B39" s="446" t="s">
        <v>3947</v>
      </c>
      <c r="C39" s="446" t="s">
        <v>515</v>
      </c>
      <c r="D39" s="446" t="s">
        <v>153</v>
      </c>
      <c r="E39" s="446" t="s">
        <v>3798</v>
      </c>
      <c r="F39" s="298">
        <v>42647</v>
      </c>
      <c r="G39" s="74">
        <v>123</v>
      </c>
      <c r="H39" s="74">
        <v>123</v>
      </c>
      <c r="I39" s="74">
        <v>123</v>
      </c>
      <c r="J39" s="74">
        <v>0</v>
      </c>
      <c r="K39" s="74">
        <v>0</v>
      </c>
      <c r="L39" s="74">
        <v>369</v>
      </c>
      <c r="M39" s="74">
        <v>0</v>
      </c>
      <c r="N39" s="74">
        <v>0</v>
      </c>
      <c r="O39" s="74">
        <v>0</v>
      </c>
      <c r="P39" s="74">
        <v>0</v>
      </c>
      <c r="Q39" s="74">
        <v>0</v>
      </c>
      <c r="R39" s="74">
        <v>0</v>
      </c>
      <c r="S39" s="74">
        <v>369</v>
      </c>
    </row>
    <row r="40" spans="1:19" x14ac:dyDescent="0.2">
      <c r="A40" s="446" t="s">
        <v>2027</v>
      </c>
      <c r="B40" s="446" t="s">
        <v>3941</v>
      </c>
      <c r="C40" s="446" t="s">
        <v>384</v>
      </c>
      <c r="D40" s="446" t="s">
        <v>153</v>
      </c>
      <c r="E40" s="446" t="s">
        <v>3798</v>
      </c>
      <c r="F40" s="298">
        <v>41831</v>
      </c>
      <c r="G40" s="74">
        <v>34</v>
      </c>
      <c r="H40" s="74">
        <v>0</v>
      </c>
      <c r="I40" s="74">
        <v>0</v>
      </c>
      <c r="J40" s="74">
        <v>0</v>
      </c>
      <c r="K40" s="74">
        <v>0</v>
      </c>
      <c r="L40" s="74">
        <v>34</v>
      </c>
      <c r="M40" s="74">
        <v>55</v>
      </c>
      <c r="N40" s="74">
        <v>0</v>
      </c>
      <c r="O40" s="74">
        <v>0</v>
      </c>
      <c r="P40" s="74">
        <v>0</v>
      </c>
      <c r="Q40" s="74">
        <v>0</v>
      </c>
      <c r="R40" s="74">
        <v>55</v>
      </c>
      <c r="S40" s="74">
        <v>-21</v>
      </c>
    </row>
    <row r="41" spans="1:19" x14ac:dyDescent="0.2">
      <c r="A41" s="446" t="s">
        <v>2062</v>
      </c>
      <c r="B41" s="446" t="s">
        <v>3943</v>
      </c>
      <c r="C41" s="446" t="s">
        <v>326</v>
      </c>
      <c r="D41" s="446" t="s">
        <v>153</v>
      </c>
      <c r="E41" s="446" t="s">
        <v>3798</v>
      </c>
      <c r="F41" s="298">
        <v>42376</v>
      </c>
      <c r="G41" s="74">
        <v>318</v>
      </c>
      <c r="H41" s="74">
        <v>0</v>
      </c>
      <c r="I41" s="74">
        <v>0</v>
      </c>
      <c r="J41" s="74">
        <v>0</v>
      </c>
      <c r="K41" s="74">
        <v>0</v>
      </c>
      <c r="L41" s="74">
        <v>318</v>
      </c>
      <c r="M41" s="74">
        <v>0</v>
      </c>
      <c r="N41" s="74">
        <v>0</v>
      </c>
      <c r="O41" s="74">
        <v>0</v>
      </c>
      <c r="P41" s="74">
        <v>0</v>
      </c>
      <c r="Q41" s="74">
        <v>0</v>
      </c>
      <c r="R41" s="74">
        <v>0</v>
      </c>
      <c r="S41" s="74">
        <v>318</v>
      </c>
    </row>
    <row r="42" spans="1:19" x14ac:dyDescent="0.2">
      <c r="A42" s="446" t="s">
        <v>1831</v>
      </c>
      <c r="B42" s="446" t="s">
        <v>3945</v>
      </c>
      <c r="C42" s="446" t="s">
        <v>539</v>
      </c>
      <c r="D42" s="446" t="s">
        <v>153</v>
      </c>
      <c r="E42" s="446" t="s">
        <v>3798</v>
      </c>
      <c r="F42" s="298">
        <v>42445</v>
      </c>
      <c r="G42" s="74">
        <v>81</v>
      </c>
      <c r="H42" s="74">
        <v>0</v>
      </c>
      <c r="I42" s="74">
        <v>0</v>
      </c>
      <c r="J42" s="74">
        <v>0</v>
      </c>
      <c r="K42" s="74">
        <v>0</v>
      </c>
      <c r="L42" s="74">
        <v>81</v>
      </c>
      <c r="M42" s="74">
        <v>69</v>
      </c>
      <c r="N42" s="74">
        <v>0</v>
      </c>
      <c r="O42" s="74">
        <v>0</v>
      </c>
      <c r="P42" s="74">
        <v>0</v>
      </c>
      <c r="Q42" s="74">
        <v>0</v>
      </c>
      <c r="R42" s="74">
        <v>69</v>
      </c>
      <c r="S42" s="74">
        <v>12</v>
      </c>
    </row>
    <row r="43" spans="1:19" x14ac:dyDescent="0.2">
      <c r="A43" s="446" t="s">
        <v>2121</v>
      </c>
      <c r="B43" s="446" t="s">
        <v>3945</v>
      </c>
      <c r="C43" s="446" t="s">
        <v>466</v>
      </c>
      <c r="D43" s="446" t="s">
        <v>153</v>
      </c>
      <c r="E43" s="446" t="s">
        <v>3798</v>
      </c>
      <c r="F43" s="298">
        <v>42299</v>
      </c>
      <c r="G43" s="74">
        <v>42</v>
      </c>
      <c r="H43" s="74">
        <v>0</v>
      </c>
      <c r="I43" s="74">
        <v>0</v>
      </c>
      <c r="J43" s="74">
        <v>0</v>
      </c>
      <c r="K43" s="74">
        <v>0</v>
      </c>
      <c r="L43" s="74">
        <v>42</v>
      </c>
      <c r="M43" s="74">
        <v>102</v>
      </c>
      <c r="N43" s="74">
        <v>0</v>
      </c>
      <c r="O43" s="74">
        <v>0</v>
      </c>
      <c r="P43" s="74">
        <v>0</v>
      </c>
      <c r="Q43" s="74">
        <v>0</v>
      </c>
      <c r="R43" s="74">
        <v>102</v>
      </c>
      <c r="S43" s="74">
        <v>-60</v>
      </c>
    </row>
    <row r="44" spans="1:19" x14ac:dyDescent="0.2">
      <c r="C44" s="446" t="s">
        <v>660</v>
      </c>
      <c r="D44" s="446" t="s">
        <v>153</v>
      </c>
      <c r="E44" s="446" t="s">
        <v>3798</v>
      </c>
      <c r="F44" s="298">
        <v>42612</v>
      </c>
      <c r="G44" s="74">
        <v>23</v>
      </c>
      <c r="H44" s="74">
        <v>23</v>
      </c>
      <c r="I44" s="74">
        <v>0</v>
      </c>
      <c r="J44" s="74">
        <v>0</v>
      </c>
      <c r="K44" s="74">
        <v>0</v>
      </c>
      <c r="L44" s="74">
        <v>46</v>
      </c>
      <c r="M44" s="74">
        <v>46</v>
      </c>
      <c r="N44" s="74">
        <v>0</v>
      </c>
      <c r="O44" s="74">
        <v>0</v>
      </c>
      <c r="P44" s="74">
        <v>0</v>
      </c>
      <c r="Q44" s="74">
        <v>0</v>
      </c>
      <c r="R44" s="74">
        <v>46</v>
      </c>
      <c r="S44" s="74">
        <v>0</v>
      </c>
    </row>
    <row r="45" spans="1:19" x14ac:dyDescent="0.2">
      <c r="A45" s="446" t="s">
        <v>1321</v>
      </c>
      <c r="B45" s="446" t="s">
        <v>3944</v>
      </c>
      <c r="C45" s="446" t="s">
        <v>257</v>
      </c>
      <c r="D45" s="446" t="s">
        <v>153</v>
      </c>
      <c r="E45" s="446" t="s">
        <v>3798</v>
      </c>
      <c r="F45" s="298">
        <v>42116</v>
      </c>
      <c r="G45" s="74">
        <v>263</v>
      </c>
      <c r="H45" s="74">
        <v>0</v>
      </c>
      <c r="I45" s="74">
        <v>0</v>
      </c>
      <c r="J45" s="74">
        <v>0</v>
      </c>
      <c r="K45" s="74">
        <v>0</v>
      </c>
      <c r="L45" s="74">
        <v>263</v>
      </c>
      <c r="M45" s="74">
        <v>0</v>
      </c>
      <c r="N45" s="74">
        <v>0</v>
      </c>
      <c r="O45" s="74">
        <v>0</v>
      </c>
      <c r="P45" s="74">
        <v>0</v>
      </c>
      <c r="Q45" s="74">
        <v>0</v>
      </c>
      <c r="R45" s="74">
        <v>0</v>
      </c>
      <c r="S45" s="74">
        <v>263</v>
      </c>
    </row>
    <row r="46" spans="1:19" x14ac:dyDescent="0.2">
      <c r="A46" s="446" t="s">
        <v>2052</v>
      </c>
      <c r="B46" s="446" t="s">
        <v>3945</v>
      </c>
      <c r="C46" s="446" t="s">
        <v>364</v>
      </c>
      <c r="D46" s="446" t="s">
        <v>153</v>
      </c>
      <c r="E46" s="446" t="s">
        <v>3798</v>
      </c>
      <c r="F46" s="298">
        <v>41968</v>
      </c>
      <c r="G46" s="74">
        <v>70</v>
      </c>
      <c r="H46" s="74">
        <v>0</v>
      </c>
      <c r="I46" s="74">
        <v>0</v>
      </c>
      <c r="J46" s="74">
        <v>0</v>
      </c>
      <c r="K46" s="74">
        <v>0</v>
      </c>
      <c r="L46" s="74">
        <v>70</v>
      </c>
      <c r="M46" s="74">
        <v>99</v>
      </c>
      <c r="N46" s="74">
        <v>0</v>
      </c>
      <c r="O46" s="74">
        <v>0</v>
      </c>
      <c r="P46" s="74">
        <v>0</v>
      </c>
      <c r="Q46" s="74">
        <v>0</v>
      </c>
      <c r="R46" s="74">
        <v>99</v>
      </c>
      <c r="S46" s="74">
        <v>-29</v>
      </c>
    </row>
    <row r="47" spans="1:19" x14ac:dyDescent="0.2">
      <c r="A47" s="446" t="s">
        <v>1633</v>
      </c>
      <c r="B47" s="446" t="s">
        <v>3946</v>
      </c>
      <c r="C47" s="446" t="s">
        <v>233</v>
      </c>
      <c r="D47" s="446" t="s">
        <v>153</v>
      </c>
      <c r="E47" s="446" t="s">
        <v>3798</v>
      </c>
      <c r="F47" s="298">
        <v>41404</v>
      </c>
      <c r="G47" s="74">
        <v>619</v>
      </c>
      <c r="H47" s="74">
        <v>0</v>
      </c>
      <c r="I47" s="74">
        <v>0</v>
      </c>
      <c r="J47" s="74">
        <v>0</v>
      </c>
      <c r="K47" s="74">
        <v>0</v>
      </c>
      <c r="L47" s="74">
        <v>619</v>
      </c>
      <c r="M47" s="74">
        <v>619</v>
      </c>
      <c r="N47" s="74">
        <v>0</v>
      </c>
      <c r="O47" s="74">
        <v>0</v>
      </c>
      <c r="P47" s="74">
        <v>0</v>
      </c>
      <c r="Q47" s="74">
        <v>0</v>
      </c>
      <c r="R47" s="74">
        <v>619</v>
      </c>
      <c r="S47" s="74">
        <v>0</v>
      </c>
    </row>
    <row r="48" spans="1:19" x14ac:dyDescent="0.2">
      <c r="A48" s="446" t="s">
        <v>2109</v>
      </c>
      <c r="B48" s="446" t="s">
        <v>3941</v>
      </c>
      <c r="C48" s="446" t="s">
        <v>269</v>
      </c>
      <c r="D48" s="446" t="s">
        <v>153</v>
      </c>
      <c r="E48" s="446" t="s">
        <v>3798</v>
      </c>
      <c r="F48" s="298">
        <v>42206</v>
      </c>
      <c r="G48" s="74">
        <v>52</v>
      </c>
      <c r="H48" s="74">
        <v>0</v>
      </c>
      <c r="I48" s="74">
        <v>0</v>
      </c>
      <c r="J48" s="74">
        <v>0</v>
      </c>
      <c r="K48" s="74">
        <v>0</v>
      </c>
      <c r="L48" s="74">
        <v>52</v>
      </c>
      <c r="M48" s="74">
        <v>62</v>
      </c>
      <c r="N48" s="74">
        <v>0</v>
      </c>
      <c r="O48" s="74">
        <v>0</v>
      </c>
      <c r="P48" s="74">
        <v>0</v>
      </c>
      <c r="Q48" s="74">
        <v>0</v>
      </c>
      <c r="R48" s="74">
        <v>62</v>
      </c>
      <c r="S48" s="74">
        <v>-10</v>
      </c>
    </row>
    <row r="49" spans="1:19" x14ac:dyDescent="0.2">
      <c r="A49" s="446" t="s">
        <v>1663</v>
      </c>
      <c r="B49" s="446" t="s">
        <v>3942</v>
      </c>
      <c r="C49" s="446" t="s">
        <v>1664</v>
      </c>
      <c r="D49" s="446" t="s">
        <v>153</v>
      </c>
      <c r="E49" s="446" t="s">
        <v>3798</v>
      </c>
      <c r="F49" s="298">
        <v>43063</v>
      </c>
      <c r="G49" s="74">
        <v>75</v>
      </c>
      <c r="H49" s="74">
        <v>75</v>
      </c>
      <c r="I49" s="74">
        <v>75</v>
      </c>
      <c r="J49" s="74">
        <v>0</v>
      </c>
      <c r="K49" s="74">
        <v>0</v>
      </c>
      <c r="L49" s="74">
        <v>225</v>
      </c>
      <c r="M49" s="74">
        <v>0</v>
      </c>
      <c r="N49" s="74">
        <v>0</v>
      </c>
      <c r="O49" s="74">
        <v>300</v>
      </c>
      <c r="P49" s="74">
        <v>0</v>
      </c>
      <c r="Q49" s="74">
        <v>0</v>
      </c>
      <c r="R49" s="74">
        <v>300</v>
      </c>
      <c r="S49" s="74">
        <v>-75</v>
      </c>
    </row>
    <row r="50" spans="1:19" x14ac:dyDescent="0.2">
      <c r="A50" s="446" t="s">
        <v>2341</v>
      </c>
      <c r="B50" s="446" t="s">
        <v>3950</v>
      </c>
      <c r="C50" s="446" t="s">
        <v>904</v>
      </c>
      <c r="D50" s="446" t="s">
        <v>153</v>
      </c>
      <c r="E50" s="446" t="s">
        <v>3798</v>
      </c>
      <c r="F50" s="298">
        <v>42579</v>
      </c>
      <c r="G50" s="74">
        <v>9</v>
      </c>
      <c r="H50" s="74">
        <v>0</v>
      </c>
      <c r="I50" s="74">
        <v>0</v>
      </c>
      <c r="J50" s="74">
        <v>0</v>
      </c>
      <c r="K50" s="74">
        <v>0</v>
      </c>
      <c r="L50" s="74">
        <v>9</v>
      </c>
      <c r="M50" s="74">
        <v>0</v>
      </c>
      <c r="N50" s="74">
        <v>0</v>
      </c>
      <c r="O50" s="74">
        <v>0</v>
      </c>
      <c r="P50" s="74">
        <v>0</v>
      </c>
      <c r="Q50" s="74">
        <v>0</v>
      </c>
      <c r="R50" s="74">
        <v>0</v>
      </c>
      <c r="S50" s="74">
        <v>9</v>
      </c>
    </row>
    <row r="51" spans="1:19" x14ac:dyDescent="0.2">
      <c r="A51" s="446" t="s">
        <v>2103</v>
      </c>
      <c r="B51" s="446" t="s">
        <v>3946</v>
      </c>
      <c r="C51" s="446" t="s">
        <v>316</v>
      </c>
      <c r="D51" s="446" t="s">
        <v>153</v>
      </c>
      <c r="E51" s="446" t="s">
        <v>3798</v>
      </c>
      <c r="F51" s="298">
        <v>42125</v>
      </c>
      <c r="G51" s="74">
        <v>112</v>
      </c>
      <c r="H51" s="74">
        <v>0</v>
      </c>
      <c r="I51" s="74">
        <v>0</v>
      </c>
      <c r="J51" s="74">
        <v>0</v>
      </c>
      <c r="K51" s="74">
        <v>0</v>
      </c>
      <c r="L51" s="74">
        <v>112</v>
      </c>
      <c r="M51" s="74">
        <v>215</v>
      </c>
      <c r="N51" s="74">
        <v>0</v>
      </c>
      <c r="O51" s="74">
        <v>0</v>
      </c>
      <c r="P51" s="74">
        <v>0</v>
      </c>
      <c r="Q51" s="74">
        <v>0</v>
      </c>
      <c r="R51" s="74">
        <v>215</v>
      </c>
      <c r="S51" s="74">
        <v>-103</v>
      </c>
    </row>
    <row r="52" spans="1:19" x14ac:dyDescent="0.2">
      <c r="A52" s="446" t="s">
        <v>1508</v>
      </c>
      <c r="B52" s="446" t="s">
        <v>3946</v>
      </c>
      <c r="C52" s="446" t="s">
        <v>474</v>
      </c>
      <c r="D52" s="446" t="s">
        <v>153</v>
      </c>
      <c r="E52" s="446" t="s">
        <v>3798</v>
      </c>
      <c r="F52" s="298">
        <v>42494</v>
      </c>
      <c r="G52" s="74">
        <v>914</v>
      </c>
      <c r="H52" s="74">
        <v>0</v>
      </c>
      <c r="I52" s="74">
        <v>0</v>
      </c>
      <c r="J52" s="74">
        <v>0</v>
      </c>
      <c r="K52" s="74">
        <v>0</v>
      </c>
      <c r="L52" s="74">
        <v>914</v>
      </c>
      <c r="M52" s="74">
        <v>1154</v>
      </c>
      <c r="N52" s="74">
        <v>0</v>
      </c>
      <c r="O52" s="74">
        <v>0</v>
      </c>
      <c r="P52" s="74">
        <v>0</v>
      </c>
      <c r="Q52" s="74">
        <v>0</v>
      </c>
      <c r="R52" s="74">
        <v>1154</v>
      </c>
      <c r="S52" s="74">
        <v>-240</v>
      </c>
    </row>
    <row r="53" spans="1:19" x14ac:dyDescent="0.2">
      <c r="C53" s="446" t="s">
        <v>670</v>
      </c>
      <c r="D53" s="446" t="s">
        <v>153</v>
      </c>
      <c r="E53" s="446" t="s">
        <v>3798</v>
      </c>
      <c r="F53" s="298">
        <v>42762</v>
      </c>
      <c r="G53" s="74">
        <v>457</v>
      </c>
      <c r="H53" s="74">
        <v>457</v>
      </c>
      <c r="I53" s="74">
        <v>0</v>
      </c>
      <c r="J53" s="74">
        <v>0</v>
      </c>
      <c r="K53" s="74">
        <v>0</v>
      </c>
      <c r="L53" s="74">
        <v>914</v>
      </c>
      <c r="M53" s="74">
        <v>914</v>
      </c>
      <c r="N53" s="74">
        <v>0</v>
      </c>
      <c r="O53" s="74">
        <v>0</v>
      </c>
      <c r="P53" s="74">
        <v>0</v>
      </c>
      <c r="Q53" s="74">
        <v>0</v>
      </c>
      <c r="R53" s="74">
        <v>914</v>
      </c>
      <c r="S53" s="74">
        <v>0</v>
      </c>
    </row>
    <row r="54" spans="1:19" x14ac:dyDescent="0.2">
      <c r="C54" s="446" t="s">
        <v>1241</v>
      </c>
      <c r="D54" s="446" t="s">
        <v>153</v>
      </c>
      <c r="E54" s="446" t="s">
        <v>3798</v>
      </c>
      <c r="F54" s="298">
        <v>42984</v>
      </c>
      <c r="G54" s="74">
        <v>460</v>
      </c>
      <c r="H54" s="74">
        <v>460</v>
      </c>
      <c r="I54" s="74">
        <v>0</v>
      </c>
      <c r="J54" s="74">
        <v>0</v>
      </c>
      <c r="K54" s="74">
        <v>0</v>
      </c>
      <c r="L54" s="74">
        <v>920</v>
      </c>
      <c r="M54" s="74">
        <v>457</v>
      </c>
      <c r="N54" s="74">
        <v>457</v>
      </c>
      <c r="O54" s="74">
        <v>0</v>
      </c>
      <c r="P54" s="74">
        <v>0</v>
      </c>
      <c r="Q54" s="74">
        <v>0</v>
      </c>
      <c r="R54" s="74">
        <v>914</v>
      </c>
      <c r="S54" s="74">
        <v>6</v>
      </c>
    </row>
    <row r="55" spans="1:19" x14ac:dyDescent="0.2">
      <c r="A55" s="446" t="s">
        <v>2310</v>
      </c>
      <c r="B55" s="446" t="s">
        <v>3946</v>
      </c>
      <c r="C55" s="446" t="s">
        <v>1164</v>
      </c>
      <c r="D55" s="446" t="s">
        <v>153</v>
      </c>
      <c r="E55" s="446" t="s">
        <v>3798</v>
      </c>
      <c r="F55" s="298">
        <v>42768</v>
      </c>
      <c r="G55" s="74">
        <v>0</v>
      </c>
      <c r="H55" s="74">
        <v>0</v>
      </c>
      <c r="I55" s="74">
        <v>0</v>
      </c>
      <c r="J55" s="74">
        <v>0</v>
      </c>
      <c r="K55" s="74">
        <v>0</v>
      </c>
      <c r="L55" s="74">
        <v>0</v>
      </c>
      <c r="M55" s="74">
        <v>0</v>
      </c>
      <c r="N55" s="74">
        <v>0</v>
      </c>
      <c r="O55" s="74">
        <v>121</v>
      </c>
      <c r="P55" s="74">
        <v>0</v>
      </c>
      <c r="Q55" s="74">
        <v>0</v>
      </c>
      <c r="R55" s="74">
        <v>121</v>
      </c>
      <c r="S55" s="74">
        <v>-121</v>
      </c>
    </row>
    <row r="56" spans="1:19" x14ac:dyDescent="0.2">
      <c r="A56" s="446" t="s">
        <v>2184</v>
      </c>
      <c r="B56" s="446" t="s">
        <v>3944</v>
      </c>
      <c r="C56" s="446" t="s">
        <v>583</v>
      </c>
      <c r="D56" s="446" t="s">
        <v>153</v>
      </c>
      <c r="E56" s="446" t="s">
        <v>3798</v>
      </c>
      <c r="F56" s="298">
        <v>42429</v>
      </c>
      <c r="G56" s="74">
        <v>57</v>
      </c>
      <c r="H56" s="74">
        <v>0</v>
      </c>
      <c r="I56" s="74">
        <v>0</v>
      </c>
      <c r="J56" s="74">
        <v>0</v>
      </c>
      <c r="K56" s="74">
        <v>0</v>
      </c>
      <c r="L56" s="74">
        <v>57</v>
      </c>
      <c r="M56" s="74">
        <v>127</v>
      </c>
      <c r="N56" s="74">
        <v>0</v>
      </c>
      <c r="O56" s="74">
        <v>0</v>
      </c>
      <c r="P56" s="74">
        <v>0</v>
      </c>
      <c r="Q56" s="74">
        <v>0</v>
      </c>
      <c r="R56" s="74">
        <v>127</v>
      </c>
      <c r="S56" s="74">
        <v>-70</v>
      </c>
    </row>
    <row r="57" spans="1:19" x14ac:dyDescent="0.2">
      <c r="A57" s="446" t="s">
        <v>1905</v>
      </c>
      <c r="B57" s="446" t="s">
        <v>3952</v>
      </c>
      <c r="C57" s="446" t="s">
        <v>180</v>
      </c>
      <c r="D57" s="446" t="s">
        <v>153</v>
      </c>
      <c r="E57" s="446" t="s">
        <v>3798</v>
      </c>
      <c r="F57" s="298">
        <v>41178</v>
      </c>
      <c r="G57" s="74">
        <v>107</v>
      </c>
      <c r="H57" s="74">
        <v>0</v>
      </c>
      <c r="I57" s="74">
        <v>0</v>
      </c>
      <c r="J57" s="74">
        <v>0</v>
      </c>
      <c r="K57" s="74">
        <v>0</v>
      </c>
      <c r="L57" s="74">
        <v>107</v>
      </c>
      <c r="M57" s="74">
        <v>83</v>
      </c>
      <c r="N57" s="74">
        <v>0</v>
      </c>
      <c r="O57" s="74">
        <v>0</v>
      </c>
      <c r="P57" s="74">
        <v>0</v>
      </c>
      <c r="Q57" s="74">
        <v>0</v>
      </c>
      <c r="R57" s="74">
        <v>83</v>
      </c>
      <c r="S57" s="74">
        <v>24</v>
      </c>
    </row>
    <row r="58" spans="1:19" x14ac:dyDescent="0.2">
      <c r="A58" s="446" t="s">
        <v>2097</v>
      </c>
      <c r="B58" s="446" t="s">
        <v>150</v>
      </c>
      <c r="C58" s="446" t="s">
        <v>270</v>
      </c>
      <c r="D58" s="446" t="s">
        <v>153</v>
      </c>
      <c r="E58" s="446" t="s">
        <v>3798</v>
      </c>
      <c r="F58" s="298">
        <v>42256</v>
      </c>
      <c r="G58" s="74">
        <v>0</v>
      </c>
      <c r="H58" s="74">
        <v>0</v>
      </c>
      <c r="I58" s="74">
        <v>0</v>
      </c>
      <c r="J58" s="74">
        <v>0</v>
      </c>
      <c r="K58" s="74">
        <v>0</v>
      </c>
      <c r="L58" s="74">
        <v>0</v>
      </c>
      <c r="M58" s="74">
        <v>96</v>
      </c>
      <c r="N58" s="74">
        <v>0</v>
      </c>
      <c r="O58" s="74">
        <v>0</v>
      </c>
      <c r="P58" s="74">
        <v>0</v>
      </c>
      <c r="Q58" s="74">
        <v>0</v>
      </c>
      <c r="R58" s="74">
        <v>96</v>
      </c>
      <c r="S58" s="74">
        <v>-96</v>
      </c>
    </row>
    <row r="59" spans="1:19" x14ac:dyDescent="0.2">
      <c r="A59" s="446" t="s">
        <v>2823</v>
      </c>
      <c r="B59" s="446" t="s">
        <v>3947</v>
      </c>
      <c r="C59" s="446" t="s">
        <v>2824</v>
      </c>
      <c r="D59" s="446" t="s">
        <v>2834</v>
      </c>
      <c r="E59" s="446" t="s">
        <v>3798</v>
      </c>
      <c r="F59" s="298">
        <v>42774</v>
      </c>
      <c r="G59" s="74">
        <v>0</v>
      </c>
      <c r="H59" s="74">
        <v>0</v>
      </c>
      <c r="I59" s="74">
        <v>75</v>
      </c>
      <c r="J59" s="74">
        <v>75</v>
      </c>
      <c r="K59" s="74">
        <v>0</v>
      </c>
      <c r="L59" s="74">
        <v>150</v>
      </c>
      <c r="M59" s="74">
        <v>0</v>
      </c>
      <c r="N59" s="74">
        <v>0</v>
      </c>
      <c r="O59" s="74">
        <v>0</v>
      </c>
      <c r="P59" s="74">
        <v>0</v>
      </c>
      <c r="Q59" s="74">
        <v>0</v>
      </c>
      <c r="R59" s="74">
        <v>0</v>
      </c>
      <c r="S59" s="74">
        <v>150</v>
      </c>
    </row>
    <row r="60" spans="1:19" x14ac:dyDescent="0.2">
      <c r="D60" s="446" t="s">
        <v>2835</v>
      </c>
      <c r="E60" s="446" t="s">
        <v>3798</v>
      </c>
      <c r="F60" s="298">
        <v>42774</v>
      </c>
      <c r="G60" s="74">
        <v>74</v>
      </c>
      <c r="H60" s="74">
        <v>0</v>
      </c>
      <c r="I60" s="74">
        <v>75</v>
      </c>
      <c r="J60" s="74">
        <v>0</v>
      </c>
      <c r="K60" s="74">
        <v>0</v>
      </c>
      <c r="L60" s="74">
        <v>149</v>
      </c>
      <c r="M60" s="74">
        <v>0</v>
      </c>
      <c r="N60" s="74">
        <v>0</v>
      </c>
      <c r="O60" s="74">
        <v>0</v>
      </c>
      <c r="P60" s="74">
        <v>0</v>
      </c>
      <c r="Q60" s="74">
        <v>0</v>
      </c>
      <c r="R60" s="74">
        <v>0</v>
      </c>
      <c r="S60" s="74">
        <v>149</v>
      </c>
    </row>
    <row r="61" spans="1:19" x14ac:dyDescent="0.2">
      <c r="D61" s="446" t="s">
        <v>2836</v>
      </c>
      <c r="E61" s="446" t="s">
        <v>3798</v>
      </c>
      <c r="F61" s="298">
        <v>42774</v>
      </c>
      <c r="G61" s="74">
        <v>75</v>
      </c>
      <c r="H61" s="74">
        <v>0</v>
      </c>
      <c r="I61" s="74">
        <v>75</v>
      </c>
      <c r="J61" s="74">
        <v>0</v>
      </c>
      <c r="K61" s="74">
        <v>0</v>
      </c>
      <c r="L61" s="74">
        <v>150</v>
      </c>
      <c r="M61" s="74">
        <v>0</v>
      </c>
      <c r="N61" s="74">
        <v>0</v>
      </c>
      <c r="O61" s="74">
        <v>0</v>
      </c>
      <c r="P61" s="74">
        <v>0</v>
      </c>
      <c r="Q61" s="74">
        <v>0</v>
      </c>
      <c r="R61" s="74">
        <v>0</v>
      </c>
      <c r="S61" s="74">
        <v>150</v>
      </c>
    </row>
    <row r="62" spans="1:19" x14ac:dyDescent="0.2">
      <c r="D62" s="446" t="s">
        <v>2837</v>
      </c>
      <c r="E62" s="446" t="s">
        <v>3798</v>
      </c>
      <c r="F62" s="298">
        <v>42774</v>
      </c>
      <c r="G62" s="74">
        <v>39</v>
      </c>
      <c r="H62" s="74">
        <v>0</v>
      </c>
      <c r="I62" s="74">
        <v>39</v>
      </c>
      <c r="J62" s="74">
        <v>0</v>
      </c>
      <c r="K62" s="74">
        <v>0</v>
      </c>
      <c r="L62" s="74">
        <v>78</v>
      </c>
      <c r="M62" s="74">
        <v>0</v>
      </c>
      <c r="N62" s="74">
        <v>0</v>
      </c>
      <c r="O62" s="74">
        <v>0</v>
      </c>
      <c r="P62" s="74">
        <v>0</v>
      </c>
      <c r="Q62" s="74">
        <v>0</v>
      </c>
      <c r="R62" s="74">
        <v>0</v>
      </c>
      <c r="S62" s="74">
        <v>78</v>
      </c>
    </row>
    <row r="63" spans="1:19" x14ac:dyDescent="0.2">
      <c r="D63" s="446" t="s">
        <v>2838</v>
      </c>
      <c r="E63" s="446" t="s">
        <v>3798</v>
      </c>
      <c r="F63" s="298">
        <v>42774</v>
      </c>
      <c r="G63" s="74">
        <v>47</v>
      </c>
      <c r="H63" s="74">
        <v>0</v>
      </c>
      <c r="I63" s="74">
        <v>48</v>
      </c>
      <c r="J63" s="74">
        <v>0</v>
      </c>
      <c r="K63" s="74">
        <v>0</v>
      </c>
      <c r="L63" s="74">
        <v>95</v>
      </c>
      <c r="M63" s="74">
        <v>0</v>
      </c>
      <c r="N63" s="74">
        <v>0</v>
      </c>
      <c r="O63" s="74">
        <v>0</v>
      </c>
      <c r="P63" s="74">
        <v>0</v>
      </c>
      <c r="Q63" s="74">
        <v>0</v>
      </c>
      <c r="R63" s="74">
        <v>0</v>
      </c>
      <c r="S63" s="74">
        <v>95</v>
      </c>
    </row>
    <row r="64" spans="1:19" x14ac:dyDescent="0.2">
      <c r="D64" s="446" t="s">
        <v>2840</v>
      </c>
      <c r="E64" s="446" t="s">
        <v>3798</v>
      </c>
      <c r="F64" s="298">
        <v>42774</v>
      </c>
      <c r="G64" s="74">
        <v>0</v>
      </c>
      <c r="H64" s="74">
        <v>0</v>
      </c>
      <c r="I64" s="74">
        <v>156</v>
      </c>
      <c r="J64" s="74">
        <v>156</v>
      </c>
      <c r="K64" s="74">
        <v>0</v>
      </c>
      <c r="L64" s="74">
        <v>312</v>
      </c>
      <c r="M64" s="74">
        <v>0</v>
      </c>
      <c r="N64" s="74">
        <v>0</v>
      </c>
      <c r="O64" s="74">
        <v>0</v>
      </c>
      <c r="P64" s="74">
        <v>0</v>
      </c>
      <c r="Q64" s="74">
        <v>0</v>
      </c>
      <c r="R64" s="74">
        <v>0</v>
      </c>
      <c r="S64" s="74">
        <v>312</v>
      </c>
    </row>
    <row r="65" spans="1:19" x14ac:dyDescent="0.2">
      <c r="D65" s="446" t="s">
        <v>2841</v>
      </c>
      <c r="E65" s="446" t="s">
        <v>3798</v>
      </c>
      <c r="F65" s="298">
        <v>42774</v>
      </c>
      <c r="G65" s="74">
        <v>0</v>
      </c>
      <c r="H65" s="74">
        <v>0</v>
      </c>
      <c r="I65" s="74">
        <v>234</v>
      </c>
      <c r="J65" s="74">
        <v>234</v>
      </c>
      <c r="K65" s="74">
        <v>0</v>
      </c>
      <c r="L65" s="74">
        <v>468</v>
      </c>
      <c r="M65" s="74">
        <v>0</v>
      </c>
      <c r="N65" s="74">
        <v>0</v>
      </c>
      <c r="O65" s="74">
        <v>0</v>
      </c>
      <c r="P65" s="74">
        <v>0</v>
      </c>
      <c r="Q65" s="74">
        <v>0</v>
      </c>
      <c r="R65" s="74">
        <v>0</v>
      </c>
      <c r="S65" s="74">
        <v>468</v>
      </c>
    </row>
    <row r="66" spans="1:19" x14ac:dyDescent="0.2">
      <c r="D66" s="446" t="s">
        <v>2842</v>
      </c>
      <c r="E66" s="446" t="s">
        <v>3798</v>
      </c>
      <c r="F66" s="298">
        <v>42774</v>
      </c>
      <c r="G66" s="74">
        <v>0</v>
      </c>
      <c r="H66" s="74">
        <v>0</v>
      </c>
      <c r="I66" s="74">
        <v>220</v>
      </c>
      <c r="J66" s="74">
        <v>220</v>
      </c>
      <c r="K66" s="74">
        <v>0</v>
      </c>
      <c r="L66" s="74">
        <v>440</v>
      </c>
      <c r="M66" s="74">
        <v>0</v>
      </c>
      <c r="N66" s="74">
        <v>0</v>
      </c>
      <c r="O66" s="74">
        <v>0</v>
      </c>
      <c r="P66" s="74">
        <v>0</v>
      </c>
      <c r="Q66" s="74">
        <v>0</v>
      </c>
      <c r="R66" s="74">
        <v>0</v>
      </c>
      <c r="S66" s="74">
        <v>440</v>
      </c>
    </row>
    <row r="67" spans="1:19" x14ac:dyDescent="0.2">
      <c r="A67" s="446" t="s">
        <v>2356</v>
      </c>
      <c r="B67" s="446" t="s">
        <v>3947</v>
      </c>
      <c r="C67" s="446" t="s">
        <v>1264</v>
      </c>
      <c r="D67" s="446" t="s">
        <v>153</v>
      </c>
      <c r="E67" s="446" t="s">
        <v>421</v>
      </c>
      <c r="F67" s="298">
        <v>42859</v>
      </c>
      <c r="G67" s="74">
        <v>0</v>
      </c>
      <c r="H67" s="74">
        <v>42</v>
      </c>
      <c r="I67" s="74">
        <v>0</v>
      </c>
      <c r="J67" s="74">
        <v>0</v>
      </c>
      <c r="K67" s="74">
        <v>0</v>
      </c>
      <c r="L67" s="74">
        <v>42</v>
      </c>
      <c r="M67" s="74">
        <v>0</v>
      </c>
      <c r="N67" s="74">
        <v>136</v>
      </c>
      <c r="O67" s="74">
        <v>0</v>
      </c>
      <c r="P67" s="74">
        <v>0</v>
      </c>
      <c r="Q67" s="74">
        <v>0</v>
      </c>
      <c r="R67" s="74">
        <v>136</v>
      </c>
      <c r="S67" s="74">
        <v>-94</v>
      </c>
    </row>
    <row r="68" spans="1:19" x14ac:dyDescent="0.2">
      <c r="A68" s="446" t="s">
        <v>1700</v>
      </c>
      <c r="B68" s="446" t="s">
        <v>3947</v>
      </c>
      <c r="C68" s="446" t="s">
        <v>1306</v>
      </c>
      <c r="D68" s="446" t="s">
        <v>153</v>
      </c>
      <c r="E68" s="446" t="s">
        <v>3798</v>
      </c>
      <c r="F68" s="298">
        <v>42265</v>
      </c>
      <c r="G68" s="74">
        <v>507</v>
      </c>
      <c r="H68" s="74">
        <v>0</v>
      </c>
      <c r="I68" s="74">
        <v>218</v>
      </c>
      <c r="J68" s="74">
        <v>0</v>
      </c>
      <c r="K68" s="74">
        <v>0</v>
      </c>
      <c r="L68" s="74">
        <v>725</v>
      </c>
      <c r="M68" s="74">
        <v>0</v>
      </c>
      <c r="N68" s="74">
        <v>0</v>
      </c>
      <c r="O68" s="74">
        <v>0</v>
      </c>
      <c r="P68" s="74">
        <v>0</v>
      </c>
      <c r="Q68" s="74">
        <v>0</v>
      </c>
      <c r="R68" s="74">
        <v>0</v>
      </c>
      <c r="S68" s="74">
        <v>725</v>
      </c>
    </row>
    <row r="69" spans="1:19" x14ac:dyDescent="0.2">
      <c r="C69" s="446" t="s">
        <v>821</v>
      </c>
      <c r="D69" s="446" t="s">
        <v>153</v>
      </c>
      <c r="E69" s="446" t="s">
        <v>3798</v>
      </c>
      <c r="F69" s="298">
        <v>42667</v>
      </c>
      <c r="G69" s="74">
        <v>102</v>
      </c>
      <c r="H69" s="74">
        <v>0</v>
      </c>
      <c r="I69" s="74">
        <v>198</v>
      </c>
      <c r="J69" s="74">
        <v>0</v>
      </c>
      <c r="K69" s="74">
        <v>0</v>
      </c>
      <c r="L69" s="74">
        <v>300</v>
      </c>
      <c r="M69" s="74">
        <v>0</v>
      </c>
      <c r="N69" s="74">
        <v>0</v>
      </c>
      <c r="O69" s="74">
        <v>0</v>
      </c>
      <c r="P69" s="74">
        <v>0</v>
      </c>
      <c r="Q69" s="74">
        <v>0</v>
      </c>
      <c r="R69" s="74">
        <v>0</v>
      </c>
      <c r="S69" s="74">
        <v>300</v>
      </c>
    </row>
    <row r="70" spans="1:19" x14ac:dyDescent="0.2">
      <c r="C70" s="446" t="s">
        <v>1119</v>
      </c>
      <c r="D70" s="446" t="s">
        <v>153</v>
      </c>
      <c r="E70" s="446" t="s">
        <v>3798</v>
      </c>
      <c r="F70" s="298">
        <v>42702</v>
      </c>
      <c r="G70" s="74">
        <v>0</v>
      </c>
      <c r="H70" s="74">
        <v>0</v>
      </c>
      <c r="I70" s="74">
        <v>135</v>
      </c>
      <c r="J70" s="74">
        <v>0</v>
      </c>
      <c r="K70" s="74">
        <v>0</v>
      </c>
      <c r="L70" s="74">
        <v>135</v>
      </c>
      <c r="M70" s="74">
        <v>0</v>
      </c>
      <c r="N70" s="74">
        <v>0</v>
      </c>
      <c r="O70" s="74">
        <v>0</v>
      </c>
      <c r="P70" s="74">
        <v>0</v>
      </c>
      <c r="Q70" s="74">
        <v>0</v>
      </c>
      <c r="R70" s="74">
        <v>0</v>
      </c>
      <c r="S70" s="74">
        <v>135</v>
      </c>
    </row>
    <row r="71" spans="1:19" x14ac:dyDescent="0.2">
      <c r="C71" s="446" t="s">
        <v>1126</v>
      </c>
      <c r="D71" s="446" t="s">
        <v>153</v>
      </c>
      <c r="E71" s="446" t="s">
        <v>3798</v>
      </c>
      <c r="F71" s="298">
        <v>42858</v>
      </c>
      <c r="G71" s="74">
        <v>527</v>
      </c>
      <c r="H71" s="74">
        <v>0</v>
      </c>
      <c r="I71" s="74">
        <v>135</v>
      </c>
      <c r="J71" s="74">
        <v>0</v>
      </c>
      <c r="K71" s="74">
        <v>0</v>
      </c>
      <c r="L71" s="74">
        <v>662</v>
      </c>
      <c r="M71" s="74">
        <v>0</v>
      </c>
      <c r="N71" s="74">
        <v>0</v>
      </c>
      <c r="O71" s="74">
        <v>0</v>
      </c>
      <c r="P71" s="74">
        <v>0</v>
      </c>
      <c r="Q71" s="74">
        <v>0</v>
      </c>
      <c r="R71" s="74">
        <v>0</v>
      </c>
      <c r="S71" s="74">
        <v>662</v>
      </c>
    </row>
    <row r="72" spans="1:19" x14ac:dyDescent="0.2">
      <c r="A72" s="446" t="s">
        <v>2070</v>
      </c>
      <c r="B72" s="446" t="s">
        <v>3947</v>
      </c>
      <c r="C72" s="446" t="s">
        <v>380</v>
      </c>
      <c r="D72" s="446" t="s">
        <v>153</v>
      </c>
      <c r="E72" s="446" t="s">
        <v>3798</v>
      </c>
      <c r="F72" s="298">
        <v>42075</v>
      </c>
      <c r="G72" s="74">
        <v>300</v>
      </c>
      <c r="H72" s="74">
        <v>844</v>
      </c>
      <c r="I72" s="74">
        <v>844</v>
      </c>
      <c r="J72" s="74">
        <v>0</v>
      </c>
      <c r="K72" s="74">
        <v>0</v>
      </c>
      <c r="L72" s="74">
        <v>1988</v>
      </c>
      <c r="M72" s="74">
        <v>0</v>
      </c>
      <c r="N72" s="74">
        <v>0</v>
      </c>
      <c r="O72" s="74">
        <v>0</v>
      </c>
      <c r="P72" s="74">
        <v>0</v>
      </c>
      <c r="Q72" s="74">
        <v>0</v>
      </c>
      <c r="R72" s="74">
        <v>0</v>
      </c>
      <c r="S72" s="74">
        <v>1988</v>
      </c>
    </row>
    <row r="73" spans="1:19" x14ac:dyDescent="0.2">
      <c r="A73" s="446" t="s">
        <v>2075</v>
      </c>
      <c r="B73" s="446" t="s">
        <v>3946</v>
      </c>
      <c r="C73" s="446" t="s">
        <v>279</v>
      </c>
      <c r="D73" s="446" t="s">
        <v>153</v>
      </c>
      <c r="E73" s="446" t="s">
        <v>3798</v>
      </c>
      <c r="F73" s="298">
        <v>42264</v>
      </c>
      <c r="G73" s="74">
        <v>138</v>
      </c>
      <c r="H73" s="74">
        <v>110</v>
      </c>
      <c r="I73" s="74">
        <v>105</v>
      </c>
      <c r="J73" s="74">
        <v>0</v>
      </c>
      <c r="K73" s="74">
        <v>0</v>
      </c>
      <c r="L73" s="74">
        <v>353</v>
      </c>
      <c r="M73" s="74">
        <v>0</v>
      </c>
      <c r="N73" s="74">
        <v>0</v>
      </c>
      <c r="O73" s="74">
        <v>0</v>
      </c>
      <c r="P73" s="74">
        <v>0</v>
      </c>
      <c r="Q73" s="74">
        <v>0</v>
      </c>
      <c r="R73" s="74">
        <v>0</v>
      </c>
      <c r="S73" s="74">
        <v>353</v>
      </c>
    </row>
    <row r="74" spans="1:19" x14ac:dyDescent="0.2">
      <c r="A74" s="446" t="s">
        <v>1983</v>
      </c>
      <c r="B74" s="446" t="s">
        <v>3949</v>
      </c>
      <c r="C74" s="446" t="s">
        <v>493</v>
      </c>
      <c r="D74" s="446" t="s">
        <v>153</v>
      </c>
      <c r="E74" s="446" t="s">
        <v>3798</v>
      </c>
      <c r="F74" s="298">
        <v>42335</v>
      </c>
      <c r="G74" s="74">
        <v>677</v>
      </c>
      <c r="H74" s="74">
        <v>677</v>
      </c>
      <c r="I74" s="74">
        <v>0</v>
      </c>
      <c r="J74" s="74">
        <v>0</v>
      </c>
      <c r="K74" s="74">
        <v>0</v>
      </c>
      <c r="L74" s="74">
        <v>1354</v>
      </c>
      <c r="M74" s="74">
        <v>0</v>
      </c>
      <c r="N74" s="74">
        <v>0</v>
      </c>
      <c r="O74" s="74">
        <v>0</v>
      </c>
      <c r="P74" s="74">
        <v>0</v>
      </c>
      <c r="Q74" s="74">
        <v>0</v>
      </c>
      <c r="R74" s="74">
        <v>0</v>
      </c>
      <c r="S74" s="74">
        <v>1354</v>
      </c>
    </row>
    <row r="75" spans="1:19" x14ac:dyDescent="0.2">
      <c r="A75" s="446" t="s">
        <v>1781</v>
      </c>
      <c r="B75" s="446" t="s">
        <v>3947</v>
      </c>
      <c r="C75" s="446" t="s">
        <v>1783</v>
      </c>
      <c r="D75" s="446" t="s">
        <v>153</v>
      </c>
      <c r="E75" s="446" t="s">
        <v>3798</v>
      </c>
      <c r="F75" s="298">
        <v>42810</v>
      </c>
      <c r="G75" s="74">
        <v>312</v>
      </c>
      <c r="H75" s="74">
        <v>312</v>
      </c>
      <c r="I75" s="74">
        <v>312</v>
      </c>
      <c r="J75" s="74">
        <v>0</v>
      </c>
      <c r="K75" s="74">
        <v>0</v>
      </c>
      <c r="L75" s="74">
        <v>936</v>
      </c>
      <c r="M75" s="74">
        <v>0</v>
      </c>
      <c r="N75" s="74">
        <v>0</v>
      </c>
      <c r="O75" s="74">
        <v>0</v>
      </c>
      <c r="P75" s="74">
        <v>0</v>
      </c>
      <c r="Q75" s="74">
        <v>0</v>
      </c>
      <c r="R75" s="74">
        <v>0</v>
      </c>
      <c r="S75" s="74">
        <v>936</v>
      </c>
    </row>
    <row r="76" spans="1:19" x14ac:dyDescent="0.2">
      <c r="A76" s="446" t="s">
        <v>2619</v>
      </c>
      <c r="B76" s="446" t="s">
        <v>3941</v>
      </c>
      <c r="C76" s="446" t="s">
        <v>2620</v>
      </c>
      <c r="D76" s="446" t="s">
        <v>153</v>
      </c>
      <c r="E76" s="446" t="s">
        <v>421</v>
      </c>
      <c r="F76" s="298">
        <v>43108</v>
      </c>
      <c r="G76" s="74">
        <v>0</v>
      </c>
      <c r="H76" s="74">
        <v>0</v>
      </c>
      <c r="I76" s="74">
        <v>0</v>
      </c>
      <c r="J76" s="74">
        <v>0</v>
      </c>
      <c r="K76" s="74">
        <v>0</v>
      </c>
      <c r="L76" s="74">
        <v>0</v>
      </c>
      <c r="M76" s="74">
        <v>73</v>
      </c>
      <c r="N76" s="74">
        <v>0</v>
      </c>
      <c r="O76" s="74">
        <v>0</v>
      </c>
      <c r="P76" s="74">
        <v>0</v>
      </c>
      <c r="Q76" s="74">
        <v>0</v>
      </c>
      <c r="R76" s="74">
        <v>73</v>
      </c>
      <c r="S76" s="74">
        <v>-73</v>
      </c>
    </row>
    <row r="77" spans="1:19" x14ac:dyDescent="0.2">
      <c r="A77" s="446" t="s">
        <v>1517</v>
      </c>
      <c r="B77" s="446" t="s">
        <v>3943</v>
      </c>
      <c r="C77" s="446" t="s">
        <v>367</v>
      </c>
      <c r="D77" s="446" t="s">
        <v>153</v>
      </c>
      <c r="E77" s="446" t="s">
        <v>3798</v>
      </c>
      <c r="F77" s="298">
        <v>42185</v>
      </c>
      <c r="G77" s="74">
        <v>526</v>
      </c>
      <c r="H77" s="74">
        <v>0</v>
      </c>
      <c r="I77" s="74">
        <v>117</v>
      </c>
      <c r="J77" s="74">
        <v>353</v>
      </c>
      <c r="K77" s="74">
        <v>0</v>
      </c>
      <c r="L77" s="74">
        <v>996</v>
      </c>
      <c r="M77" s="74">
        <v>135</v>
      </c>
      <c r="N77" s="74">
        <v>0</v>
      </c>
      <c r="O77" s="74">
        <v>0</v>
      </c>
      <c r="P77" s="74">
        <v>0</v>
      </c>
      <c r="Q77" s="74">
        <v>0</v>
      </c>
      <c r="R77" s="74">
        <v>135</v>
      </c>
      <c r="S77" s="74">
        <v>861</v>
      </c>
    </row>
    <row r="78" spans="1:19" x14ac:dyDescent="0.2">
      <c r="A78" s="446" t="s">
        <v>1322</v>
      </c>
      <c r="B78" s="446" t="s">
        <v>3943</v>
      </c>
      <c r="C78" s="446" t="s">
        <v>643</v>
      </c>
      <c r="D78" s="446" t="s">
        <v>153</v>
      </c>
      <c r="E78" s="446" t="s">
        <v>3798</v>
      </c>
      <c r="F78" s="298">
        <v>40588</v>
      </c>
      <c r="G78" s="74">
        <v>110</v>
      </c>
      <c r="H78" s="74">
        <v>110</v>
      </c>
      <c r="I78" s="74">
        <v>109</v>
      </c>
      <c r="J78" s="74">
        <v>109</v>
      </c>
      <c r="K78" s="74">
        <v>0</v>
      </c>
      <c r="L78" s="74">
        <v>438</v>
      </c>
      <c r="M78" s="74">
        <v>0</v>
      </c>
      <c r="N78" s="74">
        <v>0</v>
      </c>
      <c r="O78" s="74">
        <v>0</v>
      </c>
      <c r="P78" s="74">
        <v>0</v>
      </c>
      <c r="Q78" s="74">
        <v>0</v>
      </c>
      <c r="R78" s="74">
        <v>0</v>
      </c>
      <c r="S78" s="74">
        <v>438</v>
      </c>
    </row>
    <row r="79" spans="1:19" x14ac:dyDescent="0.2">
      <c r="A79" s="446" t="s">
        <v>2094</v>
      </c>
      <c r="B79" s="446" t="s">
        <v>2907</v>
      </c>
      <c r="C79" s="446" t="s">
        <v>309</v>
      </c>
      <c r="D79" s="446" t="s">
        <v>153</v>
      </c>
      <c r="E79" s="446" t="s">
        <v>421</v>
      </c>
      <c r="F79" s="298">
        <v>42066</v>
      </c>
      <c r="G79" s="74">
        <v>18</v>
      </c>
      <c r="H79" s="74">
        <v>0</v>
      </c>
      <c r="I79" s="74">
        <v>0</v>
      </c>
      <c r="J79" s="74">
        <v>0</v>
      </c>
      <c r="K79" s="74">
        <v>0</v>
      </c>
      <c r="L79" s="74">
        <v>18</v>
      </c>
      <c r="M79" s="74">
        <v>60</v>
      </c>
      <c r="N79" s="74">
        <v>0</v>
      </c>
      <c r="O79" s="74">
        <v>0</v>
      </c>
      <c r="P79" s="74">
        <v>0</v>
      </c>
      <c r="Q79" s="74">
        <v>0</v>
      </c>
      <c r="R79" s="74">
        <v>60</v>
      </c>
      <c r="S79" s="74">
        <v>-42</v>
      </c>
    </row>
    <row r="80" spans="1:19" x14ac:dyDescent="0.2">
      <c r="A80" s="446" t="s">
        <v>1723</v>
      </c>
      <c r="B80" s="446" t="s">
        <v>3943</v>
      </c>
      <c r="C80" s="446" t="s">
        <v>1725</v>
      </c>
      <c r="D80" s="446" t="s">
        <v>153</v>
      </c>
      <c r="E80" s="446" t="s">
        <v>3798</v>
      </c>
      <c r="F80" s="298">
        <v>43160</v>
      </c>
      <c r="G80" s="74">
        <v>0</v>
      </c>
      <c r="H80" s="74">
        <v>0</v>
      </c>
      <c r="I80" s="74">
        <v>0</v>
      </c>
      <c r="J80" s="74">
        <v>0</v>
      </c>
      <c r="K80" s="74">
        <v>0</v>
      </c>
      <c r="L80" s="74">
        <v>0</v>
      </c>
      <c r="M80" s="74">
        <v>5011</v>
      </c>
      <c r="N80" s="74">
        <v>0</v>
      </c>
      <c r="O80" s="74">
        <v>0</v>
      </c>
      <c r="P80" s="74">
        <v>0</v>
      </c>
      <c r="Q80" s="74">
        <v>0</v>
      </c>
      <c r="R80" s="74">
        <v>5011</v>
      </c>
      <c r="S80" s="74">
        <v>-5011</v>
      </c>
    </row>
    <row r="81" spans="1:19" x14ac:dyDescent="0.2">
      <c r="A81" s="446" t="s">
        <v>1837</v>
      </c>
      <c r="B81" s="446" t="s">
        <v>3946</v>
      </c>
      <c r="C81" s="446" t="s">
        <v>66</v>
      </c>
      <c r="D81" s="446" t="s">
        <v>153</v>
      </c>
      <c r="E81" s="446" t="s">
        <v>3798</v>
      </c>
      <c r="F81" s="298">
        <v>40882</v>
      </c>
      <c r="G81" s="74">
        <v>0</v>
      </c>
      <c r="H81" s="74">
        <v>84</v>
      </c>
      <c r="I81" s="74">
        <v>0</v>
      </c>
      <c r="J81" s="74">
        <v>0</v>
      </c>
      <c r="K81" s="74">
        <v>0</v>
      </c>
      <c r="L81" s="74">
        <v>84</v>
      </c>
      <c r="M81" s="74">
        <v>0</v>
      </c>
      <c r="N81" s="74">
        <v>0</v>
      </c>
      <c r="O81" s="74">
        <v>0</v>
      </c>
      <c r="P81" s="74">
        <v>0</v>
      </c>
      <c r="Q81" s="74">
        <v>0</v>
      </c>
      <c r="R81" s="74">
        <v>0</v>
      </c>
      <c r="S81" s="74">
        <v>84</v>
      </c>
    </row>
    <row r="82" spans="1:19" x14ac:dyDescent="0.2">
      <c r="A82" s="446" t="s">
        <v>1992</v>
      </c>
      <c r="B82" s="446" t="s">
        <v>3941</v>
      </c>
      <c r="C82" s="446" t="s">
        <v>248</v>
      </c>
      <c r="D82" s="446" t="s">
        <v>153</v>
      </c>
      <c r="E82" s="446" t="s">
        <v>3798</v>
      </c>
      <c r="F82" s="298">
        <v>41843</v>
      </c>
      <c r="G82" s="74">
        <v>52</v>
      </c>
      <c r="H82" s="74">
        <v>0</v>
      </c>
      <c r="I82" s="74">
        <v>0</v>
      </c>
      <c r="J82" s="74">
        <v>0</v>
      </c>
      <c r="K82" s="74">
        <v>0</v>
      </c>
      <c r="L82" s="74">
        <v>52</v>
      </c>
      <c r="M82" s="74">
        <v>0</v>
      </c>
      <c r="N82" s="74">
        <v>0</v>
      </c>
      <c r="O82" s="74">
        <v>0</v>
      </c>
      <c r="P82" s="74">
        <v>0</v>
      </c>
      <c r="Q82" s="74">
        <v>0</v>
      </c>
      <c r="R82" s="74">
        <v>0</v>
      </c>
      <c r="S82" s="74">
        <v>52</v>
      </c>
    </row>
    <row r="83" spans="1:19" x14ac:dyDescent="0.2">
      <c r="A83" s="446" t="s">
        <v>2377</v>
      </c>
      <c r="B83" s="446" t="s">
        <v>3946</v>
      </c>
      <c r="C83" s="446" t="s">
        <v>1210</v>
      </c>
      <c r="D83" s="446" t="s">
        <v>153</v>
      </c>
      <c r="E83" s="446" t="s">
        <v>3798</v>
      </c>
      <c r="F83" s="298">
        <v>43090</v>
      </c>
      <c r="G83" s="74">
        <v>107</v>
      </c>
      <c r="H83" s="74">
        <v>0</v>
      </c>
      <c r="I83" s="74">
        <v>194</v>
      </c>
      <c r="J83" s="74">
        <v>87</v>
      </c>
      <c r="K83" s="74">
        <v>0</v>
      </c>
      <c r="L83" s="74">
        <v>388</v>
      </c>
      <c r="M83" s="74">
        <v>23</v>
      </c>
      <c r="N83" s="74">
        <v>0</v>
      </c>
      <c r="O83" s="74">
        <v>23</v>
      </c>
      <c r="P83" s="74">
        <v>21</v>
      </c>
      <c r="Q83" s="74">
        <v>0</v>
      </c>
      <c r="R83" s="74">
        <v>67</v>
      </c>
      <c r="S83" s="74">
        <v>321</v>
      </c>
    </row>
    <row r="84" spans="1:19" x14ac:dyDescent="0.2">
      <c r="A84" s="446" t="s">
        <v>1849</v>
      </c>
      <c r="B84" s="446" t="s">
        <v>3946</v>
      </c>
      <c r="C84" s="446" t="s">
        <v>1107</v>
      </c>
      <c r="D84" s="446" t="s">
        <v>153</v>
      </c>
      <c r="E84" s="446" t="s">
        <v>3798</v>
      </c>
      <c r="F84" s="298">
        <v>42985</v>
      </c>
      <c r="G84" s="74">
        <v>154</v>
      </c>
      <c r="H84" s="74">
        <v>154</v>
      </c>
      <c r="I84" s="74">
        <v>154</v>
      </c>
      <c r="J84" s="74">
        <v>0</v>
      </c>
      <c r="K84" s="74">
        <v>0</v>
      </c>
      <c r="L84" s="74">
        <v>462</v>
      </c>
      <c r="M84" s="74">
        <v>0</v>
      </c>
      <c r="N84" s="74">
        <v>0</v>
      </c>
      <c r="O84" s="74">
        <v>0</v>
      </c>
      <c r="P84" s="74">
        <v>0</v>
      </c>
      <c r="Q84" s="74">
        <v>0</v>
      </c>
      <c r="R84" s="74">
        <v>0</v>
      </c>
      <c r="S84" s="74">
        <v>462</v>
      </c>
    </row>
    <row r="85" spans="1:19" x14ac:dyDescent="0.2">
      <c r="A85" s="446" t="s">
        <v>1867</v>
      </c>
      <c r="B85" s="446" t="s">
        <v>3947</v>
      </c>
      <c r="C85" s="446" t="s">
        <v>1871</v>
      </c>
      <c r="D85" s="446" t="s">
        <v>1873</v>
      </c>
      <c r="E85" s="446" t="s">
        <v>3798</v>
      </c>
      <c r="F85" s="298">
        <v>42880</v>
      </c>
      <c r="G85" s="74">
        <v>121</v>
      </c>
      <c r="H85" s="74">
        <v>121</v>
      </c>
      <c r="I85" s="74">
        <v>121</v>
      </c>
      <c r="J85" s="74">
        <v>120</v>
      </c>
      <c r="K85" s="74">
        <v>120</v>
      </c>
      <c r="L85" s="74">
        <v>603</v>
      </c>
      <c r="M85" s="74">
        <v>0</v>
      </c>
      <c r="N85" s="74">
        <v>0</v>
      </c>
      <c r="O85" s="74">
        <v>0</v>
      </c>
      <c r="P85" s="74">
        <v>0</v>
      </c>
      <c r="Q85" s="74">
        <v>0</v>
      </c>
      <c r="R85" s="74">
        <v>0</v>
      </c>
      <c r="S85" s="74">
        <v>603</v>
      </c>
    </row>
    <row r="86" spans="1:19" x14ac:dyDescent="0.2">
      <c r="D86" s="446" t="s">
        <v>1874</v>
      </c>
      <c r="E86" s="446" t="s">
        <v>3798</v>
      </c>
      <c r="F86" s="298">
        <v>42880</v>
      </c>
      <c r="G86" s="74">
        <v>125</v>
      </c>
      <c r="H86" s="74">
        <v>125</v>
      </c>
      <c r="I86" s="74">
        <v>125</v>
      </c>
      <c r="J86" s="74">
        <v>124</v>
      </c>
      <c r="K86" s="74">
        <v>124</v>
      </c>
      <c r="L86" s="74">
        <v>623</v>
      </c>
      <c r="M86" s="74">
        <v>0</v>
      </c>
      <c r="N86" s="74">
        <v>0</v>
      </c>
      <c r="O86" s="74">
        <v>0</v>
      </c>
      <c r="P86" s="74">
        <v>0</v>
      </c>
      <c r="Q86" s="74">
        <v>0</v>
      </c>
      <c r="R86" s="74">
        <v>0</v>
      </c>
      <c r="S86" s="74">
        <v>623</v>
      </c>
    </row>
    <row r="87" spans="1:19" x14ac:dyDescent="0.2">
      <c r="D87" s="446" t="s">
        <v>1875</v>
      </c>
      <c r="E87" s="446" t="s">
        <v>3798</v>
      </c>
      <c r="F87" s="298">
        <v>42880</v>
      </c>
      <c r="G87" s="74">
        <v>128</v>
      </c>
      <c r="H87" s="74">
        <v>128</v>
      </c>
      <c r="I87" s="74">
        <v>128</v>
      </c>
      <c r="J87" s="74">
        <v>127</v>
      </c>
      <c r="K87" s="74">
        <v>127</v>
      </c>
      <c r="L87" s="74">
        <v>638</v>
      </c>
      <c r="M87" s="74">
        <v>0</v>
      </c>
      <c r="N87" s="74">
        <v>0</v>
      </c>
      <c r="O87" s="74">
        <v>0</v>
      </c>
      <c r="P87" s="74">
        <v>0</v>
      </c>
      <c r="Q87" s="74">
        <v>0</v>
      </c>
      <c r="R87" s="74">
        <v>0</v>
      </c>
      <c r="S87" s="74">
        <v>638</v>
      </c>
    </row>
    <row r="88" spans="1:19" x14ac:dyDescent="0.2">
      <c r="C88" s="446" t="s">
        <v>1879</v>
      </c>
      <c r="D88" s="446" t="s">
        <v>1881</v>
      </c>
      <c r="E88" s="446" t="s">
        <v>3798</v>
      </c>
      <c r="F88" s="298">
        <v>42870</v>
      </c>
      <c r="G88" s="74">
        <v>29</v>
      </c>
      <c r="H88" s="74">
        <v>29</v>
      </c>
      <c r="I88" s="74">
        <v>29</v>
      </c>
      <c r="J88" s="74">
        <v>30</v>
      </c>
      <c r="K88" s="74">
        <v>30</v>
      </c>
      <c r="L88" s="74">
        <v>147</v>
      </c>
      <c r="M88" s="74">
        <v>0</v>
      </c>
      <c r="N88" s="74">
        <v>0</v>
      </c>
      <c r="O88" s="74">
        <v>0</v>
      </c>
      <c r="P88" s="74">
        <v>0</v>
      </c>
      <c r="Q88" s="74">
        <v>0</v>
      </c>
      <c r="R88" s="74">
        <v>0</v>
      </c>
      <c r="S88" s="74">
        <v>147</v>
      </c>
    </row>
    <row r="89" spans="1:19" x14ac:dyDescent="0.2">
      <c r="A89" s="446" t="s">
        <v>1358</v>
      </c>
      <c r="B89" s="446" t="s">
        <v>3947</v>
      </c>
      <c r="C89" s="446" t="s">
        <v>1360</v>
      </c>
      <c r="D89" s="446" t="s">
        <v>153</v>
      </c>
      <c r="E89" s="446" t="s">
        <v>3798</v>
      </c>
      <c r="F89" s="298">
        <v>41877</v>
      </c>
      <c r="G89" s="74">
        <v>83</v>
      </c>
      <c r="H89" s="74">
        <v>83</v>
      </c>
      <c r="I89" s="74">
        <v>83</v>
      </c>
      <c r="J89" s="74">
        <v>84</v>
      </c>
      <c r="K89" s="74">
        <v>0</v>
      </c>
      <c r="L89" s="74">
        <v>333</v>
      </c>
      <c r="M89" s="74">
        <v>0</v>
      </c>
      <c r="N89" s="74">
        <v>1736</v>
      </c>
      <c r="O89" s="74">
        <v>0</v>
      </c>
      <c r="P89" s="74">
        <v>470</v>
      </c>
      <c r="Q89" s="74">
        <v>0</v>
      </c>
      <c r="R89" s="74">
        <v>2206</v>
      </c>
      <c r="S89" s="74">
        <v>-1873</v>
      </c>
    </row>
    <row r="90" spans="1:19" x14ac:dyDescent="0.2">
      <c r="C90" s="446" t="s">
        <v>1362</v>
      </c>
      <c r="D90" s="446" t="s">
        <v>153</v>
      </c>
      <c r="E90" s="446" t="s">
        <v>3798</v>
      </c>
      <c r="F90" s="298">
        <v>42542</v>
      </c>
      <c r="G90" s="74">
        <v>109</v>
      </c>
      <c r="H90" s="74">
        <v>109</v>
      </c>
      <c r="I90" s="74">
        <v>109</v>
      </c>
      <c r="J90" s="74">
        <v>110</v>
      </c>
      <c r="K90" s="74">
        <v>0</v>
      </c>
      <c r="L90" s="74">
        <v>437</v>
      </c>
      <c r="M90" s="74">
        <v>83</v>
      </c>
      <c r="N90" s="74">
        <v>83</v>
      </c>
      <c r="O90" s="74">
        <v>83</v>
      </c>
      <c r="P90" s="74">
        <v>84</v>
      </c>
      <c r="Q90" s="74">
        <v>0</v>
      </c>
      <c r="R90" s="74">
        <v>333</v>
      </c>
      <c r="S90" s="74">
        <v>104</v>
      </c>
    </row>
    <row r="91" spans="1:19" x14ac:dyDescent="0.2">
      <c r="A91" s="446" t="s">
        <v>1682</v>
      </c>
      <c r="B91" s="446" t="s">
        <v>3947</v>
      </c>
      <c r="C91" s="446" t="s">
        <v>354</v>
      </c>
      <c r="D91" s="446" t="s">
        <v>1688</v>
      </c>
      <c r="E91" s="446" t="s">
        <v>3798</v>
      </c>
      <c r="F91" s="298">
        <v>42046</v>
      </c>
      <c r="G91" s="74">
        <v>103</v>
      </c>
      <c r="H91" s="74">
        <v>103</v>
      </c>
      <c r="I91" s="74">
        <v>103</v>
      </c>
      <c r="J91" s="74">
        <v>104</v>
      </c>
      <c r="K91" s="74">
        <v>104</v>
      </c>
      <c r="L91" s="74">
        <v>517</v>
      </c>
      <c r="M91" s="74">
        <v>0</v>
      </c>
      <c r="N91" s="74">
        <v>0</v>
      </c>
      <c r="O91" s="74">
        <v>0</v>
      </c>
      <c r="P91" s="74">
        <v>0</v>
      </c>
      <c r="Q91" s="74">
        <v>0</v>
      </c>
      <c r="R91" s="74">
        <v>0</v>
      </c>
      <c r="S91" s="74">
        <v>517</v>
      </c>
    </row>
    <row r="92" spans="1:19" x14ac:dyDescent="0.2">
      <c r="A92" s="446" t="s">
        <v>1476</v>
      </c>
      <c r="B92" s="446" t="s">
        <v>3947</v>
      </c>
      <c r="C92" s="446" t="s">
        <v>251</v>
      </c>
      <c r="D92" s="446" t="s">
        <v>153</v>
      </c>
      <c r="E92" s="446" t="s">
        <v>3798</v>
      </c>
      <c r="F92" s="298">
        <v>41940</v>
      </c>
      <c r="G92" s="74">
        <v>488</v>
      </c>
      <c r="H92" s="74">
        <v>0</v>
      </c>
      <c r="I92" s="74">
        <v>0</v>
      </c>
      <c r="J92" s="74">
        <v>0</v>
      </c>
      <c r="K92" s="74">
        <v>0</v>
      </c>
      <c r="L92" s="74">
        <v>488</v>
      </c>
      <c r="M92" s="74">
        <v>0</v>
      </c>
      <c r="N92" s="74">
        <v>0</v>
      </c>
      <c r="O92" s="74">
        <v>0</v>
      </c>
      <c r="P92" s="74">
        <v>0</v>
      </c>
      <c r="Q92" s="74">
        <v>0</v>
      </c>
      <c r="R92" s="74">
        <v>0</v>
      </c>
      <c r="S92" s="74">
        <v>488</v>
      </c>
    </row>
    <row r="93" spans="1:19" x14ac:dyDescent="0.2">
      <c r="A93" s="446" t="s">
        <v>1719</v>
      </c>
      <c r="B93" s="446" t="s">
        <v>3942</v>
      </c>
      <c r="C93" s="446" t="s">
        <v>176</v>
      </c>
      <c r="D93" s="446" t="s">
        <v>153</v>
      </c>
      <c r="E93" s="446" t="s">
        <v>3798</v>
      </c>
      <c r="F93" s="298">
        <v>41200</v>
      </c>
      <c r="G93" s="74">
        <v>95</v>
      </c>
      <c r="H93" s="74">
        <v>95</v>
      </c>
      <c r="I93" s="74">
        <v>95</v>
      </c>
      <c r="J93" s="74">
        <v>95</v>
      </c>
      <c r="K93" s="74">
        <v>95</v>
      </c>
      <c r="L93" s="74">
        <v>475</v>
      </c>
      <c r="M93" s="74">
        <v>0</v>
      </c>
      <c r="N93" s="74">
        <v>0</v>
      </c>
      <c r="O93" s="74">
        <v>0</v>
      </c>
      <c r="P93" s="74">
        <v>0</v>
      </c>
      <c r="Q93" s="74">
        <v>0</v>
      </c>
      <c r="R93" s="74">
        <v>0</v>
      </c>
      <c r="S93" s="74">
        <v>475</v>
      </c>
    </row>
    <row r="94" spans="1:19" x14ac:dyDescent="0.2">
      <c r="A94" s="446" t="s">
        <v>1713</v>
      </c>
      <c r="B94" s="446" t="s">
        <v>3944</v>
      </c>
      <c r="C94" s="446" t="s">
        <v>229</v>
      </c>
      <c r="D94" s="446" t="s">
        <v>153</v>
      </c>
      <c r="E94" s="446" t="s">
        <v>3798</v>
      </c>
      <c r="F94" s="298">
        <v>41614</v>
      </c>
      <c r="G94" s="74">
        <v>2329</v>
      </c>
      <c r="H94" s="74">
        <v>2329</v>
      </c>
      <c r="I94" s="74">
        <v>2329</v>
      </c>
      <c r="J94" s="74">
        <v>0</v>
      </c>
      <c r="K94" s="74">
        <v>2330</v>
      </c>
      <c r="L94" s="74">
        <v>9317</v>
      </c>
      <c r="M94" s="74">
        <v>0</v>
      </c>
      <c r="N94" s="74">
        <v>0</v>
      </c>
      <c r="O94" s="74">
        <v>0</v>
      </c>
      <c r="P94" s="74">
        <v>0</v>
      </c>
      <c r="Q94" s="74">
        <v>0</v>
      </c>
      <c r="R94" s="74">
        <v>0</v>
      </c>
      <c r="S94" s="74">
        <v>9317</v>
      </c>
    </row>
    <row r="95" spans="1:19" x14ac:dyDescent="0.2">
      <c r="C95" s="446" t="s">
        <v>1715</v>
      </c>
      <c r="D95" s="446" t="s">
        <v>153</v>
      </c>
      <c r="E95" s="446" t="s">
        <v>3798</v>
      </c>
      <c r="F95" s="298">
        <v>43076</v>
      </c>
      <c r="G95" s="74">
        <v>0</v>
      </c>
      <c r="H95" s="74">
        <v>0</v>
      </c>
      <c r="I95" s="74">
        <v>377</v>
      </c>
      <c r="J95" s="74">
        <v>0</v>
      </c>
      <c r="K95" s="74">
        <v>0</v>
      </c>
      <c r="L95" s="74">
        <v>377</v>
      </c>
      <c r="M95" s="74">
        <v>0</v>
      </c>
      <c r="N95" s="74">
        <v>0</v>
      </c>
      <c r="O95" s="74">
        <v>377</v>
      </c>
      <c r="P95" s="74">
        <v>0</v>
      </c>
      <c r="Q95" s="74">
        <v>0</v>
      </c>
      <c r="R95" s="74">
        <v>377</v>
      </c>
      <c r="S95" s="74">
        <v>0</v>
      </c>
    </row>
    <row r="96" spans="1:19" x14ac:dyDescent="0.2">
      <c r="A96" s="446" t="s">
        <v>1525</v>
      </c>
      <c r="B96" s="446" t="s">
        <v>3947</v>
      </c>
      <c r="C96" s="446" t="s">
        <v>1528</v>
      </c>
      <c r="D96" s="446" t="s">
        <v>1530</v>
      </c>
      <c r="E96" s="446" t="s">
        <v>3798</v>
      </c>
      <c r="F96" s="298">
        <v>42426</v>
      </c>
      <c r="G96" s="74">
        <v>4485</v>
      </c>
      <c r="H96" s="74">
        <v>4486</v>
      </c>
      <c r="I96" s="74">
        <v>282</v>
      </c>
      <c r="J96" s="74">
        <v>282</v>
      </c>
      <c r="K96" s="74">
        <v>282</v>
      </c>
      <c r="L96" s="74">
        <v>9817</v>
      </c>
      <c r="M96" s="74">
        <v>0</v>
      </c>
      <c r="N96" s="74">
        <v>0</v>
      </c>
      <c r="O96" s="74">
        <v>0</v>
      </c>
      <c r="P96" s="74">
        <v>0</v>
      </c>
      <c r="Q96" s="74">
        <v>0</v>
      </c>
      <c r="R96" s="74">
        <v>0</v>
      </c>
      <c r="S96" s="74">
        <v>9817</v>
      </c>
    </row>
    <row r="97" spans="1:19" x14ac:dyDescent="0.2">
      <c r="D97" s="446" t="s">
        <v>1531</v>
      </c>
      <c r="E97" s="446" t="s">
        <v>3798</v>
      </c>
      <c r="F97" s="298">
        <v>42426</v>
      </c>
      <c r="G97" s="74">
        <v>6704</v>
      </c>
      <c r="H97" s="74">
        <v>6704</v>
      </c>
      <c r="I97" s="74">
        <v>1913</v>
      </c>
      <c r="J97" s="74">
        <v>1913</v>
      </c>
      <c r="K97" s="74">
        <v>1913</v>
      </c>
      <c r="L97" s="74">
        <v>19147</v>
      </c>
      <c r="M97" s="74">
        <v>0</v>
      </c>
      <c r="N97" s="74">
        <v>0</v>
      </c>
      <c r="O97" s="74">
        <v>0</v>
      </c>
      <c r="P97" s="74">
        <v>0</v>
      </c>
      <c r="Q97" s="74">
        <v>0</v>
      </c>
      <c r="R97" s="74">
        <v>0</v>
      </c>
      <c r="S97" s="74">
        <v>19147</v>
      </c>
    </row>
    <row r="98" spans="1:19" x14ac:dyDescent="0.2">
      <c r="C98" s="446" t="s">
        <v>1287</v>
      </c>
      <c r="D98" s="446" t="s">
        <v>2819</v>
      </c>
      <c r="E98" s="446" t="s">
        <v>3798</v>
      </c>
      <c r="F98" s="298">
        <v>42873</v>
      </c>
      <c r="G98" s="74">
        <v>17998</v>
      </c>
      <c r="H98" s="74">
        <v>17930</v>
      </c>
      <c r="I98" s="74">
        <v>2351</v>
      </c>
      <c r="J98" s="74">
        <v>2351</v>
      </c>
      <c r="K98" s="74">
        <v>2283</v>
      </c>
      <c r="L98" s="74">
        <v>42913</v>
      </c>
      <c r="M98" s="74">
        <v>0</v>
      </c>
      <c r="N98" s="74">
        <v>0</v>
      </c>
      <c r="O98" s="74">
        <v>0</v>
      </c>
      <c r="P98" s="74">
        <v>0</v>
      </c>
      <c r="Q98" s="74">
        <v>0</v>
      </c>
      <c r="R98" s="74">
        <v>0</v>
      </c>
      <c r="S98" s="74">
        <v>42913</v>
      </c>
    </row>
    <row r="99" spans="1:19" x14ac:dyDescent="0.2">
      <c r="A99" s="446" t="s">
        <v>1864</v>
      </c>
      <c r="B99" s="446" t="s">
        <v>3944</v>
      </c>
      <c r="C99" s="446" t="s">
        <v>323</v>
      </c>
      <c r="D99" s="446" t="s">
        <v>153</v>
      </c>
      <c r="E99" s="446" t="s">
        <v>3798</v>
      </c>
      <c r="F99" s="298">
        <v>42193</v>
      </c>
      <c r="G99" s="74">
        <v>212</v>
      </c>
      <c r="H99" s="74">
        <v>212</v>
      </c>
      <c r="I99" s="74">
        <v>212</v>
      </c>
      <c r="J99" s="74">
        <v>212</v>
      </c>
      <c r="K99" s="74">
        <v>212</v>
      </c>
      <c r="L99" s="74">
        <v>1060</v>
      </c>
      <c r="M99" s="74">
        <v>0</v>
      </c>
      <c r="N99" s="74">
        <v>0</v>
      </c>
      <c r="O99" s="74">
        <v>0</v>
      </c>
      <c r="P99" s="74">
        <v>0</v>
      </c>
      <c r="Q99" s="74">
        <v>0</v>
      </c>
      <c r="R99" s="74">
        <v>0</v>
      </c>
      <c r="S99" s="74">
        <v>1060</v>
      </c>
    </row>
    <row r="100" spans="1:19" x14ac:dyDescent="0.2">
      <c r="C100" s="446" t="s">
        <v>865</v>
      </c>
      <c r="D100" s="446" t="s">
        <v>153</v>
      </c>
      <c r="E100" s="446" t="s">
        <v>3798</v>
      </c>
      <c r="F100" s="298">
        <v>42556</v>
      </c>
      <c r="G100" s="74">
        <v>93</v>
      </c>
      <c r="H100" s="74">
        <v>93</v>
      </c>
      <c r="I100" s="74">
        <v>93</v>
      </c>
      <c r="J100" s="74">
        <v>92</v>
      </c>
      <c r="K100" s="74">
        <v>92</v>
      </c>
      <c r="L100" s="74">
        <v>463</v>
      </c>
      <c r="M100" s="74">
        <v>82</v>
      </c>
      <c r="N100" s="74">
        <v>82</v>
      </c>
      <c r="O100" s="74">
        <v>82</v>
      </c>
      <c r="P100" s="74">
        <v>81</v>
      </c>
      <c r="Q100" s="74">
        <v>81</v>
      </c>
      <c r="R100" s="74">
        <v>408</v>
      </c>
      <c r="S100" s="74">
        <v>55</v>
      </c>
    </row>
    <row r="101" spans="1:19" x14ac:dyDescent="0.2">
      <c r="A101" s="446" t="s">
        <v>1546</v>
      </c>
      <c r="B101" s="446" t="s">
        <v>3953</v>
      </c>
      <c r="C101" s="446" t="s">
        <v>68</v>
      </c>
      <c r="D101" s="446" t="s">
        <v>153</v>
      </c>
      <c r="E101" s="446" t="s">
        <v>3798</v>
      </c>
      <c r="F101" s="298">
        <v>40587</v>
      </c>
      <c r="G101" s="74">
        <v>400</v>
      </c>
      <c r="H101" s="74">
        <v>200</v>
      </c>
      <c r="I101" s="74">
        <v>300</v>
      </c>
      <c r="J101" s="74">
        <v>250</v>
      </c>
      <c r="K101" s="74">
        <v>0</v>
      </c>
      <c r="L101" s="74">
        <v>1150</v>
      </c>
      <c r="M101" s="74">
        <v>0</v>
      </c>
      <c r="N101" s="74">
        <v>0</v>
      </c>
      <c r="O101" s="74">
        <v>768</v>
      </c>
      <c r="P101" s="74">
        <v>0</v>
      </c>
      <c r="Q101" s="74">
        <v>0</v>
      </c>
      <c r="R101" s="74">
        <v>768</v>
      </c>
      <c r="S101" s="74">
        <v>382</v>
      </c>
    </row>
    <row r="102" spans="1:19" x14ac:dyDescent="0.2">
      <c r="A102" s="446" t="s">
        <v>1766</v>
      </c>
      <c r="B102" s="446" t="s">
        <v>3948</v>
      </c>
      <c r="C102" s="446" t="s">
        <v>57</v>
      </c>
      <c r="D102" s="446" t="s">
        <v>153</v>
      </c>
      <c r="E102" s="446" t="s">
        <v>3798</v>
      </c>
      <c r="F102" s="298">
        <v>40921</v>
      </c>
      <c r="G102" s="74">
        <v>0</v>
      </c>
      <c r="H102" s="74">
        <v>0</v>
      </c>
      <c r="I102" s="74">
        <v>0</v>
      </c>
      <c r="J102" s="74">
        <v>0</v>
      </c>
      <c r="K102" s="74">
        <v>0</v>
      </c>
      <c r="L102" s="74">
        <v>0</v>
      </c>
      <c r="M102" s="74">
        <v>200</v>
      </c>
      <c r="N102" s="74">
        <v>0</v>
      </c>
      <c r="O102" s="74">
        <v>0</v>
      </c>
      <c r="P102" s="74">
        <v>0</v>
      </c>
      <c r="Q102" s="74">
        <v>0</v>
      </c>
      <c r="R102" s="74">
        <v>200</v>
      </c>
      <c r="S102" s="74">
        <v>-200</v>
      </c>
    </row>
    <row r="103" spans="1:19" x14ac:dyDescent="0.2">
      <c r="A103" s="446" t="s">
        <v>1830</v>
      </c>
      <c r="B103" s="446" t="s">
        <v>3944</v>
      </c>
      <c r="C103" s="446" t="s">
        <v>802</v>
      </c>
      <c r="D103" s="446" t="s">
        <v>153</v>
      </c>
      <c r="E103" s="446" t="s">
        <v>3798</v>
      </c>
      <c r="F103" s="298">
        <v>42628</v>
      </c>
      <c r="G103" s="74">
        <v>85</v>
      </c>
      <c r="H103" s="74">
        <v>85</v>
      </c>
      <c r="I103" s="74">
        <v>86</v>
      </c>
      <c r="J103" s="74">
        <v>86</v>
      </c>
      <c r="K103" s="74">
        <v>0</v>
      </c>
      <c r="L103" s="74">
        <v>342</v>
      </c>
      <c r="M103" s="74">
        <v>0</v>
      </c>
      <c r="N103" s="74">
        <v>0</v>
      </c>
      <c r="O103" s="74">
        <v>0</v>
      </c>
      <c r="P103" s="74">
        <v>298</v>
      </c>
      <c r="Q103" s="74">
        <v>0</v>
      </c>
      <c r="R103" s="74">
        <v>298</v>
      </c>
      <c r="S103" s="74">
        <v>44</v>
      </c>
    </row>
    <row r="104" spans="1:19" x14ac:dyDescent="0.2">
      <c r="A104" s="446" t="s">
        <v>1928</v>
      </c>
      <c r="B104" s="446" t="s">
        <v>3946</v>
      </c>
      <c r="C104" s="446" t="s">
        <v>896</v>
      </c>
      <c r="D104" s="446" t="s">
        <v>153</v>
      </c>
      <c r="E104" s="446" t="s">
        <v>3798</v>
      </c>
      <c r="F104" s="298">
        <v>42628</v>
      </c>
      <c r="G104" s="74">
        <v>0</v>
      </c>
      <c r="H104" s="74">
        <v>0</v>
      </c>
      <c r="I104" s="74">
        <v>69</v>
      </c>
      <c r="J104" s="74">
        <v>0</v>
      </c>
      <c r="K104" s="74">
        <v>0</v>
      </c>
      <c r="L104" s="74">
        <v>69</v>
      </c>
      <c r="M104" s="74">
        <v>0</v>
      </c>
      <c r="N104" s="74">
        <v>0</v>
      </c>
      <c r="O104" s="74">
        <v>0</v>
      </c>
      <c r="P104" s="74">
        <v>0</v>
      </c>
      <c r="Q104" s="74">
        <v>0</v>
      </c>
      <c r="R104" s="74">
        <v>0</v>
      </c>
      <c r="S104" s="74">
        <v>69</v>
      </c>
    </row>
    <row r="105" spans="1:19" x14ac:dyDescent="0.2">
      <c r="A105" s="446" t="s">
        <v>2503</v>
      </c>
      <c r="B105" s="446" t="s">
        <v>3941</v>
      </c>
      <c r="C105" s="446" t="s">
        <v>2504</v>
      </c>
      <c r="D105" s="446" t="s">
        <v>153</v>
      </c>
      <c r="E105" s="446" t="s">
        <v>3798</v>
      </c>
      <c r="F105" s="298">
        <v>43039</v>
      </c>
      <c r="G105" s="74">
        <v>0</v>
      </c>
      <c r="H105" s="74">
        <v>0</v>
      </c>
      <c r="I105" s="74">
        <v>34</v>
      </c>
      <c r="J105" s="74">
        <v>0</v>
      </c>
      <c r="K105" s="74">
        <v>0</v>
      </c>
      <c r="L105" s="74">
        <v>34</v>
      </c>
      <c r="M105" s="74">
        <v>34</v>
      </c>
      <c r="N105" s="74">
        <v>0</v>
      </c>
      <c r="O105" s="74">
        <v>0</v>
      </c>
      <c r="P105" s="74">
        <v>0</v>
      </c>
      <c r="Q105" s="74">
        <v>0</v>
      </c>
      <c r="R105" s="74">
        <v>34</v>
      </c>
      <c r="S105" s="74">
        <v>0</v>
      </c>
    </row>
    <row r="106" spans="1:19" x14ac:dyDescent="0.2">
      <c r="A106" s="446" t="s">
        <v>1401</v>
      </c>
      <c r="B106" s="446" t="s">
        <v>3944</v>
      </c>
      <c r="C106" s="446" t="s">
        <v>1402</v>
      </c>
      <c r="D106" s="446" t="s">
        <v>153</v>
      </c>
      <c r="E106" s="446" t="s">
        <v>3798</v>
      </c>
      <c r="F106" s="298">
        <v>43089</v>
      </c>
      <c r="G106" s="74">
        <v>0</v>
      </c>
      <c r="H106" s="74">
        <v>0</v>
      </c>
      <c r="I106" s="74">
        <v>236</v>
      </c>
      <c r="J106" s="74">
        <v>0</v>
      </c>
      <c r="K106" s="74">
        <v>0</v>
      </c>
      <c r="L106" s="74">
        <v>236</v>
      </c>
      <c r="M106" s="74">
        <v>0</v>
      </c>
      <c r="N106" s="74">
        <v>0</v>
      </c>
      <c r="O106" s="74">
        <v>238</v>
      </c>
      <c r="P106" s="74">
        <v>0</v>
      </c>
      <c r="Q106" s="74">
        <v>0</v>
      </c>
      <c r="R106" s="74">
        <v>238</v>
      </c>
      <c r="S106" s="74">
        <v>-2</v>
      </c>
    </row>
    <row r="107" spans="1:19" x14ac:dyDescent="0.2">
      <c r="A107" s="446" t="s">
        <v>95</v>
      </c>
      <c r="G107" s="74">
        <v>45163</v>
      </c>
      <c r="H107" s="74">
        <v>36550</v>
      </c>
      <c r="I107" s="74">
        <v>13836</v>
      </c>
      <c r="J107" s="74">
        <v>7214</v>
      </c>
      <c r="K107" s="74">
        <v>7712</v>
      </c>
      <c r="L107" s="74">
        <v>110475</v>
      </c>
      <c r="M107" s="74">
        <v>13819</v>
      </c>
      <c r="N107" s="74">
        <v>3581</v>
      </c>
      <c r="O107" s="74">
        <v>2821</v>
      </c>
      <c r="P107" s="74">
        <v>1155</v>
      </c>
      <c r="Q107" s="74">
        <v>81</v>
      </c>
      <c r="R107" s="74">
        <v>21457</v>
      </c>
      <c r="S107" s="74">
        <v>89018</v>
      </c>
    </row>
  </sheetData>
  <conditionalFormatting sqref="D1:D1048576">
    <cfRule type="cellIs" dxfId="43"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S143"/>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3894</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ht="22.5" x14ac:dyDescent="0.2">
      <c r="A7" s="344" t="s">
        <v>2288</v>
      </c>
      <c r="B7" s="342" t="s">
        <v>3951</v>
      </c>
      <c r="C7" s="343" t="s">
        <v>898</v>
      </c>
      <c r="D7" s="342" t="s">
        <v>153</v>
      </c>
      <c r="E7" s="344" t="s">
        <v>3798</v>
      </c>
      <c r="F7" s="345">
        <v>42586</v>
      </c>
      <c r="G7" s="346">
        <v>82</v>
      </c>
      <c r="H7" s="346">
        <v>0</v>
      </c>
      <c r="I7" s="346">
        <v>0</v>
      </c>
      <c r="J7" s="346">
        <v>0</v>
      </c>
      <c r="K7" s="346">
        <v>0</v>
      </c>
      <c r="L7" s="347">
        <v>82</v>
      </c>
      <c r="M7" s="346">
        <v>72</v>
      </c>
      <c r="N7" s="346">
        <v>0</v>
      </c>
      <c r="O7" s="346">
        <v>0</v>
      </c>
      <c r="P7" s="346">
        <v>0</v>
      </c>
      <c r="Q7" s="346">
        <v>0</v>
      </c>
      <c r="R7" s="347">
        <v>72</v>
      </c>
      <c r="S7" s="346">
        <v>10</v>
      </c>
    </row>
    <row r="8" spans="1:19" x14ac:dyDescent="0.2">
      <c r="A8" s="305" t="s">
        <v>1798</v>
      </c>
      <c r="B8" s="306" t="s">
        <v>3942</v>
      </c>
      <c r="C8" s="307" t="s">
        <v>900</v>
      </c>
      <c r="D8" s="306" t="s">
        <v>153</v>
      </c>
      <c r="E8" s="305" t="s">
        <v>3798</v>
      </c>
      <c r="F8" s="335">
        <v>42585</v>
      </c>
      <c r="G8" s="309">
        <v>0</v>
      </c>
      <c r="H8" s="309">
        <v>17</v>
      </c>
      <c r="I8" s="309">
        <v>0</v>
      </c>
      <c r="J8" s="309">
        <v>0</v>
      </c>
      <c r="K8" s="309">
        <v>0</v>
      </c>
      <c r="L8" s="317">
        <v>17</v>
      </c>
      <c r="M8" s="309">
        <v>0</v>
      </c>
      <c r="N8" s="309">
        <v>0</v>
      </c>
      <c r="O8" s="309">
        <v>0</v>
      </c>
      <c r="P8" s="309">
        <v>0</v>
      </c>
      <c r="Q8" s="309">
        <v>0</v>
      </c>
      <c r="R8" s="317">
        <v>0</v>
      </c>
      <c r="S8" s="309">
        <v>17</v>
      </c>
    </row>
    <row r="9" spans="1:19" x14ac:dyDescent="0.2">
      <c r="A9" s="305" t="s">
        <v>2705</v>
      </c>
      <c r="B9" s="306" t="s">
        <v>3944</v>
      </c>
      <c r="C9" s="307" t="s">
        <v>2706</v>
      </c>
      <c r="D9" s="306" t="s">
        <v>153</v>
      </c>
      <c r="E9" s="305" t="s">
        <v>3798</v>
      </c>
      <c r="F9" s="335">
        <v>43179</v>
      </c>
      <c r="G9" s="309">
        <v>16</v>
      </c>
      <c r="H9" s="309">
        <v>16</v>
      </c>
      <c r="I9" s="309">
        <v>0</v>
      </c>
      <c r="J9" s="309">
        <v>0</v>
      </c>
      <c r="K9" s="309">
        <v>0</v>
      </c>
      <c r="L9" s="317">
        <v>32</v>
      </c>
      <c r="M9" s="309">
        <v>0</v>
      </c>
      <c r="N9" s="309">
        <v>64</v>
      </c>
      <c r="O9" s="309">
        <v>0</v>
      </c>
      <c r="P9" s="309">
        <v>0</v>
      </c>
      <c r="Q9" s="309">
        <v>0</v>
      </c>
      <c r="R9" s="317">
        <v>64</v>
      </c>
      <c r="S9" s="309">
        <v>-32</v>
      </c>
    </row>
    <row r="10" spans="1:19" x14ac:dyDescent="0.2">
      <c r="A10" s="305" t="s">
        <v>2060</v>
      </c>
      <c r="B10" s="306" t="s">
        <v>3950</v>
      </c>
      <c r="C10" s="307" t="s">
        <v>339</v>
      </c>
      <c r="D10" s="306" t="s">
        <v>153</v>
      </c>
      <c r="E10" s="305" t="s">
        <v>3798</v>
      </c>
      <c r="F10" s="335">
        <v>41982</v>
      </c>
      <c r="G10" s="309">
        <v>0</v>
      </c>
      <c r="H10" s="309">
        <v>0</v>
      </c>
      <c r="I10" s="309">
        <v>0</v>
      </c>
      <c r="J10" s="309">
        <v>0</v>
      </c>
      <c r="K10" s="309">
        <v>0</v>
      </c>
      <c r="L10" s="317">
        <v>0</v>
      </c>
      <c r="M10" s="309">
        <v>51</v>
      </c>
      <c r="N10" s="309">
        <v>0</v>
      </c>
      <c r="O10" s="309">
        <v>0</v>
      </c>
      <c r="P10" s="309">
        <v>0</v>
      </c>
      <c r="Q10" s="309">
        <v>0</v>
      </c>
      <c r="R10" s="317">
        <v>51</v>
      </c>
      <c r="S10" s="309">
        <v>-51</v>
      </c>
    </row>
    <row r="11" spans="1:19" x14ac:dyDescent="0.2">
      <c r="A11" s="305" t="s">
        <v>2063</v>
      </c>
      <c r="B11" s="306" t="s">
        <v>3946</v>
      </c>
      <c r="C11" s="307" t="s">
        <v>453</v>
      </c>
      <c r="D11" s="306" t="s">
        <v>153</v>
      </c>
      <c r="E11" s="305" t="s">
        <v>3798</v>
      </c>
      <c r="F11" s="335">
        <v>42236</v>
      </c>
      <c r="G11" s="309">
        <v>138</v>
      </c>
      <c r="H11" s="309">
        <v>0</v>
      </c>
      <c r="I11" s="309">
        <v>0</v>
      </c>
      <c r="J11" s="309">
        <v>0</v>
      </c>
      <c r="K11" s="309">
        <v>0</v>
      </c>
      <c r="L11" s="317">
        <v>138</v>
      </c>
      <c r="M11" s="309">
        <v>130</v>
      </c>
      <c r="N11" s="309">
        <v>0</v>
      </c>
      <c r="O11" s="309">
        <v>0</v>
      </c>
      <c r="P11" s="309">
        <v>0</v>
      </c>
      <c r="Q11" s="309">
        <v>0</v>
      </c>
      <c r="R11" s="317">
        <v>130</v>
      </c>
      <c r="S11" s="309">
        <v>8</v>
      </c>
    </row>
    <row r="12" spans="1:19" ht="22.5" x14ac:dyDescent="0.2">
      <c r="A12" s="305" t="s">
        <v>2598</v>
      </c>
      <c r="B12" s="306" t="s">
        <v>3946</v>
      </c>
      <c r="C12" s="307" t="s">
        <v>2599</v>
      </c>
      <c r="D12" s="306" t="s">
        <v>153</v>
      </c>
      <c r="E12" s="305" t="s">
        <v>3798</v>
      </c>
      <c r="F12" s="335">
        <v>43188</v>
      </c>
      <c r="G12" s="309">
        <v>138</v>
      </c>
      <c r="H12" s="309">
        <v>0</v>
      </c>
      <c r="I12" s="309">
        <v>0</v>
      </c>
      <c r="J12" s="309">
        <v>0</v>
      </c>
      <c r="K12" s="309">
        <v>0</v>
      </c>
      <c r="L12" s="317">
        <v>138</v>
      </c>
      <c r="M12" s="309">
        <v>61</v>
      </c>
      <c r="N12" s="309">
        <v>0</v>
      </c>
      <c r="O12" s="309">
        <v>41</v>
      </c>
      <c r="P12" s="309">
        <v>0</v>
      </c>
      <c r="Q12" s="309">
        <v>0</v>
      </c>
      <c r="R12" s="317">
        <v>102</v>
      </c>
      <c r="S12" s="309">
        <v>36</v>
      </c>
    </row>
    <row r="13" spans="1:19" x14ac:dyDescent="0.2">
      <c r="A13" s="305" t="s">
        <v>1838</v>
      </c>
      <c r="B13" s="306" t="s">
        <v>3946</v>
      </c>
      <c r="C13" s="307" t="s">
        <v>1288</v>
      </c>
      <c r="D13" s="306" t="s">
        <v>153</v>
      </c>
      <c r="E13" s="305" t="s">
        <v>3798</v>
      </c>
      <c r="F13" s="335">
        <v>42912</v>
      </c>
      <c r="G13" s="309">
        <v>44</v>
      </c>
      <c r="H13" s="309">
        <v>0</v>
      </c>
      <c r="I13" s="309">
        <v>0</v>
      </c>
      <c r="J13" s="309">
        <v>0</v>
      </c>
      <c r="K13" s="309">
        <v>0</v>
      </c>
      <c r="L13" s="317">
        <v>44</v>
      </c>
      <c r="M13" s="309">
        <v>84</v>
      </c>
      <c r="N13" s="309">
        <v>0</v>
      </c>
      <c r="O13" s="309">
        <v>0</v>
      </c>
      <c r="P13" s="309">
        <v>0</v>
      </c>
      <c r="Q13" s="309">
        <v>0</v>
      </c>
      <c r="R13" s="317">
        <v>84</v>
      </c>
      <c r="S13" s="309">
        <v>-40</v>
      </c>
    </row>
    <row r="14" spans="1:19" x14ac:dyDescent="0.2">
      <c r="A14" s="305" t="s">
        <v>2630</v>
      </c>
      <c r="B14" s="306" t="s">
        <v>3946</v>
      </c>
      <c r="C14" s="307" t="s">
        <v>2631</v>
      </c>
      <c r="D14" s="306" t="s">
        <v>153</v>
      </c>
      <c r="E14" s="305" t="s">
        <v>3798</v>
      </c>
      <c r="F14" s="335">
        <v>43112</v>
      </c>
      <c r="G14" s="309">
        <v>1396</v>
      </c>
      <c r="H14" s="309">
        <v>0</v>
      </c>
      <c r="I14" s="309">
        <v>0</v>
      </c>
      <c r="J14" s="309">
        <v>0</v>
      </c>
      <c r="K14" s="309">
        <v>0</v>
      </c>
      <c r="L14" s="317">
        <v>1396</v>
      </c>
      <c r="M14" s="309">
        <v>0</v>
      </c>
      <c r="N14" s="309">
        <v>0</v>
      </c>
      <c r="O14" s="309">
        <v>0</v>
      </c>
      <c r="P14" s="309">
        <v>0</v>
      </c>
      <c r="Q14" s="309">
        <v>0</v>
      </c>
      <c r="R14" s="317">
        <v>0</v>
      </c>
      <c r="S14" s="309">
        <v>1396</v>
      </c>
    </row>
    <row r="15" spans="1:19" ht="22.5" x14ac:dyDescent="0.2">
      <c r="A15" s="305" t="s">
        <v>1329</v>
      </c>
      <c r="B15" s="306" t="s">
        <v>3943</v>
      </c>
      <c r="C15" s="307" t="s">
        <v>1331</v>
      </c>
      <c r="D15" s="306" t="s">
        <v>153</v>
      </c>
      <c r="E15" s="305" t="s">
        <v>3798</v>
      </c>
      <c r="F15" s="335">
        <v>43034</v>
      </c>
      <c r="G15" s="309">
        <v>0</v>
      </c>
      <c r="H15" s="309">
        <v>0</v>
      </c>
      <c r="I15" s="309">
        <v>146</v>
      </c>
      <c r="J15" s="309">
        <v>145</v>
      </c>
      <c r="K15" s="309">
        <v>0</v>
      </c>
      <c r="L15" s="317">
        <v>291</v>
      </c>
      <c r="M15" s="309">
        <v>0</v>
      </c>
      <c r="N15" s="309">
        <v>0</v>
      </c>
      <c r="O15" s="309">
        <v>385</v>
      </c>
      <c r="P15" s="309">
        <v>295</v>
      </c>
      <c r="Q15" s="309">
        <v>0</v>
      </c>
      <c r="R15" s="317">
        <v>680</v>
      </c>
      <c r="S15" s="309">
        <v>-389</v>
      </c>
    </row>
    <row r="16" spans="1:19" ht="22.5" x14ac:dyDescent="0.2">
      <c r="A16" s="305" t="s">
        <v>1559</v>
      </c>
      <c r="B16" s="306" t="s">
        <v>3944</v>
      </c>
      <c r="C16" s="307" t="s">
        <v>1560</v>
      </c>
      <c r="D16" s="306" t="s">
        <v>153</v>
      </c>
      <c r="E16" s="305" t="s">
        <v>3798</v>
      </c>
      <c r="F16" s="335">
        <v>43182</v>
      </c>
      <c r="G16" s="309">
        <v>13</v>
      </c>
      <c r="H16" s="309">
        <v>13</v>
      </c>
      <c r="I16" s="309">
        <v>13</v>
      </c>
      <c r="J16" s="309">
        <v>13</v>
      </c>
      <c r="K16" s="309">
        <v>14</v>
      </c>
      <c r="L16" s="317">
        <v>66</v>
      </c>
      <c r="M16" s="309">
        <v>0</v>
      </c>
      <c r="N16" s="309">
        <v>0</v>
      </c>
      <c r="O16" s="309">
        <v>198</v>
      </c>
      <c r="P16" s="309">
        <v>0</v>
      </c>
      <c r="Q16" s="309">
        <v>0</v>
      </c>
      <c r="R16" s="317">
        <v>198</v>
      </c>
      <c r="S16" s="309">
        <v>-132</v>
      </c>
    </row>
    <row r="17" spans="1:19" x14ac:dyDescent="0.2">
      <c r="A17" s="305" t="s">
        <v>2042</v>
      </c>
      <c r="B17" s="306" t="s">
        <v>2907</v>
      </c>
      <c r="C17" s="307" t="s">
        <v>2043</v>
      </c>
      <c r="D17" s="306" t="s">
        <v>153</v>
      </c>
      <c r="E17" s="305" t="s">
        <v>3798</v>
      </c>
      <c r="F17" s="335">
        <v>43041</v>
      </c>
      <c r="G17" s="309">
        <v>76</v>
      </c>
      <c r="H17" s="309">
        <v>0</v>
      </c>
      <c r="I17" s="309">
        <v>0</v>
      </c>
      <c r="J17" s="309">
        <v>0</v>
      </c>
      <c r="K17" s="309">
        <v>0</v>
      </c>
      <c r="L17" s="317">
        <v>76</v>
      </c>
      <c r="M17" s="309">
        <v>70</v>
      </c>
      <c r="N17" s="309">
        <v>0</v>
      </c>
      <c r="O17" s="309">
        <v>0</v>
      </c>
      <c r="P17" s="309">
        <v>0</v>
      </c>
      <c r="Q17" s="309">
        <v>0</v>
      </c>
      <c r="R17" s="317">
        <v>70</v>
      </c>
      <c r="S17" s="309">
        <v>6</v>
      </c>
    </row>
    <row r="18" spans="1:19" x14ac:dyDescent="0.2">
      <c r="A18" s="305" t="s">
        <v>1960</v>
      </c>
      <c r="B18" s="306" t="s">
        <v>3946</v>
      </c>
      <c r="C18" s="307" t="s">
        <v>1170</v>
      </c>
      <c r="D18" s="306" t="s">
        <v>153</v>
      </c>
      <c r="E18" s="305" t="s">
        <v>3798</v>
      </c>
      <c r="F18" s="335">
        <v>42767</v>
      </c>
      <c r="G18" s="309">
        <v>0</v>
      </c>
      <c r="H18" s="309">
        <v>0</v>
      </c>
      <c r="I18" s="309">
        <v>0</v>
      </c>
      <c r="J18" s="309">
        <v>0</v>
      </c>
      <c r="K18" s="309">
        <v>0</v>
      </c>
      <c r="L18" s="317">
        <v>0</v>
      </c>
      <c r="M18" s="309">
        <v>48</v>
      </c>
      <c r="N18" s="309">
        <v>0</v>
      </c>
      <c r="O18" s="309">
        <v>0</v>
      </c>
      <c r="P18" s="309">
        <v>0</v>
      </c>
      <c r="Q18" s="309">
        <v>0</v>
      </c>
      <c r="R18" s="317">
        <v>48</v>
      </c>
      <c r="S18" s="309">
        <v>-48</v>
      </c>
    </row>
    <row r="19" spans="1:19" ht="22.5" x14ac:dyDescent="0.2">
      <c r="A19" s="305" t="s">
        <v>1810</v>
      </c>
      <c r="B19" s="306" t="s">
        <v>2907</v>
      </c>
      <c r="C19" s="307" t="s">
        <v>1811</v>
      </c>
      <c r="D19" s="306" t="s">
        <v>153</v>
      </c>
      <c r="E19" s="305" t="s">
        <v>3798</v>
      </c>
      <c r="F19" s="335">
        <v>43033</v>
      </c>
      <c r="G19" s="309">
        <v>97</v>
      </c>
      <c r="H19" s="309">
        <v>0</v>
      </c>
      <c r="I19" s="309">
        <v>0</v>
      </c>
      <c r="J19" s="309">
        <v>0</v>
      </c>
      <c r="K19" s="309">
        <v>0</v>
      </c>
      <c r="L19" s="317">
        <v>97</v>
      </c>
      <c r="M19" s="309">
        <v>117</v>
      </c>
      <c r="N19" s="309">
        <v>0</v>
      </c>
      <c r="O19" s="309">
        <v>0</v>
      </c>
      <c r="P19" s="309">
        <v>0</v>
      </c>
      <c r="Q19" s="309">
        <v>0</v>
      </c>
      <c r="R19" s="317">
        <v>117</v>
      </c>
      <c r="S19" s="309">
        <v>-20</v>
      </c>
    </row>
    <row r="20" spans="1:19" x14ac:dyDescent="0.2">
      <c r="A20" s="305" t="s">
        <v>2226</v>
      </c>
      <c r="B20" s="306" t="s">
        <v>3949</v>
      </c>
      <c r="C20" s="307" t="s">
        <v>849</v>
      </c>
      <c r="D20" s="306" t="s">
        <v>153</v>
      </c>
      <c r="E20" s="305" t="s">
        <v>3798</v>
      </c>
      <c r="F20" s="335">
        <v>42641</v>
      </c>
      <c r="G20" s="309">
        <v>0</v>
      </c>
      <c r="H20" s="309">
        <v>0</v>
      </c>
      <c r="I20" s="309">
        <v>0</v>
      </c>
      <c r="J20" s="309">
        <v>0</v>
      </c>
      <c r="K20" s="309">
        <v>0</v>
      </c>
      <c r="L20" s="317">
        <v>0</v>
      </c>
      <c r="M20" s="309">
        <v>0</v>
      </c>
      <c r="N20" s="309">
        <v>120</v>
      </c>
      <c r="O20" s="309">
        <v>0</v>
      </c>
      <c r="P20" s="309">
        <v>0</v>
      </c>
      <c r="Q20" s="309">
        <v>0</v>
      </c>
      <c r="R20" s="317">
        <v>120</v>
      </c>
      <c r="S20" s="309">
        <v>-120</v>
      </c>
    </row>
    <row r="21" spans="1:19" x14ac:dyDescent="0.2">
      <c r="A21" s="305" t="s">
        <v>2319</v>
      </c>
      <c r="B21" s="306" t="s">
        <v>3948</v>
      </c>
      <c r="C21" s="307" t="s">
        <v>1304</v>
      </c>
      <c r="D21" s="306" t="s">
        <v>153</v>
      </c>
      <c r="E21" s="305" t="s">
        <v>3798</v>
      </c>
      <c r="F21" s="335">
        <v>42790</v>
      </c>
      <c r="G21" s="309">
        <v>669</v>
      </c>
      <c r="H21" s="309">
        <v>0</v>
      </c>
      <c r="I21" s="309">
        <v>0</v>
      </c>
      <c r="J21" s="309">
        <v>0</v>
      </c>
      <c r="K21" s="309">
        <v>0</v>
      </c>
      <c r="L21" s="317">
        <v>669</v>
      </c>
      <c r="M21" s="309">
        <v>331</v>
      </c>
      <c r="N21" s="309">
        <v>64</v>
      </c>
      <c r="O21" s="309">
        <v>0</v>
      </c>
      <c r="P21" s="309">
        <v>0</v>
      </c>
      <c r="Q21" s="309">
        <v>0</v>
      </c>
      <c r="R21" s="317">
        <v>395</v>
      </c>
      <c r="S21" s="309">
        <v>274</v>
      </c>
    </row>
    <row r="22" spans="1:19" x14ac:dyDescent="0.2">
      <c r="A22" s="305" t="s">
        <v>1969</v>
      </c>
      <c r="B22" s="306" t="s">
        <v>150</v>
      </c>
      <c r="C22" s="307" t="s">
        <v>234</v>
      </c>
      <c r="D22" s="306" t="s">
        <v>153</v>
      </c>
      <c r="E22" s="305" t="s">
        <v>3798</v>
      </c>
      <c r="F22" s="335">
        <v>41408</v>
      </c>
      <c r="G22" s="309">
        <v>0</v>
      </c>
      <c r="H22" s="309">
        <v>30</v>
      </c>
      <c r="I22" s="309">
        <v>0</v>
      </c>
      <c r="J22" s="309">
        <v>0</v>
      </c>
      <c r="K22" s="309">
        <v>0</v>
      </c>
      <c r="L22" s="317">
        <v>30</v>
      </c>
      <c r="M22" s="309">
        <v>30</v>
      </c>
      <c r="N22" s="309">
        <v>0</v>
      </c>
      <c r="O22" s="309">
        <v>0</v>
      </c>
      <c r="P22" s="309">
        <v>0</v>
      </c>
      <c r="Q22" s="309">
        <v>0</v>
      </c>
      <c r="R22" s="317">
        <v>30</v>
      </c>
      <c r="S22" s="309">
        <v>0</v>
      </c>
    </row>
    <row r="23" spans="1:19" ht="22.5" x14ac:dyDescent="0.2">
      <c r="A23" s="305" t="s">
        <v>2454</v>
      </c>
      <c r="B23" s="306" t="s">
        <v>3952</v>
      </c>
      <c r="C23" s="307" t="s">
        <v>2455</v>
      </c>
      <c r="D23" s="306" t="s">
        <v>153</v>
      </c>
      <c r="E23" s="305" t="s">
        <v>3798</v>
      </c>
      <c r="F23" s="335">
        <v>43073</v>
      </c>
      <c r="G23" s="309">
        <v>0</v>
      </c>
      <c r="H23" s="309">
        <v>0</v>
      </c>
      <c r="I23" s="309">
        <v>119</v>
      </c>
      <c r="J23" s="309">
        <v>0</v>
      </c>
      <c r="K23" s="309">
        <v>0</v>
      </c>
      <c r="L23" s="317">
        <v>119</v>
      </c>
      <c r="M23" s="309">
        <v>119</v>
      </c>
      <c r="N23" s="309">
        <v>0</v>
      </c>
      <c r="O23" s="309">
        <v>0</v>
      </c>
      <c r="P23" s="309">
        <v>0</v>
      </c>
      <c r="Q23" s="309">
        <v>0</v>
      </c>
      <c r="R23" s="317">
        <v>119</v>
      </c>
      <c r="S23" s="309">
        <v>0</v>
      </c>
    </row>
    <row r="24" spans="1:19" x14ac:dyDescent="0.2">
      <c r="A24" s="305" t="s">
        <v>1970</v>
      </c>
      <c r="B24" s="306" t="s">
        <v>150</v>
      </c>
      <c r="C24" s="307" t="s">
        <v>236</v>
      </c>
      <c r="D24" s="306" t="s">
        <v>153</v>
      </c>
      <c r="E24" s="305" t="s">
        <v>3798</v>
      </c>
      <c r="F24" s="335">
        <v>41516</v>
      </c>
      <c r="G24" s="309">
        <v>0</v>
      </c>
      <c r="H24" s="309">
        <v>0</v>
      </c>
      <c r="I24" s="309">
        <v>0</v>
      </c>
      <c r="J24" s="309">
        <v>0</v>
      </c>
      <c r="K24" s="309">
        <v>65</v>
      </c>
      <c r="L24" s="317">
        <v>65</v>
      </c>
      <c r="M24" s="309">
        <v>65</v>
      </c>
      <c r="N24" s="309">
        <v>0</v>
      </c>
      <c r="O24" s="309">
        <v>0</v>
      </c>
      <c r="P24" s="309">
        <v>0</v>
      </c>
      <c r="Q24" s="309">
        <v>0</v>
      </c>
      <c r="R24" s="317">
        <v>65</v>
      </c>
      <c r="S24" s="309">
        <v>0</v>
      </c>
    </row>
    <row r="25" spans="1:19" ht="22.5" x14ac:dyDescent="0.2">
      <c r="A25" s="305" t="s">
        <v>2401</v>
      </c>
      <c r="B25" s="306" t="s">
        <v>3946</v>
      </c>
      <c r="C25" s="307" t="s">
        <v>1270</v>
      </c>
      <c r="D25" s="306" t="s">
        <v>153</v>
      </c>
      <c r="E25" s="305" t="s">
        <v>3798</v>
      </c>
      <c r="F25" s="335">
        <v>42837</v>
      </c>
      <c r="G25" s="309">
        <v>61</v>
      </c>
      <c r="H25" s="309">
        <v>0</v>
      </c>
      <c r="I25" s="309">
        <v>0</v>
      </c>
      <c r="J25" s="309">
        <v>0</v>
      </c>
      <c r="K25" s="309">
        <v>0</v>
      </c>
      <c r="L25" s="317">
        <v>61</v>
      </c>
      <c r="M25" s="309">
        <v>30</v>
      </c>
      <c r="N25" s="309">
        <v>0</v>
      </c>
      <c r="O25" s="309">
        <v>31</v>
      </c>
      <c r="P25" s="309">
        <v>0</v>
      </c>
      <c r="Q25" s="309">
        <v>0</v>
      </c>
      <c r="R25" s="317">
        <v>61</v>
      </c>
      <c r="S25" s="309">
        <v>0</v>
      </c>
    </row>
    <row r="26" spans="1:19" ht="22.5" x14ac:dyDescent="0.2">
      <c r="A26" s="305" t="s">
        <v>2308</v>
      </c>
      <c r="B26" s="306" t="s">
        <v>149</v>
      </c>
      <c r="C26" s="307" t="s">
        <v>1147</v>
      </c>
      <c r="D26" s="306" t="s">
        <v>153</v>
      </c>
      <c r="E26" s="305" t="s">
        <v>3798</v>
      </c>
      <c r="F26" s="335">
        <v>42753</v>
      </c>
      <c r="G26" s="309">
        <v>830</v>
      </c>
      <c r="H26" s="309">
        <v>0</v>
      </c>
      <c r="I26" s="309">
        <v>0</v>
      </c>
      <c r="J26" s="309">
        <v>0</v>
      </c>
      <c r="K26" s="309">
        <v>0</v>
      </c>
      <c r="L26" s="317">
        <v>830</v>
      </c>
      <c r="M26" s="309">
        <v>1212</v>
      </c>
      <c r="N26" s="309">
        <v>0</v>
      </c>
      <c r="O26" s="309">
        <v>0</v>
      </c>
      <c r="P26" s="309">
        <v>0</v>
      </c>
      <c r="Q26" s="309">
        <v>0</v>
      </c>
      <c r="R26" s="317">
        <v>1212</v>
      </c>
      <c r="S26" s="309">
        <v>-382</v>
      </c>
    </row>
    <row r="27" spans="1:19" x14ac:dyDescent="0.2">
      <c r="A27" s="321" t="s">
        <v>2064</v>
      </c>
      <c r="B27" s="322" t="s">
        <v>3948</v>
      </c>
      <c r="C27" s="323" t="s">
        <v>668</v>
      </c>
      <c r="D27" s="322" t="s">
        <v>153</v>
      </c>
      <c r="E27" s="321" t="s">
        <v>3798</v>
      </c>
      <c r="F27" s="352">
        <v>42723</v>
      </c>
      <c r="G27" s="326">
        <v>0</v>
      </c>
      <c r="H27" s="326">
        <v>0</v>
      </c>
      <c r="I27" s="326">
        <v>0</v>
      </c>
      <c r="J27" s="326">
        <v>0</v>
      </c>
      <c r="K27" s="326">
        <v>83</v>
      </c>
      <c r="L27" s="327">
        <v>83</v>
      </c>
      <c r="M27" s="326">
        <v>0</v>
      </c>
      <c r="N27" s="326">
        <v>0</v>
      </c>
      <c r="O27" s="326">
        <v>0</v>
      </c>
      <c r="P27" s="326">
        <v>0</v>
      </c>
      <c r="Q27" s="326">
        <v>97</v>
      </c>
      <c r="R27" s="327">
        <v>97</v>
      </c>
      <c r="S27" s="326">
        <v>-14</v>
      </c>
    </row>
    <row r="28" spans="1:19" x14ac:dyDescent="0.2">
      <c r="A28" s="305" t="s">
        <v>1372</v>
      </c>
      <c r="B28" s="306" t="s">
        <v>3944</v>
      </c>
      <c r="C28" s="307" t="s">
        <v>240</v>
      </c>
      <c r="D28" s="306" t="s">
        <v>153</v>
      </c>
      <c r="E28" s="305" t="s">
        <v>3798</v>
      </c>
      <c r="F28" s="335">
        <v>41530</v>
      </c>
      <c r="G28" s="309">
        <v>38</v>
      </c>
      <c r="H28" s="309">
        <v>0</v>
      </c>
      <c r="I28" s="309">
        <v>0</v>
      </c>
      <c r="J28" s="309">
        <v>0</v>
      </c>
      <c r="K28" s="309">
        <v>0</v>
      </c>
      <c r="L28" s="317">
        <v>38</v>
      </c>
      <c r="M28" s="309">
        <v>67</v>
      </c>
      <c r="N28" s="309">
        <v>0</v>
      </c>
      <c r="O28" s="309">
        <v>0</v>
      </c>
      <c r="P28" s="309">
        <v>0</v>
      </c>
      <c r="Q28" s="309">
        <v>0</v>
      </c>
      <c r="R28" s="317">
        <v>67</v>
      </c>
      <c r="S28" s="309">
        <v>-29</v>
      </c>
    </row>
    <row r="29" spans="1:19" x14ac:dyDescent="0.2">
      <c r="A29" s="305" t="s">
        <v>1472</v>
      </c>
      <c r="B29" s="306" t="s">
        <v>2907</v>
      </c>
      <c r="C29" s="307" t="s">
        <v>1080</v>
      </c>
      <c r="D29" s="306" t="s">
        <v>153</v>
      </c>
      <c r="E29" s="305" t="s">
        <v>3798</v>
      </c>
      <c r="F29" s="335">
        <v>42713</v>
      </c>
      <c r="G29" s="309">
        <v>0</v>
      </c>
      <c r="H29" s="309">
        <v>0</v>
      </c>
      <c r="I29" s="309">
        <v>0</v>
      </c>
      <c r="J29" s="309">
        <v>0</v>
      </c>
      <c r="K29" s="309">
        <v>0</v>
      </c>
      <c r="L29" s="317">
        <v>0</v>
      </c>
      <c r="M29" s="309">
        <v>0</v>
      </c>
      <c r="N29" s="309">
        <v>0</v>
      </c>
      <c r="O29" s="309">
        <v>336</v>
      </c>
      <c r="P29" s="309">
        <v>0</v>
      </c>
      <c r="Q29" s="309">
        <v>0</v>
      </c>
      <c r="R29" s="317">
        <v>336</v>
      </c>
      <c r="S29" s="309">
        <v>-336</v>
      </c>
    </row>
    <row r="30" spans="1:19" x14ac:dyDescent="0.2">
      <c r="A30" s="305" t="s">
        <v>1443</v>
      </c>
      <c r="B30" s="306" t="s">
        <v>3945</v>
      </c>
      <c r="C30" s="307" t="s">
        <v>519</v>
      </c>
      <c r="D30" s="306" t="s">
        <v>153</v>
      </c>
      <c r="E30" s="305" t="s">
        <v>3798</v>
      </c>
      <c r="F30" s="335">
        <v>42311</v>
      </c>
      <c r="G30" s="309">
        <v>0</v>
      </c>
      <c r="H30" s="309">
        <v>0</v>
      </c>
      <c r="I30" s="309">
        <v>0</v>
      </c>
      <c r="J30" s="309">
        <v>0</v>
      </c>
      <c r="K30" s="309">
        <v>0</v>
      </c>
      <c r="L30" s="317">
        <v>0</v>
      </c>
      <c r="M30" s="309">
        <v>65</v>
      </c>
      <c r="N30" s="309">
        <v>0</v>
      </c>
      <c r="O30" s="309">
        <v>0</v>
      </c>
      <c r="P30" s="309">
        <v>0</v>
      </c>
      <c r="Q30" s="309">
        <v>0</v>
      </c>
      <c r="R30" s="317">
        <v>65</v>
      </c>
      <c r="S30" s="309">
        <v>-65</v>
      </c>
    </row>
    <row r="31" spans="1:19" ht="33.75" x14ac:dyDescent="0.2">
      <c r="A31" s="305" t="s">
        <v>2253</v>
      </c>
      <c r="B31" s="306" t="s">
        <v>3944</v>
      </c>
      <c r="C31" s="307" t="s">
        <v>1290</v>
      </c>
      <c r="D31" s="306" t="s">
        <v>153</v>
      </c>
      <c r="E31" s="305" t="s">
        <v>3798</v>
      </c>
      <c r="F31" s="335">
        <v>43069</v>
      </c>
      <c r="G31" s="309">
        <v>72</v>
      </c>
      <c r="H31" s="309">
        <v>72</v>
      </c>
      <c r="I31" s="309">
        <v>72</v>
      </c>
      <c r="J31" s="309">
        <v>72</v>
      </c>
      <c r="K31" s="309">
        <v>0</v>
      </c>
      <c r="L31" s="317">
        <v>288</v>
      </c>
      <c r="M31" s="309">
        <v>0</v>
      </c>
      <c r="N31" s="309">
        <v>0</v>
      </c>
      <c r="O31" s="309">
        <v>0</v>
      </c>
      <c r="P31" s="309">
        <v>0</v>
      </c>
      <c r="Q31" s="309">
        <v>0</v>
      </c>
      <c r="R31" s="317">
        <v>0</v>
      </c>
      <c r="S31" s="309">
        <v>288</v>
      </c>
    </row>
    <row r="32" spans="1:19" x14ac:dyDescent="0.2">
      <c r="A32" s="305" t="s">
        <v>1844</v>
      </c>
      <c r="B32" s="306" t="s">
        <v>3951</v>
      </c>
      <c r="C32" s="307" t="s">
        <v>327</v>
      </c>
      <c r="D32" s="306" t="s">
        <v>153</v>
      </c>
      <c r="E32" s="305" t="s">
        <v>3798</v>
      </c>
      <c r="F32" s="335">
        <v>42594</v>
      </c>
      <c r="G32" s="309">
        <v>704</v>
      </c>
      <c r="H32" s="309">
        <v>0</v>
      </c>
      <c r="I32" s="309">
        <v>0</v>
      </c>
      <c r="J32" s="309">
        <v>0</v>
      </c>
      <c r="K32" s="309">
        <v>0</v>
      </c>
      <c r="L32" s="317">
        <v>704</v>
      </c>
      <c r="M32" s="309">
        <v>2040</v>
      </c>
      <c r="N32" s="309">
        <v>0</v>
      </c>
      <c r="O32" s="309">
        <v>0</v>
      </c>
      <c r="P32" s="309">
        <v>0</v>
      </c>
      <c r="Q32" s="309">
        <v>0</v>
      </c>
      <c r="R32" s="317">
        <v>2040</v>
      </c>
      <c r="S32" s="309">
        <v>-1336</v>
      </c>
    </row>
    <row r="33" spans="1:19" x14ac:dyDescent="0.2">
      <c r="A33" s="305" t="s">
        <v>2110</v>
      </c>
      <c r="B33" s="306" t="s">
        <v>3946</v>
      </c>
      <c r="C33" s="307" t="s">
        <v>275</v>
      </c>
      <c r="D33" s="306" t="s">
        <v>153</v>
      </c>
      <c r="E33" s="305" t="s">
        <v>3798</v>
      </c>
      <c r="F33" s="335">
        <v>42146</v>
      </c>
      <c r="G33" s="309">
        <v>26</v>
      </c>
      <c r="H33" s="309">
        <v>30</v>
      </c>
      <c r="I33" s="309">
        <v>0</v>
      </c>
      <c r="J33" s="309">
        <v>0</v>
      </c>
      <c r="K33" s="309">
        <v>0</v>
      </c>
      <c r="L33" s="317">
        <v>56</v>
      </c>
      <c r="M33" s="309">
        <v>0</v>
      </c>
      <c r="N33" s="309">
        <v>0</v>
      </c>
      <c r="O33" s="309">
        <v>136</v>
      </c>
      <c r="P33" s="309">
        <v>0</v>
      </c>
      <c r="Q33" s="309">
        <v>0</v>
      </c>
      <c r="R33" s="317">
        <v>136</v>
      </c>
      <c r="S33" s="309">
        <v>-80</v>
      </c>
    </row>
    <row r="34" spans="1:19" x14ac:dyDescent="0.2">
      <c r="A34" s="305" t="s">
        <v>1925</v>
      </c>
      <c r="B34" s="306" t="s">
        <v>149</v>
      </c>
      <c r="C34" s="307" t="s">
        <v>491</v>
      </c>
      <c r="D34" s="306" t="s">
        <v>153</v>
      </c>
      <c r="E34" s="305" t="s">
        <v>3798</v>
      </c>
      <c r="F34" s="335">
        <v>42240</v>
      </c>
      <c r="G34" s="309">
        <v>0</v>
      </c>
      <c r="H34" s="309">
        <v>0</v>
      </c>
      <c r="I34" s="309">
        <v>0</v>
      </c>
      <c r="J34" s="309">
        <v>0</v>
      </c>
      <c r="K34" s="309">
        <v>0</v>
      </c>
      <c r="L34" s="317">
        <v>0</v>
      </c>
      <c r="M34" s="309">
        <v>26</v>
      </c>
      <c r="N34" s="309">
        <v>0</v>
      </c>
      <c r="O34" s="309">
        <v>0</v>
      </c>
      <c r="P34" s="309">
        <v>0</v>
      </c>
      <c r="Q34" s="309">
        <v>0</v>
      </c>
      <c r="R34" s="317">
        <v>26</v>
      </c>
      <c r="S34" s="309">
        <v>-26</v>
      </c>
    </row>
    <row r="35" spans="1:19" x14ac:dyDescent="0.2">
      <c r="A35" s="305" t="s">
        <v>2252</v>
      </c>
      <c r="B35" s="306" t="s">
        <v>3949</v>
      </c>
      <c r="C35" s="307" t="s">
        <v>911</v>
      </c>
      <c r="D35" s="306" t="s">
        <v>153</v>
      </c>
      <c r="E35" s="305" t="s">
        <v>3798</v>
      </c>
      <c r="F35" s="335">
        <v>42597</v>
      </c>
      <c r="G35" s="309">
        <v>0</v>
      </c>
      <c r="H35" s="309">
        <v>0</v>
      </c>
      <c r="I35" s="309">
        <v>0</v>
      </c>
      <c r="J35" s="309">
        <v>0</v>
      </c>
      <c r="K35" s="309">
        <v>0</v>
      </c>
      <c r="L35" s="317">
        <v>0</v>
      </c>
      <c r="M35" s="309">
        <v>0</v>
      </c>
      <c r="N35" s="309">
        <v>0</v>
      </c>
      <c r="O35" s="309">
        <v>56</v>
      </c>
      <c r="P35" s="309">
        <v>0</v>
      </c>
      <c r="Q35" s="309">
        <v>0</v>
      </c>
      <c r="R35" s="317">
        <v>56</v>
      </c>
      <c r="S35" s="309">
        <v>-56</v>
      </c>
    </row>
    <row r="36" spans="1:19" x14ac:dyDescent="0.2">
      <c r="A36" s="305" t="s">
        <v>2324</v>
      </c>
      <c r="B36" s="306" t="s">
        <v>150</v>
      </c>
      <c r="C36" s="307" t="s">
        <v>2325</v>
      </c>
      <c r="D36" s="306" t="s">
        <v>153</v>
      </c>
      <c r="E36" s="305" t="s">
        <v>3798</v>
      </c>
      <c r="F36" s="335">
        <v>42944</v>
      </c>
      <c r="G36" s="309">
        <v>0</v>
      </c>
      <c r="H36" s="309">
        <v>0</v>
      </c>
      <c r="I36" s="309">
        <v>0</v>
      </c>
      <c r="J36" s="309">
        <v>0</v>
      </c>
      <c r="K36" s="309">
        <v>0</v>
      </c>
      <c r="L36" s="317">
        <v>0</v>
      </c>
      <c r="M36" s="309">
        <v>0</v>
      </c>
      <c r="N36" s="309">
        <v>91</v>
      </c>
      <c r="O36" s="309">
        <v>0</v>
      </c>
      <c r="P36" s="309">
        <v>0</v>
      </c>
      <c r="Q36" s="309">
        <v>0</v>
      </c>
      <c r="R36" s="317">
        <v>91</v>
      </c>
      <c r="S36" s="309">
        <v>-91</v>
      </c>
    </row>
    <row r="37" spans="1:19" x14ac:dyDescent="0.2">
      <c r="A37" s="305" t="s">
        <v>2181</v>
      </c>
      <c r="B37" s="306" t="s">
        <v>3949</v>
      </c>
      <c r="C37" s="307" t="s">
        <v>587</v>
      </c>
      <c r="D37" s="306" t="s">
        <v>153</v>
      </c>
      <c r="E37" s="305" t="s">
        <v>3798</v>
      </c>
      <c r="F37" s="335">
        <v>42412</v>
      </c>
      <c r="G37" s="309">
        <v>0</v>
      </c>
      <c r="H37" s="309">
        <v>0</v>
      </c>
      <c r="I37" s="309">
        <v>26</v>
      </c>
      <c r="J37" s="309">
        <v>0</v>
      </c>
      <c r="K37" s="309">
        <v>0</v>
      </c>
      <c r="L37" s="317">
        <v>26</v>
      </c>
      <c r="M37" s="309">
        <v>0</v>
      </c>
      <c r="N37" s="309">
        <v>0</v>
      </c>
      <c r="O37" s="309">
        <v>62</v>
      </c>
      <c r="P37" s="309">
        <v>0</v>
      </c>
      <c r="Q37" s="309">
        <v>0</v>
      </c>
      <c r="R37" s="317">
        <v>62</v>
      </c>
      <c r="S37" s="309">
        <v>-36</v>
      </c>
    </row>
    <row r="38" spans="1:19" x14ac:dyDescent="0.2">
      <c r="A38" s="305" t="s">
        <v>2196</v>
      </c>
      <c r="B38" s="306" t="s">
        <v>3946</v>
      </c>
      <c r="C38" s="307" t="s">
        <v>784</v>
      </c>
      <c r="D38" s="306" t="s">
        <v>153</v>
      </c>
      <c r="E38" s="305" t="s">
        <v>3798</v>
      </c>
      <c r="F38" s="335">
        <v>42685</v>
      </c>
      <c r="G38" s="309">
        <v>0</v>
      </c>
      <c r="H38" s="309">
        <v>0</v>
      </c>
      <c r="I38" s="309">
        <v>0</v>
      </c>
      <c r="J38" s="309">
        <v>0</v>
      </c>
      <c r="K38" s="309">
        <v>0</v>
      </c>
      <c r="L38" s="317">
        <v>0</v>
      </c>
      <c r="M38" s="309">
        <v>0</v>
      </c>
      <c r="N38" s="309">
        <v>0</v>
      </c>
      <c r="O38" s="309">
        <v>88</v>
      </c>
      <c r="P38" s="309">
        <v>0</v>
      </c>
      <c r="Q38" s="309">
        <v>0</v>
      </c>
      <c r="R38" s="317">
        <v>88</v>
      </c>
      <c r="S38" s="309">
        <v>-88</v>
      </c>
    </row>
    <row r="39" spans="1:19" x14ac:dyDescent="0.2">
      <c r="A39" s="305" t="s">
        <v>1799</v>
      </c>
      <c r="B39" s="306" t="s">
        <v>3941</v>
      </c>
      <c r="C39" s="307" t="s">
        <v>1009</v>
      </c>
      <c r="D39" s="306" t="s">
        <v>153</v>
      </c>
      <c r="E39" s="305" t="s">
        <v>3798</v>
      </c>
      <c r="F39" s="335">
        <v>42699</v>
      </c>
      <c r="G39" s="309">
        <v>0</v>
      </c>
      <c r="H39" s="309">
        <v>36</v>
      </c>
      <c r="I39" s="309">
        <v>0</v>
      </c>
      <c r="J39" s="309">
        <v>0</v>
      </c>
      <c r="K39" s="309">
        <v>0</v>
      </c>
      <c r="L39" s="317">
        <v>36</v>
      </c>
      <c r="M39" s="309">
        <v>0</v>
      </c>
      <c r="N39" s="309">
        <v>0</v>
      </c>
      <c r="O39" s="309">
        <v>0</v>
      </c>
      <c r="P39" s="309">
        <v>0</v>
      </c>
      <c r="Q39" s="309">
        <v>0</v>
      </c>
      <c r="R39" s="317">
        <v>0</v>
      </c>
      <c r="S39" s="309">
        <v>36</v>
      </c>
    </row>
    <row r="40" spans="1:19" x14ac:dyDescent="0.2">
      <c r="A40" s="305" t="s">
        <v>2613</v>
      </c>
      <c r="B40" s="306" t="s">
        <v>3948</v>
      </c>
      <c r="C40" s="307" t="s">
        <v>2614</v>
      </c>
      <c r="D40" s="306" t="s">
        <v>153</v>
      </c>
      <c r="E40" s="305" t="s">
        <v>3798</v>
      </c>
      <c r="F40" s="335">
        <v>43165</v>
      </c>
      <c r="G40" s="309">
        <v>59</v>
      </c>
      <c r="H40" s="309">
        <v>0</v>
      </c>
      <c r="I40" s="309">
        <v>0</v>
      </c>
      <c r="J40" s="309">
        <v>0</v>
      </c>
      <c r="K40" s="309">
        <v>0</v>
      </c>
      <c r="L40" s="317">
        <v>59</v>
      </c>
      <c r="M40" s="309">
        <v>0</v>
      </c>
      <c r="N40" s="309">
        <v>0</v>
      </c>
      <c r="O40" s="309">
        <v>0</v>
      </c>
      <c r="P40" s="309">
        <v>0</v>
      </c>
      <c r="Q40" s="309">
        <v>0</v>
      </c>
      <c r="R40" s="317">
        <v>0</v>
      </c>
      <c r="S40" s="309">
        <v>59</v>
      </c>
    </row>
    <row r="41" spans="1:19" x14ac:dyDescent="0.2">
      <c r="A41" s="305" t="s">
        <v>1939</v>
      </c>
      <c r="B41" s="306" t="s">
        <v>2907</v>
      </c>
      <c r="C41" s="307" t="s">
        <v>1028</v>
      </c>
      <c r="D41" s="306" t="s">
        <v>153</v>
      </c>
      <c r="E41" s="305" t="s">
        <v>3798</v>
      </c>
      <c r="F41" s="335">
        <v>42719</v>
      </c>
      <c r="G41" s="309">
        <v>34</v>
      </c>
      <c r="H41" s="309">
        <v>0</v>
      </c>
      <c r="I41" s="309">
        <v>0</v>
      </c>
      <c r="J41" s="309">
        <v>0</v>
      </c>
      <c r="K41" s="309">
        <v>0</v>
      </c>
      <c r="L41" s="317">
        <v>34</v>
      </c>
      <c r="M41" s="309">
        <v>0</v>
      </c>
      <c r="N41" s="309">
        <v>0</v>
      </c>
      <c r="O41" s="309">
        <v>0</v>
      </c>
      <c r="P41" s="309">
        <v>0</v>
      </c>
      <c r="Q41" s="309">
        <v>0</v>
      </c>
      <c r="R41" s="317">
        <v>0</v>
      </c>
      <c r="S41" s="309">
        <v>34</v>
      </c>
    </row>
    <row r="42" spans="1:19" x14ac:dyDescent="0.2">
      <c r="A42" s="305" t="s">
        <v>2067</v>
      </c>
      <c r="B42" s="306" t="s">
        <v>3952</v>
      </c>
      <c r="C42" s="307" t="s">
        <v>393</v>
      </c>
      <c r="D42" s="306" t="s">
        <v>153</v>
      </c>
      <c r="E42" s="305" t="s">
        <v>3798</v>
      </c>
      <c r="F42" s="335">
        <v>41934</v>
      </c>
      <c r="G42" s="309">
        <v>0</v>
      </c>
      <c r="H42" s="309">
        <v>0</v>
      </c>
      <c r="I42" s="309">
        <v>87</v>
      </c>
      <c r="J42" s="309">
        <v>0</v>
      </c>
      <c r="K42" s="309">
        <v>0</v>
      </c>
      <c r="L42" s="317">
        <v>87</v>
      </c>
      <c r="M42" s="309">
        <v>87</v>
      </c>
      <c r="N42" s="309">
        <v>0</v>
      </c>
      <c r="O42" s="309">
        <v>0</v>
      </c>
      <c r="P42" s="309">
        <v>0</v>
      </c>
      <c r="Q42" s="309">
        <v>0</v>
      </c>
      <c r="R42" s="317">
        <v>87</v>
      </c>
      <c r="S42" s="309">
        <v>0</v>
      </c>
    </row>
    <row r="43" spans="1:19" ht="22.5" x14ac:dyDescent="0.2">
      <c r="A43" s="305" t="s">
        <v>2304</v>
      </c>
      <c r="B43" s="306" t="s">
        <v>2907</v>
      </c>
      <c r="C43" s="307" t="s">
        <v>1086</v>
      </c>
      <c r="D43" s="306" t="s">
        <v>153</v>
      </c>
      <c r="E43" s="305" t="s">
        <v>3798</v>
      </c>
      <c r="F43" s="335">
        <v>42703</v>
      </c>
      <c r="G43" s="309">
        <v>88</v>
      </c>
      <c r="H43" s="309">
        <v>0</v>
      </c>
      <c r="I43" s="309">
        <v>0</v>
      </c>
      <c r="J43" s="309">
        <v>0</v>
      </c>
      <c r="K43" s="309">
        <v>0</v>
      </c>
      <c r="L43" s="317">
        <v>88</v>
      </c>
      <c r="M43" s="309">
        <v>0</v>
      </c>
      <c r="N43" s="309">
        <v>88</v>
      </c>
      <c r="O43" s="309">
        <v>0</v>
      </c>
      <c r="P43" s="309">
        <v>0</v>
      </c>
      <c r="Q43" s="309">
        <v>0</v>
      </c>
      <c r="R43" s="317">
        <v>88</v>
      </c>
      <c r="S43" s="309">
        <v>0</v>
      </c>
    </row>
    <row r="44" spans="1:19" x14ac:dyDescent="0.2">
      <c r="A44" s="305" t="s">
        <v>2124</v>
      </c>
      <c r="B44" s="306" t="s">
        <v>150</v>
      </c>
      <c r="C44" s="307" t="s">
        <v>632</v>
      </c>
      <c r="D44" s="306" t="s">
        <v>153</v>
      </c>
      <c r="E44" s="305" t="s">
        <v>3798</v>
      </c>
      <c r="F44" s="335">
        <v>42478</v>
      </c>
      <c r="G44" s="309">
        <v>0</v>
      </c>
      <c r="H44" s="309">
        <v>0</v>
      </c>
      <c r="I44" s="309">
        <v>239</v>
      </c>
      <c r="J44" s="309">
        <v>0</v>
      </c>
      <c r="K44" s="309">
        <v>0</v>
      </c>
      <c r="L44" s="317">
        <v>239</v>
      </c>
      <c r="M44" s="309">
        <v>0</v>
      </c>
      <c r="N44" s="309">
        <v>0</v>
      </c>
      <c r="O44" s="309">
        <v>212</v>
      </c>
      <c r="P44" s="309">
        <v>0</v>
      </c>
      <c r="Q44" s="309">
        <v>0</v>
      </c>
      <c r="R44" s="317">
        <v>212</v>
      </c>
      <c r="S44" s="309">
        <v>27</v>
      </c>
    </row>
    <row r="45" spans="1:19" x14ac:dyDescent="0.2">
      <c r="A45" s="305" t="s">
        <v>1394</v>
      </c>
      <c r="B45" s="306" t="s">
        <v>3946</v>
      </c>
      <c r="C45" s="307" t="s">
        <v>1395</v>
      </c>
      <c r="D45" s="306" t="s">
        <v>153</v>
      </c>
      <c r="E45" s="305" t="s">
        <v>3798</v>
      </c>
      <c r="F45" s="335">
        <v>42971</v>
      </c>
      <c r="G45" s="309">
        <v>85</v>
      </c>
      <c r="H45" s="309">
        <v>0</v>
      </c>
      <c r="I45" s="309">
        <v>0</v>
      </c>
      <c r="J45" s="309">
        <v>0</v>
      </c>
      <c r="K45" s="309">
        <v>0</v>
      </c>
      <c r="L45" s="317">
        <v>85</v>
      </c>
      <c r="M45" s="309">
        <v>184</v>
      </c>
      <c r="N45" s="309">
        <v>0</v>
      </c>
      <c r="O45" s="309">
        <v>0</v>
      </c>
      <c r="P45" s="309">
        <v>0</v>
      </c>
      <c r="Q45" s="309">
        <v>0</v>
      </c>
      <c r="R45" s="317">
        <v>184</v>
      </c>
      <c r="S45" s="309">
        <v>-99</v>
      </c>
    </row>
    <row r="46" spans="1:19" x14ac:dyDescent="0.2">
      <c r="A46" s="305" t="s">
        <v>1823</v>
      </c>
      <c r="B46" s="306" t="s">
        <v>3951</v>
      </c>
      <c r="C46" s="307" t="s">
        <v>714</v>
      </c>
      <c r="D46" s="306" t="s">
        <v>153</v>
      </c>
      <c r="E46" s="305" t="s">
        <v>3798</v>
      </c>
      <c r="F46" s="335">
        <v>42482</v>
      </c>
      <c r="G46" s="309">
        <v>510</v>
      </c>
      <c r="H46" s="309">
        <v>0</v>
      </c>
      <c r="I46" s="309">
        <v>0</v>
      </c>
      <c r="J46" s="309">
        <v>0</v>
      </c>
      <c r="K46" s="309">
        <v>0</v>
      </c>
      <c r="L46" s="317">
        <v>510</v>
      </c>
      <c r="M46" s="309">
        <v>510</v>
      </c>
      <c r="N46" s="309">
        <v>0</v>
      </c>
      <c r="O46" s="309">
        <v>0</v>
      </c>
      <c r="P46" s="309">
        <v>0</v>
      </c>
      <c r="Q46" s="309">
        <v>0</v>
      </c>
      <c r="R46" s="317">
        <v>510</v>
      </c>
      <c r="S46" s="309">
        <v>0</v>
      </c>
    </row>
    <row r="47" spans="1:19" ht="22.5" x14ac:dyDescent="0.2">
      <c r="A47" s="305" t="s">
        <v>2217</v>
      </c>
      <c r="B47" s="306" t="s">
        <v>3939</v>
      </c>
      <c r="C47" s="307" t="s">
        <v>579</v>
      </c>
      <c r="D47" s="306" t="s">
        <v>153</v>
      </c>
      <c r="E47" s="305" t="s">
        <v>3798</v>
      </c>
      <c r="F47" s="335">
        <v>42501</v>
      </c>
      <c r="G47" s="309">
        <v>774</v>
      </c>
      <c r="H47" s="309">
        <v>0</v>
      </c>
      <c r="I47" s="309">
        <v>0</v>
      </c>
      <c r="J47" s="309">
        <v>0</v>
      </c>
      <c r="K47" s="309">
        <v>0</v>
      </c>
      <c r="L47" s="317">
        <v>774</v>
      </c>
      <c r="M47" s="309">
        <v>1230</v>
      </c>
      <c r="N47" s="309">
        <v>0</v>
      </c>
      <c r="O47" s="309">
        <v>0</v>
      </c>
      <c r="P47" s="309">
        <v>0</v>
      </c>
      <c r="Q47" s="309">
        <v>0</v>
      </c>
      <c r="R47" s="317">
        <v>1230</v>
      </c>
      <c r="S47" s="309">
        <v>-456</v>
      </c>
    </row>
    <row r="48" spans="1:19" x14ac:dyDescent="0.2">
      <c r="A48" s="305" t="s">
        <v>2093</v>
      </c>
      <c r="B48" s="306" t="s">
        <v>3945</v>
      </c>
      <c r="C48" s="307" t="s">
        <v>500</v>
      </c>
      <c r="D48" s="306" t="s">
        <v>153</v>
      </c>
      <c r="E48" s="305" t="s">
        <v>3798</v>
      </c>
      <c r="F48" s="335">
        <v>42277</v>
      </c>
      <c r="G48" s="309">
        <v>60</v>
      </c>
      <c r="H48" s="309">
        <v>0</v>
      </c>
      <c r="I48" s="309">
        <v>0</v>
      </c>
      <c r="J48" s="309">
        <v>0</v>
      </c>
      <c r="K48" s="309">
        <v>0</v>
      </c>
      <c r="L48" s="317">
        <v>60</v>
      </c>
      <c r="M48" s="309">
        <v>67</v>
      </c>
      <c r="N48" s="309">
        <v>0</v>
      </c>
      <c r="O48" s="309">
        <v>0</v>
      </c>
      <c r="P48" s="309">
        <v>0</v>
      </c>
      <c r="Q48" s="309">
        <v>0</v>
      </c>
      <c r="R48" s="317">
        <v>67</v>
      </c>
      <c r="S48" s="309">
        <v>-7</v>
      </c>
    </row>
    <row r="49" spans="1:19" x14ac:dyDescent="0.2">
      <c r="A49" s="305" t="s">
        <v>1794</v>
      </c>
      <c r="B49" s="306" t="s">
        <v>150</v>
      </c>
      <c r="C49" s="307" t="s">
        <v>988</v>
      </c>
      <c r="D49" s="306" t="s">
        <v>153</v>
      </c>
      <c r="E49" s="305" t="s">
        <v>3798</v>
      </c>
      <c r="F49" s="335">
        <v>42650</v>
      </c>
      <c r="G49" s="309">
        <v>0</v>
      </c>
      <c r="H49" s="309">
        <v>0</v>
      </c>
      <c r="I49" s="309">
        <v>0</v>
      </c>
      <c r="J49" s="309">
        <v>0</v>
      </c>
      <c r="K49" s="309">
        <v>0</v>
      </c>
      <c r="L49" s="317">
        <v>0</v>
      </c>
      <c r="M49" s="309">
        <v>44</v>
      </c>
      <c r="N49" s="309">
        <v>0</v>
      </c>
      <c r="O49" s="309">
        <v>0</v>
      </c>
      <c r="P49" s="309">
        <v>0</v>
      </c>
      <c r="Q49" s="309">
        <v>0</v>
      </c>
      <c r="R49" s="317">
        <v>44</v>
      </c>
      <c r="S49" s="309">
        <v>-44</v>
      </c>
    </row>
    <row r="50" spans="1:19" x14ac:dyDescent="0.2">
      <c r="A50" s="305" t="s">
        <v>2340</v>
      </c>
      <c r="B50" s="306" t="s">
        <v>3943</v>
      </c>
      <c r="C50" s="307" t="s">
        <v>881</v>
      </c>
      <c r="D50" s="306" t="s">
        <v>153</v>
      </c>
      <c r="E50" s="305" t="s">
        <v>3798</v>
      </c>
      <c r="F50" s="335">
        <v>42564</v>
      </c>
      <c r="G50" s="309">
        <v>6</v>
      </c>
      <c r="H50" s="309">
        <v>0</v>
      </c>
      <c r="I50" s="309">
        <v>0</v>
      </c>
      <c r="J50" s="309">
        <v>0</v>
      </c>
      <c r="K50" s="309">
        <v>0</v>
      </c>
      <c r="L50" s="317">
        <v>6</v>
      </c>
      <c r="M50" s="309">
        <v>0</v>
      </c>
      <c r="N50" s="309">
        <v>0</v>
      </c>
      <c r="O50" s="309">
        <v>0</v>
      </c>
      <c r="P50" s="309">
        <v>0</v>
      </c>
      <c r="Q50" s="309">
        <v>0</v>
      </c>
      <c r="R50" s="317">
        <v>0</v>
      </c>
      <c r="S50" s="309">
        <v>6</v>
      </c>
    </row>
    <row r="51" spans="1:19" x14ac:dyDescent="0.2">
      <c r="A51" s="305" t="s">
        <v>2104</v>
      </c>
      <c r="B51" s="306" t="s">
        <v>3942</v>
      </c>
      <c r="C51" s="307" t="s">
        <v>1122</v>
      </c>
      <c r="D51" s="306" t="s">
        <v>153</v>
      </c>
      <c r="E51" s="305" t="s">
        <v>3798</v>
      </c>
      <c r="F51" s="335">
        <v>42793</v>
      </c>
      <c r="G51" s="309">
        <v>116</v>
      </c>
      <c r="H51" s="309">
        <v>0</v>
      </c>
      <c r="I51" s="309">
        <v>116</v>
      </c>
      <c r="J51" s="309">
        <v>0</v>
      </c>
      <c r="K51" s="309">
        <v>0</v>
      </c>
      <c r="L51" s="317">
        <v>232</v>
      </c>
      <c r="M51" s="309">
        <v>0</v>
      </c>
      <c r="N51" s="309">
        <v>0</v>
      </c>
      <c r="O51" s="309">
        <v>232</v>
      </c>
      <c r="P51" s="309">
        <v>0</v>
      </c>
      <c r="Q51" s="309">
        <v>0</v>
      </c>
      <c r="R51" s="317">
        <v>232</v>
      </c>
      <c r="S51" s="309">
        <v>0</v>
      </c>
    </row>
    <row r="52" spans="1:19" x14ac:dyDescent="0.2">
      <c r="A52" s="305" t="s">
        <v>2073</v>
      </c>
      <c r="B52" s="306" t="s">
        <v>3947</v>
      </c>
      <c r="C52" s="307" t="s">
        <v>345</v>
      </c>
      <c r="D52" s="306" t="s">
        <v>153</v>
      </c>
      <c r="E52" s="305" t="s">
        <v>3798</v>
      </c>
      <c r="F52" s="335">
        <v>42032</v>
      </c>
      <c r="G52" s="309">
        <v>0</v>
      </c>
      <c r="H52" s="309">
        <v>0</v>
      </c>
      <c r="I52" s="309">
        <v>0</v>
      </c>
      <c r="J52" s="309">
        <v>0</v>
      </c>
      <c r="K52" s="309">
        <v>0</v>
      </c>
      <c r="L52" s="317">
        <v>0</v>
      </c>
      <c r="M52" s="309">
        <v>60</v>
      </c>
      <c r="N52" s="309">
        <v>0</v>
      </c>
      <c r="O52" s="309">
        <v>0</v>
      </c>
      <c r="P52" s="309">
        <v>0</v>
      </c>
      <c r="Q52" s="309">
        <v>0</v>
      </c>
      <c r="R52" s="317">
        <v>60</v>
      </c>
      <c r="S52" s="309">
        <v>-60</v>
      </c>
    </row>
    <row r="53" spans="1:19" ht="22.5" x14ac:dyDescent="0.2">
      <c r="A53" s="305" t="s">
        <v>1800</v>
      </c>
      <c r="B53" s="306" t="s">
        <v>3946</v>
      </c>
      <c r="C53" s="307" t="s">
        <v>1801</v>
      </c>
      <c r="D53" s="306" t="s">
        <v>153</v>
      </c>
      <c r="E53" s="305" t="s">
        <v>3798</v>
      </c>
      <c r="F53" s="335">
        <v>43019</v>
      </c>
      <c r="G53" s="309">
        <v>0</v>
      </c>
      <c r="H53" s="309">
        <v>0</v>
      </c>
      <c r="I53" s="309">
        <v>84</v>
      </c>
      <c r="J53" s="309">
        <v>0</v>
      </c>
      <c r="K53" s="309">
        <v>0</v>
      </c>
      <c r="L53" s="317">
        <v>84</v>
      </c>
      <c r="M53" s="309">
        <v>0</v>
      </c>
      <c r="N53" s="309">
        <v>0</v>
      </c>
      <c r="O53" s="309">
        <v>72</v>
      </c>
      <c r="P53" s="309">
        <v>0</v>
      </c>
      <c r="Q53" s="309">
        <v>0</v>
      </c>
      <c r="R53" s="317">
        <v>72</v>
      </c>
      <c r="S53" s="309">
        <v>12</v>
      </c>
    </row>
    <row r="54" spans="1:19" ht="22.5" x14ac:dyDescent="0.2">
      <c r="A54" s="305" t="s">
        <v>2291</v>
      </c>
      <c r="B54" s="306" t="s">
        <v>149</v>
      </c>
      <c r="C54" s="307" t="s">
        <v>1030</v>
      </c>
      <c r="D54" s="306" t="s">
        <v>153</v>
      </c>
      <c r="E54" s="305" t="s">
        <v>3798</v>
      </c>
      <c r="F54" s="335">
        <v>42706</v>
      </c>
      <c r="G54" s="309">
        <v>0</v>
      </c>
      <c r="H54" s="309">
        <v>0</v>
      </c>
      <c r="I54" s="309">
        <v>0</v>
      </c>
      <c r="J54" s="309">
        <v>0</v>
      </c>
      <c r="K54" s="309">
        <v>0</v>
      </c>
      <c r="L54" s="317">
        <v>0</v>
      </c>
      <c r="M54" s="309">
        <v>112</v>
      </c>
      <c r="N54" s="309">
        <v>0</v>
      </c>
      <c r="O54" s="309">
        <v>0</v>
      </c>
      <c r="P54" s="309">
        <v>0</v>
      </c>
      <c r="Q54" s="309">
        <v>0</v>
      </c>
      <c r="R54" s="317">
        <v>112</v>
      </c>
      <c r="S54" s="309">
        <v>-112</v>
      </c>
    </row>
    <row r="55" spans="1:19" x14ac:dyDescent="0.2">
      <c r="A55" s="305" t="s">
        <v>1597</v>
      </c>
      <c r="B55" s="306" t="s">
        <v>150</v>
      </c>
      <c r="C55" s="307" t="s">
        <v>355</v>
      </c>
      <c r="D55" s="306" t="s">
        <v>153</v>
      </c>
      <c r="E55" s="305" t="s">
        <v>3798</v>
      </c>
      <c r="F55" s="335">
        <v>41842</v>
      </c>
      <c r="G55" s="309">
        <v>0</v>
      </c>
      <c r="H55" s="309">
        <v>0</v>
      </c>
      <c r="I55" s="309">
        <v>75</v>
      </c>
      <c r="J55" s="309">
        <v>0</v>
      </c>
      <c r="K55" s="309">
        <v>0</v>
      </c>
      <c r="L55" s="317">
        <v>75</v>
      </c>
      <c r="M55" s="309">
        <v>0</v>
      </c>
      <c r="N55" s="309">
        <v>0</v>
      </c>
      <c r="O55" s="309">
        <v>0</v>
      </c>
      <c r="P55" s="309">
        <v>0</v>
      </c>
      <c r="Q55" s="309">
        <v>0</v>
      </c>
      <c r="R55" s="317">
        <v>0</v>
      </c>
      <c r="S55" s="309">
        <v>75</v>
      </c>
    </row>
    <row r="56" spans="1:19" x14ac:dyDescent="0.2">
      <c r="A56" s="305" t="s">
        <v>2240</v>
      </c>
      <c r="B56" s="306" t="s">
        <v>3948</v>
      </c>
      <c r="C56" s="307" t="s">
        <v>877</v>
      </c>
      <c r="D56" s="306" t="s">
        <v>153</v>
      </c>
      <c r="E56" s="305" t="s">
        <v>3798</v>
      </c>
      <c r="F56" s="335">
        <v>42605</v>
      </c>
      <c r="G56" s="309">
        <v>0</v>
      </c>
      <c r="H56" s="309">
        <v>0</v>
      </c>
      <c r="I56" s="309">
        <v>0</v>
      </c>
      <c r="J56" s="309">
        <v>351</v>
      </c>
      <c r="K56" s="309">
        <v>0</v>
      </c>
      <c r="L56" s="317">
        <v>351</v>
      </c>
      <c r="M56" s="309">
        <v>0</v>
      </c>
      <c r="N56" s="309">
        <v>0</v>
      </c>
      <c r="O56" s="309">
        <v>0</v>
      </c>
      <c r="P56" s="309">
        <v>488</v>
      </c>
      <c r="Q56" s="309">
        <v>0</v>
      </c>
      <c r="R56" s="317">
        <v>488</v>
      </c>
      <c r="S56" s="309">
        <v>-137</v>
      </c>
    </row>
    <row r="57" spans="1:19" x14ac:dyDescent="0.2">
      <c r="C57" s="307" t="s">
        <v>1220</v>
      </c>
      <c r="D57" s="306" t="s">
        <v>153</v>
      </c>
      <c r="E57" s="305" t="s">
        <v>3798</v>
      </c>
      <c r="F57" s="335">
        <v>42793</v>
      </c>
      <c r="G57" s="309">
        <v>0</v>
      </c>
      <c r="H57" s="309">
        <v>0</v>
      </c>
      <c r="I57" s="309">
        <v>0</v>
      </c>
      <c r="J57" s="309">
        <v>345</v>
      </c>
      <c r="K57" s="309">
        <v>0</v>
      </c>
      <c r="L57" s="317">
        <v>345</v>
      </c>
      <c r="M57" s="309">
        <v>0</v>
      </c>
      <c r="N57" s="309">
        <v>0</v>
      </c>
      <c r="O57" s="309">
        <v>0</v>
      </c>
      <c r="P57" s="309">
        <v>477</v>
      </c>
      <c r="Q57" s="309">
        <v>0</v>
      </c>
      <c r="R57" s="317">
        <v>477</v>
      </c>
      <c r="S57" s="309">
        <v>-132</v>
      </c>
    </row>
    <row r="58" spans="1:19" x14ac:dyDescent="0.2">
      <c r="A58" s="305" t="s">
        <v>1927</v>
      </c>
      <c r="B58" s="306" t="s">
        <v>3945</v>
      </c>
      <c r="C58" s="307" t="s">
        <v>997</v>
      </c>
      <c r="D58" s="306" t="s">
        <v>153</v>
      </c>
      <c r="E58" s="305" t="s">
        <v>3798</v>
      </c>
      <c r="F58" s="335">
        <v>42669</v>
      </c>
      <c r="G58" s="309">
        <v>57</v>
      </c>
      <c r="H58" s="309">
        <v>0</v>
      </c>
      <c r="I58" s="309">
        <v>0</v>
      </c>
      <c r="J58" s="309">
        <v>0</v>
      </c>
      <c r="K58" s="309">
        <v>0</v>
      </c>
      <c r="L58" s="317">
        <v>57</v>
      </c>
      <c r="M58" s="309">
        <v>0</v>
      </c>
      <c r="N58" s="309">
        <v>0</v>
      </c>
      <c r="O58" s="309">
        <v>137</v>
      </c>
      <c r="P58" s="309">
        <v>0</v>
      </c>
      <c r="Q58" s="309">
        <v>0</v>
      </c>
      <c r="R58" s="317">
        <v>137</v>
      </c>
      <c r="S58" s="309">
        <v>-80</v>
      </c>
    </row>
    <row r="59" spans="1:19" x14ac:dyDescent="0.2">
      <c r="A59" s="305" t="s">
        <v>2483</v>
      </c>
      <c r="B59" s="306" t="s">
        <v>3942</v>
      </c>
      <c r="C59" s="307" t="s">
        <v>2484</v>
      </c>
      <c r="D59" s="306" t="s">
        <v>153</v>
      </c>
      <c r="E59" s="305" t="s">
        <v>3798</v>
      </c>
      <c r="F59" s="335">
        <v>42954</v>
      </c>
      <c r="G59" s="309">
        <v>0</v>
      </c>
      <c r="H59" s="309">
        <v>0</v>
      </c>
      <c r="I59" s="309">
        <v>112</v>
      </c>
      <c r="J59" s="309">
        <v>0</v>
      </c>
      <c r="K59" s="309">
        <v>0</v>
      </c>
      <c r="L59" s="317">
        <v>112</v>
      </c>
      <c r="M59" s="309">
        <v>112</v>
      </c>
      <c r="N59" s="309">
        <v>0</v>
      </c>
      <c r="O59" s="309">
        <v>0</v>
      </c>
      <c r="P59" s="309">
        <v>0</v>
      </c>
      <c r="Q59" s="309">
        <v>0</v>
      </c>
      <c r="R59" s="317">
        <v>112</v>
      </c>
      <c r="S59" s="309">
        <v>0</v>
      </c>
    </row>
    <row r="60" spans="1:19" x14ac:dyDescent="0.2">
      <c r="A60" s="305" t="s">
        <v>2289</v>
      </c>
      <c r="B60" s="306" t="s">
        <v>3949</v>
      </c>
      <c r="C60" s="307" t="s">
        <v>1124</v>
      </c>
      <c r="D60" s="306" t="s">
        <v>153</v>
      </c>
      <c r="E60" s="305" t="s">
        <v>3798</v>
      </c>
      <c r="F60" s="335">
        <v>42766</v>
      </c>
      <c r="G60" s="309">
        <v>0</v>
      </c>
      <c r="H60" s="309">
        <v>0</v>
      </c>
      <c r="I60" s="309">
        <v>0</v>
      </c>
      <c r="J60" s="309">
        <v>0</v>
      </c>
      <c r="K60" s="309">
        <v>0</v>
      </c>
      <c r="L60" s="317">
        <v>0</v>
      </c>
      <c r="M60" s="309">
        <v>279</v>
      </c>
      <c r="N60" s="309">
        <v>0</v>
      </c>
      <c r="O60" s="309">
        <v>0</v>
      </c>
      <c r="P60" s="309">
        <v>0</v>
      </c>
      <c r="Q60" s="309">
        <v>0</v>
      </c>
      <c r="R60" s="317">
        <v>279</v>
      </c>
      <c r="S60" s="309">
        <v>-279</v>
      </c>
    </row>
    <row r="61" spans="1:19" x14ac:dyDescent="0.2">
      <c r="A61" s="305" t="s">
        <v>2316</v>
      </c>
      <c r="B61" s="306" t="s">
        <v>2904</v>
      </c>
      <c r="C61" s="307" t="s">
        <v>2317</v>
      </c>
      <c r="D61" s="306" t="s">
        <v>153</v>
      </c>
      <c r="E61" s="305" t="s">
        <v>3798</v>
      </c>
      <c r="F61" s="335">
        <v>42964</v>
      </c>
      <c r="G61" s="309">
        <v>20</v>
      </c>
      <c r="H61" s="309">
        <v>0</v>
      </c>
      <c r="I61" s="309">
        <v>0</v>
      </c>
      <c r="J61" s="309">
        <v>0</v>
      </c>
      <c r="K61" s="309">
        <v>0</v>
      </c>
      <c r="L61" s="317">
        <v>20</v>
      </c>
      <c r="M61" s="309">
        <v>0</v>
      </c>
      <c r="N61" s="309">
        <v>94</v>
      </c>
      <c r="O61" s="309">
        <v>0</v>
      </c>
      <c r="P61" s="309">
        <v>0</v>
      </c>
      <c r="Q61" s="309">
        <v>0</v>
      </c>
      <c r="R61" s="317">
        <v>94</v>
      </c>
      <c r="S61" s="309">
        <v>-74</v>
      </c>
    </row>
    <row r="62" spans="1:19" x14ac:dyDescent="0.2">
      <c r="A62" s="305" t="s">
        <v>2295</v>
      </c>
      <c r="B62" s="306" t="s">
        <v>3948</v>
      </c>
      <c r="C62" s="307" t="s">
        <v>2296</v>
      </c>
      <c r="D62" s="306" t="s">
        <v>153</v>
      </c>
      <c r="E62" s="305" t="s">
        <v>3798</v>
      </c>
      <c r="F62" s="335">
        <v>43003</v>
      </c>
      <c r="G62" s="309">
        <v>0</v>
      </c>
      <c r="H62" s="309">
        <v>154</v>
      </c>
      <c r="I62" s="309">
        <v>0</v>
      </c>
      <c r="J62" s="309">
        <v>0</v>
      </c>
      <c r="K62" s="309">
        <v>0</v>
      </c>
      <c r="L62" s="317">
        <v>154</v>
      </c>
      <c r="M62" s="309">
        <v>0</v>
      </c>
      <c r="N62" s="309">
        <v>133</v>
      </c>
      <c r="O62" s="309">
        <v>0</v>
      </c>
      <c r="P62" s="309">
        <v>0</v>
      </c>
      <c r="Q62" s="309">
        <v>0</v>
      </c>
      <c r="R62" s="317">
        <v>133</v>
      </c>
      <c r="S62" s="309">
        <v>21</v>
      </c>
    </row>
    <row r="63" spans="1:19" x14ac:dyDescent="0.2">
      <c r="A63" s="305" t="s">
        <v>2332</v>
      </c>
      <c r="B63" s="306" t="s">
        <v>3944</v>
      </c>
      <c r="C63" s="307" t="s">
        <v>1090</v>
      </c>
      <c r="D63" s="306" t="s">
        <v>153</v>
      </c>
      <c r="E63" s="305" t="s">
        <v>3798</v>
      </c>
      <c r="F63" s="335">
        <v>42725</v>
      </c>
      <c r="G63" s="309">
        <v>0</v>
      </c>
      <c r="H63" s="309">
        <v>0</v>
      </c>
      <c r="I63" s="309">
        <v>0</v>
      </c>
      <c r="J63" s="309">
        <v>0</v>
      </c>
      <c r="K63" s="309">
        <v>0</v>
      </c>
      <c r="L63" s="317">
        <v>0</v>
      </c>
      <c r="M63" s="309">
        <v>68</v>
      </c>
      <c r="N63" s="309">
        <v>0</v>
      </c>
      <c r="O63" s="309">
        <v>0</v>
      </c>
      <c r="P63" s="309">
        <v>0</v>
      </c>
      <c r="Q63" s="309">
        <v>0</v>
      </c>
      <c r="R63" s="317">
        <v>68</v>
      </c>
      <c r="S63" s="309">
        <v>-68</v>
      </c>
    </row>
    <row r="64" spans="1:19" x14ac:dyDescent="0.2">
      <c r="A64" s="305" t="s">
        <v>1980</v>
      </c>
      <c r="B64" s="306" t="s">
        <v>3948</v>
      </c>
      <c r="C64" s="307" t="s">
        <v>1153</v>
      </c>
      <c r="D64" s="306" t="s">
        <v>153</v>
      </c>
      <c r="E64" s="305" t="s">
        <v>3798</v>
      </c>
      <c r="F64" s="335">
        <v>42822</v>
      </c>
      <c r="G64" s="309">
        <v>0</v>
      </c>
      <c r="H64" s="309">
        <v>47</v>
      </c>
      <c r="I64" s="309">
        <v>0</v>
      </c>
      <c r="J64" s="309">
        <v>0</v>
      </c>
      <c r="K64" s="309">
        <v>0</v>
      </c>
      <c r="L64" s="317">
        <v>47</v>
      </c>
      <c r="M64" s="309">
        <v>0</v>
      </c>
      <c r="N64" s="309">
        <v>62</v>
      </c>
      <c r="O64" s="309">
        <v>0</v>
      </c>
      <c r="P64" s="309">
        <v>0</v>
      </c>
      <c r="Q64" s="309">
        <v>0</v>
      </c>
      <c r="R64" s="317">
        <v>62</v>
      </c>
      <c r="S64" s="309">
        <v>-15</v>
      </c>
    </row>
    <row r="65" spans="1:19" x14ac:dyDescent="0.2">
      <c r="A65" s="305" t="s">
        <v>2335</v>
      </c>
      <c r="B65" s="306" t="s">
        <v>2904</v>
      </c>
      <c r="C65" s="307" t="s">
        <v>2336</v>
      </c>
      <c r="D65" s="306" t="s">
        <v>153</v>
      </c>
      <c r="E65" s="305" t="s">
        <v>3798</v>
      </c>
      <c r="F65" s="335">
        <v>43063</v>
      </c>
      <c r="G65" s="309">
        <v>204</v>
      </c>
      <c r="H65" s="309">
        <v>0</v>
      </c>
      <c r="I65" s="309">
        <v>0</v>
      </c>
      <c r="J65" s="309">
        <v>0</v>
      </c>
      <c r="K65" s="309">
        <v>0</v>
      </c>
      <c r="L65" s="317">
        <v>204</v>
      </c>
      <c r="M65" s="309">
        <v>214</v>
      </c>
      <c r="N65" s="309">
        <v>0</v>
      </c>
      <c r="O65" s="309">
        <v>0</v>
      </c>
      <c r="P65" s="309">
        <v>0</v>
      </c>
      <c r="Q65" s="309">
        <v>0</v>
      </c>
      <c r="R65" s="317">
        <v>214</v>
      </c>
      <c r="S65" s="309">
        <v>-10</v>
      </c>
    </row>
    <row r="66" spans="1:19" x14ac:dyDescent="0.2">
      <c r="A66" s="305" t="s">
        <v>2342</v>
      </c>
      <c r="B66" s="306" t="s">
        <v>2907</v>
      </c>
      <c r="C66" s="307" t="s">
        <v>2343</v>
      </c>
      <c r="D66" s="306" t="s">
        <v>153</v>
      </c>
      <c r="E66" s="305" t="s">
        <v>3798</v>
      </c>
      <c r="F66" s="335">
        <v>43033</v>
      </c>
      <c r="G66" s="309">
        <v>0</v>
      </c>
      <c r="H66" s="309">
        <v>0</v>
      </c>
      <c r="I66" s="309">
        <v>0</v>
      </c>
      <c r="J66" s="309">
        <v>0</v>
      </c>
      <c r="K66" s="309">
        <v>0</v>
      </c>
      <c r="L66" s="317">
        <v>0</v>
      </c>
      <c r="M66" s="309">
        <v>93</v>
      </c>
      <c r="N66" s="309">
        <v>0</v>
      </c>
      <c r="O66" s="309">
        <v>0</v>
      </c>
      <c r="P66" s="309">
        <v>0</v>
      </c>
      <c r="Q66" s="309">
        <v>0</v>
      </c>
      <c r="R66" s="317">
        <v>93</v>
      </c>
      <c r="S66" s="309">
        <v>-93</v>
      </c>
    </row>
    <row r="67" spans="1:19" ht="22.5" x14ac:dyDescent="0.2">
      <c r="A67" s="305" t="s">
        <v>1704</v>
      </c>
      <c r="B67" s="306" t="s">
        <v>3946</v>
      </c>
      <c r="C67" s="307" t="s">
        <v>307</v>
      </c>
      <c r="D67" s="306" t="s">
        <v>153</v>
      </c>
      <c r="E67" s="305" t="s">
        <v>3798</v>
      </c>
      <c r="F67" s="335">
        <v>42489</v>
      </c>
      <c r="G67" s="309">
        <v>1046</v>
      </c>
      <c r="H67" s="309">
        <v>1046</v>
      </c>
      <c r="I67" s="309">
        <v>1043</v>
      </c>
      <c r="J67" s="309">
        <v>0</v>
      </c>
      <c r="K67" s="309">
        <v>0</v>
      </c>
      <c r="L67" s="317">
        <v>3135</v>
      </c>
      <c r="M67" s="309">
        <v>3877</v>
      </c>
      <c r="N67" s="309">
        <v>550</v>
      </c>
      <c r="O67" s="309">
        <v>0</v>
      </c>
      <c r="P67" s="309">
        <v>0</v>
      </c>
      <c r="Q67" s="309">
        <v>0</v>
      </c>
      <c r="R67" s="317">
        <v>4427</v>
      </c>
      <c r="S67" s="309">
        <v>-1292</v>
      </c>
    </row>
    <row r="68" spans="1:19" x14ac:dyDescent="0.2">
      <c r="A68" s="305" t="s">
        <v>1862</v>
      </c>
      <c r="B68" s="306" t="s">
        <v>3951</v>
      </c>
      <c r="C68" s="307" t="s">
        <v>481</v>
      </c>
      <c r="D68" s="306" t="s">
        <v>153</v>
      </c>
      <c r="E68" s="305" t="s">
        <v>3798</v>
      </c>
      <c r="F68" s="335">
        <v>42233</v>
      </c>
      <c r="G68" s="309">
        <v>125</v>
      </c>
      <c r="H68" s="309">
        <v>0</v>
      </c>
      <c r="I68" s="309">
        <v>0</v>
      </c>
      <c r="J68" s="309">
        <v>0</v>
      </c>
      <c r="K68" s="309">
        <v>0</v>
      </c>
      <c r="L68" s="317">
        <v>125</v>
      </c>
      <c r="M68" s="309">
        <v>135</v>
      </c>
      <c r="N68" s="309">
        <v>0</v>
      </c>
      <c r="O68" s="309">
        <v>0</v>
      </c>
      <c r="P68" s="309">
        <v>0</v>
      </c>
      <c r="Q68" s="309">
        <v>0</v>
      </c>
      <c r="R68" s="317">
        <v>135</v>
      </c>
      <c r="S68" s="309">
        <v>-10</v>
      </c>
    </row>
    <row r="69" spans="1:19" x14ac:dyDescent="0.2">
      <c r="A69" s="305" t="s">
        <v>1942</v>
      </c>
      <c r="B69" s="306" t="s">
        <v>149</v>
      </c>
      <c r="C69" s="307" t="s">
        <v>1943</v>
      </c>
      <c r="D69" s="306" t="s">
        <v>153</v>
      </c>
      <c r="E69" s="305" t="s">
        <v>3798</v>
      </c>
      <c r="F69" s="335">
        <v>43131</v>
      </c>
      <c r="G69" s="309">
        <v>40</v>
      </c>
      <c r="H69" s="309">
        <v>40</v>
      </c>
      <c r="I69" s="309">
        <v>40</v>
      </c>
      <c r="J69" s="309">
        <v>0</v>
      </c>
      <c r="K69" s="309">
        <v>0</v>
      </c>
      <c r="L69" s="317">
        <v>120</v>
      </c>
      <c r="M69" s="309">
        <v>0</v>
      </c>
      <c r="N69" s="309">
        <v>159</v>
      </c>
      <c r="O69" s="309">
        <v>0</v>
      </c>
      <c r="P69" s="309">
        <v>0</v>
      </c>
      <c r="Q69" s="309">
        <v>0</v>
      </c>
      <c r="R69" s="317">
        <v>159</v>
      </c>
      <c r="S69" s="309">
        <v>-39</v>
      </c>
    </row>
    <row r="70" spans="1:19" x14ac:dyDescent="0.2">
      <c r="A70" s="305" t="s">
        <v>2133</v>
      </c>
      <c r="B70" s="306" t="s">
        <v>150</v>
      </c>
      <c r="C70" s="307" t="s">
        <v>2134</v>
      </c>
      <c r="D70" s="306" t="s">
        <v>153</v>
      </c>
      <c r="E70" s="305" t="s">
        <v>3798</v>
      </c>
      <c r="F70" s="335">
        <v>43032</v>
      </c>
      <c r="G70" s="309">
        <v>0</v>
      </c>
      <c r="H70" s="309">
        <v>0</v>
      </c>
      <c r="I70" s="309">
        <v>0</v>
      </c>
      <c r="J70" s="309">
        <v>0</v>
      </c>
      <c r="K70" s="309">
        <v>0</v>
      </c>
      <c r="L70" s="317">
        <v>0</v>
      </c>
      <c r="M70" s="309">
        <v>67</v>
      </c>
      <c r="N70" s="309">
        <v>0</v>
      </c>
      <c r="O70" s="309">
        <v>0</v>
      </c>
      <c r="P70" s="309">
        <v>0</v>
      </c>
      <c r="Q70" s="309">
        <v>0</v>
      </c>
      <c r="R70" s="317">
        <v>67</v>
      </c>
      <c r="S70" s="309">
        <v>-67</v>
      </c>
    </row>
    <row r="71" spans="1:19" x14ac:dyDescent="0.2">
      <c r="A71" s="305" t="s">
        <v>1397</v>
      </c>
      <c r="B71" s="306" t="s">
        <v>3951</v>
      </c>
      <c r="C71" s="307" t="s">
        <v>448</v>
      </c>
      <c r="D71" s="306" t="s">
        <v>153</v>
      </c>
      <c r="E71" s="305" t="s">
        <v>3798</v>
      </c>
      <c r="F71" s="335">
        <v>42304</v>
      </c>
      <c r="G71" s="309">
        <v>225</v>
      </c>
      <c r="H71" s="309">
        <v>0</v>
      </c>
      <c r="I71" s="309">
        <v>0</v>
      </c>
      <c r="J71" s="309">
        <v>0</v>
      </c>
      <c r="K71" s="309">
        <v>0</v>
      </c>
      <c r="L71" s="317">
        <v>225</v>
      </c>
      <c r="M71" s="309">
        <v>0</v>
      </c>
      <c r="N71" s="309">
        <v>0</v>
      </c>
      <c r="O71" s="309">
        <v>0</v>
      </c>
      <c r="P71" s="309">
        <v>0</v>
      </c>
      <c r="Q71" s="309">
        <v>0</v>
      </c>
      <c r="R71" s="317">
        <v>0</v>
      </c>
      <c r="S71" s="309">
        <v>225</v>
      </c>
    </row>
    <row r="72" spans="1:19" x14ac:dyDescent="0.2">
      <c r="A72" s="305" t="s">
        <v>2151</v>
      </c>
      <c r="B72" s="306" t="s">
        <v>2904</v>
      </c>
      <c r="C72" s="307" t="s">
        <v>657</v>
      </c>
      <c r="D72" s="306" t="s">
        <v>153</v>
      </c>
      <c r="E72" s="305" t="s">
        <v>3798</v>
      </c>
      <c r="F72" s="335">
        <v>42528</v>
      </c>
      <c r="G72" s="309">
        <v>0</v>
      </c>
      <c r="H72" s="309">
        <v>0</v>
      </c>
      <c r="I72" s="309">
        <v>0</v>
      </c>
      <c r="J72" s="309">
        <v>0</v>
      </c>
      <c r="K72" s="309">
        <v>0</v>
      </c>
      <c r="L72" s="317">
        <v>0</v>
      </c>
      <c r="M72" s="309">
        <v>119</v>
      </c>
      <c r="N72" s="309">
        <v>0</v>
      </c>
      <c r="O72" s="309">
        <v>0</v>
      </c>
      <c r="P72" s="309">
        <v>0</v>
      </c>
      <c r="Q72" s="309">
        <v>0</v>
      </c>
      <c r="R72" s="317">
        <v>119</v>
      </c>
      <c r="S72" s="309">
        <v>-119</v>
      </c>
    </row>
    <row r="73" spans="1:19" x14ac:dyDescent="0.2">
      <c r="A73" s="305" t="s">
        <v>2678</v>
      </c>
      <c r="B73" s="306" t="s">
        <v>3942</v>
      </c>
      <c r="C73" s="307" t="s">
        <v>2679</v>
      </c>
      <c r="D73" s="306" t="s">
        <v>153</v>
      </c>
      <c r="E73" s="305" t="s">
        <v>3798</v>
      </c>
      <c r="F73" s="335">
        <v>43188</v>
      </c>
      <c r="G73" s="309">
        <v>215</v>
      </c>
      <c r="H73" s="309">
        <v>0</v>
      </c>
      <c r="I73" s="309">
        <v>0</v>
      </c>
      <c r="J73" s="309">
        <v>0</v>
      </c>
      <c r="K73" s="309">
        <v>0</v>
      </c>
      <c r="L73" s="317">
        <v>215</v>
      </c>
      <c r="M73" s="309">
        <v>343</v>
      </c>
      <c r="N73" s="309">
        <v>0</v>
      </c>
      <c r="O73" s="309">
        <v>0</v>
      </c>
      <c r="P73" s="309">
        <v>0</v>
      </c>
      <c r="Q73" s="309">
        <v>0</v>
      </c>
      <c r="R73" s="317">
        <v>343</v>
      </c>
      <c r="S73" s="309">
        <v>-128</v>
      </c>
    </row>
    <row r="74" spans="1:19" x14ac:dyDescent="0.2">
      <c r="A74" s="305" t="s">
        <v>2347</v>
      </c>
      <c r="B74" s="306" t="s">
        <v>150</v>
      </c>
      <c r="C74" s="307" t="s">
        <v>830</v>
      </c>
      <c r="D74" s="306" t="s">
        <v>153</v>
      </c>
      <c r="E74" s="305" t="s">
        <v>3798</v>
      </c>
      <c r="F74" s="335">
        <v>42517</v>
      </c>
      <c r="G74" s="309">
        <v>0</v>
      </c>
      <c r="H74" s="309">
        <v>11</v>
      </c>
      <c r="I74" s="309">
        <v>0</v>
      </c>
      <c r="J74" s="309">
        <v>0</v>
      </c>
      <c r="K74" s="309">
        <v>0</v>
      </c>
      <c r="L74" s="317">
        <v>11</v>
      </c>
      <c r="M74" s="309">
        <v>0</v>
      </c>
      <c r="N74" s="309">
        <v>0</v>
      </c>
      <c r="O74" s="309">
        <v>0</v>
      </c>
      <c r="P74" s="309">
        <v>0</v>
      </c>
      <c r="Q74" s="309">
        <v>0</v>
      </c>
      <c r="R74" s="317">
        <v>0</v>
      </c>
      <c r="S74" s="309">
        <v>11</v>
      </c>
    </row>
    <row r="75" spans="1:19" x14ac:dyDescent="0.2">
      <c r="A75" s="305" t="s">
        <v>2364</v>
      </c>
      <c r="B75" s="306" t="s">
        <v>3942</v>
      </c>
      <c r="C75" s="307" t="s">
        <v>1212</v>
      </c>
      <c r="D75" s="306" t="s">
        <v>153</v>
      </c>
      <c r="E75" s="305" t="s">
        <v>3798</v>
      </c>
      <c r="F75" s="335">
        <v>42857</v>
      </c>
      <c r="G75" s="309">
        <v>0</v>
      </c>
      <c r="H75" s="309">
        <v>0</v>
      </c>
      <c r="I75" s="309">
        <v>275</v>
      </c>
      <c r="J75" s="309">
        <v>0</v>
      </c>
      <c r="K75" s="309">
        <v>0</v>
      </c>
      <c r="L75" s="317">
        <v>275</v>
      </c>
      <c r="M75" s="309">
        <v>0</v>
      </c>
      <c r="N75" s="309">
        <v>0</v>
      </c>
      <c r="O75" s="309">
        <v>236</v>
      </c>
      <c r="P75" s="309">
        <v>0</v>
      </c>
      <c r="Q75" s="309">
        <v>0</v>
      </c>
      <c r="R75" s="317">
        <v>236</v>
      </c>
      <c r="S75" s="309">
        <v>39</v>
      </c>
    </row>
    <row r="76" spans="1:19" x14ac:dyDescent="0.2">
      <c r="A76" s="305" t="s">
        <v>1815</v>
      </c>
      <c r="B76" s="306" t="s">
        <v>3944</v>
      </c>
      <c r="C76" s="307" t="s">
        <v>608</v>
      </c>
      <c r="D76" s="306" t="s">
        <v>153</v>
      </c>
      <c r="E76" s="305" t="s">
        <v>3798</v>
      </c>
      <c r="F76" s="335">
        <v>42446</v>
      </c>
      <c r="G76" s="309">
        <v>0</v>
      </c>
      <c r="H76" s="309">
        <v>129</v>
      </c>
      <c r="I76" s="309">
        <v>0</v>
      </c>
      <c r="J76" s="309">
        <v>0</v>
      </c>
      <c r="K76" s="309">
        <v>0</v>
      </c>
      <c r="L76" s="317">
        <v>129</v>
      </c>
      <c r="M76" s="309">
        <v>48</v>
      </c>
      <c r="N76" s="309">
        <v>0</v>
      </c>
      <c r="O76" s="309">
        <v>0</v>
      </c>
      <c r="P76" s="309">
        <v>0</v>
      </c>
      <c r="Q76" s="309">
        <v>0</v>
      </c>
      <c r="R76" s="317">
        <v>48</v>
      </c>
      <c r="S76" s="309">
        <v>81</v>
      </c>
    </row>
    <row r="77" spans="1:19" x14ac:dyDescent="0.2">
      <c r="A77" s="305" t="s">
        <v>2048</v>
      </c>
      <c r="B77" s="306" t="s">
        <v>3945</v>
      </c>
      <c r="C77" s="307" t="s">
        <v>815</v>
      </c>
      <c r="D77" s="306" t="s">
        <v>153</v>
      </c>
      <c r="E77" s="305" t="s">
        <v>3798</v>
      </c>
      <c r="F77" s="335">
        <v>42549</v>
      </c>
      <c r="G77" s="309">
        <v>120</v>
      </c>
      <c r="H77" s="309">
        <v>0</v>
      </c>
      <c r="I77" s="309">
        <v>0</v>
      </c>
      <c r="J77" s="309">
        <v>0</v>
      </c>
      <c r="K77" s="309">
        <v>0</v>
      </c>
      <c r="L77" s="317">
        <v>120</v>
      </c>
      <c r="M77" s="309">
        <v>146</v>
      </c>
      <c r="N77" s="309">
        <v>0</v>
      </c>
      <c r="O77" s="309">
        <v>0</v>
      </c>
      <c r="P77" s="309">
        <v>0</v>
      </c>
      <c r="Q77" s="309">
        <v>0</v>
      </c>
      <c r="R77" s="317">
        <v>146</v>
      </c>
      <c r="S77" s="309">
        <v>-26</v>
      </c>
    </row>
    <row r="78" spans="1:19" ht="22.5" x14ac:dyDescent="0.2">
      <c r="A78" s="305" t="s">
        <v>2164</v>
      </c>
      <c r="B78" s="306" t="s">
        <v>3952</v>
      </c>
      <c r="C78" s="307" t="s">
        <v>547</v>
      </c>
      <c r="D78" s="306" t="s">
        <v>153</v>
      </c>
      <c r="E78" s="305" t="s">
        <v>3798</v>
      </c>
      <c r="F78" s="335">
        <v>42381</v>
      </c>
      <c r="G78" s="309">
        <v>108</v>
      </c>
      <c r="H78" s="309">
        <v>0</v>
      </c>
      <c r="I78" s="309">
        <v>0</v>
      </c>
      <c r="J78" s="309">
        <v>0</v>
      </c>
      <c r="K78" s="309">
        <v>0</v>
      </c>
      <c r="L78" s="317">
        <v>108</v>
      </c>
      <c r="M78" s="309">
        <v>106</v>
      </c>
      <c r="N78" s="309">
        <v>0</v>
      </c>
      <c r="O78" s="309">
        <v>0</v>
      </c>
      <c r="P78" s="309">
        <v>0</v>
      </c>
      <c r="Q78" s="309">
        <v>0</v>
      </c>
      <c r="R78" s="317">
        <v>106</v>
      </c>
      <c r="S78" s="309">
        <v>2</v>
      </c>
    </row>
    <row r="79" spans="1:19" x14ac:dyDescent="0.2">
      <c r="A79" s="305" t="s">
        <v>2176</v>
      </c>
      <c r="B79" s="306" t="s">
        <v>3946</v>
      </c>
      <c r="C79" s="307" t="s">
        <v>551</v>
      </c>
      <c r="D79" s="306" t="s">
        <v>153</v>
      </c>
      <c r="E79" s="305" t="s">
        <v>3798</v>
      </c>
      <c r="F79" s="335">
        <v>42360</v>
      </c>
      <c r="G79" s="309">
        <v>0</v>
      </c>
      <c r="H79" s="309">
        <v>49</v>
      </c>
      <c r="I79" s="309">
        <v>0</v>
      </c>
      <c r="J79" s="309">
        <v>0</v>
      </c>
      <c r="K79" s="309">
        <v>0</v>
      </c>
      <c r="L79" s="317">
        <v>49</v>
      </c>
      <c r="M79" s="309">
        <v>49</v>
      </c>
      <c r="N79" s="309">
        <v>0</v>
      </c>
      <c r="O79" s="309">
        <v>0</v>
      </c>
      <c r="P79" s="309">
        <v>0</v>
      </c>
      <c r="Q79" s="309">
        <v>0</v>
      </c>
      <c r="R79" s="317">
        <v>49</v>
      </c>
      <c r="S79" s="309">
        <v>0</v>
      </c>
    </row>
    <row r="80" spans="1:19" x14ac:dyDescent="0.2">
      <c r="A80" s="305" t="s">
        <v>1761</v>
      </c>
      <c r="B80" s="306" t="s">
        <v>2904</v>
      </c>
      <c r="C80" s="307" t="s">
        <v>961</v>
      </c>
      <c r="D80" s="306" t="s">
        <v>153</v>
      </c>
      <c r="E80" s="305" t="s">
        <v>3798</v>
      </c>
      <c r="F80" s="335">
        <v>42626</v>
      </c>
      <c r="G80" s="309">
        <v>0</v>
      </c>
      <c r="H80" s="309">
        <v>0</v>
      </c>
      <c r="I80" s="309">
        <v>100</v>
      </c>
      <c r="J80" s="309">
        <v>0</v>
      </c>
      <c r="K80" s="309">
        <v>0</v>
      </c>
      <c r="L80" s="317">
        <v>100</v>
      </c>
      <c r="M80" s="309">
        <v>50</v>
      </c>
      <c r="N80" s="309">
        <v>0</v>
      </c>
      <c r="O80" s="309">
        <v>0</v>
      </c>
      <c r="P80" s="309">
        <v>0</v>
      </c>
      <c r="Q80" s="309">
        <v>0</v>
      </c>
      <c r="R80" s="317">
        <v>50</v>
      </c>
      <c r="S80" s="309">
        <v>50</v>
      </c>
    </row>
    <row r="81" spans="1:19" x14ac:dyDescent="0.2">
      <c r="A81" s="305" t="s">
        <v>2174</v>
      </c>
      <c r="B81" s="306" t="s">
        <v>150</v>
      </c>
      <c r="C81" s="307" t="s">
        <v>557</v>
      </c>
      <c r="D81" s="306" t="s">
        <v>153</v>
      </c>
      <c r="E81" s="305" t="s">
        <v>3798</v>
      </c>
      <c r="F81" s="335">
        <v>42360</v>
      </c>
      <c r="G81" s="309">
        <v>0</v>
      </c>
      <c r="H81" s="309">
        <v>45</v>
      </c>
      <c r="I81" s="309">
        <v>0</v>
      </c>
      <c r="J81" s="309">
        <v>0</v>
      </c>
      <c r="K81" s="309">
        <v>0</v>
      </c>
      <c r="L81" s="317">
        <v>45</v>
      </c>
      <c r="M81" s="309">
        <v>0</v>
      </c>
      <c r="N81" s="309">
        <v>77</v>
      </c>
      <c r="O81" s="309">
        <v>0</v>
      </c>
      <c r="P81" s="309">
        <v>0</v>
      </c>
      <c r="Q81" s="309">
        <v>0</v>
      </c>
      <c r="R81" s="317">
        <v>77</v>
      </c>
      <c r="S81" s="309">
        <v>-32</v>
      </c>
    </row>
    <row r="82" spans="1:19" x14ac:dyDescent="0.2">
      <c r="A82" s="305" t="s">
        <v>2427</v>
      </c>
      <c r="B82" s="306" t="s">
        <v>150</v>
      </c>
      <c r="C82" s="307" t="s">
        <v>2428</v>
      </c>
      <c r="D82" s="306" t="s">
        <v>153</v>
      </c>
      <c r="E82" s="305" t="s">
        <v>3798</v>
      </c>
      <c r="F82" s="335">
        <v>43031</v>
      </c>
      <c r="G82" s="309">
        <v>66</v>
      </c>
      <c r="H82" s="309">
        <v>0</v>
      </c>
      <c r="I82" s="309">
        <v>0</v>
      </c>
      <c r="J82" s="309">
        <v>0</v>
      </c>
      <c r="K82" s="309">
        <v>0</v>
      </c>
      <c r="L82" s="317">
        <v>66</v>
      </c>
      <c r="M82" s="309">
        <v>74</v>
      </c>
      <c r="N82" s="309">
        <v>0</v>
      </c>
      <c r="O82" s="309">
        <v>0</v>
      </c>
      <c r="P82" s="309">
        <v>0</v>
      </c>
      <c r="Q82" s="309">
        <v>0</v>
      </c>
      <c r="R82" s="317">
        <v>74</v>
      </c>
      <c r="S82" s="309">
        <v>-8</v>
      </c>
    </row>
    <row r="83" spans="1:19" x14ac:dyDescent="0.2">
      <c r="A83" s="305" t="s">
        <v>1743</v>
      </c>
      <c r="B83" s="306" t="s">
        <v>3943</v>
      </c>
      <c r="C83" s="307" t="s">
        <v>621</v>
      </c>
      <c r="D83" s="306" t="s">
        <v>153</v>
      </c>
      <c r="E83" s="305" t="s">
        <v>3798</v>
      </c>
      <c r="F83" s="335">
        <v>42517</v>
      </c>
      <c r="G83" s="309">
        <v>27</v>
      </c>
      <c r="H83" s="309">
        <v>0</v>
      </c>
      <c r="I83" s="309">
        <v>27</v>
      </c>
      <c r="J83" s="309">
        <v>0</v>
      </c>
      <c r="K83" s="309">
        <v>0</v>
      </c>
      <c r="L83" s="317">
        <v>54</v>
      </c>
      <c r="M83" s="309">
        <v>0</v>
      </c>
      <c r="N83" s="309">
        <v>0</v>
      </c>
      <c r="O83" s="309">
        <v>0</v>
      </c>
      <c r="P83" s="309">
        <v>0</v>
      </c>
      <c r="Q83" s="309">
        <v>0</v>
      </c>
      <c r="R83" s="317">
        <v>0</v>
      </c>
      <c r="S83" s="309">
        <v>54</v>
      </c>
    </row>
    <row r="84" spans="1:19" x14ac:dyDescent="0.2">
      <c r="A84" s="305" t="s">
        <v>1977</v>
      </c>
      <c r="B84" s="306" t="s">
        <v>150</v>
      </c>
      <c r="C84" s="307" t="s">
        <v>1978</v>
      </c>
      <c r="D84" s="306" t="s">
        <v>153</v>
      </c>
      <c r="E84" s="305" t="s">
        <v>3798</v>
      </c>
      <c r="F84" s="335">
        <v>43077</v>
      </c>
      <c r="G84" s="309">
        <v>47</v>
      </c>
      <c r="H84" s="309">
        <v>0</v>
      </c>
      <c r="I84" s="309">
        <v>0</v>
      </c>
      <c r="J84" s="309">
        <v>0</v>
      </c>
      <c r="K84" s="309">
        <v>0</v>
      </c>
      <c r="L84" s="317">
        <v>47</v>
      </c>
      <c r="M84" s="309">
        <v>68</v>
      </c>
      <c r="N84" s="309">
        <v>0</v>
      </c>
      <c r="O84" s="309">
        <v>0</v>
      </c>
      <c r="P84" s="309">
        <v>0</v>
      </c>
      <c r="Q84" s="309">
        <v>0</v>
      </c>
      <c r="R84" s="317">
        <v>68</v>
      </c>
      <c r="S84" s="309">
        <v>-21</v>
      </c>
    </row>
    <row r="85" spans="1:19" x14ac:dyDescent="0.2">
      <c r="A85" s="305" t="s">
        <v>2244</v>
      </c>
      <c r="B85" s="306" t="s">
        <v>149</v>
      </c>
      <c r="C85" s="307" t="s">
        <v>1305</v>
      </c>
      <c r="D85" s="306" t="s">
        <v>153</v>
      </c>
      <c r="E85" s="305" t="s">
        <v>3798</v>
      </c>
      <c r="F85" s="335">
        <v>42754</v>
      </c>
      <c r="G85" s="309">
        <v>383</v>
      </c>
      <c r="H85" s="309">
        <v>0</v>
      </c>
      <c r="I85" s="309">
        <v>0</v>
      </c>
      <c r="J85" s="309">
        <v>0</v>
      </c>
      <c r="K85" s="309">
        <v>0</v>
      </c>
      <c r="L85" s="317">
        <v>383</v>
      </c>
      <c r="M85" s="309">
        <v>403</v>
      </c>
      <c r="N85" s="309">
        <v>0</v>
      </c>
      <c r="O85" s="309">
        <v>0</v>
      </c>
      <c r="P85" s="309">
        <v>0</v>
      </c>
      <c r="Q85" s="309">
        <v>0</v>
      </c>
      <c r="R85" s="317">
        <v>403</v>
      </c>
      <c r="S85" s="309">
        <v>-20</v>
      </c>
    </row>
    <row r="86" spans="1:19" x14ac:dyDescent="0.2">
      <c r="A86" s="305" t="s">
        <v>2535</v>
      </c>
      <c r="B86" s="306" t="s">
        <v>3950</v>
      </c>
      <c r="C86" s="307" t="s">
        <v>2536</v>
      </c>
      <c r="D86" s="306" t="s">
        <v>153</v>
      </c>
      <c r="E86" s="305" t="s">
        <v>3798</v>
      </c>
      <c r="F86" s="335">
        <v>43059</v>
      </c>
      <c r="G86" s="309">
        <v>0</v>
      </c>
      <c r="H86" s="309">
        <v>0</v>
      </c>
      <c r="I86" s="309">
        <v>0</v>
      </c>
      <c r="J86" s="309">
        <v>0</v>
      </c>
      <c r="K86" s="309">
        <v>0</v>
      </c>
      <c r="L86" s="317">
        <v>0</v>
      </c>
      <c r="M86" s="309">
        <v>183</v>
      </c>
      <c r="N86" s="309">
        <v>0</v>
      </c>
      <c r="O86" s="309">
        <v>0</v>
      </c>
      <c r="P86" s="309">
        <v>0</v>
      </c>
      <c r="Q86" s="309">
        <v>0</v>
      </c>
      <c r="R86" s="317">
        <v>183</v>
      </c>
      <c r="S86" s="309">
        <v>-183</v>
      </c>
    </row>
    <row r="87" spans="1:19" x14ac:dyDescent="0.2">
      <c r="A87" s="305" t="s">
        <v>1806</v>
      </c>
      <c r="B87" s="306" t="s">
        <v>3950</v>
      </c>
      <c r="C87" s="307" t="s">
        <v>320</v>
      </c>
      <c r="D87" s="306" t="s">
        <v>153</v>
      </c>
      <c r="E87" s="305" t="s">
        <v>3798</v>
      </c>
      <c r="F87" s="335">
        <v>42304</v>
      </c>
      <c r="G87" s="309">
        <v>108</v>
      </c>
      <c r="H87" s="309">
        <v>0</v>
      </c>
      <c r="I87" s="309">
        <v>0</v>
      </c>
      <c r="J87" s="309">
        <v>0</v>
      </c>
      <c r="K87" s="309">
        <v>0</v>
      </c>
      <c r="L87" s="317">
        <v>108</v>
      </c>
      <c r="M87" s="309">
        <v>158</v>
      </c>
      <c r="N87" s="309">
        <v>0</v>
      </c>
      <c r="O87" s="309">
        <v>0</v>
      </c>
      <c r="P87" s="309">
        <v>0</v>
      </c>
      <c r="Q87" s="309">
        <v>0</v>
      </c>
      <c r="R87" s="317">
        <v>158</v>
      </c>
      <c r="S87" s="309">
        <v>-50</v>
      </c>
    </row>
    <row r="88" spans="1:19" x14ac:dyDescent="0.2">
      <c r="A88" s="305" t="s">
        <v>2627</v>
      </c>
      <c r="B88" s="306" t="s">
        <v>3942</v>
      </c>
      <c r="C88" s="307" t="s">
        <v>2628</v>
      </c>
      <c r="D88" s="306" t="s">
        <v>153</v>
      </c>
      <c r="E88" s="305" t="s">
        <v>3798</v>
      </c>
      <c r="F88" s="335">
        <v>43104</v>
      </c>
      <c r="G88" s="309">
        <v>0</v>
      </c>
      <c r="H88" s="309">
        <v>0</v>
      </c>
      <c r="I88" s="309">
        <v>0</v>
      </c>
      <c r="J88" s="309">
        <v>0</v>
      </c>
      <c r="K88" s="309">
        <v>0</v>
      </c>
      <c r="L88" s="317">
        <v>0</v>
      </c>
      <c r="M88" s="309">
        <v>111</v>
      </c>
      <c r="N88" s="309">
        <v>0</v>
      </c>
      <c r="O88" s="309">
        <v>0</v>
      </c>
      <c r="P88" s="309">
        <v>0</v>
      </c>
      <c r="Q88" s="309">
        <v>0</v>
      </c>
      <c r="R88" s="317">
        <v>111</v>
      </c>
      <c r="S88" s="309">
        <v>-111</v>
      </c>
    </row>
    <row r="89" spans="1:19" x14ac:dyDescent="0.2">
      <c r="A89" s="305" t="s">
        <v>1405</v>
      </c>
      <c r="B89" s="306" t="s">
        <v>3946</v>
      </c>
      <c r="C89" s="307" t="s">
        <v>1406</v>
      </c>
      <c r="D89" s="306" t="s">
        <v>153</v>
      </c>
      <c r="E89" s="305" t="s">
        <v>3798</v>
      </c>
      <c r="F89" s="335">
        <v>43011</v>
      </c>
      <c r="G89" s="309">
        <v>143</v>
      </c>
      <c r="H89" s="309">
        <v>0</v>
      </c>
      <c r="I89" s="309">
        <v>0</v>
      </c>
      <c r="J89" s="309">
        <v>0</v>
      </c>
      <c r="K89" s="309">
        <v>0</v>
      </c>
      <c r="L89" s="317">
        <v>143</v>
      </c>
      <c r="M89" s="309">
        <v>640</v>
      </c>
      <c r="N89" s="309">
        <v>0</v>
      </c>
      <c r="O89" s="309">
        <v>0</v>
      </c>
      <c r="P89" s="309">
        <v>0</v>
      </c>
      <c r="Q89" s="309">
        <v>0</v>
      </c>
      <c r="R89" s="317">
        <v>640</v>
      </c>
      <c r="S89" s="309">
        <v>-497</v>
      </c>
    </row>
    <row r="90" spans="1:19" ht="33.75" x14ac:dyDescent="0.2">
      <c r="A90" s="305" t="s">
        <v>1698</v>
      </c>
      <c r="B90" s="306" t="s">
        <v>3946</v>
      </c>
      <c r="C90" s="307" t="s">
        <v>1190</v>
      </c>
      <c r="D90" s="306" t="s">
        <v>153</v>
      </c>
      <c r="E90" s="305" t="s">
        <v>3798</v>
      </c>
      <c r="F90" s="335">
        <v>42790</v>
      </c>
      <c r="G90" s="309">
        <v>315</v>
      </c>
      <c r="H90" s="309">
        <v>222</v>
      </c>
      <c r="I90" s="309">
        <v>222</v>
      </c>
      <c r="J90" s="309">
        <v>0</v>
      </c>
      <c r="K90" s="309">
        <v>0</v>
      </c>
      <c r="L90" s="317">
        <v>759</v>
      </c>
      <c r="M90" s="309">
        <v>315</v>
      </c>
      <c r="N90" s="309">
        <v>66</v>
      </c>
      <c r="O90" s="309">
        <v>55</v>
      </c>
      <c r="P90" s="309">
        <v>0</v>
      </c>
      <c r="Q90" s="309">
        <v>0</v>
      </c>
      <c r="R90" s="317">
        <v>436</v>
      </c>
      <c r="S90" s="309">
        <v>323</v>
      </c>
    </row>
    <row r="91" spans="1:19" ht="22.5" x14ac:dyDescent="0.2">
      <c r="A91" s="305" t="s">
        <v>2415</v>
      </c>
      <c r="B91" s="306" t="s">
        <v>3941</v>
      </c>
      <c r="C91" s="307" t="s">
        <v>2416</v>
      </c>
      <c r="D91" s="306" t="s">
        <v>153</v>
      </c>
      <c r="E91" s="305" t="s">
        <v>3798</v>
      </c>
      <c r="F91" s="335">
        <v>42863</v>
      </c>
      <c r="G91" s="309">
        <v>25</v>
      </c>
      <c r="H91" s="309">
        <v>0</v>
      </c>
      <c r="I91" s="309">
        <v>0</v>
      </c>
      <c r="J91" s="309">
        <v>0</v>
      </c>
      <c r="K91" s="309">
        <v>0</v>
      </c>
      <c r="L91" s="317">
        <v>25</v>
      </c>
      <c r="M91" s="309">
        <v>0</v>
      </c>
      <c r="N91" s="309">
        <v>0</v>
      </c>
      <c r="O91" s="309">
        <v>0</v>
      </c>
      <c r="P91" s="309">
        <v>0</v>
      </c>
      <c r="Q91" s="309">
        <v>0</v>
      </c>
      <c r="R91" s="317">
        <v>0</v>
      </c>
      <c r="S91" s="309">
        <v>25</v>
      </c>
    </row>
    <row r="92" spans="1:19" ht="22.5" x14ac:dyDescent="0.2">
      <c r="A92" s="305" t="s">
        <v>2387</v>
      </c>
      <c r="B92" s="306" t="s">
        <v>150</v>
      </c>
      <c r="C92" s="307" t="s">
        <v>1255</v>
      </c>
      <c r="D92" s="306" t="s">
        <v>153</v>
      </c>
      <c r="E92" s="305" t="s">
        <v>3798</v>
      </c>
      <c r="F92" s="335">
        <v>42836</v>
      </c>
      <c r="G92" s="309">
        <v>0</v>
      </c>
      <c r="H92" s="309">
        <v>0</v>
      </c>
      <c r="I92" s="309">
        <v>92</v>
      </c>
      <c r="J92" s="309">
        <v>0</v>
      </c>
      <c r="K92" s="309">
        <v>0</v>
      </c>
      <c r="L92" s="317">
        <v>92</v>
      </c>
      <c r="M92" s="309">
        <v>92</v>
      </c>
      <c r="N92" s="309">
        <v>0</v>
      </c>
      <c r="O92" s="309">
        <v>0</v>
      </c>
      <c r="P92" s="309">
        <v>0</v>
      </c>
      <c r="Q92" s="309">
        <v>0</v>
      </c>
      <c r="R92" s="317">
        <v>92</v>
      </c>
      <c r="S92" s="309">
        <v>0</v>
      </c>
    </row>
    <row r="93" spans="1:19" ht="22.5" x14ac:dyDescent="0.2">
      <c r="A93" s="305" t="s">
        <v>1995</v>
      </c>
      <c r="B93" s="306" t="s">
        <v>3943</v>
      </c>
      <c r="C93" s="307" t="s">
        <v>543</v>
      </c>
      <c r="D93" s="306" t="s">
        <v>153</v>
      </c>
      <c r="E93" s="305" t="s">
        <v>3798</v>
      </c>
      <c r="F93" s="335">
        <v>42717</v>
      </c>
      <c r="G93" s="309">
        <v>0</v>
      </c>
      <c r="H93" s="309">
        <v>0</v>
      </c>
      <c r="I93" s="309">
        <v>26</v>
      </c>
      <c r="J93" s="309">
        <v>285</v>
      </c>
      <c r="K93" s="309">
        <v>0</v>
      </c>
      <c r="L93" s="317">
        <v>311</v>
      </c>
      <c r="M93" s="309">
        <v>0</v>
      </c>
      <c r="N93" s="309">
        <v>0</v>
      </c>
      <c r="O93" s="309">
        <v>0</v>
      </c>
      <c r="P93" s="309">
        <v>313</v>
      </c>
      <c r="Q93" s="309">
        <v>0</v>
      </c>
      <c r="R93" s="317">
        <v>313</v>
      </c>
      <c r="S93" s="309">
        <v>-2</v>
      </c>
    </row>
    <row r="94" spans="1:19" ht="22.5" x14ac:dyDescent="0.2">
      <c r="A94" s="305" t="s">
        <v>1563</v>
      </c>
      <c r="B94" s="306" t="s">
        <v>3947</v>
      </c>
      <c r="C94" s="307" t="s">
        <v>1192</v>
      </c>
      <c r="D94" s="306" t="s">
        <v>153</v>
      </c>
      <c r="E94" s="305" t="s">
        <v>3798</v>
      </c>
      <c r="F94" s="335">
        <v>42776</v>
      </c>
      <c r="G94" s="309">
        <v>0</v>
      </c>
      <c r="H94" s="309">
        <v>0</v>
      </c>
      <c r="I94" s="309">
        <v>0</v>
      </c>
      <c r="J94" s="309">
        <v>0</v>
      </c>
      <c r="K94" s="309">
        <v>0</v>
      </c>
      <c r="L94" s="317">
        <v>0</v>
      </c>
      <c r="M94" s="309">
        <v>0</v>
      </c>
      <c r="N94" s="309">
        <v>0</v>
      </c>
      <c r="O94" s="309">
        <v>91</v>
      </c>
      <c r="P94" s="309">
        <v>0</v>
      </c>
      <c r="Q94" s="309">
        <v>0</v>
      </c>
      <c r="R94" s="317">
        <v>91</v>
      </c>
      <c r="S94" s="309">
        <v>-91</v>
      </c>
    </row>
    <row r="95" spans="1:19" ht="22.5" x14ac:dyDescent="0.2">
      <c r="A95" s="305" t="s">
        <v>1923</v>
      </c>
      <c r="B95" s="306" t="s">
        <v>149</v>
      </c>
      <c r="C95" s="307" t="s">
        <v>241</v>
      </c>
      <c r="D95" s="306" t="s">
        <v>153</v>
      </c>
      <c r="E95" s="305" t="s">
        <v>3798</v>
      </c>
      <c r="F95" s="335">
        <v>41463</v>
      </c>
      <c r="G95" s="309">
        <v>0</v>
      </c>
      <c r="H95" s="309">
        <v>0</v>
      </c>
      <c r="I95" s="309">
        <v>0</v>
      </c>
      <c r="J95" s="309">
        <v>87</v>
      </c>
      <c r="K95" s="309">
        <v>0</v>
      </c>
      <c r="L95" s="317">
        <v>87</v>
      </c>
      <c r="M95" s="309">
        <v>0</v>
      </c>
      <c r="N95" s="309">
        <v>0</v>
      </c>
      <c r="O95" s="309">
        <v>0</v>
      </c>
      <c r="P95" s="309">
        <v>0</v>
      </c>
      <c r="Q95" s="309">
        <v>0</v>
      </c>
      <c r="R95" s="317">
        <v>0</v>
      </c>
      <c r="S95" s="309">
        <v>87</v>
      </c>
    </row>
    <row r="96" spans="1:19" ht="45" x14ac:dyDescent="0.2">
      <c r="A96" s="305" t="s">
        <v>1770</v>
      </c>
      <c r="B96" s="306" t="s">
        <v>3947</v>
      </c>
      <c r="C96" s="307" t="s">
        <v>967</v>
      </c>
      <c r="D96" s="306" t="s">
        <v>153</v>
      </c>
      <c r="E96" s="305" t="s">
        <v>3798</v>
      </c>
      <c r="F96" s="335">
        <v>42695</v>
      </c>
      <c r="G96" s="309">
        <v>62</v>
      </c>
      <c r="H96" s="309">
        <v>0</v>
      </c>
      <c r="I96" s="309">
        <v>62</v>
      </c>
      <c r="J96" s="309">
        <v>0</v>
      </c>
      <c r="K96" s="309">
        <v>0</v>
      </c>
      <c r="L96" s="317">
        <v>124</v>
      </c>
      <c r="M96" s="309">
        <v>0</v>
      </c>
      <c r="N96" s="309">
        <v>0</v>
      </c>
      <c r="O96" s="309">
        <v>0</v>
      </c>
      <c r="P96" s="309">
        <v>0</v>
      </c>
      <c r="Q96" s="309">
        <v>0</v>
      </c>
      <c r="R96" s="317">
        <v>0</v>
      </c>
      <c r="S96" s="309">
        <v>124</v>
      </c>
    </row>
    <row r="97" spans="1:19" ht="22.5" x14ac:dyDescent="0.2">
      <c r="A97" s="305" t="s">
        <v>2004</v>
      </c>
      <c r="B97" s="306" t="s">
        <v>3946</v>
      </c>
      <c r="C97" s="307" t="s">
        <v>978</v>
      </c>
      <c r="D97" s="306" t="s">
        <v>153</v>
      </c>
      <c r="E97" s="305" t="s">
        <v>3798</v>
      </c>
      <c r="F97" s="335">
        <v>42628</v>
      </c>
      <c r="G97" s="309">
        <v>250</v>
      </c>
      <c r="H97" s="309">
        <v>0</v>
      </c>
      <c r="I97" s="309">
        <v>250</v>
      </c>
      <c r="J97" s="309">
        <v>0</v>
      </c>
      <c r="K97" s="309">
        <v>0</v>
      </c>
      <c r="L97" s="317">
        <v>500</v>
      </c>
      <c r="M97" s="309">
        <v>0</v>
      </c>
      <c r="N97" s="309">
        <v>0</v>
      </c>
      <c r="O97" s="309">
        <v>0</v>
      </c>
      <c r="P97" s="309">
        <v>0</v>
      </c>
      <c r="Q97" s="309">
        <v>0</v>
      </c>
      <c r="R97" s="317">
        <v>0</v>
      </c>
      <c r="S97" s="309">
        <v>500</v>
      </c>
    </row>
    <row r="98" spans="1:19" ht="22.5" x14ac:dyDescent="0.2">
      <c r="A98" s="305" t="s">
        <v>1991</v>
      </c>
      <c r="B98" s="306" t="s">
        <v>2907</v>
      </c>
      <c r="C98" s="307" t="s">
        <v>1277</v>
      </c>
      <c r="D98" s="306" t="s">
        <v>153</v>
      </c>
      <c r="E98" s="305" t="s">
        <v>3798</v>
      </c>
      <c r="F98" s="335">
        <v>42894</v>
      </c>
      <c r="G98" s="309">
        <v>0</v>
      </c>
      <c r="H98" s="309">
        <v>1274</v>
      </c>
      <c r="I98" s="309">
        <v>0</v>
      </c>
      <c r="J98" s="309">
        <v>0</v>
      </c>
      <c r="K98" s="309">
        <v>0</v>
      </c>
      <c r="L98" s="317">
        <v>1274</v>
      </c>
      <c r="M98" s="309">
        <v>0</v>
      </c>
      <c r="N98" s="309">
        <v>0</v>
      </c>
      <c r="O98" s="309">
        <v>0</v>
      </c>
      <c r="P98" s="309">
        <v>0</v>
      </c>
      <c r="Q98" s="309">
        <v>0</v>
      </c>
      <c r="R98" s="317">
        <v>0</v>
      </c>
      <c r="S98" s="309">
        <v>1274</v>
      </c>
    </row>
    <row r="99" spans="1:19" x14ac:dyDescent="0.2">
      <c r="A99" s="305" t="s">
        <v>1852</v>
      </c>
      <c r="B99" s="306" t="s">
        <v>3947</v>
      </c>
      <c r="C99" s="307" t="s">
        <v>1227</v>
      </c>
      <c r="D99" s="306" t="s">
        <v>153</v>
      </c>
      <c r="E99" s="305" t="s">
        <v>3798</v>
      </c>
      <c r="F99" s="335">
        <v>42900</v>
      </c>
      <c r="G99" s="309">
        <v>1585</v>
      </c>
      <c r="H99" s="309">
        <v>0</v>
      </c>
      <c r="I99" s="309">
        <v>1585</v>
      </c>
      <c r="J99" s="309">
        <v>0</v>
      </c>
      <c r="K99" s="309">
        <v>0</v>
      </c>
      <c r="L99" s="317">
        <v>3170</v>
      </c>
      <c r="M99" s="309">
        <v>0</v>
      </c>
      <c r="N99" s="309">
        <v>0</v>
      </c>
      <c r="O99" s="309">
        <v>0</v>
      </c>
      <c r="P99" s="309">
        <v>0</v>
      </c>
      <c r="Q99" s="309">
        <v>0</v>
      </c>
      <c r="R99" s="317">
        <v>0</v>
      </c>
      <c r="S99" s="309">
        <v>3170</v>
      </c>
    </row>
    <row r="100" spans="1:19" ht="22.5" x14ac:dyDescent="0.2">
      <c r="A100" s="305" t="s">
        <v>1494</v>
      </c>
      <c r="B100" s="306" t="s">
        <v>3943</v>
      </c>
      <c r="C100" s="307" t="s">
        <v>1034</v>
      </c>
      <c r="D100" s="306" t="s">
        <v>153</v>
      </c>
      <c r="E100" s="305" t="s">
        <v>3798</v>
      </c>
      <c r="F100" s="335">
        <v>42671</v>
      </c>
      <c r="G100" s="309">
        <v>0</v>
      </c>
      <c r="H100" s="309">
        <v>0</v>
      </c>
      <c r="I100" s="309">
        <v>0</v>
      </c>
      <c r="J100" s="309">
        <v>0</v>
      </c>
      <c r="K100" s="309">
        <v>0</v>
      </c>
      <c r="L100" s="317">
        <v>0</v>
      </c>
      <c r="M100" s="309">
        <v>11</v>
      </c>
      <c r="N100" s="309">
        <v>0</v>
      </c>
      <c r="O100" s="309">
        <v>0</v>
      </c>
      <c r="P100" s="309">
        <v>0</v>
      </c>
      <c r="Q100" s="309">
        <v>0</v>
      </c>
      <c r="R100" s="317">
        <v>11</v>
      </c>
      <c r="S100" s="309">
        <v>-11</v>
      </c>
    </row>
    <row r="101" spans="1:19" ht="22.5" x14ac:dyDescent="0.2">
      <c r="A101" s="305" t="s">
        <v>2175</v>
      </c>
      <c r="B101" s="306" t="s">
        <v>3946</v>
      </c>
      <c r="C101" s="307" t="s">
        <v>495</v>
      </c>
      <c r="D101" s="306" t="s">
        <v>153</v>
      </c>
      <c r="E101" s="305" t="s">
        <v>3798</v>
      </c>
      <c r="F101" s="335">
        <v>42328</v>
      </c>
      <c r="G101" s="309">
        <v>0</v>
      </c>
      <c r="H101" s="309">
        <v>0</v>
      </c>
      <c r="I101" s="309">
        <v>0</v>
      </c>
      <c r="J101" s="309">
        <v>595</v>
      </c>
      <c r="K101" s="309">
        <v>0</v>
      </c>
      <c r="L101" s="317">
        <v>595</v>
      </c>
      <c r="M101" s="309">
        <v>0</v>
      </c>
      <c r="N101" s="309">
        <v>0</v>
      </c>
      <c r="O101" s="309">
        <v>0</v>
      </c>
      <c r="P101" s="309">
        <v>1260</v>
      </c>
      <c r="Q101" s="309">
        <v>0</v>
      </c>
      <c r="R101" s="317">
        <v>1260</v>
      </c>
      <c r="S101" s="309">
        <v>-665</v>
      </c>
    </row>
    <row r="102" spans="1:19" ht="22.5" x14ac:dyDescent="0.2">
      <c r="A102" s="305" t="s">
        <v>2360</v>
      </c>
      <c r="B102" s="306" t="s">
        <v>2907</v>
      </c>
      <c r="C102" s="307" t="s">
        <v>1235</v>
      </c>
      <c r="D102" s="306" t="s">
        <v>153</v>
      </c>
      <c r="E102" s="305" t="s">
        <v>3798</v>
      </c>
      <c r="F102" s="335">
        <v>42878</v>
      </c>
      <c r="G102" s="309">
        <v>0</v>
      </c>
      <c r="H102" s="309">
        <v>0</v>
      </c>
      <c r="I102" s="309">
        <v>0</v>
      </c>
      <c r="J102" s="309">
        <v>0</v>
      </c>
      <c r="K102" s="309">
        <v>0</v>
      </c>
      <c r="L102" s="317">
        <v>0</v>
      </c>
      <c r="M102" s="309">
        <v>0</v>
      </c>
      <c r="N102" s="309">
        <v>59</v>
      </c>
      <c r="O102" s="309">
        <v>0</v>
      </c>
      <c r="P102" s="309">
        <v>0</v>
      </c>
      <c r="Q102" s="309">
        <v>0</v>
      </c>
      <c r="R102" s="317">
        <v>59</v>
      </c>
      <c r="S102" s="309">
        <v>-59</v>
      </c>
    </row>
    <row r="103" spans="1:19" ht="22.5" x14ac:dyDescent="0.2">
      <c r="A103" s="305" t="s">
        <v>2102</v>
      </c>
      <c r="B103" s="306" t="s">
        <v>2907</v>
      </c>
      <c r="C103" s="307" t="s">
        <v>902</v>
      </c>
      <c r="D103" s="306" t="s">
        <v>153</v>
      </c>
      <c r="E103" s="305" t="s">
        <v>3798</v>
      </c>
      <c r="F103" s="335">
        <v>42597</v>
      </c>
      <c r="G103" s="309">
        <v>0</v>
      </c>
      <c r="H103" s="309">
        <v>0</v>
      </c>
      <c r="I103" s="309">
        <v>23</v>
      </c>
      <c r="J103" s="309">
        <v>0</v>
      </c>
      <c r="K103" s="309">
        <v>0</v>
      </c>
      <c r="L103" s="317">
        <v>23</v>
      </c>
      <c r="M103" s="309">
        <v>0</v>
      </c>
      <c r="N103" s="309">
        <v>0</v>
      </c>
      <c r="O103" s="309">
        <v>0</v>
      </c>
      <c r="P103" s="309">
        <v>0</v>
      </c>
      <c r="Q103" s="309">
        <v>0</v>
      </c>
      <c r="R103" s="317">
        <v>0</v>
      </c>
      <c r="S103" s="309">
        <v>23</v>
      </c>
    </row>
    <row r="104" spans="1:19" x14ac:dyDescent="0.2">
      <c r="A104" s="305" t="s">
        <v>2205</v>
      </c>
      <c r="B104" s="306" t="s">
        <v>3949</v>
      </c>
      <c r="C104" s="307" t="s">
        <v>619</v>
      </c>
      <c r="D104" s="306" t="s">
        <v>153</v>
      </c>
      <c r="E104" s="305" t="s">
        <v>3798</v>
      </c>
      <c r="F104" s="335">
        <v>42542</v>
      </c>
      <c r="G104" s="309">
        <v>0</v>
      </c>
      <c r="H104" s="309">
        <v>0</v>
      </c>
      <c r="I104" s="309">
        <v>0</v>
      </c>
      <c r="J104" s="309">
        <v>0</v>
      </c>
      <c r="K104" s="309">
        <v>0</v>
      </c>
      <c r="L104" s="317">
        <v>0</v>
      </c>
      <c r="M104" s="309">
        <v>67</v>
      </c>
      <c r="N104" s="309">
        <v>0</v>
      </c>
      <c r="O104" s="309">
        <v>0</v>
      </c>
      <c r="P104" s="309">
        <v>0</v>
      </c>
      <c r="Q104" s="309">
        <v>0</v>
      </c>
      <c r="R104" s="317">
        <v>67</v>
      </c>
      <c r="S104" s="309">
        <v>-67</v>
      </c>
    </row>
    <row r="105" spans="1:19" x14ac:dyDescent="0.2">
      <c r="A105" s="305" t="s">
        <v>2203</v>
      </c>
      <c r="B105" s="306" t="s">
        <v>3949</v>
      </c>
      <c r="C105" s="307" t="s">
        <v>615</v>
      </c>
      <c r="D105" s="306" t="s">
        <v>153</v>
      </c>
      <c r="E105" s="305" t="s">
        <v>3798</v>
      </c>
      <c r="F105" s="335">
        <v>42542</v>
      </c>
      <c r="G105" s="309">
        <v>0</v>
      </c>
      <c r="H105" s="309">
        <v>0</v>
      </c>
      <c r="I105" s="309">
        <v>0</v>
      </c>
      <c r="J105" s="309">
        <v>0</v>
      </c>
      <c r="K105" s="309">
        <v>0</v>
      </c>
      <c r="L105" s="317">
        <v>0</v>
      </c>
      <c r="M105" s="309">
        <v>86</v>
      </c>
      <c r="N105" s="309">
        <v>0</v>
      </c>
      <c r="O105" s="309">
        <v>0</v>
      </c>
      <c r="P105" s="309">
        <v>0</v>
      </c>
      <c r="Q105" s="309">
        <v>0</v>
      </c>
      <c r="R105" s="317">
        <v>86</v>
      </c>
      <c r="S105" s="309">
        <v>-86</v>
      </c>
    </row>
    <row r="106" spans="1:19" x14ac:dyDescent="0.2">
      <c r="A106" s="305" t="s">
        <v>2204</v>
      </c>
      <c r="B106" s="306" t="s">
        <v>3949</v>
      </c>
      <c r="C106" s="307" t="s">
        <v>617</v>
      </c>
      <c r="D106" s="306" t="s">
        <v>153</v>
      </c>
      <c r="E106" s="305" t="s">
        <v>3798</v>
      </c>
      <c r="F106" s="335">
        <v>42466</v>
      </c>
      <c r="G106" s="309">
        <v>0</v>
      </c>
      <c r="H106" s="309">
        <v>0</v>
      </c>
      <c r="I106" s="309">
        <v>0</v>
      </c>
      <c r="J106" s="309">
        <v>0</v>
      </c>
      <c r="K106" s="309">
        <v>0</v>
      </c>
      <c r="L106" s="317">
        <v>0</v>
      </c>
      <c r="M106" s="309">
        <v>62</v>
      </c>
      <c r="N106" s="309">
        <v>0</v>
      </c>
      <c r="O106" s="309">
        <v>0</v>
      </c>
      <c r="P106" s="309">
        <v>0</v>
      </c>
      <c r="Q106" s="309">
        <v>0</v>
      </c>
      <c r="R106" s="317">
        <v>62</v>
      </c>
      <c r="S106" s="309">
        <v>-62</v>
      </c>
    </row>
    <row r="107" spans="1:19" ht="22.5" x14ac:dyDescent="0.2">
      <c r="A107" s="321" t="s">
        <v>2348</v>
      </c>
      <c r="B107" s="322" t="s">
        <v>150</v>
      </c>
      <c r="C107" s="323" t="s">
        <v>721</v>
      </c>
      <c r="D107" s="322" t="s">
        <v>153</v>
      </c>
      <c r="E107" s="321" t="s">
        <v>3798</v>
      </c>
      <c r="F107" s="352">
        <v>42067</v>
      </c>
      <c r="G107" s="326">
        <v>0</v>
      </c>
      <c r="H107" s="326">
        <v>0</v>
      </c>
      <c r="I107" s="326">
        <v>9</v>
      </c>
      <c r="J107" s="326">
        <v>0</v>
      </c>
      <c r="K107" s="326">
        <v>0</v>
      </c>
      <c r="L107" s="327">
        <v>9</v>
      </c>
      <c r="M107" s="326">
        <v>0</v>
      </c>
      <c r="N107" s="326">
        <v>0</v>
      </c>
      <c r="O107" s="326">
        <v>0</v>
      </c>
      <c r="P107" s="326">
        <v>0</v>
      </c>
      <c r="Q107" s="326">
        <v>0</v>
      </c>
      <c r="R107" s="327">
        <v>0</v>
      </c>
      <c r="S107" s="326">
        <v>9</v>
      </c>
    </row>
    <row r="108" spans="1:19" ht="22.5" x14ac:dyDescent="0.2">
      <c r="A108" s="305" t="s">
        <v>2202</v>
      </c>
      <c r="B108" s="306" t="s">
        <v>150</v>
      </c>
      <c r="C108" s="307" t="s">
        <v>580</v>
      </c>
      <c r="D108" s="306" t="s">
        <v>153</v>
      </c>
      <c r="E108" s="305" t="s">
        <v>3798</v>
      </c>
      <c r="F108" s="335">
        <v>42535</v>
      </c>
      <c r="G108" s="309">
        <v>52</v>
      </c>
      <c r="H108" s="309">
        <v>0</v>
      </c>
      <c r="I108" s="309">
        <v>0</v>
      </c>
      <c r="J108" s="309">
        <v>0</v>
      </c>
      <c r="K108" s="309">
        <v>0</v>
      </c>
      <c r="L108" s="317">
        <v>52</v>
      </c>
      <c r="M108" s="309">
        <v>84</v>
      </c>
      <c r="N108" s="309">
        <v>0</v>
      </c>
      <c r="O108" s="309">
        <v>0</v>
      </c>
      <c r="P108" s="309">
        <v>0</v>
      </c>
      <c r="Q108" s="309">
        <v>0</v>
      </c>
      <c r="R108" s="317">
        <v>84</v>
      </c>
      <c r="S108" s="309">
        <v>-32</v>
      </c>
    </row>
    <row r="109" spans="1:19" ht="22.5" x14ac:dyDescent="0.2">
      <c r="A109" s="305" t="s">
        <v>2259</v>
      </c>
      <c r="B109" s="306" t="s">
        <v>3950</v>
      </c>
      <c r="C109" s="307" t="s">
        <v>970</v>
      </c>
      <c r="D109" s="306" t="s">
        <v>153</v>
      </c>
      <c r="E109" s="305" t="s">
        <v>3798</v>
      </c>
      <c r="F109" s="335">
        <v>42606</v>
      </c>
      <c r="G109" s="309">
        <v>0</v>
      </c>
      <c r="H109" s="309">
        <v>40</v>
      </c>
      <c r="I109" s="309">
        <v>0</v>
      </c>
      <c r="J109" s="309">
        <v>0</v>
      </c>
      <c r="K109" s="309">
        <v>0</v>
      </c>
      <c r="L109" s="317">
        <v>40</v>
      </c>
      <c r="M109" s="309">
        <v>96</v>
      </c>
      <c r="N109" s="309">
        <v>0</v>
      </c>
      <c r="O109" s="309">
        <v>0</v>
      </c>
      <c r="P109" s="309">
        <v>0</v>
      </c>
      <c r="Q109" s="309">
        <v>0</v>
      </c>
      <c r="R109" s="317">
        <v>96</v>
      </c>
      <c r="S109" s="309">
        <v>-56</v>
      </c>
    </row>
    <row r="110" spans="1:19" ht="22.5" x14ac:dyDescent="0.2">
      <c r="A110" s="305" t="s">
        <v>2372</v>
      </c>
      <c r="B110" s="306" t="s">
        <v>3944</v>
      </c>
      <c r="C110" s="307" t="s">
        <v>2373</v>
      </c>
      <c r="D110" s="306" t="s">
        <v>153</v>
      </c>
      <c r="E110" s="305" t="s">
        <v>3798</v>
      </c>
      <c r="F110" s="335">
        <v>42999</v>
      </c>
      <c r="G110" s="309">
        <v>0</v>
      </c>
      <c r="H110" s="309">
        <v>0</v>
      </c>
      <c r="I110" s="309">
        <v>0</v>
      </c>
      <c r="J110" s="309">
        <v>0</v>
      </c>
      <c r="K110" s="309">
        <v>0</v>
      </c>
      <c r="L110" s="317">
        <v>0</v>
      </c>
      <c r="M110" s="309">
        <v>77</v>
      </c>
      <c r="N110" s="309">
        <v>0</v>
      </c>
      <c r="O110" s="309">
        <v>0</v>
      </c>
      <c r="P110" s="309">
        <v>0</v>
      </c>
      <c r="Q110" s="309">
        <v>0</v>
      </c>
      <c r="R110" s="317">
        <v>77</v>
      </c>
      <c r="S110" s="309">
        <v>-77</v>
      </c>
    </row>
    <row r="111" spans="1:19" ht="22.5" x14ac:dyDescent="0.2">
      <c r="A111" s="305" t="s">
        <v>1400</v>
      </c>
      <c r="B111" s="306" t="s">
        <v>3952</v>
      </c>
      <c r="C111" s="307" t="s">
        <v>324</v>
      </c>
      <c r="D111" s="306" t="s">
        <v>153</v>
      </c>
      <c r="E111" s="305" t="s">
        <v>3798</v>
      </c>
      <c r="F111" s="335">
        <v>41976</v>
      </c>
      <c r="G111" s="309">
        <v>239</v>
      </c>
      <c r="H111" s="309">
        <v>238</v>
      </c>
      <c r="I111" s="309">
        <v>238</v>
      </c>
      <c r="J111" s="309">
        <v>0</v>
      </c>
      <c r="K111" s="309">
        <v>0</v>
      </c>
      <c r="L111" s="317">
        <v>715</v>
      </c>
      <c r="M111" s="309">
        <v>0</v>
      </c>
      <c r="N111" s="309">
        <v>0</v>
      </c>
      <c r="O111" s="309">
        <v>0</v>
      </c>
      <c r="P111" s="309">
        <v>0</v>
      </c>
      <c r="Q111" s="309">
        <v>0</v>
      </c>
      <c r="R111" s="317">
        <v>0</v>
      </c>
      <c r="S111" s="309">
        <v>715</v>
      </c>
    </row>
    <row r="112" spans="1:19" ht="33.75" x14ac:dyDescent="0.2">
      <c r="A112" s="305" t="s">
        <v>1739</v>
      </c>
      <c r="B112" s="306" t="s">
        <v>2904</v>
      </c>
      <c r="C112" s="307" t="s">
        <v>265</v>
      </c>
      <c r="D112" s="306" t="s">
        <v>153</v>
      </c>
      <c r="E112" s="305" t="s">
        <v>3798</v>
      </c>
      <c r="F112" s="335">
        <v>42121</v>
      </c>
      <c r="G112" s="309">
        <v>37</v>
      </c>
      <c r="H112" s="309">
        <v>0</v>
      </c>
      <c r="I112" s="309">
        <v>0</v>
      </c>
      <c r="J112" s="309">
        <v>0</v>
      </c>
      <c r="K112" s="309">
        <v>0</v>
      </c>
      <c r="L112" s="317">
        <v>37</v>
      </c>
      <c r="M112" s="309">
        <v>75</v>
      </c>
      <c r="N112" s="309">
        <v>0</v>
      </c>
      <c r="O112" s="309">
        <v>0</v>
      </c>
      <c r="P112" s="309">
        <v>0</v>
      </c>
      <c r="Q112" s="309">
        <v>0</v>
      </c>
      <c r="R112" s="317">
        <v>75</v>
      </c>
      <c r="S112" s="309">
        <v>-38</v>
      </c>
    </row>
    <row r="113" spans="1:19" ht="22.5" x14ac:dyDescent="0.2">
      <c r="A113" s="305" t="s">
        <v>1867</v>
      </c>
      <c r="B113" s="306" t="s">
        <v>3947</v>
      </c>
      <c r="C113" s="307" t="s">
        <v>1876</v>
      </c>
      <c r="D113" s="306" t="s">
        <v>1878</v>
      </c>
      <c r="E113" s="305" t="s">
        <v>3971</v>
      </c>
      <c r="F113" s="335">
        <v>42865</v>
      </c>
      <c r="G113" s="309">
        <v>305</v>
      </c>
      <c r="H113" s="309">
        <v>305</v>
      </c>
      <c r="I113" s="309">
        <v>305</v>
      </c>
      <c r="J113" s="309">
        <v>305</v>
      </c>
      <c r="K113" s="309">
        <v>306</v>
      </c>
      <c r="L113" s="317">
        <v>1526</v>
      </c>
      <c r="M113" s="309">
        <v>0</v>
      </c>
      <c r="N113" s="309">
        <v>0</v>
      </c>
      <c r="O113" s="309">
        <v>0</v>
      </c>
      <c r="P113" s="309">
        <v>0</v>
      </c>
      <c r="Q113" s="309">
        <v>0</v>
      </c>
      <c r="R113" s="317">
        <v>0</v>
      </c>
      <c r="S113" s="309">
        <v>1526</v>
      </c>
    </row>
    <row r="114" spans="1:19" x14ac:dyDescent="0.2">
      <c r="C114" s="307" t="s">
        <v>1888</v>
      </c>
      <c r="D114" s="306" t="s">
        <v>1886</v>
      </c>
      <c r="E114" s="305" t="s">
        <v>3798</v>
      </c>
      <c r="F114" s="335">
        <v>43174</v>
      </c>
      <c r="G114" s="309">
        <v>0</v>
      </c>
      <c r="H114" s="309">
        <v>33</v>
      </c>
      <c r="I114" s="309">
        <v>33</v>
      </c>
      <c r="J114" s="309">
        <v>33</v>
      </c>
      <c r="K114" s="309">
        <v>0</v>
      </c>
      <c r="L114" s="317">
        <v>99</v>
      </c>
      <c r="M114" s="309">
        <v>0</v>
      </c>
      <c r="N114" s="309">
        <v>98</v>
      </c>
      <c r="O114" s="309">
        <v>0</v>
      </c>
      <c r="P114" s="309">
        <v>0</v>
      </c>
      <c r="Q114" s="309">
        <v>0</v>
      </c>
      <c r="R114" s="317">
        <v>98</v>
      </c>
      <c r="S114" s="309">
        <v>1</v>
      </c>
    </row>
    <row r="115" spans="1:19" ht="45" x14ac:dyDescent="0.2">
      <c r="A115" s="305" t="s">
        <v>1682</v>
      </c>
      <c r="B115" s="306" t="s">
        <v>3947</v>
      </c>
      <c r="C115" s="307" t="s">
        <v>354</v>
      </c>
      <c r="D115" s="306" t="s">
        <v>1684</v>
      </c>
      <c r="E115" s="305" t="s">
        <v>3971</v>
      </c>
      <c r="F115" s="335">
        <v>42046</v>
      </c>
      <c r="G115" s="309">
        <v>785</v>
      </c>
      <c r="H115" s="309">
        <v>785</v>
      </c>
      <c r="I115" s="309">
        <v>785</v>
      </c>
      <c r="J115" s="309">
        <v>785</v>
      </c>
      <c r="K115" s="309">
        <v>784</v>
      </c>
      <c r="L115" s="317">
        <v>3924</v>
      </c>
      <c r="M115" s="309">
        <v>0</v>
      </c>
      <c r="N115" s="309">
        <v>0</v>
      </c>
      <c r="O115" s="309">
        <v>0</v>
      </c>
      <c r="P115" s="309">
        <v>0</v>
      </c>
      <c r="Q115" s="309">
        <v>0</v>
      </c>
      <c r="R115" s="317">
        <v>0</v>
      </c>
      <c r="S115" s="309">
        <v>3924</v>
      </c>
    </row>
    <row r="116" spans="1:19" ht="22.5" x14ac:dyDescent="0.2">
      <c r="D116" s="306" t="s">
        <v>1685</v>
      </c>
      <c r="E116" s="305" t="s">
        <v>3971</v>
      </c>
      <c r="F116" s="335">
        <v>42046</v>
      </c>
      <c r="G116" s="309">
        <v>88</v>
      </c>
      <c r="H116" s="309">
        <v>88</v>
      </c>
      <c r="I116" s="309">
        <v>88</v>
      </c>
      <c r="J116" s="309">
        <v>87</v>
      </c>
      <c r="K116" s="309">
        <v>87</v>
      </c>
      <c r="L116" s="317">
        <v>438</v>
      </c>
      <c r="M116" s="309">
        <v>0</v>
      </c>
      <c r="N116" s="309">
        <v>0</v>
      </c>
      <c r="O116" s="309">
        <v>0</v>
      </c>
      <c r="P116" s="309">
        <v>0</v>
      </c>
      <c r="Q116" s="309">
        <v>0</v>
      </c>
      <c r="R116" s="317">
        <v>0</v>
      </c>
      <c r="S116" s="309">
        <v>438</v>
      </c>
    </row>
    <row r="117" spans="1:19" ht="33.75" x14ac:dyDescent="0.2">
      <c r="D117" s="306" t="s">
        <v>1689</v>
      </c>
      <c r="E117" s="305" t="s">
        <v>3971</v>
      </c>
      <c r="F117" s="335">
        <v>42046</v>
      </c>
      <c r="G117" s="309">
        <v>248</v>
      </c>
      <c r="H117" s="309">
        <v>248</v>
      </c>
      <c r="I117" s="309">
        <v>248</v>
      </c>
      <c r="J117" s="309">
        <v>249</v>
      </c>
      <c r="K117" s="309">
        <v>248</v>
      </c>
      <c r="L117" s="317">
        <v>1241</v>
      </c>
      <c r="M117" s="309">
        <v>0</v>
      </c>
      <c r="N117" s="309">
        <v>0</v>
      </c>
      <c r="O117" s="309">
        <v>0</v>
      </c>
      <c r="P117" s="309">
        <v>0</v>
      </c>
      <c r="Q117" s="309">
        <v>0</v>
      </c>
      <c r="R117" s="317">
        <v>0</v>
      </c>
      <c r="S117" s="309">
        <v>1241</v>
      </c>
    </row>
    <row r="118" spans="1:19" ht="22.5" x14ac:dyDescent="0.2">
      <c r="A118" s="305" t="s">
        <v>1333</v>
      </c>
      <c r="B118" s="306" t="s">
        <v>3947</v>
      </c>
      <c r="C118" s="307" t="s">
        <v>439</v>
      </c>
      <c r="D118" s="306" t="s">
        <v>153</v>
      </c>
      <c r="E118" s="305" t="s">
        <v>3798</v>
      </c>
      <c r="F118" s="335">
        <v>42230</v>
      </c>
      <c r="G118" s="309">
        <v>0</v>
      </c>
      <c r="H118" s="309">
        <v>133</v>
      </c>
      <c r="I118" s="309">
        <v>0</v>
      </c>
      <c r="J118" s="309">
        <v>0</v>
      </c>
      <c r="K118" s="309">
        <v>0</v>
      </c>
      <c r="L118" s="317">
        <v>133</v>
      </c>
      <c r="M118" s="309">
        <v>0</v>
      </c>
      <c r="N118" s="309">
        <v>146</v>
      </c>
      <c r="O118" s="309">
        <v>0</v>
      </c>
      <c r="P118" s="309">
        <v>0</v>
      </c>
      <c r="Q118" s="309">
        <v>0</v>
      </c>
      <c r="R118" s="317">
        <v>146</v>
      </c>
      <c r="S118" s="309">
        <v>-13</v>
      </c>
    </row>
    <row r="119" spans="1:19" ht="22.5" x14ac:dyDescent="0.2">
      <c r="A119" s="305" t="s">
        <v>1385</v>
      </c>
      <c r="B119" s="306" t="s">
        <v>3943</v>
      </c>
      <c r="C119" s="307" t="s">
        <v>1386</v>
      </c>
      <c r="D119" s="306" t="s">
        <v>153</v>
      </c>
      <c r="E119" s="305" t="s">
        <v>3798</v>
      </c>
      <c r="F119" s="335">
        <v>43000</v>
      </c>
      <c r="G119" s="309">
        <v>330</v>
      </c>
      <c r="H119" s="309">
        <v>0</v>
      </c>
      <c r="I119" s="309">
        <v>0</v>
      </c>
      <c r="J119" s="309">
        <v>0</v>
      </c>
      <c r="K119" s="309">
        <v>0</v>
      </c>
      <c r="L119" s="317">
        <v>330</v>
      </c>
      <c r="M119" s="309">
        <v>0</v>
      </c>
      <c r="N119" s="309">
        <v>0</v>
      </c>
      <c r="O119" s="309">
        <v>0</v>
      </c>
      <c r="P119" s="309">
        <v>330</v>
      </c>
      <c r="Q119" s="309">
        <v>0</v>
      </c>
      <c r="R119" s="317">
        <v>330</v>
      </c>
      <c r="S119" s="309">
        <v>0</v>
      </c>
    </row>
    <row r="120" spans="1:19" x14ac:dyDescent="0.2">
      <c r="A120" s="305" t="s">
        <v>2672</v>
      </c>
      <c r="B120" s="306" t="s">
        <v>3945</v>
      </c>
      <c r="C120" s="307" t="s">
        <v>2673</v>
      </c>
      <c r="D120" s="306" t="s">
        <v>153</v>
      </c>
      <c r="E120" s="305" t="s">
        <v>3798</v>
      </c>
      <c r="F120" s="335">
        <v>43145</v>
      </c>
      <c r="G120" s="309">
        <v>0</v>
      </c>
      <c r="H120" s="309">
        <v>0</v>
      </c>
      <c r="I120" s="309">
        <v>279</v>
      </c>
      <c r="J120" s="309">
        <v>0</v>
      </c>
      <c r="K120" s="309">
        <v>0</v>
      </c>
      <c r="L120" s="317">
        <v>279</v>
      </c>
      <c r="M120" s="309">
        <v>0</v>
      </c>
      <c r="N120" s="309">
        <v>0</v>
      </c>
      <c r="O120" s="309">
        <v>0</v>
      </c>
      <c r="P120" s="309">
        <v>352</v>
      </c>
      <c r="Q120" s="309">
        <v>0</v>
      </c>
      <c r="R120" s="317">
        <v>352</v>
      </c>
      <c r="S120" s="309">
        <v>-73</v>
      </c>
    </row>
    <row r="121" spans="1:19" ht="22.5" x14ac:dyDescent="0.2">
      <c r="A121" s="305" t="s">
        <v>2518</v>
      </c>
      <c r="B121" s="306" t="s">
        <v>3946</v>
      </c>
      <c r="C121" s="307" t="s">
        <v>2519</v>
      </c>
      <c r="D121" s="306" t="s">
        <v>153</v>
      </c>
      <c r="E121" s="305" t="s">
        <v>3798</v>
      </c>
      <c r="F121" s="335">
        <v>42989</v>
      </c>
      <c r="G121" s="309">
        <v>0</v>
      </c>
      <c r="H121" s="309">
        <v>0</v>
      </c>
      <c r="I121" s="309">
        <v>0</v>
      </c>
      <c r="J121" s="309">
        <v>0</v>
      </c>
      <c r="K121" s="309">
        <v>0</v>
      </c>
      <c r="L121" s="317">
        <v>0</v>
      </c>
      <c r="M121" s="309">
        <v>45</v>
      </c>
      <c r="N121" s="309">
        <v>0</v>
      </c>
      <c r="O121" s="309">
        <v>0</v>
      </c>
      <c r="P121" s="309">
        <v>0</v>
      </c>
      <c r="Q121" s="309">
        <v>0</v>
      </c>
      <c r="R121" s="317">
        <v>45</v>
      </c>
      <c r="S121" s="309">
        <v>-45</v>
      </c>
    </row>
    <row r="122" spans="1:19" ht="22.5" x14ac:dyDescent="0.2">
      <c r="A122" s="305" t="s">
        <v>1915</v>
      </c>
      <c r="B122" s="306" t="s">
        <v>3946</v>
      </c>
      <c r="C122" s="307" t="s">
        <v>805</v>
      </c>
      <c r="D122" s="306" t="s">
        <v>153</v>
      </c>
      <c r="E122" s="305" t="s">
        <v>3798</v>
      </c>
      <c r="F122" s="335">
        <v>42587</v>
      </c>
      <c r="G122" s="309">
        <v>15</v>
      </c>
      <c r="H122" s="309">
        <v>0</v>
      </c>
      <c r="I122" s="309">
        <v>0</v>
      </c>
      <c r="J122" s="309">
        <v>0</v>
      </c>
      <c r="K122" s="309">
        <v>0</v>
      </c>
      <c r="L122" s="317">
        <v>15</v>
      </c>
      <c r="M122" s="309">
        <v>0</v>
      </c>
      <c r="N122" s="309">
        <v>0</v>
      </c>
      <c r="O122" s="309">
        <v>0</v>
      </c>
      <c r="P122" s="309">
        <v>0</v>
      </c>
      <c r="Q122" s="309">
        <v>0</v>
      </c>
      <c r="R122" s="317">
        <v>0</v>
      </c>
      <c r="S122" s="309">
        <v>15</v>
      </c>
    </row>
    <row r="123" spans="1:19" ht="22.5" x14ac:dyDescent="0.2">
      <c r="A123" s="305" t="s">
        <v>1773</v>
      </c>
      <c r="B123" s="306" t="s">
        <v>3947</v>
      </c>
      <c r="C123" s="307" t="s">
        <v>861</v>
      </c>
      <c r="D123" s="306" t="s">
        <v>1775</v>
      </c>
      <c r="E123" s="305" t="s">
        <v>3971</v>
      </c>
      <c r="F123" s="335">
        <v>42758</v>
      </c>
      <c r="G123" s="309">
        <v>44</v>
      </c>
      <c r="H123" s="309">
        <v>44</v>
      </c>
      <c r="I123" s="309">
        <v>44</v>
      </c>
      <c r="J123" s="309">
        <v>44</v>
      </c>
      <c r="K123" s="309">
        <v>43</v>
      </c>
      <c r="L123" s="317">
        <v>219</v>
      </c>
      <c r="M123" s="309">
        <v>0</v>
      </c>
      <c r="N123" s="309">
        <v>0</v>
      </c>
      <c r="O123" s="309">
        <v>0</v>
      </c>
      <c r="P123" s="309">
        <v>0</v>
      </c>
      <c r="Q123" s="309">
        <v>0</v>
      </c>
      <c r="R123" s="317">
        <v>0</v>
      </c>
      <c r="S123" s="309">
        <v>219</v>
      </c>
    </row>
    <row r="124" spans="1:19" x14ac:dyDescent="0.2">
      <c r="D124" s="306" t="s">
        <v>1776</v>
      </c>
      <c r="E124" s="305" t="s">
        <v>3971</v>
      </c>
      <c r="F124" s="335">
        <v>42758</v>
      </c>
      <c r="G124" s="309">
        <v>217</v>
      </c>
      <c r="H124" s="309">
        <v>217</v>
      </c>
      <c r="I124" s="309">
        <v>217</v>
      </c>
      <c r="J124" s="309">
        <v>217</v>
      </c>
      <c r="K124" s="309">
        <v>217</v>
      </c>
      <c r="L124" s="317">
        <v>1085</v>
      </c>
      <c r="M124" s="309">
        <v>0</v>
      </c>
      <c r="N124" s="309">
        <v>0</v>
      </c>
      <c r="O124" s="309">
        <v>0</v>
      </c>
      <c r="P124" s="309">
        <v>0</v>
      </c>
      <c r="Q124" s="309">
        <v>0</v>
      </c>
      <c r="R124" s="317">
        <v>0</v>
      </c>
      <c r="S124" s="309">
        <v>1085</v>
      </c>
    </row>
    <row r="125" spans="1:19" x14ac:dyDescent="0.2">
      <c r="D125" s="306" t="s">
        <v>1777</v>
      </c>
      <c r="E125" s="305" t="s">
        <v>3971</v>
      </c>
      <c r="F125" s="335">
        <v>42758</v>
      </c>
      <c r="G125" s="309">
        <v>903</v>
      </c>
      <c r="H125" s="309">
        <v>903</v>
      </c>
      <c r="I125" s="309">
        <v>903</v>
      </c>
      <c r="J125" s="309">
        <v>903</v>
      </c>
      <c r="K125" s="309">
        <v>903</v>
      </c>
      <c r="L125" s="317">
        <v>4515</v>
      </c>
      <c r="M125" s="309">
        <v>0</v>
      </c>
      <c r="N125" s="309">
        <v>0</v>
      </c>
      <c r="O125" s="309">
        <v>0</v>
      </c>
      <c r="P125" s="309">
        <v>0</v>
      </c>
      <c r="Q125" s="309">
        <v>0</v>
      </c>
      <c r="R125" s="317">
        <v>0</v>
      </c>
      <c r="S125" s="309">
        <v>4515</v>
      </c>
    </row>
    <row r="126" spans="1:19" x14ac:dyDescent="0.2">
      <c r="D126" s="306" t="s">
        <v>1778</v>
      </c>
      <c r="E126" s="305" t="s">
        <v>3971</v>
      </c>
      <c r="F126" s="335">
        <v>42758</v>
      </c>
      <c r="G126" s="309">
        <v>169</v>
      </c>
      <c r="H126" s="309">
        <v>169</v>
      </c>
      <c r="I126" s="309">
        <v>169</v>
      </c>
      <c r="J126" s="309">
        <v>169</v>
      </c>
      <c r="K126" s="309">
        <v>169</v>
      </c>
      <c r="L126" s="317">
        <v>845</v>
      </c>
      <c r="M126" s="309">
        <v>0</v>
      </c>
      <c r="N126" s="309">
        <v>0</v>
      </c>
      <c r="O126" s="309">
        <v>0</v>
      </c>
      <c r="P126" s="309">
        <v>0</v>
      </c>
      <c r="Q126" s="309">
        <v>0</v>
      </c>
      <c r="R126" s="317">
        <v>0</v>
      </c>
      <c r="S126" s="309">
        <v>845</v>
      </c>
    </row>
    <row r="127" spans="1:19" x14ac:dyDescent="0.2">
      <c r="D127" s="306" t="s">
        <v>1779</v>
      </c>
      <c r="E127" s="305" t="s">
        <v>3971</v>
      </c>
      <c r="F127" s="335">
        <v>42758</v>
      </c>
      <c r="G127" s="309">
        <v>44</v>
      </c>
      <c r="H127" s="309">
        <v>44</v>
      </c>
      <c r="I127" s="309">
        <v>44</v>
      </c>
      <c r="J127" s="309">
        <v>44</v>
      </c>
      <c r="K127" s="309">
        <v>43</v>
      </c>
      <c r="L127" s="317">
        <v>219</v>
      </c>
      <c r="M127" s="309">
        <v>0</v>
      </c>
      <c r="N127" s="309">
        <v>0</v>
      </c>
      <c r="O127" s="309">
        <v>0</v>
      </c>
      <c r="P127" s="309">
        <v>0</v>
      </c>
      <c r="Q127" s="309">
        <v>0</v>
      </c>
      <c r="R127" s="317">
        <v>0</v>
      </c>
      <c r="S127" s="309">
        <v>219</v>
      </c>
    </row>
    <row r="128" spans="1:19" x14ac:dyDescent="0.2">
      <c r="D128" s="306" t="s">
        <v>1780</v>
      </c>
      <c r="E128" s="305" t="s">
        <v>3971</v>
      </c>
      <c r="F128" s="335">
        <v>42758</v>
      </c>
      <c r="G128" s="309">
        <v>66</v>
      </c>
      <c r="H128" s="309">
        <v>66</v>
      </c>
      <c r="I128" s="309">
        <v>66</v>
      </c>
      <c r="J128" s="309">
        <v>66</v>
      </c>
      <c r="K128" s="309">
        <v>66</v>
      </c>
      <c r="L128" s="317">
        <v>330</v>
      </c>
      <c r="M128" s="309">
        <v>0</v>
      </c>
      <c r="N128" s="309">
        <v>0</v>
      </c>
      <c r="O128" s="309">
        <v>0</v>
      </c>
      <c r="P128" s="309">
        <v>0</v>
      </c>
      <c r="Q128" s="309">
        <v>0</v>
      </c>
      <c r="R128" s="317">
        <v>0</v>
      </c>
      <c r="S128" s="309">
        <v>330</v>
      </c>
    </row>
    <row r="129" spans="1:19" ht="22.5" x14ac:dyDescent="0.2">
      <c r="A129" s="305" t="s">
        <v>2218</v>
      </c>
      <c r="B129" s="306" t="s">
        <v>3943</v>
      </c>
      <c r="C129" s="307" t="s">
        <v>1052</v>
      </c>
      <c r="D129" s="306" t="s">
        <v>153</v>
      </c>
      <c r="E129" s="305" t="s">
        <v>3798</v>
      </c>
      <c r="F129" s="335">
        <v>42955</v>
      </c>
      <c r="G129" s="309">
        <v>62</v>
      </c>
      <c r="H129" s="309">
        <v>62</v>
      </c>
      <c r="I129" s="309">
        <v>0</v>
      </c>
      <c r="J129" s="309">
        <v>0</v>
      </c>
      <c r="K129" s="309">
        <v>0</v>
      </c>
      <c r="L129" s="317">
        <v>124</v>
      </c>
      <c r="M129" s="309">
        <v>1532</v>
      </c>
      <c r="N129" s="309">
        <v>0</v>
      </c>
      <c r="O129" s="309">
        <v>0</v>
      </c>
      <c r="P129" s="309">
        <v>0</v>
      </c>
      <c r="Q129" s="309">
        <v>0</v>
      </c>
      <c r="R129" s="317">
        <v>1532</v>
      </c>
      <c r="S129" s="309">
        <v>-1408</v>
      </c>
    </row>
    <row r="130" spans="1:19" ht="22.5" x14ac:dyDescent="0.2">
      <c r="A130" s="305" t="s">
        <v>1757</v>
      </c>
      <c r="B130" s="306" t="s">
        <v>3942</v>
      </c>
      <c r="C130" s="307" t="s">
        <v>701</v>
      </c>
      <c r="D130" s="306" t="s">
        <v>153</v>
      </c>
      <c r="E130" s="305" t="s">
        <v>3798</v>
      </c>
      <c r="F130" s="335">
        <v>41866</v>
      </c>
      <c r="G130" s="309">
        <v>0</v>
      </c>
      <c r="H130" s="309">
        <v>0</v>
      </c>
      <c r="I130" s="309">
        <v>0</v>
      </c>
      <c r="J130" s="309">
        <v>0</v>
      </c>
      <c r="K130" s="309">
        <v>52</v>
      </c>
      <c r="L130" s="317">
        <v>52</v>
      </c>
      <c r="M130" s="309">
        <v>0</v>
      </c>
      <c r="N130" s="309">
        <v>0</v>
      </c>
      <c r="O130" s="309">
        <v>0</v>
      </c>
      <c r="P130" s="309">
        <v>0</v>
      </c>
      <c r="Q130" s="309">
        <v>37</v>
      </c>
      <c r="R130" s="317">
        <v>37</v>
      </c>
      <c r="S130" s="309">
        <v>15</v>
      </c>
    </row>
    <row r="131" spans="1:19" ht="45" x14ac:dyDescent="0.2">
      <c r="A131" s="305" t="s">
        <v>1525</v>
      </c>
      <c r="B131" s="306" t="s">
        <v>3947</v>
      </c>
      <c r="C131" s="307" t="s">
        <v>428</v>
      </c>
      <c r="D131" s="306" t="s">
        <v>1527</v>
      </c>
      <c r="E131" s="305" t="s">
        <v>3971</v>
      </c>
      <c r="F131" s="335">
        <v>41978</v>
      </c>
      <c r="G131" s="309">
        <v>0</v>
      </c>
      <c r="H131" s="309">
        <v>0</v>
      </c>
      <c r="I131" s="309">
        <v>278</v>
      </c>
      <c r="J131" s="309">
        <v>278</v>
      </c>
      <c r="K131" s="309">
        <v>279</v>
      </c>
      <c r="L131" s="317">
        <v>835</v>
      </c>
      <c r="M131" s="309">
        <v>0</v>
      </c>
      <c r="N131" s="309">
        <v>0</v>
      </c>
      <c r="O131" s="309">
        <v>0</v>
      </c>
      <c r="P131" s="309">
        <v>0</v>
      </c>
      <c r="Q131" s="309">
        <v>0</v>
      </c>
      <c r="R131" s="317">
        <v>0</v>
      </c>
      <c r="S131" s="309">
        <v>835</v>
      </c>
    </row>
    <row r="132" spans="1:19" ht="22.5" x14ac:dyDescent="0.2">
      <c r="C132" s="307" t="s">
        <v>653</v>
      </c>
      <c r="D132" s="306" t="s">
        <v>1532</v>
      </c>
      <c r="E132" s="305" t="s">
        <v>3971</v>
      </c>
      <c r="F132" s="335">
        <v>42682</v>
      </c>
      <c r="G132" s="309">
        <v>3341</v>
      </c>
      <c r="H132" s="309">
        <v>3341</v>
      </c>
      <c r="I132" s="309">
        <v>192</v>
      </c>
      <c r="J132" s="309">
        <v>192</v>
      </c>
      <c r="K132" s="309">
        <v>193</v>
      </c>
      <c r="L132" s="317">
        <v>7259</v>
      </c>
      <c r="M132" s="309">
        <v>0</v>
      </c>
      <c r="N132" s="309">
        <v>0</v>
      </c>
      <c r="O132" s="309">
        <v>0</v>
      </c>
      <c r="P132" s="309">
        <v>0</v>
      </c>
      <c r="Q132" s="309">
        <v>0</v>
      </c>
      <c r="R132" s="317">
        <v>0</v>
      </c>
      <c r="S132" s="309">
        <v>7259</v>
      </c>
    </row>
    <row r="133" spans="1:19" ht="22.5" x14ac:dyDescent="0.2">
      <c r="D133" s="306" t="s">
        <v>1534</v>
      </c>
      <c r="E133" s="305" t="s">
        <v>3971</v>
      </c>
      <c r="F133" s="335">
        <v>42682</v>
      </c>
      <c r="G133" s="309">
        <v>0</v>
      </c>
      <c r="H133" s="309">
        <v>0</v>
      </c>
      <c r="I133" s="309">
        <v>599</v>
      </c>
      <c r="J133" s="309">
        <v>599</v>
      </c>
      <c r="K133" s="309">
        <v>599</v>
      </c>
      <c r="L133" s="317">
        <v>1797</v>
      </c>
      <c r="M133" s="309">
        <v>0</v>
      </c>
      <c r="N133" s="309">
        <v>0</v>
      </c>
      <c r="O133" s="309">
        <v>0</v>
      </c>
      <c r="P133" s="309">
        <v>0</v>
      </c>
      <c r="Q133" s="309">
        <v>0</v>
      </c>
      <c r="R133" s="317">
        <v>0</v>
      </c>
      <c r="S133" s="309">
        <v>1797</v>
      </c>
    </row>
    <row r="134" spans="1:19" x14ac:dyDescent="0.2">
      <c r="A134" s="305" t="s">
        <v>2684</v>
      </c>
      <c r="B134" s="306" t="s">
        <v>149</v>
      </c>
      <c r="C134" s="307" t="s">
        <v>2685</v>
      </c>
      <c r="D134" s="306" t="s">
        <v>153</v>
      </c>
      <c r="E134" s="305" t="s">
        <v>3798</v>
      </c>
      <c r="F134" s="335">
        <v>43174</v>
      </c>
      <c r="G134" s="309">
        <v>0</v>
      </c>
      <c r="H134" s="309">
        <v>0</v>
      </c>
      <c r="I134" s="309">
        <v>0</v>
      </c>
      <c r="J134" s="309">
        <v>2056</v>
      </c>
      <c r="K134" s="309">
        <v>0</v>
      </c>
      <c r="L134" s="317">
        <v>2056</v>
      </c>
      <c r="M134" s="309">
        <v>0</v>
      </c>
      <c r="N134" s="309">
        <v>0</v>
      </c>
      <c r="O134" s="309">
        <v>0</v>
      </c>
      <c r="P134" s="309">
        <v>2047</v>
      </c>
      <c r="Q134" s="309">
        <v>0</v>
      </c>
      <c r="R134" s="317">
        <v>2047</v>
      </c>
      <c r="S134" s="309">
        <v>9</v>
      </c>
    </row>
    <row r="135" spans="1:19" ht="22.5" x14ac:dyDescent="0.2">
      <c r="A135" s="305" t="s">
        <v>2155</v>
      </c>
      <c r="B135" s="306" t="s">
        <v>3946</v>
      </c>
      <c r="C135" s="307" t="s">
        <v>528</v>
      </c>
      <c r="D135" s="306" t="s">
        <v>153</v>
      </c>
      <c r="E135" s="305" t="s">
        <v>3798</v>
      </c>
      <c r="F135" s="335">
        <v>42459</v>
      </c>
      <c r="G135" s="309">
        <v>0</v>
      </c>
      <c r="H135" s="309">
        <v>0</v>
      </c>
      <c r="I135" s="309">
        <v>0</v>
      </c>
      <c r="J135" s="309">
        <v>79</v>
      </c>
      <c r="K135" s="309">
        <v>0</v>
      </c>
      <c r="L135" s="317">
        <v>79</v>
      </c>
      <c r="M135" s="309">
        <v>0</v>
      </c>
      <c r="N135" s="309">
        <v>0</v>
      </c>
      <c r="O135" s="309">
        <v>0</v>
      </c>
      <c r="P135" s="309">
        <v>0</v>
      </c>
      <c r="Q135" s="309">
        <v>0</v>
      </c>
      <c r="R135" s="317">
        <v>0</v>
      </c>
      <c r="S135" s="309">
        <v>79</v>
      </c>
    </row>
    <row r="136" spans="1:19" ht="22.5" x14ac:dyDescent="0.2">
      <c r="A136" s="305" t="s">
        <v>1920</v>
      </c>
      <c r="B136" s="306" t="s">
        <v>3945</v>
      </c>
      <c r="C136" s="307" t="s">
        <v>475</v>
      </c>
      <c r="D136" s="306" t="s">
        <v>153</v>
      </c>
      <c r="E136" s="305" t="s">
        <v>3798</v>
      </c>
      <c r="F136" s="335">
        <v>42324</v>
      </c>
      <c r="G136" s="309">
        <v>0</v>
      </c>
      <c r="H136" s="309">
        <v>0</v>
      </c>
      <c r="I136" s="309">
        <v>0</v>
      </c>
      <c r="J136" s="309">
        <v>294</v>
      </c>
      <c r="K136" s="309">
        <v>0</v>
      </c>
      <c r="L136" s="317">
        <v>294</v>
      </c>
      <c r="M136" s="309">
        <v>0</v>
      </c>
      <c r="N136" s="309">
        <v>0</v>
      </c>
      <c r="O136" s="309">
        <v>0</v>
      </c>
      <c r="P136" s="309">
        <v>585</v>
      </c>
      <c r="Q136" s="309">
        <v>0</v>
      </c>
      <c r="R136" s="317">
        <v>585</v>
      </c>
      <c r="S136" s="309">
        <v>-291</v>
      </c>
    </row>
    <row r="137" spans="1:19" ht="22.5" x14ac:dyDescent="0.2">
      <c r="A137" s="305" t="s">
        <v>2506</v>
      </c>
      <c r="B137" s="306" t="s">
        <v>3943</v>
      </c>
      <c r="C137" s="307" t="s">
        <v>2507</v>
      </c>
      <c r="D137" s="306" t="s">
        <v>153</v>
      </c>
      <c r="E137" s="305" t="s">
        <v>3798</v>
      </c>
      <c r="F137" s="335">
        <v>42969</v>
      </c>
      <c r="G137" s="309">
        <v>0</v>
      </c>
      <c r="H137" s="309">
        <v>0</v>
      </c>
      <c r="I137" s="309">
        <v>0</v>
      </c>
      <c r="J137" s="309">
        <v>0</v>
      </c>
      <c r="K137" s="309">
        <v>0</v>
      </c>
      <c r="L137" s="317">
        <v>0</v>
      </c>
      <c r="M137" s="309">
        <v>44</v>
      </c>
      <c r="N137" s="309">
        <v>44</v>
      </c>
      <c r="O137" s="309">
        <v>44</v>
      </c>
      <c r="P137" s="309">
        <v>0</v>
      </c>
      <c r="Q137" s="309">
        <v>0</v>
      </c>
      <c r="R137" s="317">
        <v>132</v>
      </c>
      <c r="S137" s="309">
        <v>-132</v>
      </c>
    </row>
    <row r="138" spans="1:19" ht="22.5" x14ac:dyDescent="0.2">
      <c r="A138" s="305" t="s">
        <v>2430</v>
      </c>
      <c r="B138" s="306" t="s">
        <v>3943</v>
      </c>
      <c r="C138" s="307" t="s">
        <v>2431</v>
      </c>
      <c r="D138" s="306" t="s">
        <v>153</v>
      </c>
      <c r="E138" s="305" t="s">
        <v>3798</v>
      </c>
      <c r="F138" s="335">
        <v>42879</v>
      </c>
      <c r="G138" s="309">
        <v>0</v>
      </c>
      <c r="H138" s="309">
        <v>0</v>
      </c>
      <c r="I138" s="309">
        <v>0</v>
      </c>
      <c r="J138" s="309">
        <v>0</v>
      </c>
      <c r="K138" s="309">
        <v>0</v>
      </c>
      <c r="L138" s="317">
        <v>0</v>
      </c>
      <c r="M138" s="309">
        <v>87</v>
      </c>
      <c r="N138" s="309">
        <v>87</v>
      </c>
      <c r="O138" s="309">
        <v>87</v>
      </c>
      <c r="P138" s="309">
        <v>0</v>
      </c>
      <c r="Q138" s="309">
        <v>0</v>
      </c>
      <c r="R138" s="317">
        <v>261</v>
      </c>
      <c r="S138" s="309">
        <v>-261</v>
      </c>
    </row>
    <row r="139" spans="1:19" ht="22.5" x14ac:dyDescent="0.2">
      <c r="A139" s="305" t="s">
        <v>2592</v>
      </c>
      <c r="B139" s="306" t="s">
        <v>3946</v>
      </c>
      <c r="C139" s="307" t="s">
        <v>2593</v>
      </c>
      <c r="D139" s="306" t="s">
        <v>153</v>
      </c>
      <c r="E139" s="305" t="s">
        <v>3798</v>
      </c>
      <c r="F139" s="335">
        <v>43154</v>
      </c>
      <c r="G139" s="309">
        <v>0</v>
      </c>
      <c r="H139" s="309">
        <v>0</v>
      </c>
      <c r="I139" s="309">
        <v>0</v>
      </c>
      <c r="J139" s="309">
        <v>0</v>
      </c>
      <c r="K139" s="309">
        <v>0</v>
      </c>
      <c r="L139" s="317">
        <v>0</v>
      </c>
      <c r="M139" s="309">
        <v>588</v>
      </c>
      <c r="N139" s="309">
        <v>0</v>
      </c>
      <c r="O139" s="309">
        <v>0</v>
      </c>
      <c r="P139" s="309">
        <v>0</v>
      </c>
      <c r="Q139" s="309">
        <v>0</v>
      </c>
      <c r="R139" s="317">
        <v>588</v>
      </c>
      <c r="S139" s="309">
        <v>-588</v>
      </c>
    </row>
    <row r="140" spans="1:19" ht="22.5" x14ac:dyDescent="0.2">
      <c r="A140" s="305" t="s">
        <v>2301</v>
      </c>
      <c r="B140" s="306" t="s">
        <v>3943</v>
      </c>
      <c r="C140" s="307" t="s">
        <v>655</v>
      </c>
      <c r="D140" s="306" t="s">
        <v>153</v>
      </c>
      <c r="E140" s="305" t="s">
        <v>3798</v>
      </c>
      <c r="F140" s="335">
        <v>42640</v>
      </c>
      <c r="G140" s="309">
        <v>0</v>
      </c>
      <c r="H140" s="309">
        <v>0</v>
      </c>
      <c r="I140" s="309">
        <v>0</v>
      </c>
      <c r="J140" s="309">
        <v>0</v>
      </c>
      <c r="K140" s="309">
        <v>0</v>
      </c>
      <c r="L140" s="317">
        <v>0</v>
      </c>
      <c r="M140" s="309">
        <v>0</v>
      </c>
      <c r="N140" s="309">
        <v>0</v>
      </c>
      <c r="O140" s="309">
        <v>310</v>
      </c>
      <c r="P140" s="309">
        <v>0</v>
      </c>
      <c r="Q140" s="309">
        <v>0</v>
      </c>
      <c r="R140" s="317">
        <v>310</v>
      </c>
      <c r="S140" s="309">
        <v>-310</v>
      </c>
    </row>
    <row r="141" spans="1:19" ht="33.75" x14ac:dyDescent="0.2">
      <c r="A141" s="305" t="s">
        <v>2636</v>
      </c>
      <c r="B141" s="306" t="s">
        <v>3948</v>
      </c>
      <c r="C141" s="307" t="s">
        <v>2637</v>
      </c>
      <c r="D141" s="306" t="s">
        <v>153</v>
      </c>
      <c r="E141" s="305" t="s">
        <v>3798</v>
      </c>
      <c r="F141" s="335">
        <v>43144</v>
      </c>
      <c r="G141" s="309">
        <v>0</v>
      </c>
      <c r="H141" s="309">
        <v>50</v>
      </c>
      <c r="I141" s="309">
        <v>0</v>
      </c>
      <c r="J141" s="309">
        <v>0</v>
      </c>
      <c r="K141" s="309">
        <v>0</v>
      </c>
      <c r="L141" s="317">
        <v>50</v>
      </c>
      <c r="M141" s="309">
        <v>51</v>
      </c>
      <c r="N141" s="309">
        <v>50</v>
      </c>
      <c r="O141" s="309">
        <v>0</v>
      </c>
      <c r="P141" s="309">
        <v>0</v>
      </c>
      <c r="Q141" s="309">
        <v>0</v>
      </c>
      <c r="R141" s="317">
        <v>101</v>
      </c>
      <c r="S141" s="309">
        <v>-51</v>
      </c>
    </row>
    <row r="142" spans="1:19" ht="22.5" x14ac:dyDescent="0.2">
      <c r="A142" s="305" t="s">
        <v>1418</v>
      </c>
      <c r="B142" s="306" t="s">
        <v>3941</v>
      </c>
      <c r="C142" s="307" t="s">
        <v>268</v>
      </c>
      <c r="D142" s="306" t="s">
        <v>153</v>
      </c>
      <c r="E142" s="305" t="s">
        <v>3798</v>
      </c>
      <c r="F142" s="335">
        <v>42195</v>
      </c>
      <c r="G142" s="309">
        <v>103</v>
      </c>
      <c r="H142" s="309">
        <v>0</v>
      </c>
      <c r="I142" s="309">
        <v>0</v>
      </c>
      <c r="J142" s="309">
        <v>0</v>
      </c>
      <c r="K142" s="309">
        <v>0</v>
      </c>
      <c r="L142" s="317">
        <v>103</v>
      </c>
      <c r="M142" s="309">
        <v>139</v>
      </c>
      <c r="N142" s="309">
        <v>0</v>
      </c>
      <c r="O142" s="309">
        <v>0</v>
      </c>
      <c r="P142" s="309">
        <v>0</v>
      </c>
      <c r="Q142" s="309">
        <v>0</v>
      </c>
      <c r="R142" s="317">
        <v>139</v>
      </c>
      <c r="S142" s="309">
        <v>-36</v>
      </c>
    </row>
    <row r="143" spans="1:19" x14ac:dyDescent="0.2">
      <c r="A143" s="328" t="s">
        <v>95</v>
      </c>
      <c r="B143" s="329"/>
      <c r="C143" s="330"/>
      <c r="D143" s="329"/>
      <c r="E143" s="328"/>
      <c r="F143" s="349"/>
      <c r="G143" s="333">
        <v>18351</v>
      </c>
      <c r="H143" s="333">
        <v>9997</v>
      </c>
      <c r="I143" s="333">
        <v>9331</v>
      </c>
      <c r="J143" s="333">
        <v>8293</v>
      </c>
      <c r="K143" s="333">
        <v>4151</v>
      </c>
      <c r="L143" s="334">
        <v>50123</v>
      </c>
      <c r="M143" s="333">
        <v>17706</v>
      </c>
      <c r="N143" s="333">
        <v>2052</v>
      </c>
      <c r="O143" s="333">
        <v>2809</v>
      </c>
      <c r="P143" s="333">
        <v>6147</v>
      </c>
      <c r="Q143" s="333">
        <v>134</v>
      </c>
      <c r="R143" s="334">
        <v>28848</v>
      </c>
      <c r="S143" s="333">
        <v>21275</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41"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S143"/>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2937</v>
      </c>
    </row>
    <row r="2" spans="1:19" x14ac:dyDescent="0.2">
      <c r="A2" s="77" t="s">
        <v>2940</v>
      </c>
      <c r="B2" s="446" t="s">
        <v>3972</v>
      </c>
    </row>
    <row r="3" spans="1:19" x14ac:dyDescent="0.2">
      <c r="A3" s="77" t="s">
        <v>2941</v>
      </c>
      <c r="B3" s="446" t="s">
        <v>429</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2288</v>
      </c>
      <c r="B7" s="446" t="s">
        <v>3951</v>
      </c>
      <c r="C7" s="446" t="s">
        <v>898</v>
      </c>
      <c r="D7" s="446" t="s">
        <v>153</v>
      </c>
      <c r="E7" s="446" t="s">
        <v>3798</v>
      </c>
      <c r="F7" s="298">
        <v>42586</v>
      </c>
      <c r="G7" s="74">
        <v>82</v>
      </c>
      <c r="H7" s="74">
        <v>0</v>
      </c>
      <c r="I7" s="74">
        <v>0</v>
      </c>
      <c r="J7" s="74">
        <v>0</v>
      </c>
      <c r="K7" s="74">
        <v>0</v>
      </c>
      <c r="L7" s="74">
        <v>82</v>
      </c>
      <c r="M7" s="74">
        <v>72</v>
      </c>
      <c r="N7" s="74">
        <v>0</v>
      </c>
      <c r="O7" s="74">
        <v>0</v>
      </c>
      <c r="P7" s="74">
        <v>0</v>
      </c>
      <c r="Q7" s="74">
        <v>0</v>
      </c>
      <c r="R7" s="74">
        <v>72</v>
      </c>
      <c r="S7" s="74">
        <v>10</v>
      </c>
    </row>
    <row r="8" spans="1:19" x14ac:dyDescent="0.2">
      <c r="A8" s="446" t="s">
        <v>1798</v>
      </c>
      <c r="B8" s="446" t="s">
        <v>3942</v>
      </c>
      <c r="C8" s="446" t="s">
        <v>900</v>
      </c>
      <c r="D8" s="446" t="s">
        <v>153</v>
      </c>
      <c r="E8" s="446" t="s">
        <v>3798</v>
      </c>
      <c r="F8" s="298">
        <v>42585</v>
      </c>
      <c r="G8" s="74">
        <v>0</v>
      </c>
      <c r="H8" s="74">
        <v>17</v>
      </c>
      <c r="I8" s="74">
        <v>0</v>
      </c>
      <c r="J8" s="74">
        <v>0</v>
      </c>
      <c r="K8" s="74">
        <v>0</v>
      </c>
      <c r="L8" s="74">
        <v>17</v>
      </c>
      <c r="M8" s="74">
        <v>0</v>
      </c>
      <c r="N8" s="74">
        <v>0</v>
      </c>
      <c r="O8" s="74">
        <v>0</v>
      </c>
      <c r="P8" s="74">
        <v>0</v>
      </c>
      <c r="Q8" s="74">
        <v>0</v>
      </c>
      <c r="R8" s="74">
        <v>0</v>
      </c>
      <c r="S8" s="74">
        <v>17</v>
      </c>
    </row>
    <row r="9" spans="1:19" x14ac:dyDescent="0.2">
      <c r="A9" s="446" t="s">
        <v>2705</v>
      </c>
      <c r="B9" s="446" t="s">
        <v>3944</v>
      </c>
      <c r="C9" s="446" t="s">
        <v>2706</v>
      </c>
      <c r="D9" s="446" t="s">
        <v>153</v>
      </c>
      <c r="E9" s="446" t="s">
        <v>3798</v>
      </c>
      <c r="F9" s="298">
        <v>43179</v>
      </c>
      <c r="G9" s="74">
        <v>16</v>
      </c>
      <c r="H9" s="74">
        <v>16</v>
      </c>
      <c r="I9" s="74">
        <v>0</v>
      </c>
      <c r="J9" s="74">
        <v>0</v>
      </c>
      <c r="K9" s="74">
        <v>0</v>
      </c>
      <c r="L9" s="74">
        <v>32</v>
      </c>
      <c r="M9" s="74">
        <v>0</v>
      </c>
      <c r="N9" s="74">
        <v>64</v>
      </c>
      <c r="O9" s="74">
        <v>0</v>
      </c>
      <c r="P9" s="74">
        <v>0</v>
      </c>
      <c r="Q9" s="74">
        <v>0</v>
      </c>
      <c r="R9" s="74">
        <v>64</v>
      </c>
      <c r="S9" s="74">
        <v>-32</v>
      </c>
    </row>
    <row r="10" spans="1:19" x14ac:dyDescent="0.2">
      <c r="A10" s="446" t="s">
        <v>2060</v>
      </c>
      <c r="B10" s="446" t="s">
        <v>3950</v>
      </c>
      <c r="C10" s="446" t="s">
        <v>339</v>
      </c>
      <c r="D10" s="446" t="s">
        <v>153</v>
      </c>
      <c r="E10" s="446" t="s">
        <v>3798</v>
      </c>
      <c r="F10" s="298">
        <v>41982</v>
      </c>
      <c r="G10" s="74">
        <v>0</v>
      </c>
      <c r="H10" s="74">
        <v>0</v>
      </c>
      <c r="I10" s="74">
        <v>0</v>
      </c>
      <c r="J10" s="74">
        <v>0</v>
      </c>
      <c r="K10" s="74">
        <v>0</v>
      </c>
      <c r="L10" s="74">
        <v>0</v>
      </c>
      <c r="M10" s="74">
        <v>51</v>
      </c>
      <c r="N10" s="74">
        <v>0</v>
      </c>
      <c r="O10" s="74">
        <v>0</v>
      </c>
      <c r="P10" s="74">
        <v>0</v>
      </c>
      <c r="Q10" s="74">
        <v>0</v>
      </c>
      <c r="R10" s="74">
        <v>51</v>
      </c>
      <c r="S10" s="74">
        <v>-51</v>
      </c>
    </row>
    <row r="11" spans="1:19" x14ac:dyDescent="0.2">
      <c r="A11" s="446" t="s">
        <v>2063</v>
      </c>
      <c r="B11" s="446" t="s">
        <v>3946</v>
      </c>
      <c r="C11" s="446" t="s">
        <v>453</v>
      </c>
      <c r="D11" s="446" t="s">
        <v>153</v>
      </c>
      <c r="E11" s="446" t="s">
        <v>3798</v>
      </c>
      <c r="F11" s="298">
        <v>42236</v>
      </c>
      <c r="G11" s="74">
        <v>138</v>
      </c>
      <c r="H11" s="74">
        <v>0</v>
      </c>
      <c r="I11" s="74">
        <v>0</v>
      </c>
      <c r="J11" s="74">
        <v>0</v>
      </c>
      <c r="K11" s="74">
        <v>0</v>
      </c>
      <c r="L11" s="74">
        <v>138</v>
      </c>
      <c r="M11" s="74">
        <v>130</v>
      </c>
      <c r="N11" s="74">
        <v>0</v>
      </c>
      <c r="O11" s="74">
        <v>0</v>
      </c>
      <c r="P11" s="74">
        <v>0</v>
      </c>
      <c r="Q11" s="74">
        <v>0</v>
      </c>
      <c r="R11" s="74">
        <v>130</v>
      </c>
      <c r="S11" s="74">
        <v>8</v>
      </c>
    </row>
    <row r="12" spans="1:19" x14ac:dyDescent="0.2">
      <c r="A12" s="446" t="s">
        <v>2598</v>
      </c>
      <c r="B12" s="446" t="s">
        <v>3946</v>
      </c>
      <c r="C12" s="446" t="s">
        <v>2599</v>
      </c>
      <c r="D12" s="446" t="s">
        <v>153</v>
      </c>
      <c r="E12" s="446" t="s">
        <v>3798</v>
      </c>
      <c r="F12" s="298">
        <v>43188</v>
      </c>
      <c r="G12" s="74">
        <v>138</v>
      </c>
      <c r="H12" s="74">
        <v>0</v>
      </c>
      <c r="I12" s="74">
        <v>0</v>
      </c>
      <c r="J12" s="74">
        <v>0</v>
      </c>
      <c r="K12" s="74">
        <v>0</v>
      </c>
      <c r="L12" s="74">
        <v>138</v>
      </c>
      <c r="M12" s="74">
        <v>61</v>
      </c>
      <c r="N12" s="74">
        <v>0</v>
      </c>
      <c r="O12" s="74">
        <v>41</v>
      </c>
      <c r="P12" s="74">
        <v>0</v>
      </c>
      <c r="Q12" s="74">
        <v>0</v>
      </c>
      <c r="R12" s="74">
        <v>102</v>
      </c>
      <c r="S12" s="74">
        <v>36</v>
      </c>
    </row>
    <row r="13" spans="1:19" x14ac:dyDescent="0.2">
      <c r="A13" s="446" t="s">
        <v>1838</v>
      </c>
      <c r="B13" s="446" t="s">
        <v>3946</v>
      </c>
      <c r="C13" s="446" t="s">
        <v>1288</v>
      </c>
      <c r="D13" s="446" t="s">
        <v>153</v>
      </c>
      <c r="E13" s="446" t="s">
        <v>3798</v>
      </c>
      <c r="F13" s="298">
        <v>42912</v>
      </c>
      <c r="G13" s="74">
        <v>44</v>
      </c>
      <c r="H13" s="74">
        <v>0</v>
      </c>
      <c r="I13" s="74">
        <v>0</v>
      </c>
      <c r="J13" s="74">
        <v>0</v>
      </c>
      <c r="K13" s="74">
        <v>0</v>
      </c>
      <c r="L13" s="74">
        <v>44</v>
      </c>
      <c r="M13" s="74">
        <v>84</v>
      </c>
      <c r="N13" s="74">
        <v>0</v>
      </c>
      <c r="O13" s="74">
        <v>0</v>
      </c>
      <c r="P13" s="74">
        <v>0</v>
      </c>
      <c r="Q13" s="74">
        <v>0</v>
      </c>
      <c r="R13" s="74">
        <v>84</v>
      </c>
      <c r="S13" s="74">
        <v>-40</v>
      </c>
    </row>
    <row r="14" spans="1:19" x14ac:dyDescent="0.2">
      <c r="A14" s="446" t="s">
        <v>2630</v>
      </c>
      <c r="B14" s="446" t="s">
        <v>3946</v>
      </c>
      <c r="C14" s="446" t="s">
        <v>2631</v>
      </c>
      <c r="D14" s="446" t="s">
        <v>153</v>
      </c>
      <c r="E14" s="446" t="s">
        <v>3798</v>
      </c>
      <c r="F14" s="298">
        <v>43112</v>
      </c>
      <c r="G14" s="74">
        <v>1396</v>
      </c>
      <c r="H14" s="74">
        <v>0</v>
      </c>
      <c r="I14" s="74">
        <v>0</v>
      </c>
      <c r="J14" s="74">
        <v>0</v>
      </c>
      <c r="K14" s="74">
        <v>0</v>
      </c>
      <c r="L14" s="74">
        <v>1396</v>
      </c>
      <c r="M14" s="74">
        <v>0</v>
      </c>
      <c r="N14" s="74">
        <v>0</v>
      </c>
      <c r="O14" s="74">
        <v>0</v>
      </c>
      <c r="P14" s="74">
        <v>0</v>
      </c>
      <c r="Q14" s="74">
        <v>0</v>
      </c>
      <c r="R14" s="74">
        <v>0</v>
      </c>
      <c r="S14" s="74">
        <v>1396</v>
      </c>
    </row>
    <row r="15" spans="1:19" x14ac:dyDescent="0.2">
      <c r="A15" s="446" t="s">
        <v>1329</v>
      </c>
      <c r="B15" s="446" t="s">
        <v>3943</v>
      </c>
      <c r="C15" s="446" t="s">
        <v>1331</v>
      </c>
      <c r="D15" s="446" t="s">
        <v>153</v>
      </c>
      <c r="E15" s="446" t="s">
        <v>3798</v>
      </c>
      <c r="F15" s="298">
        <v>43034</v>
      </c>
      <c r="G15" s="74">
        <v>0</v>
      </c>
      <c r="H15" s="74">
        <v>0</v>
      </c>
      <c r="I15" s="74">
        <v>146</v>
      </c>
      <c r="J15" s="74">
        <v>145</v>
      </c>
      <c r="K15" s="74">
        <v>0</v>
      </c>
      <c r="L15" s="74">
        <v>291</v>
      </c>
      <c r="M15" s="74">
        <v>0</v>
      </c>
      <c r="N15" s="74">
        <v>0</v>
      </c>
      <c r="O15" s="74">
        <v>385</v>
      </c>
      <c r="P15" s="74">
        <v>295</v>
      </c>
      <c r="Q15" s="74">
        <v>0</v>
      </c>
      <c r="R15" s="74">
        <v>680</v>
      </c>
      <c r="S15" s="74">
        <v>-389</v>
      </c>
    </row>
    <row r="16" spans="1:19" x14ac:dyDescent="0.2">
      <c r="A16" s="446" t="s">
        <v>1559</v>
      </c>
      <c r="B16" s="446" t="s">
        <v>3944</v>
      </c>
      <c r="C16" s="446" t="s">
        <v>1560</v>
      </c>
      <c r="D16" s="446" t="s">
        <v>153</v>
      </c>
      <c r="E16" s="446" t="s">
        <v>3798</v>
      </c>
      <c r="F16" s="298">
        <v>43182</v>
      </c>
      <c r="G16" s="74">
        <v>13</v>
      </c>
      <c r="H16" s="74">
        <v>13</v>
      </c>
      <c r="I16" s="74">
        <v>13</v>
      </c>
      <c r="J16" s="74">
        <v>13</v>
      </c>
      <c r="K16" s="74">
        <v>14</v>
      </c>
      <c r="L16" s="74">
        <v>66</v>
      </c>
      <c r="M16" s="74">
        <v>0</v>
      </c>
      <c r="N16" s="74">
        <v>0</v>
      </c>
      <c r="O16" s="74">
        <v>198</v>
      </c>
      <c r="P16" s="74">
        <v>0</v>
      </c>
      <c r="Q16" s="74">
        <v>0</v>
      </c>
      <c r="R16" s="74">
        <v>198</v>
      </c>
      <c r="S16" s="74">
        <v>-132</v>
      </c>
    </row>
    <row r="17" spans="1:19" x14ac:dyDescent="0.2">
      <c r="A17" s="446" t="s">
        <v>2042</v>
      </c>
      <c r="B17" s="446" t="s">
        <v>2907</v>
      </c>
      <c r="C17" s="446" t="s">
        <v>2043</v>
      </c>
      <c r="D17" s="446" t="s">
        <v>153</v>
      </c>
      <c r="E17" s="446" t="s">
        <v>3798</v>
      </c>
      <c r="F17" s="298">
        <v>43041</v>
      </c>
      <c r="G17" s="74">
        <v>76</v>
      </c>
      <c r="H17" s="74">
        <v>0</v>
      </c>
      <c r="I17" s="74">
        <v>0</v>
      </c>
      <c r="J17" s="74">
        <v>0</v>
      </c>
      <c r="K17" s="74">
        <v>0</v>
      </c>
      <c r="L17" s="74">
        <v>76</v>
      </c>
      <c r="M17" s="74">
        <v>70</v>
      </c>
      <c r="N17" s="74">
        <v>0</v>
      </c>
      <c r="O17" s="74">
        <v>0</v>
      </c>
      <c r="P17" s="74">
        <v>0</v>
      </c>
      <c r="Q17" s="74">
        <v>0</v>
      </c>
      <c r="R17" s="74">
        <v>70</v>
      </c>
      <c r="S17" s="74">
        <v>6</v>
      </c>
    </row>
    <row r="18" spans="1:19" x14ac:dyDescent="0.2">
      <c r="A18" s="446" t="s">
        <v>1960</v>
      </c>
      <c r="B18" s="446" t="s">
        <v>3946</v>
      </c>
      <c r="C18" s="446" t="s">
        <v>1170</v>
      </c>
      <c r="D18" s="446" t="s">
        <v>153</v>
      </c>
      <c r="E18" s="446" t="s">
        <v>3798</v>
      </c>
      <c r="F18" s="298">
        <v>42767</v>
      </c>
      <c r="G18" s="74">
        <v>0</v>
      </c>
      <c r="H18" s="74">
        <v>0</v>
      </c>
      <c r="I18" s="74">
        <v>0</v>
      </c>
      <c r="J18" s="74">
        <v>0</v>
      </c>
      <c r="K18" s="74">
        <v>0</v>
      </c>
      <c r="L18" s="74">
        <v>0</v>
      </c>
      <c r="M18" s="74">
        <v>48</v>
      </c>
      <c r="N18" s="74">
        <v>0</v>
      </c>
      <c r="O18" s="74">
        <v>0</v>
      </c>
      <c r="P18" s="74">
        <v>0</v>
      </c>
      <c r="Q18" s="74">
        <v>0</v>
      </c>
      <c r="R18" s="74">
        <v>48</v>
      </c>
      <c r="S18" s="74">
        <v>-48</v>
      </c>
    </row>
    <row r="19" spans="1:19" x14ac:dyDescent="0.2">
      <c r="A19" s="446" t="s">
        <v>1810</v>
      </c>
      <c r="B19" s="446" t="s">
        <v>2907</v>
      </c>
      <c r="C19" s="446" t="s">
        <v>1811</v>
      </c>
      <c r="D19" s="446" t="s">
        <v>153</v>
      </c>
      <c r="E19" s="446" t="s">
        <v>3798</v>
      </c>
      <c r="F19" s="298">
        <v>43033</v>
      </c>
      <c r="G19" s="74">
        <v>97</v>
      </c>
      <c r="H19" s="74">
        <v>0</v>
      </c>
      <c r="I19" s="74">
        <v>0</v>
      </c>
      <c r="J19" s="74">
        <v>0</v>
      </c>
      <c r="K19" s="74">
        <v>0</v>
      </c>
      <c r="L19" s="74">
        <v>97</v>
      </c>
      <c r="M19" s="74">
        <v>117</v>
      </c>
      <c r="N19" s="74">
        <v>0</v>
      </c>
      <c r="O19" s="74">
        <v>0</v>
      </c>
      <c r="P19" s="74">
        <v>0</v>
      </c>
      <c r="Q19" s="74">
        <v>0</v>
      </c>
      <c r="R19" s="74">
        <v>117</v>
      </c>
      <c r="S19" s="74">
        <v>-20</v>
      </c>
    </row>
    <row r="20" spans="1:19" x14ac:dyDescent="0.2">
      <c r="A20" s="446" t="s">
        <v>2226</v>
      </c>
      <c r="B20" s="446" t="s">
        <v>3949</v>
      </c>
      <c r="C20" s="446" t="s">
        <v>849</v>
      </c>
      <c r="D20" s="446" t="s">
        <v>153</v>
      </c>
      <c r="E20" s="446" t="s">
        <v>3798</v>
      </c>
      <c r="F20" s="298">
        <v>42641</v>
      </c>
      <c r="G20" s="74">
        <v>0</v>
      </c>
      <c r="H20" s="74">
        <v>0</v>
      </c>
      <c r="I20" s="74">
        <v>0</v>
      </c>
      <c r="J20" s="74">
        <v>0</v>
      </c>
      <c r="K20" s="74">
        <v>0</v>
      </c>
      <c r="L20" s="74">
        <v>0</v>
      </c>
      <c r="M20" s="74">
        <v>0</v>
      </c>
      <c r="N20" s="74">
        <v>120</v>
      </c>
      <c r="O20" s="74">
        <v>0</v>
      </c>
      <c r="P20" s="74">
        <v>0</v>
      </c>
      <c r="Q20" s="74">
        <v>0</v>
      </c>
      <c r="R20" s="74">
        <v>120</v>
      </c>
      <c r="S20" s="74">
        <v>-120</v>
      </c>
    </row>
    <row r="21" spans="1:19" x14ac:dyDescent="0.2">
      <c r="A21" s="446" t="s">
        <v>2319</v>
      </c>
      <c r="B21" s="446" t="s">
        <v>3948</v>
      </c>
      <c r="C21" s="446" t="s">
        <v>1304</v>
      </c>
      <c r="D21" s="446" t="s">
        <v>153</v>
      </c>
      <c r="E21" s="446" t="s">
        <v>3798</v>
      </c>
      <c r="F21" s="298">
        <v>42790</v>
      </c>
      <c r="G21" s="74">
        <v>669</v>
      </c>
      <c r="H21" s="74">
        <v>0</v>
      </c>
      <c r="I21" s="74">
        <v>0</v>
      </c>
      <c r="J21" s="74">
        <v>0</v>
      </c>
      <c r="K21" s="74">
        <v>0</v>
      </c>
      <c r="L21" s="74">
        <v>669</v>
      </c>
      <c r="M21" s="74">
        <v>331</v>
      </c>
      <c r="N21" s="74">
        <v>64</v>
      </c>
      <c r="O21" s="74">
        <v>0</v>
      </c>
      <c r="P21" s="74">
        <v>0</v>
      </c>
      <c r="Q21" s="74">
        <v>0</v>
      </c>
      <c r="R21" s="74">
        <v>395</v>
      </c>
      <c r="S21" s="74">
        <v>274</v>
      </c>
    </row>
    <row r="22" spans="1:19" x14ac:dyDescent="0.2">
      <c r="A22" s="446" t="s">
        <v>1969</v>
      </c>
      <c r="B22" s="446" t="s">
        <v>150</v>
      </c>
      <c r="C22" s="446" t="s">
        <v>234</v>
      </c>
      <c r="D22" s="446" t="s">
        <v>153</v>
      </c>
      <c r="E22" s="446" t="s">
        <v>3798</v>
      </c>
      <c r="F22" s="298">
        <v>41408</v>
      </c>
      <c r="G22" s="74">
        <v>0</v>
      </c>
      <c r="H22" s="74">
        <v>30</v>
      </c>
      <c r="I22" s="74">
        <v>0</v>
      </c>
      <c r="J22" s="74">
        <v>0</v>
      </c>
      <c r="K22" s="74">
        <v>0</v>
      </c>
      <c r="L22" s="74">
        <v>30</v>
      </c>
      <c r="M22" s="74">
        <v>30</v>
      </c>
      <c r="N22" s="74">
        <v>0</v>
      </c>
      <c r="O22" s="74">
        <v>0</v>
      </c>
      <c r="P22" s="74">
        <v>0</v>
      </c>
      <c r="Q22" s="74">
        <v>0</v>
      </c>
      <c r="R22" s="74">
        <v>30</v>
      </c>
      <c r="S22" s="74">
        <v>0</v>
      </c>
    </row>
    <row r="23" spans="1:19" x14ac:dyDescent="0.2">
      <c r="A23" s="446" t="s">
        <v>2454</v>
      </c>
      <c r="B23" s="446" t="s">
        <v>3952</v>
      </c>
      <c r="C23" s="446" t="s">
        <v>2455</v>
      </c>
      <c r="D23" s="446" t="s">
        <v>153</v>
      </c>
      <c r="E23" s="446" t="s">
        <v>3798</v>
      </c>
      <c r="F23" s="298">
        <v>43073</v>
      </c>
      <c r="G23" s="74">
        <v>0</v>
      </c>
      <c r="H23" s="74">
        <v>0</v>
      </c>
      <c r="I23" s="74">
        <v>119</v>
      </c>
      <c r="J23" s="74">
        <v>0</v>
      </c>
      <c r="K23" s="74">
        <v>0</v>
      </c>
      <c r="L23" s="74">
        <v>119</v>
      </c>
      <c r="M23" s="74">
        <v>119</v>
      </c>
      <c r="N23" s="74">
        <v>0</v>
      </c>
      <c r="O23" s="74">
        <v>0</v>
      </c>
      <c r="P23" s="74">
        <v>0</v>
      </c>
      <c r="Q23" s="74">
        <v>0</v>
      </c>
      <c r="R23" s="74">
        <v>119</v>
      </c>
      <c r="S23" s="74">
        <v>0</v>
      </c>
    </row>
    <row r="24" spans="1:19" x14ac:dyDescent="0.2">
      <c r="A24" s="446" t="s">
        <v>1970</v>
      </c>
      <c r="B24" s="446" t="s">
        <v>150</v>
      </c>
      <c r="C24" s="446" t="s">
        <v>236</v>
      </c>
      <c r="D24" s="446" t="s">
        <v>153</v>
      </c>
      <c r="E24" s="446" t="s">
        <v>3798</v>
      </c>
      <c r="F24" s="298">
        <v>41516</v>
      </c>
      <c r="G24" s="74">
        <v>0</v>
      </c>
      <c r="H24" s="74">
        <v>0</v>
      </c>
      <c r="I24" s="74">
        <v>0</v>
      </c>
      <c r="J24" s="74">
        <v>0</v>
      </c>
      <c r="K24" s="74">
        <v>65</v>
      </c>
      <c r="L24" s="74">
        <v>65</v>
      </c>
      <c r="M24" s="74">
        <v>65</v>
      </c>
      <c r="N24" s="74">
        <v>0</v>
      </c>
      <c r="O24" s="74">
        <v>0</v>
      </c>
      <c r="P24" s="74">
        <v>0</v>
      </c>
      <c r="Q24" s="74">
        <v>0</v>
      </c>
      <c r="R24" s="74">
        <v>65</v>
      </c>
      <c r="S24" s="74">
        <v>0</v>
      </c>
    </row>
    <row r="25" spans="1:19" x14ac:dyDescent="0.2">
      <c r="A25" s="446" t="s">
        <v>2401</v>
      </c>
      <c r="B25" s="446" t="s">
        <v>3946</v>
      </c>
      <c r="C25" s="446" t="s">
        <v>1270</v>
      </c>
      <c r="D25" s="446" t="s">
        <v>153</v>
      </c>
      <c r="E25" s="446" t="s">
        <v>3798</v>
      </c>
      <c r="F25" s="298">
        <v>42837</v>
      </c>
      <c r="G25" s="74">
        <v>61</v>
      </c>
      <c r="H25" s="74">
        <v>0</v>
      </c>
      <c r="I25" s="74">
        <v>0</v>
      </c>
      <c r="J25" s="74">
        <v>0</v>
      </c>
      <c r="K25" s="74">
        <v>0</v>
      </c>
      <c r="L25" s="74">
        <v>61</v>
      </c>
      <c r="M25" s="74">
        <v>30</v>
      </c>
      <c r="N25" s="74">
        <v>0</v>
      </c>
      <c r="O25" s="74">
        <v>31</v>
      </c>
      <c r="P25" s="74">
        <v>0</v>
      </c>
      <c r="Q25" s="74">
        <v>0</v>
      </c>
      <c r="R25" s="74">
        <v>61</v>
      </c>
      <c r="S25" s="74">
        <v>0</v>
      </c>
    </row>
    <row r="26" spans="1:19" x14ac:dyDescent="0.2">
      <c r="A26" s="446" t="s">
        <v>2308</v>
      </c>
      <c r="B26" s="446" t="s">
        <v>149</v>
      </c>
      <c r="C26" s="446" t="s">
        <v>1147</v>
      </c>
      <c r="D26" s="446" t="s">
        <v>153</v>
      </c>
      <c r="E26" s="446" t="s">
        <v>3798</v>
      </c>
      <c r="F26" s="298">
        <v>42753</v>
      </c>
      <c r="G26" s="74">
        <v>830</v>
      </c>
      <c r="H26" s="74">
        <v>0</v>
      </c>
      <c r="I26" s="74">
        <v>0</v>
      </c>
      <c r="J26" s="74">
        <v>0</v>
      </c>
      <c r="K26" s="74">
        <v>0</v>
      </c>
      <c r="L26" s="74">
        <v>830</v>
      </c>
      <c r="M26" s="74">
        <v>1212</v>
      </c>
      <c r="N26" s="74">
        <v>0</v>
      </c>
      <c r="O26" s="74">
        <v>0</v>
      </c>
      <c r="P26" s="74">
        <v>0</v>
      </c>
      <c r="Q26" s="74">
        <v>0</v>
      </c>
      <c r="R26" s="74">
        <v>1212</v>
      </c>
      <c r="S26" s="74">
        <v>-382</v>
      </c>
    </row>
    <row r="27" spans="1:19" x14ac:dyDescent="0.2">
      <c r="A27" s="446" t="s">
        <v>2064</v>
      </c>
      <c r="B27" s="446" t="s">
        <v>3948</v>
      </c>
      <c r="C27" s="446" t="s">
        <v>668</v>
      </c>
      <c r="D27" s="446" t="s">
        <v>153</v>
      </c>
      <c r="E27" s="446" t="s">
        <v>3798</v>
      </c>
      <c r="F27" s="298">
        <v>42723</v>
      </c>
      <c r="G27" s="74">
        <v>0</v>
      </c>
      <c r="H27" s="74">
        <v>0</v>
      </c>
      <c r="I27" s="74">
        <v>0</v>
      </c>
      <c r="J27" s="74">
        <v>0</v>
      </c>
      <c r="K27" s="74">
        <v>83</v>
      </c>
      <c r="L27" s="74">
        <v>83</v>
      </c>
      <c r="M27" s="74">
        <v>0</v>
      </c>
      <c r="N27" s="74">
        <v>0</v>
      </c>
      <c r="O27" s="74">
        <v>0</v>
      </c>
      <c r="P27" s="74">
        <v>0</v>
      </c>
      <c r="Q27" s="74">
        <v>97</v>
      </c>
      <c r="R27" s="74">
        <v>97</v>
      </c>
      <c r="S27" s="74">
        <v>-14</v>
      </c>
    </row>
    <row r="28" spans="1:19" x14ac:dyDescent="0.2">
      <c r="A28" s="446" t="s">
        <v>1372</v>
      </c>
      <c r="B28" s="446" t="s">
        <v>3944</v>
      </c>
      <c r="C28" s="446" t="s">
        <v>240</v>
      </c>
      <c r="D28" s="446" t="s">
        <v>153</v>
      </c>
      <c r="E28" s="446" t="s">
        <v>3798</v>
      </c>
      <c r="F28" s="298">
        <v>41530</v>
      </c>
      <c r="G28" s="74">
        <v>38</v>
      </c>
      <c r="H28" s="74">
        <v>0</v>
      </c>
      <c r="I28" s="74">
        <v>0</v>
      </c>
      <c r="J28" s="74">
        <v>0</v>
      </c>
      <c r="K28" s="74">
        <v>0</v>
      </c>
      <c r="L28" s="74">
        <v>38</v>
      </c>
      <c r="M28" s="74">
        <v>67</v>
      </c>
      <c r="N28" s="74">
        <v>0</v>
      </c>
      <c r="O28" s="74">
        <v>0</v>
      </c>
      <c r="P28" s="74">
        <v>0</v>
      </c>
      <c r="Q28" s="74">
        <v>0</v>
      </c>
      <c r="R28" s="74">
        <v>67</v>
      </c>
      <c r="S28" s="74">
        <v>-29</v>
      </c>
    </row>
    <row r="29" spans="1:19" x14ac:dyDescent="0.2">
      <c r="A29" s="446" t="s">
        <v>1472</v>
      </c>
      <c r="B29" s="446" t="s">
        <v>2907</v>
      </c>
      <c r="C29" s="446" t="s">
        <v>1080</v>
      </c>
      <c r="D29" s="446" t="s">
        <v>153</v>
      </c>
      <c r="E29" s="446" t="s">
        <v>3798</v>
      </c>
      <c r="F29" s="298">
        <v>42713</v>
      </c>
      <c r="G29" s="74">
        <v>0</v>
      </c>
      <c r="H29" s="74">
        <v>0</v>
      </c>
      <c r="I29" s="74">
        <v>0</v>
      </c>
      <c r="J29" s="74">
        <v>0</v>
      </c>
      <c r="K29" s="74">
        <v>0</v>
      </c>
      <c r="L29" s="74">
        <v>0</v>
      </c>
      <c r="M29" s="74">
        <v>0</v>
      </c>
      <c r="N29" s="74">
        <v>0</v>
      </c>
      <c r="O29" s="74">
        <v>336</v>
      </c>
      <c r="P29" s="74">
        <v>0</v>
      </c>
      <c r="Q29" s="74">
        <v>0</v>
      </c>
      <c r="R29" s="74">
        <v>336</v>
      </c>
      <c r="S29" s="74">
        <v>-336</v>
      </c>
    </row>
    <row r="30" spans="1:19" x14ac:dyDescent="0.2">
      <c r="A30" s="446" t="s">
        <v>1443</v>
      </c>
      <c r="B30" s="446" t="s">
        <v>3945</v>
      </c>
      <c r="C30" s="446" t="s">
        <v>519</v>
      </c>
      <c r="D30" s="446" t="s">
        <v>153</v>
      </c>
      <c r="E30" s="446" t="s">
        <v>3798</v>
      </c>
      <c r="F30" s="298">
        <v>42311</v>
      </c>
      <c r="G30" s="74">
        <v>0</v>
      </c>
      <c r="H30" s="74">
        <v>0</v>
      </c>
      <c r="I30" s="74">
        <v>0</v>
      </c>
      <c r="J30" s="74">
        <v>0</v>
      </c>
      <c r="K30" s="74">
        <v>0</v>
      </c>
      <c r="L30" s="74">
        <v>0</v>
      </c>
      <c r="M30" s="74">
        <v>65</v>
      </c>
      <c r="N30" s="74">
        <v>0</v>
      </c>
      <c r="O30" s="74">
        <v>0</v>
      </c>
      <c r="P30" s="74">
        <v>0</v>
      </c>
      <c r="Q30" s="74">
        <v>0</v>
      </c>
      <c r="R30" s="74">
        <v>65</v>
      </c>
      <c r="S30" s="74">
        <v>-65</v>
      </c>
    </row>
    <row r="31" spans="1:19" x14ac:dyDescent="0.2">
      <c r="A31" s="446" t="s">
        <v>2253</v>
      </c>
      <c r="B31" s="446" t="s">
        <v>3944</v>
      </c>
      <c r="C31" s="446" t="s">
        <v>1290</v>
      </c>
      <c r="D31" s="446" t="s">
        <v>153</v>
      </c>
      <c r="E31" s="446" t="s">
        <v>3798</v>
      </c>
      <c r="F31" s="298">
        <v>43069</v>
      </c>
      <c r="G31" s="74">
        <v>72</v>
      </c>
      <c r="H31" s="74">
        <v>72</v>
      </c>
      <c r="I31" s="74">
        <v>72</v>
      </c>
      <c r="J31" s="74">
        <v>72</v>
      </c>
      <c r="K31" s="74">
        <v>0</v>
      </c>
      <c r="L31" s="74">
        <v>288</v>
      </c>
      <c r="M31" s="74">
        <v>0</v>
      </c>
      <c r="N31" s="74">
        <v>0</v>
      </c>
      <c r="O31" s="74">
        <v>0</v>
      </c>
      <c r="P31" s="74">
        <v>0</v>
      </c>
      <c r="Q31" s="74">
        <v>0</v>
      </c>
      <c r="R31" s="74">
        <v>0</v>
      </c>
      <c r="S31" s="74">
        <v>288</v>
      </c>
    </row>
    <row r="32" spans="1:19" x14ac:dyDescent="0.2">
      <c r="A32" s="446" t="s">
        <v>1844</v>
      </c>
      <c r="B32" s="446" t="s">
        <v>3951</v>
      </c>
      <c r="C32" s="446" t="s">
        <v>327</v>
      </c>
      <c r="D32" s="446" t="s">
        <v>153</v>
      </c>
      <c r="E32" s="446" t="s">
        <v>3798</v>
      </c>
      <c r="F32" s="298">
        <v>42594</v>
      </c>
      <c r="G32" s="74">
        <v>704</v>
      </c>
      <c r="H32" s="74">
        <v>0</v>
      </c>
      <c r="I32" s="74">
        <v>0</v>
      </c>
      <c r="J32" s="74">
        <v>0</v>
      </c>
      <c r="K32" s="74">
        <v>0</v>
      </c>
      <c r="L32" s="74">
        <v>704</v>
      </c>
      <c r="M32" s="74">
        <v>2040</v>
      </c>
      <c r="N32" s="74">
        <v>0</v>
      </c>
      <c r="O32" s="74">
        <v>0</v>
      </c>
      <c r="P32" s="74">
        <v>0</v>
      </c>
      <c r="Q32" s="74">
        <v>0</v>
      </c>
      <c r="R32" s="74">
        <v>2040</v>
      </c>
      <c r="S32" s="74">
        <v>-1336</v>
      </c>
    </row>
    <row r="33" spans="1:19" x14ac:dyDescent="0.2">
      <c r="A33" s="446" t="s">
        <v>2110</v>
      </c>
      <c r="B33" s="446" t="s">
        <v>3946</v>
      </c>
      <c r="C33" s="446" t="s">
        <v>275</v>
      </c>
      <c r="D33" s="446" t="s">
        <v>153</v>
      </c>
      <c r="E33" s="446" t="s">
        <v>3798</v>
      </c>
      <c r="F33" s="298">
        <v>42146</v>
      </c>
      <c r="G33" s="74">
        <v>26</v>
      </c>
      <c r="H33" s="74">
        <v>30</v>
      </c>
      <c r="I33" s="74">
        <v>0</v>
      </c>
      <c r="J33" s="74">
        <v>0</v>
      </c>
      <c r="K33" s="74">
        <v>0</v>
      </c>
      <c r="L33" s="74">
        <v>56</v>
      </c>
      <c r="M33" s="74">
        <v>0</v>
      </c>
      <c r="N33" s="74">
        <v>0</v>
      </c>
      <c r="O33" s="74">
        <v>136</v>
      </c>
      <c r="P33" s="74">
        <v>0</v>
      </c>
      <c r="Q33" s="74">
        <v>0</v>
      </c>
      <c r="R33" s="74">
        <v>136</v>
      </c>
      <c r="S33" s="74">
        <v>-80</v>
      </c>
    </row>
    <row r="34" spans="1:19" x14ac:dyDescent="0.2">
      <c r="A34" s="446" t="s">
        <v>1925</v>
      </c>
      <c r="B34" s="446" t="s">
        <v>149</v>
      </c>
      <c r="C34" s="446" t="s">
        <v>491</v>
      </c>
      <c r="D34" s="446" t="s">
        <v>153</v>
      </c>
      <c r="E34" s="446" t="s">
        <v>3798</v>
      </c>
      <c r="F34" s="298">
        <v>42240</v>
      </c>
      <c r="G34" s="74">
        <v>0</v>
      </c>
      <c r="H34" s="74">
        <v>0</v>
      </c>
      <c r="I34" s="74">
        <v>0</v>
      </c>
      <c r="J34" s="74">
        <v>0</v>
      </c>
      <c r="K34" s="74">
        <v>0</v>
      </c>
      <c r="L34" s="74">
        <v>0</v>
      </c>
      <c r="M34" s="74">
        <v>26</v>
      </c>
      <c r="N34" s="74">
        <v>0</v>
      </c>
      <c r="O34" s="74">
        <v>0</v>
      </c>
      <c r="P34" s="74">
        <v>0</v>
      </c>
      <c r="Q34" s="74">
        <v>0</v>
      </c>
      <c r="R34" s="74">
        <v>26</v>
      </c>
      <c r="S34" s="74">
        <v>-26</v>
      </c>
    </row>
    <row r="35" spans="1:19" x14ac:dyDescent="0.2">
      <c r="A35" s="446" t="s">
        <v>2252</v>
      </c>
      <c r="B35" s="446" t="s">
        <v>3949</v>
      </c>
      <c r="C35" s="446" t="s">
        <v>911</v>
      </c>
      <c r="D35" s="446" t="s">
        <v>153</v>
      </c>
      <c r="E35" s="446" t="s">
        <v>3798</v>
      </c>
      <c r="F35" s="298">
        <v>42597</v>
      </c>
      <c r="G35" s="74">
        <v>0</v>
      </c>
      <c r="H35" s="74">
        <v>0</v>
      </c>
      <c r="I35" s="74">
        <v>0</v>
      </c>
      <c r="J35" s="74">
        <v>0</v>
      </c>
      <c r="K35" s="74">
        <v>0</v>
      </c>
      <c r="L35" s="74">
        <v>0</v>
      </c>
      <c r="M35" s="74">
        <v>0</v>
      </c>
      <c r="N35" s="74">
        <v>0</v>
      </c>
      <c r="O35" s="74">
        <v>56</v>
      </c>
      <c r="P35" s="74">
        <v>0</v>
      </c>
      <c r="Q35" s="74">
        <v>0</v>
      </c>
      <c r="R35" s="74">
        <v>56</v>
      </c>
      <c r="S35" s="74">
        <v>-56</v>
      </c>
    </row>
    <row r="36" spans="1:19" x14ac:dyDescent="0.2">
      <c r="A36" s="446" t="s">
        <v>2324</v>
      </c>
      <c r="B36" s="446" t="s">
        <v>150</v>
      </c>
      <c r="C36" s="446" t="s">
        <v>2325</v>
      </c>
      <c r="D36" s="446" t="s">
        <v>153</v>
      </c>
      <c r="E36" s="446" t="s">
        <v>3798</v>
      </c>
      <c r="F36" s="298">
        <v>42944</v>
      </c>
      <c r="G36" s="74">
        <v>0</v>
      </c>
      <c r="H36" s="74">
        <v>0</v>
      </c>
      <c r="I36" s="74">
        <v>0</v>
      </c>
      <c r="J36" s="74">
        <v>0</v>
      </c>
      <c r="K36" s="74">
        <v>0</v>
      </c>
      <c r="L36" s="74">
        <v>0</v>
      </c>
      <c r="M36" s="74">
        <v>0</v>
      </c>
      <c r="N36" s="74">
        <v>91</v>
      </c>
      <c r="O36" s="74">
        <v>0</v>
      </c>
      <c r="P36" s="74">
        <v>0</v>
      </c>
      <c r="Q36" s="74">
        <v>0</v>
      </c>
      <c r="R36" s="74">
        <v>91</v>
      </c>
      <c r="S36" s="74">
        <v>-91</v>
      </c>
    </row>
    <row r="37" spans="1:19" x14ac:dyDescent="0.2">
      <c r="A37" s="446" t="s">
        <v>2181</v>
      </c>
      <c r="B37" s="446" t="s">
        <v>3949</v>
      </c>
      <c r="C37" s="446" t="s">
        <v>587</v>
      </c>
      <c r="D37" s="446" t="s">
        <v>153</v>
      </c>
      <c r="E37" s="446" t="s">
        <v>3798</v>
      </c>
      <c r="F37" s="298">
        <v>42412</v>
      </c>
      <c r="G37" s="74">
        <v>0</v>
      </c>
      <c r="H37" s="74">
        <v>0</v>
      </c>
      <c r="I37" s="74">
        <v>26</v>
      </c>
      <c r="J37" s="74">
        <v>0</v>
      </c>
      <c r="K37" s="74">
        <v>0</v>
      </c>
      <c r="L37" s="74">
        <v>26</v>
      </c>
      <c r="M37" s="74">
        <v>0</v>
      </c>
      <c r="N37" s="74">
        <v>0</v>
      </c>
      <c r="O37" s="74">
        <v>62</v>
      </c>
      <c r="P37" s="74">
        <v>0</v>
      </c>
      <c r="Q37" s="74">
        <v>0</v>
      </c>
      <c r="R37" s="74">
        <v>62</v>
      </c>
      <c r="S37" s="74">
        <v>-36</v>
      </c>
    </row>
    <row r="38" spans="1:19" x14ac:dyDescent="0.2">
      <c r="A38" s="446" t="s">
        <v>2196</v>
      </c>
      <c r="B38" s="446" t="s">
        <v>3946</v>
      </c>
      <c r="C38" s="446" t="s">
        <v>784</v>
      </c>
      <c r="D38" s="446" t="s">
        <v>153</v>
      </c>
      <c r="E38" s="446" t="s">
        <v>3798</v>
      </c>
      <c r="F38" s="298">
        <v>42685</v>
      </c>
      <c r="G38" s="74">
        <v>0</v>
      </c>
      <c r="H38" s="74">
        <v>0</v>
      </c>
      <c r="I38" s="74">
        <v>0</v>
      </c>
      <c r="J38" s="74">
        <v>0</v>
      </c>
      <c r="K38" s="74">
        <v>0</v>
      </c>
      <c r="L38" s="74">
        <v>0</v>
      </c>
      <c r="M38" s="74">
        <v>0</v>
      </c>
      <c r="N38" s="74">
        <v>0</v>
      </c>
      <c r="O38" s="74">
        <v>88</v>
      </c>
      <c r="P38" s="74">
        <v>0</v>
      </c>
      <c r="Q38" s="74">
        <v>0</v>
      </c>
      <c r="R38" s="74">
        <v>88</v>
      </c>
      <c r="S38" s="74">
        <v>-88</v>
      </c>
    </row>
    <row r="39" spans="1:19" x14ac:dyDescent="0.2">
      <c r="A39" s="446" t="s">
        <v>1799</v>
      </c>
      <c r="B39" s="446" t="s">
        <v>3941</v>
      </c>
      <c r="C39" s="446" t="s">
        <v>1009</v>
      </c>
      <c r="D39" s="446" t="s">
        <v>153</v>
      </c>
      <c r="E39" s="446" t="s">
        <v>3798</v>
      </c>
      <c r="F39" s="298">
        <v>42699</v>
      </c>
      <c r="G39" s="74">
        <v>0</v>
      </c>
      <c r="H39" s="74">
        <v>36</v>
      </c>
      <c r="I39" s="74">
        <v>0</v>
      </c>
      <c r="J39" s="74">
        <v>0</v>
      </c>
      <c r="K39" s="74">
        <v>0</v>
      </c>
      <c r="L39" s="74">
        <v>36</v>
      </c>
      <c r="M39" s="74">
        <v>0</v>
      </c>
      <c r="N39" s="74">
        <v>0</v>
      </c>
      <c r="O39" s="74">
        <v>0</v>
      </c>
      <c r="P39" s="74">
        <v>0</v>
      </c>
      <c r="Q39" s="74">
        <v>0</v>
      </c>
      <c r="R39" s="74">
        <v>0</v>
      </c>
      <c r="S39" s="74">
        <v>36</v>
      </c>
    </row>
    <row r="40" spans="1:19" x14ac:dyDescent="0.2">
      <c r="A40" s="446" t="s">
        <v>2613</v>
      </c>
      <c r="B40" s="446" t="s">
        <v>3948</v>
      </c>
      <c r="C40" s="446" t="s">
        <v>2614</v>
      </c>
      <c r="D40" s="446" t="s">
        <v>153</v>
      </c>
      <c r="E40" s="446" t="s">
        <v>3798</v>
      </c>
      <c r="F40" s="298">
        <v>43165</v>
      </c>
      <c r="G40" s="74">
        <v>59</v>
      </c>
      <c r="H40" s="74">
        <v>0</v>
      </c>
      <c r="I40" s="74">
        <v>0</v>
      </c>
      <c r="J40" s="74">
        <v>0</v>
      </c>
      <c r="K40" s="74">
        <v>0</v>
      </c>
      <c r="L40" s="74">
        <v>59</v>
      </c>
      <c r="M40" s="74">
        <v>0</v>
      </c>
      <c r="N40" s="74">
        <v>0</v>
      </c>
      <c r="O40" s="74">
        <v>0</v>
      </c>
      <c r="P40" s="74">
        <v>0</v>
      </c>
      <c r="Q40" s="74">
        <v>0</v>
      </c>
      <c r="R40" s="74">
        <v>0</v>
      </c>
      <c r="S40" s="74">
        <v>59</v>
      </c>
    </row>
    <row r="41" spans="1:19" x14ac:dyDescent="0.2">
      <c r="A41" s="446" t="s">
        <v>1939</v>
      </c>
      <c r="B41" s="446" t="s">
        <v>2907</v>
      </c>
      <c r="C41" s="446" t="s">
        <v>1028</v>
      </c>
      <c r="D41" s="446" t="s">
        <v>153</v>
      </c>
      <c r="E41" s="446" t="s">
        <v>3798</v>
      </c>
      <c r="F41" s="298">
        <v>42719</v>
      </c>
      <c r="G41" s="74">
        <v>34</v>
      </c>
      <c r="H41" s="74">
        <v>0</v>
      </c>
      <c r="I41" s="74">
        <v>0</v>
      </c>
      <c r="J41" s="74">
        <v>0</v>
      </c>
      <c r="K41" s="74">
        <v>0</v>
      </c>
      <c r="L41" s="74">
        <v>34</v>
      </c>
      <c r="M41" s="74">
        <v>0</v>
      </c>
      <c r="N41" s="74">
        <v>0</v>
      </c>
      <c r="O41" s="74">
        <v>0</v>
      </c>
      <c r="P41" s="74">
        <v>0</v>
      </c>
      <c r="Q41" s="74">
        <v>0</v>
      </c>
      <c r="R41" s="74">
        <v>0</v>
      </c>
      <c r="S41" s="74">
        <v>34</v>
      </c>
    </row>
    <row r="42" spans="1:19" x14ac:dyDescent="0.2">
      <c r="A42" s="446" t="s">
        <v>2067</v>
      </c>
      <c r="B42" s="446" t="s">
        <v>3952</v>
      </c>
      <c r="C42" s="446" t="s">
        <v>393</v>
      </c>
      <c r="D42" s="446" t="s">
        <v>153</v>
      </c>
      <c r="E42" s="446" t="s">
        <v>3798</v>
      </c>
      <c r="F42" s="298">
        <v>41934</v>
      </c>
      <c r="G42" s="74">
        <v>0</v>
      </c>
      <c r="H42" s="74">
        <v>0</v>
      </c>
      <c r="I42" s="74">
        <v>87</v>
      </c>
      <c r="J42" s="74">
        <v>0</v>
      </c>
      <c r="K42" s="74">
        <v>0</v>
      </c>
      <c r="L42" s="74">
        <v>87</v>
      </c>
      <c r="M42" s="74">
        <v>87</v>
      </c>
      <c r="N42" s="74">
        <v>0</v>
      </c>
      <c r="O42" s="74">
        <v>0</v>
      </c>
      <c r="P42" s="74">
        <v>0</v>
      </c>
      <c r="Q42" s="74">
        <v>0</v>
      </c>
      <c r="R42" s="74">
        <v>87</v>
      </c>
      <c r="S42" s="74">
        <v>0</v>
      </c>
    </row>
    <row r="43" spans="1:19" x14ac:dyDescent="0.2">
      <c r="A43" s="446" t="s">
        <v>2304</v>
      </c>
      <c r="B43" s="446" t="s">
        <v>2907</v>
      </c>
      <c r="C43" s="446" t="s">
        <v>1086</v>
      </c>
      <c r="D43" s="446" t="s">
        <v>153</v>
      </c>
      <c r="E43" s="446" t="s">
        <v>3798</v>
      </c>
      <c r="F43" s="298">
        <v>42703</v>
      </c>
      <c r="G43" s="74">
        <v>88</v>
      </c>
      <c r="H43" s="74">
        <v>0</v>
      </c>
      <c r="I43" s="74">
        <v>0</v>
      </c>
      <c r="J43" s="74">
        <v>0</v>
      </c>
      <c r="K43" s="74">
        <v>0</v>
      </c>
      <c r="L43" s="74">
        <v>88</v>
      </c>
      <c r="M43" s="74">
        <v>0</v>
      </c>
      <c r="N43" s="74">
        <v>88</v>
      </c>
      <c r="O43" s="74">
        <v>0</v>
      </c>
      <c r="P43" s="74">
        <v>0</v>
      </c>
      <c r="Q43" s="74">
        <v>0</v>
      </c>
      <c r="R43" s="74">
        <v>88</v>
      </c>
      <c r="S43" s="74">
        <v>0</v>
      </c>
    </row>
    <row r="44" spans="1:19" x14ac:dyDescent="0.2">
      <c r="A44" s="446" t="s">
        <v>2124</v>
      </c>
      <c r="B44" s="446" t="s">
        <v>150</v>
      </c>
      <c r="C44" s="446" t="s">
        <v>632</v>
      </c>
      <c r="D44" s="446" t="s">
        <v>153</v>
      </c>
      <c r="E44" s="446" t="s">
        <v>3798</v>
      </c>
      <c r="F44" s="298">
        <v>42478</v>
      </c>
      <c r="G44" s="74">
        <v>0</v>
      </c>
      <c r="H44" s="74">
        <v>0</v>
      </c>
      <c r="I44" s="74">
        <v>239</v>
      </c>
      <c r="J44" s="74">
        <v>0</v>
      </c>
      <c r="K44" s="74">
        <v>0</v>
      </c>
      <c r="L44" s="74">
        <v>239</v>
      </c>
      <c r="M44" s="74">
        <v>0</v>
      </c>
      <c r="N44" s="74">
        <v>0</v>
      </c>
      <c r="O44" s="74">
        <v>212</v>
      </c>
      <c r="P44" s="74">
        <v>0</v>
      </c>
      <c r="Q44" s="74">
        <v>0</v>
      </c>
      <c r="R44" s="74">
        <v>212</v>
      </c>
      <c r="S44" s="74">
        <v>27</v>
      </c>
    </row>
    <row r="45" spans="1:19" x14ac:dyDescent="0.2">
      <c r="A45" s="446" t="s">
        <v>1394</v>
      </c>
      <c r="B45" s="446" t="s">
        <v>3946</v>
      </c>
      <c r="C45" s="446" t="s">
        <v>1395</v>
      </c>
      <c r="D45" s="446" t="s">
        <v>153</v>
      </c>
      <c r="E45" s="446" t="s">
        <v>3798</v>
      </c>
      <c r="F45" s="298">
        <v>42971</v>
      </c>
      <c r="G45" s="74">
        <v>85</v>
      </c>
      <c r="H45" s="74">
        <v>0</v>
      </c>
      <c r="I45" s="74">
        <v>0</v>
      </c>
      <c r="J45" s="74">
        <v>0</v>
      </c>
      <c r="K45" s="74">
        <v>0</v>
      </c>
      <c r="L45" s="74">
        <v>85</v>
      </c>
      <c r="M45" s="74">
        <v>184</v>
      </c>
      <c r="N45" s="74">
        <v>0</v>
      </c>
      <c r="O45" s="74">
        <v>0</v>
      </c>
      <c r="P45" s="74">
        <v>0</v>
      </c>
      <c r="Q45" s="74">
        <v>0</v>
      </c>
      <c r="R45" s="74">
        <v>184</v>
      </c>
      <c r="S45" s="74">
        <v>-99</v>
      </c>
    </row>
    <row r="46" spans="1:19" x14ac:dyDescent="0.2">
      <c r="A46" s="446" t="s">
        <v>1823</v>
      </c>
      <c r="B46" s="446" t="s">
        <v>3951</v>
      </c>
      <c r="C46" s="446" t="s">
        <v>714</v>
      </c>
      <c r="D46" s="446" t="s">
        <v>153</v>
      </c>
      <c r="E46" s="446" t="s">
        <v>3798</v>
      </c>
      <c r="F46" s="298">
        <v>42482</v>
      </c>
      <c r="G46" s="74">
        <v>510</v>
      </c>
      <c r="H46" s="74">
        <v>0</v>
      </c>
      <c r="I46" s="74">
        <v>0</v>
      </c>
      <c r="J46" s="74">
        <v>0</v>
      </c>
      <c r="K46" s="74">
        <v>0</v>
      </c>
      <c r="L46" s="74">
        <v>510</v>
      </c>
      <c r="M46" s="74">
        <v>510</v>
      </c>
      <c r="N46" s="74">
        <v>0</v>
      </c>
      <c r="O46" s="74">
        <v>0</v>
      </c>
      <c r="P46" s="74">
        <v>0</v>
      </c>
      <c r="Q46" s="74">
        <v>0</v>
      </c>
      <c r="R46" s="74">
        <v>510</v>
      </c>
      <c r="S46" s="74">
        <v>0</v>
      </c>
    </row>
    <row r="47" spans="1:19" x14ac:dyDescent="0.2">
      <c r="A47" s="446" t="s">
        <v>2217</v>
      </c>
      <c r="B47" s="446" t="s">
        <v>3939</v>
      </c>
      <c r="C47" s="446" t="s">
        <v>579</v>
      </c>
      <c r="D47" s="446" t="s">
        <v>153</v>
      </c>
      <c r="E47" s="446" t="s">
        <v>3798</v>
      </c>
      <c r="F47" s="298">
        <v>42501</v>
      </c>
      <c r="G47" s="74">
        <v>774</v>
      </c>
      <c r="H47" s="74">
        <v>0</v>
      </c>
      <c r="I47" s="74">
        <v>0</v>
      </c>
      <c r="J47" s="74">
        <v>0</v>
      </c>
      <c r="K47" s="74">
        <v>0</v>
      </c>
      <c r="L47" s="74">
        <v>774</v>
      </c>
      <c r="M47" s="74">
        <v>1230</v>
      </c>
      <c r="N47" s="74">
        <v>0</v>
      </c>
      <c r="O47" s="74">
        <v>0</v>
      </c>
      <c r="P47" s="74">
        <v>0</v>
      </c>
      <c r="Q47" s="74">
        <v>0</v>
      </c>
      <c r="R47" s="74">
        <v>1230</v>
      </c>
      <c r="S47" s="74">
        <v>-456</v>
      </c>
    </row>
    <row r="48" spans="1:19" x14ac:dyDescent="0.2">
      <c r="A48" s="446" t="s">
        <v>2093</v>
      </c>
      <c r="B48" s="446" t="s">
        <v>3945</v>
      </c>
      <c r="C48" s="446" t="s">
        <v>500</v>
      </c>
      <c r="D48" s="446" t="s">
        <v>153</v>
      </c>
      <c r="E48" s="446" t="s">
        <v>3798</v>
      </c>
      <c r="F48" s="298">
        <v>42277</v>
      </c>
      <c r="G48" s="74">
        <v>60</v>
      </c>
      <c r="H48" s="74">
        <v>0</v>
      </c>
      <c r="I48" s="74">
        <v>0</v>
      </c>
      <c r="J48" s="74">
        <v>0</v>
      </c>
      <c r="K48" s="74">
        <v>0</v>
      </c>
      <c r="L48" s="74">
        <v>60</v>
      </c>
      <c r="M48" s="74">
        <v>67</v>
      </c>
      <c r="N48" s="74">
        <v>0</v>
      </c>
      <c r="O48" s="74">
        <v>0</v>
      </c>
      <c r="P48" s="74">
        <v>0</v>
      </c>
      <c r="Q48" s="74">
        <v>0</v>
      </c>
      <c r="R48" s="74">
        <v>67</v>
      </c>
      <c r="S48" s="74">
        <v>-7</v>
      </c>
    </row>
    <row r="49" spans="1:19" x14ac:dyDescent="0.2">
      <c r="A49" s="446" t="s">
        <v>1794</v>
      </c>
      <c r="B49" s="446" t="s">
        <v>150</v>
      </c>
      <c r="C49" s="446" t="s">
        <v>988</v>
      </c>
      <c r="D49" s="446" t="s">
        <v>153</v>
      </c>
      <c r="E49" s="446" t="s">
        <v>3798</v>
      </c>
      <c r="F49" s="298">
        <v>42650</v>
      </c>
      <c r="G49" s="74">
        <v>0</v>
      </c>
      <c r="H49" s="74">
        <v>0</v>
      </c>
      <c r="I49" s="74">
        <v>0</v>
      </c>
      <c r="J49" s="74">
        <v>0</v>
      </c>
      <c r="K49" s="74">
        <v>0</v>
      </c>
      <c r="L49" s="74">
        <v>0</v>
      </c>
      <c r="M49" s="74">
        <v>44</v>
      </c>
      <c r="N49" s="74">
        <v>0</v>
      </c>
      <c r="O49" s="74">
        <v>0</v>
      </c>
      <c r="P49" s="74">
        <v>0</v>
      </c>
      <c r="Q49" s="74">
        <v>0</v>
      </c>
      <c r="R49" s="74">
        <v>44</v>
      </c>
      <c r="S49" s="74">
        <v>-44</v>
      </c>
    </row>
    <row r="50" spans="1:19" x14ac:dyDescent="0.2">
      <c r="A50" s="446" t="s">
        <v>2340</v>
      </c>
      <c r="B50" s="446" t="s">
        <v>3943</v>
      </c>
      <c r="C50" s="446" t="s">
        <v>881</v>
      </c>
      <c r="D50" s="446" t="s">
        <v>153</v>
      </c>
      <c r="E50" s="446" t="s">
        <v>3798</v>
      </c>
      <c r="F50" s="298">
        <v>42564</v>
      </c>
      <c r="G50" s="74">
        <v>6</v>
      </c>
      <c r="H50" s="74">
        <v>0</v>
      </c>
      <c r="I50" s="74">
        <v>0</v>
      </c>
      <c r="J50" s="74">
        <v>0</v>
      </c>
      <c r="K50" s="74">
        <v>0</v>
      </c>
      <c r="L50" s="74">
        <v>6</v>
      </c>
      <c r="M50" s="74">
        <v>0</v>
      </c>
      <c r="N50" s="74">
        <v>0</v>
      </c>
      <c r="O50" s="74">
        <v>0</v>
      </c>
      <c r="P50" s="74">
        <v>0</v>
      </c>
      <c r="Q50" s="74">
        <v>0</v>
      </c>
      <c r="R50" s="74">
        <v>0</v>
      </c>
      <c r="S50" s="74">
        <v>6</v>
      </c>
    </row>
    <row r="51" spans="1:19" x14ac:dyDescent="0.2">
      <c r="A51" s="446" t="s">
        <v>2104</v>
      </c>
      <c r="B51" s="446" t="s">
        <v>3942</v>
      </c>
      <c r="C51" s="446" t="s">
        <v>1122</v>
      </c>
      <c r="D51" s="446" t="s">
        <v>153</v>
      </c>
      <c r="E51" s="446" t="s">
        <v>3798</v>
      </c>
      <c r="F51" s="298">
        <v>42793</v>
      </c>
      <c r="G51" s="74">
        <v>116</v>
      </c>
      <c r="H51" s="74">
        <v>0</v>
      </c>
      <c r="I51" s="74">
        <v>116</v>
      </c>
      <c r="J51" s="74">
        <v>0</v>
      </c>
      <c r="K51" s="74">
        <v>0</v>
      </c>
      <c r="L51" s="74">
        <v>232</v>
      </c>
      <c r="M51" s="74">
        <v>0</v>
      </c>
      <c r="N51" s="74">
        <v>0</v>
      </c>
      <c r="O51" s="74">
        <v>232</v>
      </c>
      <c r="P51" s="74">
        <v>0</v>
      </c>
      <c r="Q51" s="74">
        <v>0</v>
      </c>
      <c r="R51" s="74">
        <v>232</v>
      </c>
      <c r="S51" s="74">
        <v>0</v>
      </c>
    </row>
    <row r="52" spans="1:19" x14ac:dyDescent="0.2">
      <c r="A52" s="446" t="s">
        <v>2073</v>
      </c>
      <c r="B52" s="446" t="s">
        <v>3947</v>
      </c>
      <c r="C52" s="446" t="s">
        <v>345</v>
      </c>
      <c r="D52" s="446" t="s">
        <v>153</v>
      </c>
      <c r="E52" s="446" t="s">
        <v>3798</v>
      </c>
      <c r="F52" s="298">
        <v>42032</v>
      </c>
      <c r="G52" s="74">
        <v>0</v>
      </c>
      <c r="H52" s="74">
        <v>0</v>
      </c>
      <c r="I52" s="74">
        <v>0</v>
      </c>
      <c r="J52" s="74">
        <v>0</v>
      </c>
      <c r="K52" s="74">
        <v>0</v>
      </c>
      <c r="L52" s="74">
        <v>0</v>
      </c>
      <c r="M52" s="74">
        <v>60</v>
      </c>
      <c r="N52" s="74">
        <v>0</v>
      </c>
      <c r="O52" s="74">
        <v>0</v>
      </c>
      <c r="P52" s="74">
        <v>0</v>
      </c>
      <c r="Q52" s="74">
        <v>0</v>
      </c>
      <c r="R52" s="74">
        <v>60</v>
      </c>
      <c r="S52" s="74">
        <v>-60</v>
      </c>
    </row>
    <row r="53" spans="1:19" x14ac:dyDescent="0.2">
      <c r="A53" s="446" t="s">
        <v>1800</v>
      </c>
      <c r="B53" s="446" t="s">
        <v>3946</v>
      </c>
      <c r="C53" s="446" t="s">
        <v>1801</v>
      </c>
      <c r="D53" s="446" t="s">
        <v>153</v>
      </c>
      <c r="E53" s="446" t="s">
        <v>3798</v>
      </c>
      <c r="F53" s="298">
        <v>43019</v>
      </c>
      <c r="G53" s="74">
        <v>0</v>
      </c>
      <c r="H53" s="74">
        <v>0</v>
      </c>
      <c r="I53" s="74">
        <v>84</v>
      </c>
      <c r="J53" s="74">
        <v>0</v>
      </c>
      <c r="K53" s="74">
        <v>0</v>
      </c>
      <c r="L53" s="74">
        <v>84</v>
      </c>
      <c r="M53" s="74">
        <v>0</v>
      </c>
      <c r="N53" s="74">
        <v>0</v>
      </c>
      <c r="O53" s="74">
        <v>72</v>
      </c>
      <c r="P53" s="74">
        <v>0</v>
      </c>
      <c r="Q53" s="74">
        <v>0</v>
      </c>
      <c r="R53" s="74">
        <v>72</v>
      </c>
      <c r="S53" s="74">
        <v>12</v>
      </c>
    </row>
    <row r="54" spans="1:19" x14ac:dyDescent="0.2">
      <c r="A54" s="446" t="s">
        <v>2291</v>
      </c>
      <c r="B54" s="446" t="s">
        <v>149</v>
      </c>
      <c r="C54" s="446" t="s">
        <v>1030</v>
      </c>
      <c r="D54" s="446" t="s">
        <v>153</v>
      </c>
      <c r="E54" s="446" t="s">
        <v>3798</v>
      </c>
      <c r="F54" s="298">
        <v>42706</v>
      </c>
      <c r="G54" s="74">
        <v>0</v>
      </c>
      <c r="H54" s="74">
        <v>0</v>
      </c>
      <c r="I54" s="74">
        <v>0</v>
      </c>
      <c r="J54" s="74">
        <v>0</v>
      </c>
      <c r="K54" s="74">
        <v>0</v>
      </c>
      <c r="L54" s="74">
        <v>0</v>
      </c>
      <c r="M54" s="74">
        <v>112</v>
      </c>
      <c r="N54" s="74">
        <v>0</v>
      </c>
      <c r="O54" s="74">
        <v>0</v>
      </c>
      <c r="P54" s="74">
        <v>0</v>
      </c>
      <c r="Q54" s="74">
        <v>0</v>
      </c>
      <c r="R54" s="74">
        <v>112</v>
      </c>
      <c r="S54" s="74">
        <v>-112</v>
      </c>
    </row>
    <row r="55" spans="1:19" x14ac:dyDescent="0.2">
      <c r="A55" s="446" t="s">
        <v>1597</v>
      </c>
      <c r="B55" s="446" t="s">
        <v>150</v>
      </c>
      <c r="C55" s="446" t="s">
        <v>355</v>
      </c>
      <c r="D55" s="446" t="s">
        <v>153</v>
      </c>
      <c r="E55" s="446" t="s">
        <v>3798</v>
      </c>
      <c r="F55" s="298">
        <v>41842</v>
      </c>
      <c r="G55" s="74">
        <v>0</v>
      </c>
      <c r="H55" s="74">
        <v>0</v>
      </c>
      <c r="I55" s="74">
        <v>75</v>
      </c>
      <c r="J55" s="74">
        <v>0</v>
      </c>
      <c r="K55" s="74">
        <v>0</v>
      </c>
      <c r="L55" s="74">
        <v>75</v>
      </c>
      <c r="M55" s="74">
        <v>0</v>
      </c>
      <c r="N55" s="74">
        <v>0</v>
      </c>
      <c r="O55" s="74">
        <v>0</v>
      </c>
      <c r="P55" s="74">
        <v>0</v>
      </c>
      <c r="Q55" s="74">
        <v>0</v>
      </c>
      <c r="R55" s="74">
        <v>0</v>
      </c>
      <c r="S55" s="74">
        <v>75</v>
      </c>
    </row>
    <row r="56" spans="1:19" x14ac:dyDescent="0.2">
      <c r="A56" s="446" t="s">
        <v>2240</v>
      </c>
      <c r="B56" s="446" t="s">
        <v>3948</v>
      </c>
      <c r="C56" s="446" t="s">
        <v>877</v>
      </c>
      <c r="D56" s="446" t="s">
        <v>153</v>
      </c>
      <c r="E56" s="446" t="s">
        <v>3798</v>
      </c>
      <c r="F56" s="298">
        <v>42605</v>
      </c>
      <c r="G56" s="74">
        <v>0</v>
      </c>
      <c r="H56" s="74">
        <v>0</v>
      </c>
      <c r="I56" s="74">
        <v>0</v>
      </c>
      <c r="J56" s="74">
        <v>351</v>
      </c>
      <c r="K56" s="74">
        <v>0</v>
      </c>
      <c r="L56" s="74">
        <v>351</v>
      </c>
      <c r="M56" s="74">
        <v>0</v>
      </c>
      <c r="N56" s="74">
        <v>0</v>
      </c>
      <c r="O56" s="74">
        <v>0</v>
      </c>
      <c r="P56" s="74">
        <v>488</v>
      </c>
      <c r="Q56" s="74">
        <v>0</v>
      </c>
      <c r="R56" s="74">
        <v>488</v>
      </c>
      <c r="S56" s="74">
        <v>-137</v>
      </c>
    </row>
    <row r="57" spans="1:19" x14ac:dyDescent="0.2">
      <c r="C57" s="446" t="s">
        <v>1220</v>
      </c>
      <c r="D57" s="446" t="s">
        <v>153</v>
      </c>
      <c r="E57" s="446" t="s">
        <v>3798</v>
      </c>
      <c r="F57" s="298">
        <v>42793</v>
      </c>
      <c r="G57" s="74">
        <v>0</v>
      </c>
      <c r="H57" s="74">
        <v>0</v>
      </c>
      <c r="I57" s="74">
        <v>0</v>
      </c>
      <c r="J57" s="74">
        <v>345</v>
      </c>
      <c r="K57" s="74">
        <v>0</v>
      </c>
      <c r="L57" s="74">
        <v>345</v>
      </c>
      <c r="M57" s="74">
        <v>0</v>
      </c>
      <c r="N57" s="74">
        <v>0</v>
      </c>
      <c r="O57" s="74">
        <v>0</v>
      </c>
      <c r="P57" s="74">
        <v>477</v>
      </c>
      <c r="Q57" s="74">
        <v>0</v>
      </c>
      <c r="R57" s="74">
        <v>477</v>
      </c>
      <c r="S57" s="74">
        <v>-132</v>
      </c>
    </row>
    <row r="58" spans="1:19" x14ac:dyDescent="0.2">
      <c r="A58" s="446" t="s">
        <v>1927</v>
      </c>
      <c r="B58" s="446" t="s">
        <v>3945</v>
      </c>
      <c r="C58" s="446" t="s">
        <v>997</v>
      </c>
      <c r="D58" s="446" t="s">
        <v>153</v>
      </c>
      <c r="E58" s="446" t="s">
        <v>3798</v>
      </c>
      <c r="F58" s="298">
        <v>42669</v>
      </c>
      <c r="G58" s="74">
        <v>57</v>
      </c>
      <c r="H58" s="74">
        <v>0</v>
      </c>
      <c r="I58" s="74">
        <v>0</v>
      </c>
      <c r="J58" s="74">
        <v>0</v>
      </c>
      <c r="K58" s="74">
        <v>0</v>
      </c>
      <c r="L58" s="74">
        <v>57</v>
      </c>
      <c r="M58" s="74">
        <v>0</v>
      </c>
      <c r="N58" s="74">
        <v>0</v>
      </c>
      <c r="O58" s="74">
        <v>137</v>
      </c>
      <c r="P58" s="74">
        <v>0</v>
      </c>
      <c r="Q58" s="74">
        <v>0</v>
      </c>
      <c r="R58" s="74">
        <v>137</v>
      </c>
      <c r="S58" s="74">
        <v>-80</v>
      </c>
    </row>
    <row r="59" spans="1:19" x14ac:dyDescent="0.2">
      <c r="A59" s="446" t="s">
        <v>2483</v>
      </c>
      <c r="B59" s="446" t="s">
        <v>3942</v>
      </c>
      <c r="C59" s="446" t="s">
        <v>2484</v>
      </c>
      <c r="D59" s="446" t="s">
        <v>153</v>
      </c>
      <c r="E59" s="446" t="s">
        <v>3798</v>
      </c>
      <c r="F59" s="298">
        <v>42954</v>
      </c>
      <c r="G59" s="74">
        <v>0</v>
      </c>
      <c r="H59" s="74">
        <v>0</v>
      </c>
      <c r="I59" s="74">
        <v>112</v>
      </c>
      <c r="J59" s="74">
        <v>0</v>
      </c>
      <c r="K59" s="74">
        <v>0</v>
      </c>
      <c r="L59" s="74">
        <v>112</v>
      </c>
      <c r="M59" s="74">
        <v>112</v>
      </c>
      <c r="N59" s="74">
        <v>0</v>
      </c>
      <c r="O59" s="74">
        <v>0</v>
      </c>
      <c r="P59" s="74">
        <v>0</v>
      </c>
      <c r="Q59" s="74">
        <v>0</v>
      </c>
      <c r="R59" s="74">
        <v>112</v>
      </c>
      <c r="S59" s="74">
        <v>0</v>
      </c>
    </row>
    <row r="60" spans="1:19" x14ac:dyDescent="0.2">
      <c r="A60" s="446" t="s">
        <v>2289</v>
      </c>
      <c r="B60" s="446" t="s">
        <v>3949</v>
      </c>
      <c r="C60" s="446" t="s">
        <v>1124</v>
      </c>
      <c r="D60" s="446" t="s">
        <v>153</v>
      </c>
      <c r="E60" s="446" t="s">
        <v>3798</v>
      </c>
      <c r="F60" s="298">
        <v>42766</v>
      </c>
      <c r="G60" s="74">
        <v>0</v>
      </c>
      <c r="H60" s="74">
        <v>0</v>
      </c>
      <c r="I60" s="74">
        <v>0</v>
      </c>
      <c r="J60" s="74">
        <v>0</v>
      </c>
      <c r="K60" s="74">
        <v>0</v>
      </c>
      <c r="L60" s="74">
        <v>0</v>
      </c>
      <c r="M60" s="74">
        <v>279</v>
      </c>
      <c r="N60" s="74">
        <v>0</v>
      </c>
      <c r="O60" s="74">
        <v>0</v>
      </c>
      <c r="P60" s="74">
        <v>0</v>
      </c>
      <c r="Q60" s="74">
        <v>0</v>
      </c>
      <c r="R60" s="74">
        <v>279</v>
      </c>
      <c r="S60" s="74">
        <v>-279</v>
      </c>
    </row>
    <row r="61" spans="1:19" x14ac:dyDescent="0.2">
      <c r="A61" s="446" t="s">
        <v>2316</v>
      </c>
      <c r="B61" s="446" t="s">
        <v>2904</v>
      </c>
      <c r="C61" s="446" t="s">
        <v>2317</v>
      </c>
      <c r="D61" s="446" t="s">
        <v>153</v>
      </c>
      <c r="E61" s="446" t="s">
        <v>3798</v>
      </c>
      <c r="F61" s="298">
        <v>42964</v>
      </c>
      <c r="G61" s="74">
        <v>20</v>
      </c>
      <c r="H61" s="74">
        <v>0</v>
      </c>
      <c r="I61" s="74">
        <v>0</v>
      </c>
      <c r="J61" s="74">
        <v>0</v>
      </c>
      <c r="K61" s="74">
        <v>0</v>
      </c>
      <c r="L61" s="74">
        <v>20</v>
      </c>
      <c r="M61" s="74">
        <v>0</v>
      </c>
      <c r="N61" s="74">
        <v>94</v>
      </c>
      <c r="O61" s="74">
        <v>0</v>
      </c>
      <c r="P61" s="74">
        <v>0</v>
      </c>
      <c r="Q61" s="74">
        <v>0</v>
      </c>
      <c r="R61" s="74">
        <v>94</v>
      </c>
      <c r="S61" s="74">
        <v>-74</v>
      </c>
    </row>
    <row r="62" spans="1:19" x14ac:dyDescent="0.2">
      <c r="A62" s="446" t="s">
        <v>2295</v>
      </c>
      <c r="B62" s="446" t="s">
        <v>3948</v>
      </c>
      <c r="C62" s="446" t="s">
        <v>2296</v>
      </c>
      <c r="D62" s="446" t="s">
        <v>153</v>
      </c>
      <c r="E62" s="446" t="s">
        <v>3798</v>
      </c>
      <c r="F62" s="298">
        <v>43003</v>
      </c>
      <c r="G62" s="74">
        <v>0</v>
      </c>
      <c r="H62" s="74">
        <v>154</v>
      </c>
      <c r="I62" s="74">
        <v>0</v>
      </c>
      <c r="J62" s="74">
        <v>0</v>
      </c>
      <c r="K62" s="74">
        <v>0</v>
      </c>
      <c r="L62" s="74">
        <v>154</v>
      </c>
      <c r="M62" s="74">
        <v>0</v>
      </c>
      <c r="N62" s="74">
        <v>133</v>
      </c>
      <c r="O62" s="74">
        <v>0</v>
      </c>
      <c r="P62" s="74">
        <v>0</v>
      </c>
      <c r="Q62" s="74">
        <v>0</v>
      </c>
      <c r="R62" s="74">
        <v>133</v>
      </c>
      <c r="S62" s="74">
        <v>21</v>
      </c>
    </row>
    <row r="63" spans="1:19" x14ac:dyDescent="0.2">
      <c r="A63" s="446" t="s">
        <v>2332</v>
      </c>
      <c r="B63" s="446" t="s">
        <v>3944</v>
      </c>
      <c r="C63" s="446" t="s">
        <v>1090</v>
      </c>
      <c r="D63" s="446" t="s">
        <v>153</v>
      </c>
      <c r="E63" s="446" t="s">
        <v>3798</v>
      </c>
      <c r="F63" s="298">
        <v>42725</v>
      </c>
      <c r="G63" s="74">
        <v>0</v>
      </c>
      <c r="H63" s="74">
        <v>0</v>
      </c>
      <c r="I63" s="74">
        <v>0</v>
      </c>
      <c r="J63" s="74">
        <v>0</v>
      </c>
      <c r="K63" s="74">
        <v>0</v>
      </c>
      <c r="L63" s="74">
        <v>0</v>
      </c>
      <c r="M63" s="74">
        <v>68</v>
      </c>
      <c r="N63" s="74">
        <v>0</v>
      </c>
      <c r="O63" s="74">
        <v>0</v>
      </c>
      <c r="P63" s="74">
        <v>0</v>
      </c>
      <c r="Q63" s="74">
        <v>0</v>
      </c>
      <c r="R63" s="74">
        <v>68</v>
      </c>
      <c r="S63" s="74">
        <v>-68</v>
      </c>
    </row>
    <row r="64" spans="1:19" x14ac:dyDescent="0.2">
      <c r="A64" s="446" t="s">
        <v>1980</v>
      </c>
      <c r="B64" s="446" t="s">
        <v>3948</v>
      </c>
      <c r="C64" s="446" t="s">
        <v>1153</v>
      </c>
      <c r="D64" s="446" t="s">
        <v>153</v>
      </c>
      <c r="E64" s="446" t="s">
        <v>3798</v>
      </c>
      <c r="F64" s="298">
        <v>42822</v>
      </c>
      <c r="G64" s="74">
        <v>0</v>
      </c>
      <c r="H64" s="74">
        <v>47</v>
      </c>
      <c r="I64" s="74">
        <v>0</v>
      </c>
      <c r="J64" s="74">
        <v>0</v>
      </c>
      <c r="K64" s="74">
        <v>0</v>
      </c>
      <c r="L64" s="74">
        <v>47</v>
      </c>
      <c r="M64" s="74">
        <v>0</v>
      </c>
      <c r="N64" s="74">
        <v>62</v>
      </c>
      <c r="O64" s="74">
        <v>0</v>
      </c>
      <c r="P64" s="74">
        <v>0</v>
      </c>
      <c r="Q64" s="74">
        <v>0</v>
      </c>
      <c r="R64" s="74">
        <v>62</v>
      </c>
      <c r="S64" s="74">
        <v>-15</v>
      </c>
    </row>
    <row r="65" spans="1:19" x14ac:dyDescent="0.2">
      <c r="A65" s="446" t="s">
        <v>2335</v>
      </c>
      <c r="B65" s="446" t="s">
        <v>2904</v>
      </c>
      <c r="C65" s="446" t="s">
        <v>2336</v>
      </c>
      <c r="D65" s="446" t="s">
        <v>153</v>
      </c>
      <c r="E65" s="446" t="s">
        <v>3798</v>
      </c>
      <c r="F65" s="298">
        <v>43063</v>
      </c>
      <c r="G65" s="74">
        <v>204</v>
      </c>
      <c r="H65" s="74">
        <v>0</v>
      </c>
      <c r="I65" s="74">
        <v>0</v>
      </c>
      <c r="J65" s="74">
        <v>0</v>
      </c>
      <c r="K65" s="74">
        <v>0</v>
      </c>
      <c r="L65" s="74">
        <v>204</v>
      </c>
      <c r="M65" s="74">
        <v>214</v>
      </c>
      <c r="N65" s="74">
        <v>0</v>
      </c>
      <c r="O65" s="74">
        <v>0</v>
      </c>
      <c r="P65" s="74">
        <v>0</v>
      </c>
      <c r="Q65" s="74">
        <v>0</v>
      </c>
      <c r="R65" s="74">
        <v>214</v>
      </c>
      <c r="S65" s="74">
        <v>-10</v>
      </c>
    </row>
    <row r="66" spans="1:19" x14ac:dyDescent="0.2">
      <c r="A66" s="446" t="s">
        <v>2342</v>
      </c>
      <c r="B66" s="446" t="s">
        <v>2907</v>
      </c>
      <c r="C66" s="446" t="s">
        <v>2343</v>
      </c>
      <c r="D66" s="446" t="s">
        <v>153</v>
      </c>
      <c r="E66" s="446" t="s">
        <v>3798</v>
      </c>
      <c r="F66" s="298">
        <v>43033</v>
      </c>
      <c r="G66" s="74">
        <v>0</v>
      </c>
      <c r="H66" s="74">
        <v>0</v>
      </c>
      <c r="I66" s="74">
        <v>0</v>
      </c>
      <c r="J66" s="74">
        <v>0</v>
      </c>
      <c r="K66" s="74">
        <v>0</v>
      </c>
      <c r="L66" s="74">
        <v>0</v>
      </c>
      <c r="M66" s="74">
        <v>93</v>
      </c>
      <c r="N66" s="74">
        <v>0</v>
      </c>
      <c r="O66" s="74">
        <v>0</v>
      </c>
      <c r="P66" s="74">
        <v>0</v>
      </c>
      <c r="Q66" s="74">
        <v>0</v>
      </c>
      <c r="R66" s="74">
        <v>93</v>
      </c>
      <c r="S66" s="74">
        <v>-93</v>
      </c>
    </row>
    <row r="67" spans="1:19" x14ac:dyDescent="0.2">
      <c r="A67" s="446" t="s">
        <v>1704</v>
      </c>
      <c r="B67" s="446" t="s">
        <v>3946</v>
      </c>
      <c r="C67" s="446" t="s">
        <v>307</v>
      </c>
      <c r="D67" s="446" t="s">
        <v>153</v>
      </c>
      <c r="E67" s="446" t="s">
        <v>3798</v>
      </c>
      <c r="F67" s="298">
        <v>42489</v>
      </c>
      <c r="G67" s="74">
        <v>1046</v>
      </c>
      <c r="H67" s="74">
        <v>1046</v>
      </c>
      <c r="I67" s="74">
        <v>1043</v>
      </c>
      <c r="J67" s="74">
        <v>0</v>
      </c>
      <c r="K67" s="74">
        <v>0</v>
      </c>
      <c r="L67" s="74">
        <v>3135</v>
      </c>
      <c r="M67" s="74">
        <v>3877</v>
      </c>
      <c r="N67" s="74">
        <v>550</v>
      </c>
      <c r="O67" s="74">
        <v>0</v>
      </c>
      <c r="P67" s="74">
        <v>0</v>
      </c>
      <c r="Q67" s="74">
        <v>0</v>
      </c>
      <c r="R67" s="74">
        <v>4427</v>
      </c>
      <c r="S67" s="74">
        <v>-1292</v>
      </c>
    </row>
    <row r="68" spans="1:19" x14ac:dyDescent="0.2">
      <c r="A68" s="446" t="s">
        <v>1862</v>
      </c>
      <c r="B68" s="446" t="s">
        <v>3951</v>
      </c>
      <c r="C68" s="446" t="s">
        <v>481</v>
      </c>
      <c r="D68" s="446" t="s">
        <v>153</v>
      </c>
      <c r="E68" s="446" t="s">
        <v>3798</v>
      </c>
      <c r="F68" s="298">
        <v>42233</v>
      </c>
      <c r="G68" s="74">
        <v>125</v>
      </c>
      <c r="H68" s="74">
        <v>0</v>
      </c>
      <c r="I68" s="74">
        <v>0</v>
      </c>
      <c r="J68" s="74">
        <v>0</v>
      </c>
      <c r="K68" s="74">
        <v>0</v>
      </c>
      <c r="L68" s="74">
        <v>125</v>
      </c>
      <c r="M68" s="74">
        <v>135</v>
      </c>
      <c r="N68" s="74">
        <v>0</v>
      </c>
      <c r="O68" s="74">
        <v>0</v>
      </c>
      <c r="P68" s="74">
        <v>0</v>
      </c>
      <c r="Q68" s="74">
        <v>0</v>
      </c>
      <c r="R68" s="74">
        <v>135</v>
      </c>
      <c r="S68" s="74">
        <v>-10</v>
      </c>
    </row>
    <row r="69" spans="1:19" x14ac:dyDescent="0.2">
      <c r="A69" s="446" t="s">
        <v>1942</v>
      </c>
      <c r="B69" s="446" t="s">
        <v>149</v>
      </c>
      <c r="C69" s="446" t="s">
        <v>1943</v>
      </c>
      <c r="D69" s="446" t="s">
        <v>153</v>
      </c>
      <c r="E69" s="446" t="s">
        <v>3798</v>
      </c>
      <c r="F69" s="298">
        <v>43131</v>
      </c>
      <c r="G69" s="74">
        <v>40</v>
      </c>
      <c r="H69" s="74">
        <v>40</v>
      </c>
      <c r="I69" s="74">
        <v>40</v>
      </c>
      <c r="J69" s="74">
        <v>0</v>
      </c>
      <c r="K69" s="74">
        <v>0</v>
      </c>
      <c r="L69" s="74">
        <v>120</v>
      </c>
      <c r="M69" s="74">
        <v>0</v>
      </c>
      <c r="N69" s="74">
        <v>159</v>
      </c>
      <c r="O69" s="74">
        <v>0</v>
      </c>
      <c r="P69" s="74">
        <v>0</v>
      </c>
      <c r="Q69" s="74">
        <v>0</v>
      </c>
      <c r="R69" s="74">
        <v>159</v>
      </c>
      <c r="S69" s="74">
        <v>-39</v>
      </c>
    </row>
    <row r="70" spans="1:19" x14ac:dyDescent="0.2">
      <c r="A70" s="446" t="s">
        <v>2133</v>
      </c>
      <c r="B70" s="446" t="s">
        <v>150</v>
      </c>
      <c r="C70" s="446" t="s">
        <v>2134</v>
      </c>
      <c r="D70" s="446" t="s">
        <v>153</v>
      </c>
      <c r="E70" s="446" t="s">
        <v>3798</v>
      </c>
      <c r="F70" s="298">
        <v>43032</v>
      </c>
      <c r="G70" s="74">
        <v>0</v>
      </c>
      <c r="H70" s="74">
        <v>0</v>
      </c>
      <c r="I70" s="74">
        <v>0</v>
      </c>
      <c r="J70" s="74">
        <v>0</v>
      </c>
      <c r="K70" s="74">
        <v>0</v>
      </c>
      <c r="L70" s="74">
        <v>0</v>
      </c>
      <c r="M70" s="74">
        <v>67</v>
      </c>
      <c r="N70" s="74">
        <v>0</v>
      </c>
      <c r="O70" s="74">
        <v>0</v>
      </c>
      <c r="P70" s="74">
        <v>0</v>
      </c>
      <c r="Q70" s="74">
        <v>0</v>
      </c>
      <c r="R70" s="74">
        <v>67</v>
      </c>
      <c r="S70" s="74">
        <v>-67</v>
      </c>
    </row>
    <row r="71" spans="1:19" x14ac:dyDescent="0.2">
      <c r="A71" s="446" t="s">
        <v>1397</v>
      </c>
      <c r="B71" s="446" t="s">
        <v>3951</v>
      </c>
      <c r="C71" s="446" t="s">
        <v>448</v>
      </c>
      <c r="D71" s="446" t="s">
        <v>153</v>
      </c>
      <c r="E71" s="446" t="s">
        <v>3798</v>
      </c>
      <c r="F71" s="298">
        <v>42304</v>
      </c>
      <c r="G71" s="74">
        <v>225</v>
      </c>
      <c r="H71" s="74">
        <v>0</v>
      </c>
      <c r="I71" s="74">
        <v>0</v>
      </c>
      <c r="J71" s="74">
        <v>0</v>
      </c>
      <c r="K71" s="74">
        <v>0</v>
      </c>
      <c r="L71" s="74">
        <v>225</v>
      </c>
      <c r="M71" s="74">
        <v>0</v>
      </c>
      <c r="N71" s="74">
        <v>0</v>
      </c>
      <c r="O71" s="74">
        <v>0</v>
      </c>
      <c r="P71" s="74">
        <v>0</v>
      </c>
      <c r="Q71" s="74">
        <v>0</v>
      </c>
      <c r="R71" s="74">
        <v>0</v>
      </c>
      <c r="S71" s="74">
        <v>225</v>
      </c>
    </row>
    <row r="72" spans="1:19" x14ac:dyDescent="0.2">
      <c r="A72" s="446" t="s">
        <v>2151</v>
      </c>
      <c r="B72" s="446" t="s">
        <v>2904</v>
      </c>
      <c r="C72" s="446" t="s">
        <v>657</v>
      </c>
      <c r="D72" s="446" t="s">
        <v>153</v>
      </c>
      <c r="E72" s="446" t="s">
        <v>3798</v>
      </c>
      <c r="F72" s="298">
        <v>42528</v>
      </c>
      <c r="G72" s="74">
        <v>0</v>
      </c>
      <c r="H72" s="74">
        <v>0</v>
      </c>
      <c r="I72" s="74">
        <v>0</v>
      </c>
      <c r="J72" s="74">
        <v>0</v>
      </c>
      <c r="K72" s="74">
        <v>0</v>
      </c>
      <c r="L72" s="74">
        <v>0</v>
      </c>
      <c r="M72" s="74">
        <v>119</v>
      </c>
      <c r="N72" s="74">
        <v>0</v>
      </c>
      <c r="O72" s="74">
        <v>0</v>
      </c>
      <c r="P72" s="74">
        <v>0</v>
      </c>
      <c r="Q72" s="74">
        <v>0</v>
      </c>
      <c r="R72" s="74">
        <v>119</v>
      </c>
      <c r="S72" s="74">
        <v>-119</v>
      </c>
    </row>
    <row r="73" spans="1:19" x14ac:dyDescent="0.2">
      <c r="A73" s="446" t="s">
        <v>2678</v>
      </c>
      <c r="B73" s="446" t="s">
        <v>3942</v>
      </c>
      <c r="C73" s="446" t="s">
        <v>2679</v>
      </c>
      <c r="D73" s="446" t="s">
        <v>153</v>
      </c>
      <c r="E73" s="446" t="s">
        <v>3798</v>
      </c>
      <c r="F73" s="298">
        <v>43188</v>
      </c>
      <c r="G73" s="74">
        <v>215</v>
      </c>
      <c r="H73" s="74">
        <v>0</v>
      </c>
      <c r="I73" s="74">
        <v>0</v>
      </c>
      <c r="J73" s="74">
        <v>0</v>
      </c>
      <c r="K73" s="74">
        <v>0</v>
      </c>
      <c r="L73" s="74">
        <v>215</v>
      </c>
      <c r="M73" s="74">
        <v>343</v>
      </c>
      <c r="N73" s="74">
        <v>0</v>
      </c>
      <c r="O73" s="74">
        <v>0</v>
      </c>
      <c r="P73" s="74">
        <v>0</v>
      </c>
      <c r="Q73" s="74">
        <v>0</v>
      </c>
      <c r="R73" s="74">
        <v>343</v>
      </c>
      <c r="S73" s="74">
        <v>-128</v>
      </c>
    </row>
    <row r="74" spans="1:19" x14ac:dyDescent="0.2">
      <c r="A74" s="446" t="s">
        <v>2347</v>
      </c>
      <c r="B74" s="446" t="s">
        <v>150</v>
      </c>
      <c r="C74" s="446" t="s">
        <v>830</v>
      </c>
      <c r="D74" s="446" t="s">
        <v>153</v>
      </c>
      <c r="E74" s="446" t="s">
        <v>3798</v>
      </c>
      <c r="F74" s="298">
        <v>42517</v>
      </c>
      <c r="G74" s="74">
        <v>0</v>
      </c>
      <c r="H74" s="74">
        <v>11</v>
      </c>
      <c r="I74" s="74">
        <v>0</v>
      </c>
      <c r="J74" s="74">
        <v>0</v>
      </c>
      <c r="K74" s="74">
        <v>0</v>
      </c>
      <c r="L74" s="74">
        <v>11</v>
      </c>
      <c r="M74" s="74">
        <v>0</v>
      </c>
      <c r="N74" s="74">
        <v>0</v>
      </c>
      <c r="O74" s="74">
        <v>0</v>
      </c>
      <c r="P74" s="74">
        <v>0</v>
      </c>
      <c r="Q74" s="74">
        <v>0</v>
      </c>
      <c r="R74" s="74">
        <v>0</v>
      </c>
      <c r="S74" s="74">
        <v>11</v>
      </c>
    </row>
    <row r="75" spans="1:19" x14ac:dyDescent="0.2">
      <c r="A75" s="446" t="s">
        <v>2364</v>
      </c>
      <c r="B75" s="446" t="s">
        <v>3942</v>
      </c>
      <c r="C75" s="446" t="s">
        <v>1212</v>
      </c>
      <c r="D75" s="446" t="s">
        <v>153</v>
      </c>
      <c r="E75" s="446" t="s">
        <v>3798</v>
      </c>
      <c r="F75" s="298">
        <v>42857</v>
      </c>
      <c r="G75" s="74">
        <v>0</v>
      </c>
      <c r="H75" s="74">
        <v>0</v>
      </c>
      <c r="I75" s="74">
        <v>275</v>
      </c>
      <c r="J75" s="74">
        <v>0</v>
      </c>
      <c r="K75" s="74">
        <v>0</v>
      </c>
      <c r="L75" s="74">
        <v>275</v>
      </c>
      <c r="M75" s="74">
        <v>0</v>
      </c>
      <c r="N75" s="74">
        <v>0</v>
      </c>
      <c r="O75" s="74">
        <v>236</v>
      </c>
      <c r="P75" s="74">
        <v>0</v>
      </c>
      <c r="Q75" s="74">
        <v>0</v>
      </c>
      <c r="R75" s="74">
        <v>236</v>
      </c>
      <c r="S75" s="74">
        <v>39</v>
      </c>
    </row>
    <row r="76" spans="1:19" x14ac:dyDescent="0.2">
      <c r="A76" s="446" t="s">
        <v>1815</v>
      </c>
      <c r="B76" s="446" t="s">
        <v>3944</v>
      </c>
      <c r="C76" s="446" t="s">
        <v>608</v>
      </c>
      <c r="D76" s="446" t="s">
        <v>153</v>
      </c>
      <c r="E76" s="446" t="s">
        <v>3798</v>
      </c>
      <c r="F76" s="298">
        <v>42446</v>
      </c>
      <c r="G76" s="74">
        <v>0</v>
      </c>
      <c r="H76" s="74">
        <v>129</v>
      </c>
      <c r="I76" s="74">
        <v>0</v>
      </c>
      <c r="J76" s="74">
        <v>0</v>
      </c>
      <c r="K76" s="74">
        <v>0</v>
      </c>
      <c r="L76" s="74">
        <v>129</v>
      </c>
      <c r="M76" s="74">
        <v>48</v>
      </c>
      <c r="N76" s="74">
        <v>0</v>
      </c>
      <c r="O76" s="74">
        <v>0</v>
      </c>
      <c r="P76" s="74">
        <v>0</v>
      </c>
      <c r="Q76" s="74">
        <v>0</v>
      </c>
      <c r="R76" s="74">
        <v>48</v>
      </c>
      <c r="S76" s="74">
        <v>81</v>
      </c>
    </row>
    <row r="77" spans="1:19" x14ac:dyDescent="0.2">
      <c r="A77" s="446" t="s">
        <v>2048</v>
      </c>
      <c r="B77" s="446" t="s">
        <v>3945</v>
      </c>
      <c r="C77" s="446" t="s">
        <v>815</v>
      </c>
      <c r="D77" s="446" t="s">
        <v>153</v>
      </c>
      <c r="E77" s="446" t="s">
        <v>3798</v>
      </c>
      <c r="F77" s="298">
        <v>42549</v>
      </c>
      <c r="G77" s="74">
        <v>120</v>
      </c>
      <c r="H77" s="74">
        <v>0</v>
      </c>
      <c r="I77" s="74">
        <v>0</v>
      </c>
      <c r="J77" s="74">
        <v>0</v>
      </c>
      <c r="K77" s="74">
        <v>0</v>
      </c>
      <c r="L77" s="74">
        <v>120</v>
      </c>
      <c r="M77" s="74">
        <v>146</v>
      </c>
      <c r="N77" s="74">
        <v>0</v>
      </c>
      <c r="O77" s="74">
        <v>0</v>
      </c>
      <c r="P77" s="74">
        <v>0</v>
      </c>
      <c r="Q77" s="74">
        <v>0</v>
      </c>
      <c r="R77" s="74">
        <v>146</v>
      </c>
      <c r="S77" s="74">
        <v>-26</v>
      </c>
    </row>
    <row r="78" spans="1:19" x14ac:dyDescent="0.2">
      <c r="A78" s="446" t="s">
        <v>2164</v>
      </c>
      <c r="B78" s="446" t="s">
        <v>3952</v>
      </c>
      <c r="C78" s="446" t="s">
        <v>547</v>
      </c>
      <c r="D78" s="446" t="s">
        <v>153</v>
      </c>
      <c r="E78" s="446" t="s">
        <v>3798</v>
      </c>
      <c r="F78" s="298">
        <v>42381</v>
      </c>
      <c r="G78" s="74">
        <v>108</v>
      </c>
      <c r="H78" s="74">
        <v>0</v>
      </c>
      <c r="I78" s="74">
        <v>0</v>
      </c>
      <c r="J78" s="74">
        <v>0</v>
      </c>
      <c r="K78" s="74">
        <v>0</v>
      </c>
      <c r="L78" s="74">
        <v>108</v>
      </c>
      <c r="M78" s="74">
        <v>106</v>
      </c>
      <c r="N78" s="74">
        <v>0</v>
      </c>
      <c r="O78" s="74">
        <v>0</v>
      </c>
      <c r="P78" s="74">
        <v>0</v>
      </c>
      <c r="Q78" s="74">
        <v>0</v>
      </c>
      <c r="R78" s="74">
        <v>106</v>
      </c>
      <c r="S78" s="74">
        <v>2</v>
      </c>
    </row>
    <row r="79" spans="1:19" x14ac:dyDescent="0.2">
      <c r="A79" s="446" t="s">
        <v>2176</v>
      </c>
      <c r="B79" s="446" t="s">
        <v>3946</v>
      </c>
      <c r="C79" s="446" t="s">
        <v>551</v>
      </c>
      <c r="D79" s="446" t="s">
        <v>153</v>
      </c>
      <c r="E79" s="446" t="s">
        <v>3798</v>
      </c>
      <c r="F79" s="298">
        <v>42360</v>
      </c>
      <c r="G79" s="74">
        <v>0</v>
      </c>
      <c r="H79" s="74">
        <v>49</v>
      </c>
      <c r="I79" s="74">
        <v>0</v>
      </c>
      <c r="J79" s="74">
        <v>0</v>
      </c>
      <c r="K79" s="74">
        <v>0</v>
      </c>
      <c r="L79" s="74">
        <v>49</v>
      </c>
      <c r="M79" s="74">
        <v>49</v>
      </c>
      <c r="N79" s="74">
        <v>0</v>
      </c>
      <c r="O79" s="74">
        <v>0</v>
      </c>
      <c r="P79" s="74">
        <v>0</v>
      </c>
      <c r="Q79" s="74">
        <v>0</v>
      </c>
      <c r="R79" s="74">
        <v>49</v>
      </c>
      <c r="S79" s="74">
        <v>0</v>
      </c>
    </row>
    <row r="80" spans="1:19" x14ac:dyDescent="0.2">
      <c r="A80" s="446" t="s">
        <v>1761</v>
      </c>
      <c r="B80" s="446" t="s">
        <v>2904</v>
      </c>
      <c r="C80" s="446" t="s">
        <v>961</v>
      </c>
      <c r="D80" s="446" t="s">
        <v>153</v>
      </c>
      <c r="E80" s="446" t="s">
        <v>3798</v>
      </c>
      <c r="F80" s="298">
        <v>42626</v>
      </c>
      <c r="G80" s="74">
        <v>0</v>
      </c>
      <c r="H80" s="74">
        <v>0</v>
      </c>
      <c r="I80" s="74">
        <v>100</v>
      </c>
      <c r="J80" s="74">
        <v>0</v>
      </c>
      <c r="K80" s="74">
        <v>0</v>
      </c>
      <c r="L80" s="74">
        <v>100</v>
      </c>
      <c r="M80" s="74">
        <v>50</v>
      </c>
      <c r="N80" s="74">
        <v>0</v>
      </c>
      <c r="O80" s="74">
        <v>0</v>
      </c>
      <c r="P80" s="74">
        <v>0</v>
      </c>
      <c r="Q80" s="74">
        <v>0</v>
      </c>
      <c r="R80" s="74">
        <v>50</v>
      </c>
      <c r="S80" s="74">
        <v>50</v>
      </c>
    </row>
    <row r="81" spans="1:19" x14ac:dyDescent="0.2">
      <c r="A81" s="446" t="s">
        <v>2174</v>
      </c>
      <c r="B81" s="446" t="s">
        <v>150</v>
      </c>
      <c r="C81" s="446" t="s">
        <v>557</v>
      </c>
      <c r="D81" s="446" t="s">
        <v>153</v>
      </c>
      <c r="E81" s="446" t="s">
        <v>3798</v>
      </c>
      <c r="F81" s="298">
        <v>42360</v>
      </c>
      <c r="G81" s="74">
        <v>0</v>
      </c>
      <c r="H81" s="74">
        <v>45</v>
      </c>
      <c r="I81" s="74">
        <v>0</v>
      </c>
      <c r="J81" s="74">
        <v>0</v>
      </c>
      <c r="K81" s="74">
        <v>0</v>
      </c>
      <c r="L81" s="74">
        <v>45</v>
      </c>
      <c r="M81" s="74">
        <v>0</v>
      </c>
      <c r="N81" s="74">
        <v>77</v>
      </c>
      <c r="O81" s="74">
        <v>0</v>
      </c>
      <c r="P81" s="74">
        <v>0</v>
      </c>
      <c r="Q81" s="74">
        <v>0</v>
      </c>
      <c r="R81" s="74">
        <v>77</v>
      </c>
      <c r="S81" s="74">
        <v>-32</v>
      </c>
    </row>
    <row r="82" spans="1:19" x14ac:dyDescent="0.2">
      <c r="A82" s="446" t="s">
        <v>2427</v>
      </c>
      <c r="B82" s="446" t="s">
        <v>150</v>
      </c>
      <c r="C82" s="446" t="s">
        <v>2428</v>
      </c>
      <c r="D82" s="446" t="s">
        <v>153</v>
      </c>
      <c r="E82" s="446" t="s">
        <v>3798</v>
      </c>
      <c r="F82" s="298">
        <v>43031</v>
      </c>
      <c r="G82" s="74">
        <v>66</v>
      </c>
      <c r="H82" s="74">
        <v>0</v>
      </c>
      <c r="I82" s="74">
        <v>0</v>
      </c>
      <c r="J82" s="74">
        <v>0</v>
      </c>
      <c r="K82" s="74">
        <v>0</v>
      </c>
      <c r="L82" s="74">
        <v>66</v>
      </c>
      <c r="M82" s="74">
        <v>74</v>
      </c>
      <c r="N82" s="74">
        <v>0</v>
      </c>
      <c r="O82" s="74">
        <v>0</v>
      </c>
      <c r="P82" s="74">
        <v>0</v>
      </c>
      <c r="Q82" s="74">
        <v>0</v>
      </c>
      <c r="R82" s="74">
        <v>74</v>
      </c>
      <c r="S82" s="74">
        <v>-8</v>
      </c>
    </row>
    <row r="83" spans="1:19" x14ac:dyDescent="0.2">
      <c r="A83" s="446" t="s">
        <v>1743</v>
      </c>
      <c r="B83" s="446" t="s">
        <v>3943</v>
      </c>
      <c r="C83" s="446" t="s">
        <v>621</v>
      </c>
      <c r="D83" s="446" t="s">
        <v>153</v>
      </c>
      <c r="E83" s="446" t="s">
        <v>3798</v>
      </c>
      <c r="F83" s="298">
        <v>42517</v>
      </c>
      <c r="G83" s="74">
        <v>27</v>
      </c>
      <c r="H83" s="74">
        <v>0</v>
      </c>
      <c r="I83" s="74">
        <v>27</v>
      </c>
      <c r="J83" s="74">
        <v>0</v>
      </c>
      <c r="K83" s="74">
        <v>0</v>
      </c>
      <c r="L83" s="74">
        <v>54</v>
      </c>
      <c r="M83" s="74">
        <v>0</v>
      </c>
      <c r="N83" s="74">
        <v>0</v>
      </c>
      <c r="O83" s="74">
        <v>0</v>
      </c>
      <c r="P83" s="74">
        <v>0</v>
      </c>
      <c r="Q83" s="74">
        <v>0</v>
      </c>
      <c r="R83" s="74">
        <v>0</v>
      </c>
      <c r="S83" s="74">
        <v>54</v>
      </c>
    </row>
    <row r="84" spans="1:19" x14ac:dyDescent="0.2">
      <c r="A84" s="446" t="s">
        <v>1977</v>
      </c>
      <c r="B84" s="446" t="s">
        <v>150</v>
      </c>
      <c r="C84" s="446" t="s">
        <v>1978</v>
      </c>
      <c r="D84" s="446" t="s">
        <v>153</v>
      </c>
      <c r="E84" s="446" t="s">
        <v>3798</v>
      </c>
      <c r="F84" s="298">
        <v>43077</v>
      </c>
      <c r="G84" s="74">
        <v>47</v>
      </c>
      <c r="H84" s="74">
        <v>0</v>
      </c>
      <c r="I84" s="74">
        <v>0</v>
      </c>
      <c r="J84" s="74">
        <v>0</v>
      </c>
      <c r="K84" s="74">
        <v>0</v>
      </c>
      <c r="L84" s="74">
        <v>47</v>
      </c>
      <c r="M84" s="74">
        <v>68</v>
      </c>
      <c r="N84" s="74">
        <v>0</v>
      </c>
      <c r="O84" s="74">
        <v>0</v>
      </c>
      <c r="P84" s="74">
        <v>0</v>
      </c>
      <c r="Q84" s="74">
        <v>0</v>
      </c>
      <c r="R84" s="74">
        <v>68</v>
      </c>
      <c r="S84" s="74">
        <v>-21</v>
      </c>
    </row>
    <row r="85" spans="1:19" x14ac:dyDescent="0.2">
      <c r="A85" s="446" t="s">
        <v>2244</v>
      </c>
      <c r="B85" s="446" t="s">
        <v>149</v>
      </c>
      <c r="C85" s="446" t="s">
        <v>1305</v>
      </c>
      <c r="D85" s="446" t="s">
        <v>153</v>
      </c>
      <c r="E85" s="446" t="s">
        <v>3798</v>
      </c>
      <c r="F85" s="298">
        <v>42754</v>
      </c>
      <c r="G85" s="74">
        <v>383</v>
      </c>
      <c r="H85" s="74">
        <v>0</v>
      </c>
      <c r="I85" s="74">
        <v>0</v>
      </c>
      <c r="J85" s="74">
        <v>0</v>
      </c>
      <c r="K85" s="74">
        <v>0</v>
      </c>
      <c r="L85" s="74">
        <v>383</v>
      </c>
      <c r="M85" s="74">
        <v>403</v>
      </c>
      <c r="N85" s="74">
        <v>0</v>
      </c>
      <c r="O85" s="74">
        <v>0</v>
      </c>
      <c r="P85" s="74">
        <v>0</v>
      </c>
      <c r="Q85" s="74">
        <v>0</v>
      </c>
      <c r="R85" s="74">
        <v>403</v>
      </c>
      <c r="S85" s="74">
        <v>-20</v>
      </c>
    </row>
    <row r="86" spans="1:19" x14ac:dyDescent="0.2">
      <c r="A86" s="446" t="s">
        <v>2535</v>
      </c>
      <c r="B86" s="446" t="s">
        <v>3950</v>
      </c>
      <c r="C86" s="446" t="s">
        <v>2536</v>
      </c>
      <c r="D86" s="446" t="s">
        <v>153</v>
      </c>
      <c r="E86" s="446" t="s">
        <v>3798</v>
      </c>
      <c r="F86" s="298">
        <v>43059</v>
      </c>
      <c r="G86" s="74">
        <v>0</v>
      </c>
      <c r="H86" s="74">
        <v>0</v>
      </c>
      <c r="I86" s="74">
        <v>0</v>
      </c>
      <c r="J86" s="74">
        <v>0</v>
      </c>
      <c r="K86" s="74">
        <v>0</v>
      </c>
      <c r="L86" s="74">
        <v>0</v>
      </c>
      <c r="M86" s="74">
        <v>183</v>
      </c>
      <c r="N86" s="74">
        <v>0</v>
      </c>
      <c r="O86" s="74">
        <v>0</v>
      </c>
      <c r="P86" s="74">
        <v>0</v>
      </c>
      <c r="Q86" s="74">
        <v>0</v>
      </c>
      <c r="R86" s="74">
        <v>183</v>
      </c>
      <c r="S86" s="74">
        <v>-183</v>
      </c>
    </row>
    <row r="87" spans="1:19" x14ac:dyDescent="0.2">
      <c r="A87" s="446" t="s">
        <v>1806</v>
      </c>
      <c r="B87" s="446" t="s">
        <v>3950</v>
      </c>
      <c r="C87" s="446" t="s">
        <v>320</v>
      </c>
      <c r="D87" s="446" t="s">
        <v>153</v>
      </c>
      <c r="E87" s="446" t="s">
        <v>3798</v>
      </c>
      <c r="F87" s="298">
        <v>42304</v>
      </c>
      <c r="G87" s="74">
        <v>108</v>
      </c>
      <c r="H87" s="74">
        <v>0</v>
      </c>
      <c r="I87" s="74">
        <v>0</v>
      </c>
      <c r="J87" s="74">
        <v>0</v>
      </c>
      <c r="K87" s="74">
        <v>0</v>
      </c>
      <c r="L87" s="74">
        <v>108</v>
      </c>
      <c r="M87" s="74">
        <v>158</v>
      </c>
      <c r="N87" s="74">
        <v>0</v>
      </c>
      <c r="O87" s="74">
        <v>0</v>
      </c>
      <c r="P87" s="74">
        <v>0</v>
      </c>
      <c r="Q87" s="74">
        <v>0</v>
      </c>
      <c r="R87" s="74">
        <v>158</v>
      </c>
      <c r="S87" s="74">
        <v>-50</v>
      </c>
    </row>
    <row r="88" spans="1:19" x14ac:dyDescent="0.2">
      <c r="A88" s="446" t="s">
        <v>2627</v>
      </c>
      <c r="B88" s="446" t="s">
        <v>3942</v>
      </c>
      <c r="C88" s="446" t="s">
        <v>2628</v>
      </c>
      <c r="D88" s="446" t="s">
        <v>153</v>
      </c>
      <c r="E88" s="446" t="s">
        <v>3798</v>
      </c>
      <c r="F88" s="298">
        <v>43104</v>
      </c>
      <c r="G88" s="74">
        <v>0</v>
      </c>
      <c r="H88" s="74">
        <v>0</v>
      </c>
      <c r="I88" s="74">
        <v>0</v>
      </c>
      <c r="J88" s="74">
        <v>0</v>
      </c>
      <c r="K88" s="74">
        <v>0</v>
      </c>
      <c r="L88" s="74">
        <v>0</v>
      </c>
      <c r="M88" s="74">
        <v>111</v>
      </c>
      <c r="N88" s="74">
        <v>0</v>
      </c>
      <c r="O88" s="74">
        <v>0</v>
      </c>
      <c r="P88" s="74">
        <v>0</v>
      </c>
      <c r="Q88" s="74">
        <v>0</v>
      </c>
      <c r="R88" s="74">
        <v>111</v>
      </c>
      <c r="S88" s="74">
        <v>-111</v>
      </c>
    </row>
    <row r="89" spans="1:19" x14ac:dyDescent="0.2">
      <c r="A89" s="446" t="s">
        <v>1405</v>
      </c>
      <c r="B89" s="446" t="s">
        <v>3946</v>
      </c>
      <c r="C89" s="446" t="s">
        <v>1406</v>
      </c>
      <c r="D89" s="446" t="s">
        <v>153</v>
      </c>
      <c r="E89" s="446" t="s">
        <v>3798</v>
      </c>
      <c r="F89" s="298">
        <v>43011</v>
      </c>
      <c r="G89" s="74">
        <v>143</v>
      </c>
      <c r="H89" s="74">
        <v>0</v>
      </c>
      <c r="I89" s="74">
        <v>0</v>
      </c>
      <c r="J89" s="74">
        <v>0</v>
      </c>
      <c r="K89" s="74">
        <v>0</v>
      </c>
      <c r="L89" s="74">
        <v>143</v>
      </c>
      <c r="M89" s="74">
        <v>640</v>
      </c>
      <c r="N89" s="74">
        <v>0</v>
      </c>
      <c r="O89" s="74">
        <v>0</v>
      </c>
      <c r="P89" s="74">
        <v>0</v>
      </c>
      <c r="Q89" s="74">
        <v>0</v>
      </c>
      <c r="R89" s="74">
        <v>640</v>
      </c>
      <c r="S89" s="74">
        <v>-497</v>
      </c>
    </row>
    <row r="90" spans="1:19" x14ac:dyDescent="0.2">
      <c r="A90" s="446" t="s">
        <v>1698</v>
      </c>
      <c r="B90" s="446" t="s">
        <v>3946</v>
      </c>
      <c r="C90" s="446" t="s">
        <v>1190</v>
      </c>
      <c r="D90" s="446" t="s">
        <v>153</v>
      </c>
      <c r="E90" s="446" t="s">
        <v>3798</v>
      </c>
      <c r="F90" s="298">
        <v>42790</v>
      </c>
      <c r="G90" s="74">
        <v>315</v>
      </c>
      <c r="H90" s="74">
        <v>222</v>
      </c>
      <c r="I90" s="74">
        <v>222</v>
      </c>
      <c r="J90" s="74">
        <v>0</v>
      </c>
      <c r="K90" s="74">
        <v>0</v>
      </c>
      <c r="L90" s="74">
        <v>759</v>
      </c>
      <c r="M90" s="74">
        <v>315</v>
      </c>
      <c r="N90" s="74">
        <v>66</v>
      </c>
      <c r="O90" s="74">
        <v>55</v>
      </c>
      <c r="P90" s="74">
        <v>0</v>
      </c>
      <c r="Q90" s="74">
        <v>0</v>
      </c>
      <c r="R90" s="74">
        <v>436</v>
      </c>
      <c r="S90" s="74">
        <v>323</v>
      </c>
    </row>
    <row r="91" spans="1:19" x14ac:dyDescent="0.2">
      <c r="A91" s="446" t="s">
        <v>2415</v>
      </c>
      <c r="B91" s="446" t="s">
        <v>3941</v>
      </c>
      <c r="C91" s="446" t="s">
        <v>2416</v>
      </c>
      <c r="D91" s="446" t="s">
        <v>153</v>
      </c>
      <c r="E91" s="446" t="s">
        <v>3798</v>
      </c>
      <c r="F91" s="298">
        <v>42863</v>
      </c>
      <c r="G91" s="74">
        <v>25</v>
      </c>
      <c r="H91" s="74">
        <v>0</v>
      </c>
      <c r="I91" s="74">
        <v>0</v>
      </c>
      <c r="J91" s="74">
        <v>0</v>
      </c>
      <c r="K91" s="74">
        <v>0</v>
      </c>
      <c r="L91" s="74">
        <v>25</v>
      </c>
      <c r="M91" s="74">
        <v>0</v>
      </c>
      <c r="N91" s="74">
        <v>0</v>
      </c>
      <c r="O91" s="74">
        <v>0</v>
      </c>
      <c r="P91" s="74">
        <v>0</v>
      </c>
      <c r="Q91" s="74">
        <v>0</v>
      </c>
      <c r="R91" s="74">
        <v>0</v>
      </c>
      <c r="S91" s="74">
        <v>25</v>
      </c>
    </row>
    <row r="92" spans="1:19" x14ac:dyDescent="0.2">
      <c r="A92" s="446" t="s">
        <v>2387</v>
      </c>
      <c r="B92" s="446" t="s">
        <v>150</v>
      </c>
      <c r="C92" s="446" t="s">
        <v>1255</v>
      </c>
      <c r="D92" s="446" t="s">
        <v>153</v>
      </c>
      <c r="E92" s="446" t="s">
        <v>3798</v>
      </c>
      <c r="F92" s="298">
        <v>42836</v>
      </c>
      <c r="G92" s="74">
        <v>0</v>
      </c>
      <c r="H92" s="74">
        <v>0</v>
      </c>
      <c r="I92" s="74">
        <v>92</v>
      </c>
      <c r="J92" s="74">
        <v>0</v>
      </c>
      <c r="K92" s="74">
        <v>0</v>
      </c>
      <c r="L92" s="74">
        <v>92</v>
      </c>
      <c r="M92" s="74">
        <v>92</v>
      </c>
      <c r="N92" s="74">
        <v>0</v>
      </c>
      <c r="O92" s="74">
        <v>0</v>
      </c>
      <c r="P92" s="74">
        <v>0</v>
      </c>
      <c r="Q92" s="74">
        <v>0</v>
      </c>
      <c r="R92" s="74">
        <v>92</v>
      </c>
      <c r="S92" s="74">
        <v>0</v>
      </c>
    </row>
    <row r="93" spans="1:19" x14ac:dyDescent="0.2">
      <c r="A93" s="446" t="s">
        <v>1995</v>
      </c>
      <c r="B93" s="446" t="s">
        <v>3943</v>
      </c>
      <c r="C93" s="446" t="s">
        <v>543</v>
      </c>
      <c r="D93" s="446" t="s">
        <v>153</v>
      </c>
      <c r="E93" s="446" t="s">
        <v>3798</v>
      </c>
      <c r="F93" s="298">
        <v>42717</v>
      </c>
      <c r="G93" s="74">
        <v>0</v>
      </c>
      <c r="H93" s="74">
        <v>0</v>
      </c>
      <c r="I93" s="74">
        <v>26</v>
      </c>
      <c r="J93" s="74">
        <v>285</v>
      </c>
      <c r="K93" s="74">
        <v>0</v>
      </c>
      <c r="L93" s="74">
        <v>311</v>
      </c>
      <c r="M93" s="74">
        <v>0</v>
      </c>
      <c r="N93" s="74">
        <v>0</v>
      </c>
      <c r="O93" s="74">
        <v>0</v>
      </c>
      <c r="P93" s="74">
        <v>313</v>
      </c>
      <c r="Q93" s="74">
        <v>0</v>
      </c>
      <c r="R93" s="74">
        <v>313</v>
      </c>
      <c r="S93" s="74">
        <v>-2</v>
      </c>
    </row>
    <row r="94" spans="1:19" x14ac:dyDescent="0.2">
      <c r="A94" s="446" t="s">
        <v>1563</v>
      </c>
      <c r="B94" s="446" t="s">
        <v>3947</v>
      </c>
      <c r="C94" s="446" t="s">
        <v>1192</v>
      </c>
      <c r="D94" s="446" t="s">
        <v>153</v>
      </c>
      <c r="E94" s="446" t="s">
        <v>3798</v>
      </c>
      <c r="F94" s="298">
        <v>42776</v>
      </c>
      <c r="G94" s="74">
        <v>0</v>
      </c>
      <c r="H94" s="74">
        <v>0</v>
      </c>
      <c r="I94" s="74">
        <v>0</v>
      </c>
      <c r="J94" s="74">
        <v>0</v>
      </c>
      <c r="K94" s="74">
        <v>0</v>
      </c>
      <c r="L94" s="74">
        <v>0</v>
      </c>
      <c r="M94" s="74">
        <v>0</v>
      </c>
      <c r="N94" s="74">
        <v>0</v>
      </c>
      <c r="O94" s="74">
        <v>91</v>
      </c>
      <c r="P94" s="74">
        <v>0</v>
      </c>
      <c r="Q94" s="74">
        <v>0</v>
      </c>
      <c r="R94" s="74">
        <v>91</v>
      </c>
      <c r="S94" s="74">
        <v>-91</v>
      </c>
    </row>
    <row r="95" spans="1:19" x14ac:dyDescent="0.2">
      <c r="A95" s="446" t="s">
        <v>1923</v>
      </c>
      <c r="B95" s="446" t="s">
        <v>149</v>
      </c>
      <c r="C95" s="446" t="s">
        <v>241</v>
      </c>
      <c r="D95" s="446" t="s">
        <v>153</v>
      </c>
      <c r="E95" s="446" t="s">
        <v>3798</v>
      </c>
      <c r="F95" s="298">
        <v>41463</v>
      </c>
      <c r="G95" s="74">
        <v>0</v>
      </c>
      <c r="H95" s="74">
        <v>0</v>
      </c>
      <c r="I95" s="74">
        <v>0</v>
      </c>
      <c r="J95" s="74">
        <v>87</v>
      </c>
      <c r="K95" s="74">
        <v>0</v>
      </c>
      <c r="L95" s="74">
        <v>87</v>
      </c>
      <c r="M95" s="74">
        <v>0</v>
      </c>
      <c r="N95" s="74">
        <v>0</v>
      </c>
      <c r="O95" s="74">
        <v>0</v>
      </c>
      <c r="P95" s="74">
        <v>0</v>
      </c>
      <c r="Q95" s="74">
        <v>0</v>
      </c>
      <c r="R95" s="74">
        <v>0</v>
      </c>
      <c r="S95" s="74">
        <v>87</v>
      </c>
    </row>
    <row r="96" spans="1:19" x14ac:dyDescent="0.2">
      <c r="A96" s="446" t="s">
        <v>1770</v>
      </c>
      <c r="B96" s="446" t="s">
        <v>3947</v>
      </c>
      <c r="C96" s="446" t="s">
        <v>967</v>
      </c>
      <c r="D96" s="446" t="s">
        <v>153</v>
      </c>
      <c r="E96" s="446" t="s">
        <v>3798</v>
      </c>
      <c r="F96" s="298">
        <v>42695</v>
      </c>
      <c r="G96" s="74">
        <v>62</v>
      </c>
      <c r="H96" s="74">
        <v>0</v>
      </c>
      <c r="I96" s="74">
        <v>62</v>
      </c>
      <c r="J96" s="74">
        <v>0</v>
      </c>
      <c r="K96" s="74">
        <v>0</v>
      </c>
      <c r="L96" s="74">
        <v>124</v>
      </c>
      <c r="M96" s="74">
        <v>0</v>
      </c>
      <c r="N96" s="74">
        <v>0</v>
      </c>
      <c r="O96" s="74">
        <v>0</v>
      </c>
      <c r="P96" s="74">
        <v>0</v>
      </c>
      <c r="Q96" s="74">
        <v>0</v>
      </c>
      <c r="R96" s="74">
        <v>0</v>
      </c>
      <c r="S96" s="74">
        <v>124</v>
      </c>
    </row>
    <row r="97" spans="1:19" x14ac:dyDescent="0.2">
      <c r="A97" s="446" t="s">
        <v>2004</v>
      </c>
      <c r="B97" s="446" t="s">
        <v>3946</v>
      </c>
      <c r="C97" s="446" t="s">
        <v>978</v>
      </c>
      <c r="D97" s="446" t="s">
        <v>153</v>
      </c>
      <c r="E97" s="446" t="s">
        <v>3798</v>
      </c>
      <c r="F97" s="298">
        <v>42628</v>
      </c>
      <c r="G97" s="74">
        <v>250</v>
      </c>
      <c r="H97" s="74">
        <v>0</v>
      </c>
      <c r="I97" s="74">
        <v>250</v>
      </c>
      <c r="J97" s="74">
        <v>0</v>
      </c>
      <c r="K97" s="74">
        <v>0</v>
      </c>
      <c r="L97" s="74">
        <v>500</v>
      </c>
      <c r="M97" s="74">
        <v>0</v>
      </c>
      <c r="N97" s="74">
        <v>0</v>
      </c>
      <c r="O97" s="74">
        <v>0</v>
      </c>
      <c r="P97" s="74">
        <v>0</v>
      </c>
      <c r="Q97" s="74">
        <v>0</v>
      </c>
      <c r="R97" s="74">
        <v>0</v>
      </c>
      <c r="S97" s="74">
        <v>500</v>
      </c>
    </row>
    <row r="98" spans="1:19" x14ac:dyDescent="0.2">
      <c r="A98" s="446" t="s">
        <v>1991</v>
      </c>
      <c r="B98" s="446" t="s">
        <v>2907</v>
      </c>
      <c r="C98" s="446" t="s">
        <v>1277</v>
      </c>
      <c r="D98" s="446" t="s">
        <v>153</v>
      </c>
      <c r="E98" s="446" t="s">
        <v>3798</v>
      </c>
      <c r="F98" s="298">
        <v>42894</v>
      </c>
      <c r="G98" s="74">
        <v>0</v>
      </c>
      <c r="H98" s="74">
        <v>1274</v>
      </c>
      <c r="I98" s="74">
        <v>0</v>
      </c>
      <c r="J98" s="74">
        <v>0</v>
      </c>
      <c r="K98" s="74">
        <v>0</v>
      </c>
      <c r="L98" s="74">
        <v>1274</v>
      </c>
      <c r="M98" s="74">
        <v>0</v>
      </c>
      <c r="N98" s="74">
        <v>0</v>
      </c>
      <c r="O98" s="74">
        <v>0</v>
      </c>
      <c r="P98" s="74">
        <v>0</v>
      </c>
      <c r="Q98" s="74">
        <v>0</v>
      </c>
      <c r="R98" s="74">
        <v>0</v>
      </c>
      <c r="S98" s="74">
        <v>1274</v>
      </c>
    </row>
    <row r="99" spans="1:19" x14ac:dyDescent="0.2">
      <c r="A99" s="446" t="s">
        <v>1852</v>
      </c>
      <c r="B99" s="446" t="s">
        <v>3947</v>
      </c>
      <c r="C99" s="446" t="s">
        <v>1227</v>
      </c>
      <c r="D99" s="446" t="s">
        <v>153</v>
      </c>
      <c r="E99" s="446" t="s">
        <v>3798</v>
      </c>
      <c r="F99" s="298">
        <v>42900</v>
      </c>
      <c r="G99" s="74">
        <v>1585</v>
      </c>
      <c r="H99" s="74">
        <v>0</v>
      </c>
      <c r="I99" s="74">
        <v>1585</v>
      </c>
      <c r="J99" s="74">
        <v>0</v>
      </c>
      <c r="K99" s="74">
        <v>0</v>
      </c>
      <c r="L99" s="74">
        <v>3170</v>
      </c>
      <c r="M99" s="74">
        <v>0</v>
      </c>
      <c r="N99" s="74">
        <v>0</v>
      </c>
      <c r="O99" s="74">
        <v>0</v>
      </c>
      <c r="P99" s="74">
        <v>0</v>
      </c>
      <c r="Q99" s="74">
        <v>0</v>
      </c>
      <c r="R99" s="74">
        <v>0</v>
      </c>
      <c r="S99" s="74">
        <v>3170</v>
      </c>
    </row>
    <row r="100" spans="1:19" x14ac:dyDescent="0.2">
      <c r="A100" s="446" t="s">
        <v>1494</v>
      </c>
      <c r="B100" s="446" t="s">
        <v>3943</v>
      </c>
      <c r="C100" s="446" t="s">
        <v>1034</v>
      </c>
      <c r="D100" s="446" t="s">
        <v>153</v>
      </c>
      <c r="E100" s="446" t="s">
        <v>3798</v>
      </c>
      <c r="F100" s="298">
        <v>42671</v>
      </c>
      <c r="G100" s="74">
        <v>0</v>
      </c>
      <c r="H100" s="74">
        <v>0</v>
      </c>
      <c r="I100" s="74">
        <v>0</v>
      </c>
      <c r="J100" s="74">
        <v>0</v>
      </c>
      <c r="K100" s="74">
        <v>0</v>
      </c>
      <c r="L100" s="74">
        <v>0</v>
      </c>
      <c r="M100" s="74">
        <v>11</v>
      </c>
      <c r="N100" s="74">
        <v>0</v>
      </c>
      <c r="O100" s="74">
        <v>0</v>
      </c>
      <c r="P100" s="74">
        <v>0</v>
      </c>
      <c r="Q100" s="74">
        <v>0</v>
      </c>
      <c r="R100" s="74">
        <v>11</v>
      </c>
      <c r="S100" s="74">
        <v>-11</v>
      </c>
    </row>
    <row r="101" spans="1:19" x14ac:dyDescent="0.2">
      <c r="A101" s="446" t="s">
        <v>2175</v>
      </c>
      <c r="B101" s="446" t="s">
        <v>3946</v>
      </c>
      <c r="C101" s="446" t="s">
        <v>495</v>
      </c>
      <c r="D101" s="446" t="s">
        <v>153</v>
      </c>
      <c r="E101" s="446" t="s">
        <v>3798</v>
      </c>
      <c r="F101" s="298">
        <v>42328</v>
      </c>
      <c r="G101" s="74">
        <v>0</v>
      </c>
      <c r="H101" s="74">
        <v>0</v>
      </c>
      <c r="I101" s="74">
        <v>0</v>
      </c>
      <c r="J101" s="74">
        <v>595</v>
      </c>
      <c r="K101" s="74">
        <v>0</v>
      </c>
      <c r="L101" s="74">
        <v>595</v>
      </c>
      <c r="M101" s="74">
        <v>0</v>
      </c>
      <c r="N101" s="74">
        <v>0</v>
      </c>
      <c r="O101" s="74">
        <v>0</v>
      </c>
      <c r="P101" s="74">
        <v>1260</v>
      </c>
      <c r="Q101" s="74">
        <v>0</v>
      </c>
      <c r="R101" s="74">
        <v>1260</v>
      </c>
      <c r="S101" s="74">
        <v>-665</v>
      </c>
    </row>
    <row r="102" spans="1:19" x14ac:dyDescent="0.2">
      <c r="A102" s="446" t="s">
        <v>2360</v>
      </c>
      <c r="B102" s="446" t="s">
        <v>2907</v>
      </c>
      <c r="C102" s="446" t="s">
        <v>1235</v>
      </c>
      <c r="D102" s="446" t="s">
        <v>153</v>
      </c>
      <c r="E102" s="446" t="s">
        <v>3798</v>
      </c>
      <c r="F102" s="298">
        <v>42878</v>
      </c>
      <c r="G102" s="74">
        <v>0</v>
      </c>
      <c r="H102" s="74">
        <v>0</v>
      </c>
      <c r="I102" s="74">
        <v>0</v>
      </c>
      <c r="J102" s="74">
        <v>0</v>
      </c>
      <c r="K102" s="74">
        <v>0</v>
      </c>
      <c r="L102" s="74">
        <v>0</v>
      </c>
      <c r="M102" s="74">
        <v>0</v>
      </c>
      <c r="N102" s="74">
        <v>59</v>
      </c>
      <c r="O102" s="74">
        <v>0</v>
      </c>
      <c r="P102" s="74">
        <v>0</v>
      </c>
      <c r="Q102" s="74">
        <v>0</v>
      </c>
      <c r="R102" s="74">
        <v>59</v>
      </c>
      <c r="S102" s="74">
        <v>-59</v>
      </c>
    </row>
    <row r="103" spans="1:19" x14ac:dyDescent="0.2">
      <c r="A103" s="446" t="s">
        <v>2102</v>
      </c>
      <c r="B103" s="446" t="s">
        <v>2907</v>
      </c>
      <c r="C103" s="446" t="s">
        <v>902</v>
      </c>
      <c r="D103" s="446" t="s">
        <v>153</v>
      </c>
      <c r="E103" s="446" t="s">
        <v>3798</v>
      </c>
      <c r="F103" s="298">
        <v>42597</v>
      </c>
      <c r="G103" s="74">
        <v>0</v>
      </c>
      <c r="H103" s="74">
        <v>0</v>
      </c>
      <c r="I103" s="74">
        <v>23</v>
      </c>
      <c r="J103" s="74">
        <v>0</v>
      </c>
      <c r="K103" s="74">
        <v>0</v>
      </c>
      <c r="L103" s="74">
        <v>23</v>
      </c>
      <c r="M103" s="74">
        <v>0</v>
      </c>
      <c r="N103" s="74">
        <v>0</v>
      </c>
      <c r="O103" s="74">
        <v>0</v>
      </c>
      <c r="P103" s="74">
        <v>0</v>
      </c>
      <c r="Q103" s="74">
        <v>0</v>
      </c>
      <c r="R103" s="74">
        <v>0</v>
      </c>
      <c r="S103" s="74">
        <v>23</v>
      </c>
    </row>
    <row r="104" spans="1:19" x14ac:dyDescent="0.2">
      <c r="A104" s="446" t="s">
        <v>2205</v>
      </c>
      <c r="B104" s="446" t="s">
        <v>3949</v>
      </c>
      <c r="C104" s="446" t="s">
        <v>619</v>
      </c>
      <c r="D104" s="446" t="s">
        <v>153</v>
      </c>
      <c r="E104" s="446" t="s">
        <v>3798</v>
      </c>
      <c r="F104" s="298">
        <v>42542</v>
      </c>
      <c r="G104" s="74">
        <v>0</v>
      </c>
      <c r="H104" s="74">
        <v>0</v>
      </c>
      <c r="I104" s="74">
        <v>0</v>
      </c>
      <c r="J104" s="74">
        <v>0</v>
      </c>
      <c r="K104" s="74">
        <v>0</v>
      </c>
      <c r="L104" s="74">
        <v>0</v>
      </c>
      <c r="M104" s="74">
        <v>67</v>
      </c>
      <c r="N104" s="74">
        <v>0</v>
      </c>
      <c r="O104" s="74">
        <v>0</v>
      </c>
      <c r="P104" s="74">
        <v>0</v>
      </c>
      <c r="Q104" s="74">
        <v>0</v>
      </c>
      <c r="R104" s="74">
        <v>67</v>
      </c>
      <c r="S104" s="74">
        <v>-67</v>
      </c>
    </row>
    <row r="105" spans="1:19" x14ac:dyDescent="0.2">
      <c r="A105" s="446" t="s">
        <v>2203</v>
      </c>
      <c r="B105" s="446" t="s">
        <v>3949</v>
      </c>
      <c r="C105" s="446" t="s">
        <v>615</v>
      </c>
      <c r="D105" s="446" t="s">
        <v>153</v>
      </c>
      <c r="E105" s="446" t="s">
        <v>3798</v>
      </c>
      <c r="F105" s="298">
        <v>42542</v>
      </c>
      <c r="G105" s="74">
        <v>0</v>
      </c>
      <c r="H105" s="74">
        <v>0</v>
      </c>
      <c r="I105" s="74">
        <v>0</v>
      </c>
      <c r="J105" s="74">
        <v>0</v>
      </c>
      <c r="K105" s="74">
        <v>0</v>
      </c>
      <c r="L105" s="74">
        <v>0</v>
      </c>
      <c r="M105" s="74">
        <v>86</v>
      </c>
      <c r="N105" s="74">
        <v>0</v>
      </c>
      <c r="O105" s="74">
        <v>0</v>
      </c>
      <c r="P105" s="74">
        <v>0</v>
      </c>
      <c r="Q105" s="74">
        <v>0</v>
      </c>
      <c r="R105" s="74">
        <v>86</v>
      </c>
      <c r="S105" s="74">
        <v>-86</v>
      </c>
    </row>
    <row r="106" spans="1:19" x14ac:dyDescent="0.2">
      <c r="A106" s="446" t="s">
        <v>2204</v>
      </c>
      <c r="B106" s="446" t="s">
        <v>3949</v>
      </c>
      <c r="C106" s="446" t="s">
        <v>617</v>
      </c>
      <c r="D106" s="446" t="s">
        <v>153</v>
      </c>
      <c r="E106" s="446" t="s">
        <v>3798</v>
      </c>
      <c r="F106" s="298">
        <v>42466</v>
      </c>
      <c r="G106" s="74">
        <v>0</v>
      </c>
      <c r="H106" s="74">
        <v>0</v>
      </c>
      <c r="I106" s="74">
        <v>0</v>
      </c>
      <c r="J106" s="74">
        <v>0</v>
      </c>
      <c r="K106" s="74">
        <v>0</v>
      </c>
      <c r="L106" s="74">
        <v>0</v>
      </c>
      <c r="M106" s="74">
        <v>62</v>
      </c>
      <c r="N106" s="74">
        <v>0</v>
      </c>
      <c r="O106" s="74">
        <v>0</v>
      </c>
      <c r="P106" s="74">
        <v>0</v>
      </c>
      <c r="Q106" s="74">
        <v>0</v>
      </c>
      <c r="R106" s="74">
        <v>62</v>
      </c>
      <c r="S106" s="74">
        <v>-62</v>
      </c>
    </row>
    <row r="107" spans="1:19" x14ac:dyDescent="0.2">
      <c r="A107" s="446" t="s">
        <v>2348</v>
      </c>
      <c r="B107" s="446" t="s">
        <v>150</v>
      </c>
      <c r="C107" s="446" t="s">
        <v>721</v>
      </c>
      <c r="D107" s="446" t="s">
        <v>153</v>
      </c>
      <c r="E107" s="446" t="s">
        <v>3798</v>
      </c>
      <c r="F107" s="298">
        <v>42067</v>
      </c>
      <c r="G107" s="74">
        <v>0</v>
      </c>
      <c r="H107" s="74">
        <v>0</v>
      </c>
      <c r="I107" s="74">
        <v>9</v>
      </c>
      <c r="J107" s="74">
        <v>0</v>
      </c>
      <c r="K107" s="74">
        <v>0</v>
      </c>
      <c r="L107" s="74">
        <v>9</v>
      </c>
      <c r="M107" s="74">
        <v>0</v>
      </c>
      <c r="N107" s="74">
        <v>0</v>
      </c>
      <c r="O107" s="74">
        <v>0</v>
      </c>
      <c r="P107" s="74">
        <v>0</v>
      </c>
      <c r="Q107" s="74">
        <v>0</v>
      </c>
      <c r="R107" s="74">
        <v>0</v>
      </c>
      <c r="S107" s="74">
        <v>9</v>
      </c>
    </row>
    <row r="108" spans="1:19" x14ac:dyDescent="0.2">
      <c r="A108" s="446" t="s">
        <v>2202</v>
      </c>
      <c r="B108" s="446" t="s">
        <v>150</v>
      </c>
      <c r="C108" s="446" t="s">
        <v>580</v>
      </c>
      <c r="D108" s="446" t="s">
        <v>153</v>
      </c>
      <c r="E108" s="446" t="s">
        <v>3798</v>
      </c>
      <c r="F108" s="298">
        <v>42535</v>
      </c>
      <c r="G108" s="74">
        <v>52</v>
      </c>
      <c r="H108" s="74">
        <v>0</v>
      </c>
      <c r="I108" s="74">
        <v>0</v>
      </c>
      <c r="J108" s="74">
        <v>0</v>
      </c>
      <c r="K108" s="74">
        <v>0</v>
      </c>
      <c r="L108" s="74">
        <v>52</v>
      </c>
      <c r="M108" s="74">
        <v>84</v>
      </c>
      <c r="N108" s="74">
        <v>0</v>
      </c>
      <c r="O108" s="74">
        <v>0</v>
      </c>
      <c r="P108" s="74">
        <v>0</v>
      </c>
      <c r="Q108" s="74">
        <v>0</v>
      </c>
      <c r="R108" s="74">
        <v>84</v>
      </c>
      <c r="S108" s="74">
        <v>-32</v>
      </c>
    </row>
    <row r="109" spans="1:19" x14ac:dyDescent="0.2">
      <c r="A109" s="446" t="s">
        <v>2259</v>
      </c>
      <c r="B109" s="446" t="s">
        <v>3950</v>
      </c>
      <c r="C109" s="446" t="s">
        <v>970</v>
      </c>
      <c r="D109" s="446" t="s">
        <v>153</v>
      </c>
      <c r="E109" s="446" t="s">
        <v>3798</v>
      </c>
      <c r="F109" s="298">
        <v>42606</v>
      </c>
      <c r="G109" s="74">
        <v>0</v>
      </c>
      <c r="H109" s="74">
        <v>40</v>
      </c>
      <c r="I109" s="74">
        <v>0</v>
      </c>
      <c r="J109" s="74">
        <v>0</v>
      </c>
      <c r="K109" s="74">
        <v>0</v>
      </c>
      <c r="L109" s="74">
        <v>40</v>
      </c>
      <c r="M109" s="74">
        <v>96</v>
      </c>
      <c r="N109" s="74">
        <v>0</v>
      </c>
      <c r="O109" s="74">
        <v>0</v>
      </c>
      <c r="P109" s="74">
        <v>0</v>
      </c>
      <c r="Q109" s="74">
        <v>0</v>
      </c>
      <c r="R109" s="74">
        <v>96</v>
      </c>
      <c r="S109" s="74">
        <v>-56</v>
      </c>
    </row>
    <row r="110" spans="1:19" x14ac:dyDescent="0.2">
      <c r="A110" s="446" t="s">
        <v>2372</v>
      </c>
      <c r="B110" s="446" t="s">
        <v>3944</v>
      </c>
      <c r="C110" s="446" t="s">
        <v>2373</v>
      </c>
      <c r="D110" s="446" t="s">
        <v>153</v>
      </c>
      <c r="E110" s="446" t="s">
        <v>3798</v>
      </c>
      <c r="F110" s="298">
        <v>42999</v>
      </c>
      <c r="G110" s="74">
        <v>0</v>
      </c>
      <c r="H110" s="74">
        <v>0</v>
      </c>
      <c r="I110" s="74">
        <v>0</v>
      </c>
      <c r="J110" s="74">
        <v>0</v>
      </c>
      <c r="K110" s="74">
        <v>0</v>
      </c>
      <c r="L110" s="74">
        <v>0</v>
      </c>
      <c r="M110" s="74">
        <v>77</v>
      </c>
      <c r="N110" s="74">
        <v>0</v>
      </c>
      <c r="O110" s="74">
        <v>0</v>
      </c>
      <c r="P110" s="74">
        <v>0</v>
      </c>
      <c r="Q110" s="74">
        <v>0</v>
      </c>
      <c r="R110" s="74">
        <v>77</v>
      </c>
      <c r="S110" s="74">
        <v>-77</v>
      </c>
    </row>
    <row r="111" spans="1:19" x14ac:dyDescent="0.2">
      <c r="A111" s="446" t="s">
        <v>1400</v>
      </c>
      <c r="B111" s="446" t="s">
        <v>3952</v>
      </c>
      <c r="C111" s="446" t="s">
        <v>324</v>
      </c>
      <c r="D111" s="446" t="s">
        <v>153</v>
      </c>
      <c r="E111" s="446" t="s">
        <v>3798</v>
      </c>
      <c r="F111" s="298">
        <v>41976</v>
      </c>
      <c r="G111" s="74">
        <v>239</v>
      </c>
      <c r="H111" s="74">
        <v>238</v>
      </c>
      <c r="I111" s="74">
        <v>238</v>
      </c>
      <c r="J111" s="74">
        <v>0</v>
      </c>
      <c r="K111" s="74">
        <v>0</v>
      </c>
      <c r="L111" s="74">
        <v>715</v>
      </c>
      <c r="M111" s="74">
        <v>0</v>
      </c>
      <c r="N111" s="74">
        <v>0</v>
      </c>
      <c r="O111" s="74">
        <v>0</v>
      </c>
      <c r="P111" s="74">
        <v>0</v>
      </c>
      <c r="Q111" s="74">
        <v>0</v>
      </c>
      <c r="R111" s="74">
        <v>0</v>
      </c>
      <c r="S111" s="74">
        <v>715</v>
      </c>
    </row>
    <row r="112" spans="1:19" x14ac:dyDescent="0.2">
      <c r="A112" s="446" t="s">
        <v>1739</v>
      </c>
      <c r="B112" s="446" t="s">
        <v>2904</v>
      </c>
      <c r="C112" s="446" t="s">
        <v>265</v>
      </c>
      <c r="D112" s="446" t="s">
        <v>153</v>
      </c>
      <c r="E112" s="446" t="s">
        <v>3798</v>
      </c>
      <c r="F112" s="298">
        <v>42121</v>
      </c>
      <c r="G112" s="74">
        <v>37</v>
      </c>
      <c r="H112" s="74">
        <v>0</v>
      </c>
      <c r="I112" s="74">
        <v>0</v>
      </c>
      <c r="J112" s="74">
        <v>0</v>
      </c>
      <c r="K112" s="74">
        <v>0</v>
      </c>
      <c r="L112" s="74">
        <v>37</v>
      </c>
      <c r="M112" s="74">
        <v>75</v>
      </c>
      <c r="N112" s="74">
        <v>0</v>
      </c>
      <c r="O112" s="74">
        <v>0</v>
      </c>
      <c r="P112" s="74">
        <v>0</v>
      </c>
      <c r="Q112" s="74">
        <v>0</v>
      </c>
      <c r="R112" s="74">
        <v>75</v>
      </c>
      <c r="S112" s="74">
        <v>-38</v>
      </c>
    </row>
    <row r="113" spans="1:19" x14ac:dyDescent="0.2">
      <c r="A113" s="446" t="s">
        <v>1867</v>
      </c>
      <c r="B113" s="446" t="s">
        <v>3947</v>
      </c>
      <c r="C113" s="446" t="s">
        <v>1876</v>
      </c>
      <c r="D113" s="446" t="s">
        <v>1878</v>
      </c>
      <c r="E113" s="446" t="s">
        <v>3971</v>
      </c>
      <c r="F113" s="298">
        <v>42865</v>
      </c>
      <c r="G113" s="74">
        <v>305</v>
      </c>
      <c r="H113" s="74">
        <v>305</v>
      </c>
      <c r="I113" s="74">
        <v>305</v>
      </c>
      <c r="J113" s="74">
        <v>305</v>
      </c>
      <c r="K113" s="74">
        <v>306</v>
      </c>
      <c r="L113" s="74">
        <v>1526</v>
      </c>
      <c r="M113" s="74">
        <v>0</v>
      </c>
      <c r="N113" s="74">
        <v>0</v>
      </c>
      <c r="O113" s="74">
        <v>0</v>
      </c>
      <c r="P113" s="74">
        <v>0</v>
      </c>
      <c r="Q113" s="74">
        <v>0</v>
      </c>
      <c r="R113" s="74">
        <v>0</v>
      </c>
      <c r="S113" s="74">
        <v>1526</v>
      </c>
    </row>
    <row r="114" spans="1:19" x14ac:dyDescent="0.2">
      <c r="C114" s="446" t="s">
        <v>1888</v>
      </c>
      <c r="D114" s="446" t="s">
        <v>1886</v>
      </c>
      <c r="E114" s="446" t="s">
        <v>3798</v>
      </c>
      <c r="F114" s="298">
        <v>43174</v>
      </c>
      <c r="G114" s="74">
        <v>0</v>
      </c>
      <c r="H114" s="74">
        <v>33</v>
      </c>
      <c r="I114" s="74">
        <v>33</v>
      </c>
      <c r="J114" s="74">
        <v>33</v>
      </c>
      <c r="K114" s="74">
        <v>0</v>
      </c>
      <c r="L114" s="74">
        <v>99</v>
      </c>
      <c r="M114" s="74">
        <v>0</v>
      </c>
      <c r="N114" s="74">
        <v>98</v>
      </c>
      <c r="O114" s="74">
        <v>0</v>
      </c>
      <c r="P114" s="74">
        <v>0</v>
      </c>
      <c r="Q114" s="74">
        <v>0</v>
      </c>
      <c r="R114" s="74">
        <v>98</v>
      </c>
      <c r="S114" s="74">
        <v>1</v>
      </c>
    </row>
    <row r="115" spans="1:19" x14ac:dyDescent="0.2">
      <c r="A115" s="446" t="s">
        <v>1682</v>
      </c>
      <c r="B115" s="446" t="s">
        <v>3947</v>
      </c>
      <c r="C115" s="446" t="s">
        <v>354</v>
      </c>
      <c r="D115" s="446" t="s">
        <v>1684</v>
      </c>
      <c r="E115" s="446" t="s">
        <v>3971</v>
      </c>
      <c r="F115" s="298">
        <v>42046</v>
      </c>
      <c r="G115" s="74">
        <v>785</v>
      </c>
      <c r="H115" s="74">
        <v>785</v>
      </c>
      <c r="I115" s="74">
        <v>785</v>
      </c>
      <c r="J115" s="74">
        <v>785</v>
      </c>
      <c r="K115" s="74">
        <v>784</v>
      </c>
      <c r="L115" s="74">
        <v>3924</v>
      </c>
      <c r="M115" s="74">
        <v>0</v>
      </c>
      <c r="N115" s="74">
        <v>0</v>
      </c>
      <c r="O115" s="74">
        <v>0</v>
      </c>
      <c r="P115" s="74">
        <v>0</v>
      </c>
      <c r="Q115" s="74">
        <v>0</v>
      </c>
      <c r="R115" s="74">
        <v>0</v>
      </c>
      <c r="S115" s="74">
        <v>3924</v>
      </c>
    </row>
    <row r="116" spans="1:19" x14ac:dyDescent="0.2">
      <c r="D116" s="446" t="s">
        <v>1685</v>
      </c>
      <c r="E116" s="446" t="s">
        <v>3971</v>
      </c>
      <c r="F116" s="298">
        <v>42046</v>
      </c>
      <c r="G116" s="74">
        <v>88</v>
      </c>
      <c r="H116" s="74">
        <v>88</v>
      </c>
      <c r="I116" s="74">
        <v>88</v>
      </c>
      <c r="J116" s="74">
        <v>87</v>
      </c>
      <c r="K116" s="74">
        <v>87</v>
      </c>
      <c r="L116" s="74">
        <v>438</v>
      </c>
      <c r="M116" s="74">
        <v>0</v>
      </c>
      <c r="N116" s="74">
        <v>0</v>
      </c>
      <c r="O116" s="74">
        <v>0</v>
      </c>
      <c r="P116" s="74">
        <v>0</v>
      </c>
      <c r="Q116" s="74">
        <v>0</v>
      </c>
      <c r="R116" s="74">
        <v>0</v>
      </c>
      <c r="S116" s="74">
        <v>438</v>
      </c>
    </row>
    <row r="117" spans="1:19" x14ac:dyDescent="0.2">
      <c r="D117" s="446" t="s">
        <v>1689</v>
      </c>
      <c r="E117" s="446" t="s">
        <v>3971</v>
      </c>
      <c r="F117" s="298">
        <v>42046</v>
      </c>
      <c r="G117" s="74">
        <v>248</v>
      </c>
      <c r="H117" s="74">
        <v>248</v>
      </c>
      <c r="I117" s="74">
        <v>248</v>
      </c>
      <c r="J117" s="74">
        <v>249</v>
      </c>
      <c r="K117" s="74">
        <v>248</v>
      </c>
      <c r="L117" s="74">
        <v>1241</v>
      </c>
      <c r="M117" s="74">
        <v>0</v>
      </c>
      <c r="N117" s="74">
        <v>0</v>
      </c>
      <c r="O117" s="74">
        <v>0</v>
      </c>
      <c r="P117" s="74">
        <v>0</v>
      </c>
      <c r="Q117" s="74">
        <v>0</v>
      </c>
      <c r="R117" s="74">
        <v>0</v>
      </c>
      <c r="S117" s="74">
        <v>1241</v>
      </c>
    </row>
    <row r="118" spans="1:19" x14ac:dyDescent="0.2">
      <c r="A118" s="446" t="s">
        <v>1333</v>
      </c>
      <c r="B118" s="446" t="s">
        <v>3947</v>
      </c>
      <c r="C118" s="446" t="s">
        <v>439</v>
      </c>
      <c r="D118" s="446" t="s">
        <v>153</v>
      </c>
      <c r="E118" s="446" t="s">
        <v>3798</v>
      </c>
      <c r="F118" s="298">
        <v>42230</v>
      </c>
      <c r="G118" s="74">
        <v>0</v>
      </c>
      <c r="H118" s="74">
        <v>133</v>
      </c>
      <c r="I118" s="74">
        <v>0</v>
      </c>
      <c r="J118" s="74">
        <v>0</v>
      </c>
      <c r="K118" s="74">
        <v>0</v>
      </c>
      <c r="L118" s="74">
        <v>133</v>
      </c>
      <c r="M118" s="74">
        <v>0</v>
      </c>
      <c r="N118" s="74">
        <v>146</v>
      </c>
      <c r="O118" s="74">
        <v>0</v>
      </c>
      <c r="P118" s="74">
        <v>0</v>
      </c>
      <c r="Q118" s="74">
        <v>0</v>
      </c>
      <c r="R118" s="74">
        <v>146</v>
      </c>
      <c r="S118" s="74">
        <v>-13</v>
      </c>
    </row>
    <row r="119" spans="1:19" x14ac:dyDescent="0.2">
      <c r="A119" s="446" t="s">
        <v>1385</v>
      </c>
      <c r="B119" s="446" t="s">
        <v>3943</v>
      </c>
      <c r="C119" s="446" t="s">
        <v>1386</v>
      </c>
      <c r="D119" s="446" t="s">
        <v>153</v>
      </c>
      <c r="E119" s="446" t="s">
        <v>3798</v>
      </c>
      <c r="F119" s="298">
        <v>43000</v>
      </c>
      <c r="G119" s="74">
        <v>330</v>
      </c>
      <c r="H119" s="74">
        <v>0</v>
      </c>
      <c r="I119" s="74">
        <v>0</v>
      </c>
      <c r="J119" s="74">
        <v>0</v>
      </c>
      <c r="K119" s="74">
        <v>0</v>
      </c>
      <c r="L119" s="74">
        <v>330</v>
      </c>
      <c r="M119" s="74">
        <v>0</v>
      </c>
      <c r="N119" s="74">
        <v>0</v>
      </c>
      <c r="O119" s="74">
        <v>0</v>
      </c>
      <c r="P119" s="74">
        <v>330</v>
      </c>
      <c r="Q119" s="74">
        <v>0</v>
      </c>
      <c r="R119" s="74">
        <v>330</v>
      </c>
      <c r="S119" s="74">
        <v>0</v>
      </c>
    </row>
    <row r="120" spans="1:19" x14ac:dyDescent="0.2">
      <c r="A120" s="446" t="s">
        <v>2672</v>
      </c>
      <c r="B120" s="446" t="s">
        <v>3945</v>
      </c>
      <c r="C120" s="446" t="s">
        <v>2673</v>
      </c>
      <c r="D120" s="446" t="s">
        <v>153</v>
      </c>
      <c r="E120" s="446" t="s">
        <v>3798</v>
      </c>
      <c r="F120" s="298">
        <v>43145</v>
      </c>
      <c r="G120" s="74">
        <v>0</v>
      </c>
      <c r="H120" s="74">
        <v>0</v>
      </c>
      <c r="I120" s="74">
        <v>279</v>
      </c>
      <c r="J120" s="74">
        <v>0</v>
      </c>
      <c r="K120" s="74">
        <v>0</v>
      </c>
      <c r="L120" s="74">
        <v>279</v>
      </c>
      <c r="M120" s="74">
        <v>0</v>
      </c>
      <c r="N120" s="74">
        <v>0</v>
      </c>
      <c r="O120" s="74">
        <v>0</v>
      </c>
      <c r="P120" s="74">
        <v>352</v>
      </c>
      <c r="Q120" s="74">
        <v>0</v>
      </c>
      <c r="R120" s="74">
        <v>352</v>
      </c>
      <c r="S120" s="74">
        <v>-73</v>
      </c>
    </row>
    <row r="121" spans="1:19" x14ac:dyDescent="0.2">
      <c r="A121" s="446" t="s">
        <v>2518</v>
      </c>
      <c r="B121" s="446" t="s">
        <v>3946</v>
      </c>
      <c r="C121" s="446" t="s">
        <v>2519</v>
      </c>
      <c r="D121" s="446" t="s">
        <v>153</v>
      </c>
      <c r="E121" s="446" t="s">
        <v>3798</v>
      </c>
      <c r="F121" s="298">
        <v>42989</v>
      </c>
      <c r="G121" s="74">
        <v>0</v>
      </c>
      <c r="H121" s="74">
        <v>0</v>
      </c>
      <c r="I121" s="74">
        <v>0</v>
      </c>
      <c r="J121" s="74">
        <v>0</v>
      </c>
      <c r="K121" s="74">
        <v>0</v>
      </c>
      <c r="L121" s="74">
        <v>0</v>
      </c>
      <c r="M121" s="74">
        <v>45</v>
      </c>
      <c r="N121" s="74">
        <v>0</v>
      </c>
      <c r="O121" s="74">
        <v>0</v>
      </c>
      <c r="P121" s="74">
        <v>0</v>
      </c>
      <c r="Q121" s="74">
        <v>0</v>
      </c>
      <c r="R121" s="74">
        <v>45</v>
      </c>
      <c r="S121" s="74">
        <v>-45</v>
      </c>
    </row>
    <row r="122" spans="1:19" x14ac:dyDescent="0.2">
      <c r="A122" s="446" t="s">
        <v>1915</v>
      </c>
      <c r="B122" s="446" t="s">
        <v>3946</v>
      </c>
      <c r="C122" s="446" t="s">
        <v>805</v>
      </c>
      <c r="D122" s="446" t="s">
        <v>153</v>
      </c>
      <c r="E122" s="446" t="s">
        <v>3798</v>
      </c>
      <c r="F122" s="298">
        <v>42587</v>
      </c>
      <c r="G122" s="74">
        <v>15</v>
      </c>
      <c r="H122" s="74">
        <v>0</v>
      </c>
      <c r="I122" s="74">
        <v>0</v>
      </c>
      <c r="J122" s="74">
        <v>0</v>
      </c>
      <c r="K122" s="74">
        <v>0</v>
      </c>
      <c r="L122" s="74">
        <v>15</v>
      </c>
      <c r="M122" s="74">
        <v>0</v>
      </c>
      <c r="N122" s="74">
        <v>0</v>
      </c>
      <c r="O122" s="74">
        <v>0</v>
      </c>
      <c r="P122" s="74">
        <v>0</v>
      </c>
      <c r="Q122" s="74">
        <v>0</v>
      </c>
      <c r="R122" s="74">
        <v>0</v>
      </c>
      <c r="S122" s="74">
        <v>15</v>
      </c>
    </row>
    <row r="123" spans="1:19" x14ac:dyDescent="0.2">
      <c r="A123" s="446" t="s">
        <v>1773</v>
      </c>
      <c r="B123" s="446" t="s">
        <v>3947</v>
      </c>
      <c r="C123" s="446" t="s">
        <v>861</v>
      </c>
      <c r="D123" s="446" t="s">
        <v>1775</v>
      </c>
      <c r="E123" s="446" t="s">
        <v>3971</v>
      </c>
      <c r="F123" s="298">
        <v>42758</v>
      </c>
      <c r="G123" s="74">
        <v>44</v>
      </c>
      <c r="H123" s="74">
        <v>44</v>
      </c>
      <c r="I123" s="74">
        <v>44</v>
      </c>
      <c r="J123" s="74">
        <v>44</v>
      </c>
      <c r="K123" s="74">
        <v>43</v>
      </c>
      <c r="L123" s="74">
        <v>219</v>
      </c>
      <c r="M123" s="74">
        <v>0</v>
      </c>
      <c r="N123" s="74">
        <v>0</v>
      </c>
      <c r="O123" s="74">
        <v>0</v>
      </c>
      <c r="P123" s="74">
        <v>0</v>
      </c>
      <c r="Q123" s="74">
        <v>0</v>
      </c>
      <c r="R123" s="74">
        <v>0</v>
      </c>
      <c r="S123" s="74">
        <v>219</v>
      </c>
    </row>
    <row r="124" spans="1:19" x14ac:dyDescent="0.2">
      <c r="D124" s="446" t="s">
        <v>1776</v>
      </c>
      <c r="E124" s="446" t="s">
        <v>3971</v>
      </c>
      <c r="F124" s="298">
        <v>42758</v>
      </c>
      <c r="G124" s="74">
        <v>217</v>
      </c>
      <c r="H124" s="74">
        <v>217</v>
      </c>
      <c r="I124" s="74">
        <v>217</v>
      </c>
      <c r="J124" s="74">
        <v>217</v>
      </c>
      <c r="K124" s="74">
        <v>217</v>
      </c>
      <c r="L124" s="74">
        <v>1085</v>
      </c>
      <c r="M124" s="74">
        <v>0</v>
      </c>
      <c r="N124" s="74">
        <v>0</v>
      </c>
      <c r="O124" s="74">
        <v>0</v>
      </c>
      <c r="P124" s="74">
        <v>0</v>
      </c>
      <c r="Q124" s="74">
        <v>0</v>
      </c>
      <c r="R124" s="74">
        <v>0</v>
      </c>
      <c r="S124" s="74">
        <v>1085</v>
      </c>
    </row>
    <row r="125" spans="1:19" x14ac:dyDescent="0.2">
      <c r="D125" s="446" t="s">
        <v>1777</v>
      </c>
      <c r="E125" s="446" t="s">
        <v>3971</v>
      </c>
      <c r="F125" s="298">
        <v>42758</v>
      </c>
      <c r="G125" s="74">
        <v>903</v>
      </c>
      <c r="H125" s="74">
        <v>903</v>
      </c>
      <c r="I125" s="74">
        <v>903</v>
      </c>
      <c r="J125" s="74">
        <v>903</v>
      </c>
      <c r="K125" s="74">
        <v>903</v>
      </c>
      <c r="L125" s="74">
        <v>4515</v>
      </c>
      <c r="M125" s="74">
        <v>0</v>
      </c>
      <c r="N125" s="74">
        <v>0</v>
      </c>
      <c r="O125" s="74">
        <v>0</v>
      </c>
      <c r="P125" s="74">
        <v>0</v>
      </c>
      <c r="Q125" s="74">
        <v>0</v>
      </c>
      <c r="R125" s="74">
        <v>0</v>
      </c>
      <c r="S125" s="74">
        <v>4515</v>
      </c>
    </row>
    <row r="126" spans="1:19" x14ac:dyDescent="0.2">
      <c r="D126" s="446" t="s">
        <v>1778</v>
      </c>
      <c r="E126" s="446" t="s">
        <v>3971</v>
      </c>
      <c r="F126" s="298">
        <v>42758</v>
      </c>
      <c r="G126" s="74">
        <v>169</v>
      </c>
      <c r="H126" s="74">
        <v>169</v>
      </c>
      <c r="I126" s="74">
        <v>169</v>
      </c>
      <c r="J126" s="74">
        <v>169</v>
      </c>
      <c r="K126" s="74">
        <v>169</v>
      </c>
      <c r="L126" s="74">
        <v>845</v>
      </c>
      <c r="M126" s="74">
        <v>0</v>
      </c>
      <c r="N126" s="74">
        <v>0</v>
      </c>
      <c r="O126" s="74">
        <v>0</v>
      </c>
      <c r="P126" s="74">
        <v>0</v>
      </c>
      <c r="Q126" s="74">
        <v>0</v>
      </c>
      <c r="R126" s="74">
        <v>0</v>
      </c>
      <c r="S126" s="74">
        <v>845</v>
      </c>
    </row>
    <row r="127" spans="1:19" x14ac:dyDescent="0.2">
      <c r="D127" s="446" t="s">
        <v>1779</v>
      </c>
      <c r="E127" s="446" t="s">
        <v>3971</v>
      </c>
      <c r="F127" s="298">
        <v>42758</v>
      </c>
      <c r="G127" s="74">
        <v>44</v>
      </c>
      <c r="H127" s="74">
        <v>44</v>
      </c>
      <c r="I127" s="74">
        <v>44</v>
      </c>
      <c r="J127" s="74">
        <v>44</v>
      </c>
      <c r="K127" s="74">
        <v>43</v>
      </c>
      <c r="L127" s="74">
        <v>219</v>
      </c>
      <c r="M127" s="74">
        <v>0</v>
      </c>
      <c r="N127" s="74">
        <v>0</v>
      </c>
      <c r="O127" s="74">
        <v>0</v>
      </c>
      <c r="P127" s="74">
        <v>0</v>
      </c>
      <c r="Q127" s="74">
        <v>0</v>
      </c>
      <c r="R127" s="74">
        <v>0</v>
      </c>
      <c r="S127" s="74">
        <v>219</v>
      </c>
    </row>
    <row r="128" spans="1:19" x14ac:dyDescent="0.2">
      <c r="D128" s="446" t="s">
        <v>1780</v>
      </c>
      <c r="E128" s="446" t="s">
        <v>3971</v>
      </c>
      <c r="F128" s="298">
        <v>42758</v>
      </c>
      <c r="G128" s="74">
        <v>66</v>
      </c>
      <c r="H128" s="74">
        <v>66</v>
      </c>
      <c r="I128" s="74">
        <v>66</v>
      </c>
      <c r="J128" s="74">
        <v>66</v>
      </c>
      <c r="K128" s="74">
        <v>66</v>
      </c>
      <c r="L128" s="74">
        <v>330</v>
      </c>
      <c r="M128" s="74">
        <v>0</v>
      </c>
      <c r="N128" s="74">
        <v>0</v>
      </c>
      <c r="O128" s="74">
        <v>0</v>
      </c>
      <c r="P128" s="74">
        <v>0</v>
      </c>
      <c r="Q128" s="74">
        <v>0</v>
      </c>
      <c r="R128" s="74">
        <v>0</v>
      </c>
      <c r="S128" s="74">
        <v>330</v>
      </c>
    </row>
    <row r="129" spans="1:19" x14ac:dyDescent="0.2">
      <c r="A129" s="446" t="s">
        <v>2218</v>
      </c>
      <c r="B129" s="446" t="s">
        <v>3943</v>
      </c>
      <c r="C129" s="446" t="s">
        <v>1052</v>
      </c>
      <c r="D129" s="446" t="s">
        <v>153</v>
      </c>
      <c r="E129" s="446" t="s">
        <v>3798</v>
      </c>
      <c r="F129" s="298">
        <v>42955</v>
      </c>
      <c r="G129" s="74">
        <v>62</v>
      </c>
      <c r="H129" s="74">
        <v>62</v>
      </c>
      <c r="I129" s="74">
        <v>0</v>
      </c>
      <c r="J129" s="74">
        <v>0</v>
      </c>
      <c r="K129" s="74">
        <v>0</v>
      </c>
      <c r="L129" s="74">
        <v>124</v>
      </c>
      <c r="M129" s="74">
        <v>1532</v>
      </c>
      <c r="N129" s="74">
        <v>0</v>
      </c>
      <c r="O129" s="74">
        <v>0</v>
      </c>
      <c r="P129" s="74">
        <v>0</v>
      </c>
      <c r="Q129" s="74">
        <v>0</v>
      </c>
      <c r="R129" s="74">
        <v>1532</v>
      </c>
      <c r="S129" s="74">
        <v>-1408</v>
      </c>
    </row>
    <row r="130" spans="1:19" x14ac:dyDescent="0.2">
      <c r="A130" s="446" t="s">
        <v>1757</v>
      </c>
      <c r="B130" s="446" t="s">
        <v>3942</v>
      </c>
      <c r="C130" s="446" t="s">
        <v>701</v>
      </c>
      <c r="D130" s="446" t="s">
        <v>153</v>
      </c>
      <c r="E130" s="446" t="s">
        <v>3798</v>
      </c>
      <c r="F130" s="298">
        <v>41866</v>
      </c>
      <c r="G130" s="74">
        <v>0</v>
      </c>
      <c r="H130" s="74">
        <v>0</v>
      </c>
      <c r="I130" s="74">
        <v>0</v>
      </c>
      <c r="J130" s="74">
        <v>0</v>
      </c>
      <c r="K130" s="74">
        <v>52</v>
      </c>
      <c r="L130" s="74">
        <v>52</v>
      </c>
      <c r="M130" s="74">
        <v>0</v>
      </c>
      <c r="N130" s="74">
        <v>0</v>
      </c>
      <c r="O130" s="74">
        <v>0</v>
      </c>
      <c r="P130" s="74">
        <v>0</v>
      </c>
      <c r="Q130" s="74">
        <v>37</v>
      </c>
      <c r="R130" s="74">
        <v>37</v>
      </c>
      <c r="S130" s="74">
        <v>15</v>
      </c>
    </row>
    <row r="131" spans="1:19" x14ac:dyDescent="0.2">
      <c r="A131" s="446" t="s">
        <v>1525</v>
      </c>
      <c r="B131" s="446" t="s">
        <v>3947</v>
      </c>
      <c r="C131" s="446" t="s">
        <v>428</v>
      </c>
      <c r="D131" s="446" t="s">
        <v>1527</v>
      </c>
      <c r="E131" s="446" t="s">
        <v>3971</v>
      </c>
      <c r="F131" s="298">
        <v>41978</v>
      </c>
      <c r="G131" s="74">
        <v>0</v>
      </c>
      <c r="H131" s="74">
        <v>0</v>
      </c>
      <c r="I131" s="74">
        <v>278</v>
      </c>
      <c r="J131" s="74">
        <v>278</v>
      </c>
      <c r="K131" s="74">
        <v>279</v>
      </c>
      <c r="L131" s="74">
        <v>835</v>
      </c>
      <c r="M131" s="74">
        <v>0</v>
      </c>
      <c r="N131" s="74">
        <v>0</v>
      </c>
      <c r="O131" s="74">
        <v>0</v>
      </c>
      <c r="P131" s="74">
        <v>0</v>
      </c>
      <c r="Q131" s="74">
        <v>0</v>
      </c>
      <c r="R131" s="74">
        <v>0</v>
      </c>
      <c r="S131" s="74">
        <v>835</v>
      </c>
    </row>
    <row r="132" spans="1:19" x14ac:dyDescent="0.2">
      <c r="C132" s="446" t="s">
        <v>653</v>
      </c>
      <c r="D132" s="446" t="s">
        <v>1532</v>
      </c>
      <c r="E132" s="446" t="s">
        <v>3971</v>
      </c>
      <c r="F132" s="298">
        <v>42682</v>
      </c>
      <c r="G132" s="74">
        <v>3341</v>
      </c>
      <c r="H132" s="74">
        <v>3341</v>
      </c>
      <c r="I132" s="74">
        <v>192</v>
      </c>
      <c r="J132" s="74">
        <v>192</v>
      </c>
      <c r="K132" s="74">
        <v>193</v>
      </c>
      <c r="L132" s="74">
        <v>7259</v>
      </c>
      <c r="M132" s="74">
        <v>0</v>
      </c>
      <c r="N132" s="74">
        <v>0</v>
      </c>
      <c r="O132" s="74">
        <v>0</v>
      </c>
      <c r="P132" s="74">
        <v>0</v>
      </c>
      <c r="Q132" s="74">
        <v>0</v>
      </c>
      <c r="R132" s="74">
        <v>0</v>
      </c>
      <c r="S132" s="74">
        <v>7259</v>
      </c>
    </row>
    <row r="133" spans="1:19" x14ac:dyDescent="0.2">
      <c r="D133" s="446" t="s">
        <v>1534</v>
      </c>
      <c r="E133" s="446" t="s">
        <v>3971</v>
      </c>
      <c r="F133" s="298">
        <v>42682</v>
      </c>
      <c r="G133" s="74">
        <v>0</v>
      </c>
      <c r="H133" s="74">
        <v>0</v>
      </c>
      <c r="I133" s="74">
        <v>599</v>
      </c>
      <c r="J133" s="74">
        <v>599</v>
      </c>
      <c r="K133" s="74">
        <v>599</v>
      </c>
      <c r="L133" s="74">
        <v>1797</v>
      </c>
      <c r="M133" s="74">
        <v>0</v>
      </c>
      <c r="N133" s="74">
        <v>0</v>
      </c>
      <c r="O133" s="74">
        <v>0</v>
      </c>
      <c r="P133" s="74">
        <v>0</v>
      </c>
      <c r="Q133" s="74">
        <v>0</v>
      </c>
      <c r="R133" s="74">
        <v>0</v>
      </c>
      <c r="S133" s="74">
        <v>1797</v>
      </c>
    </row>
    <row r="134" spans="1:19" x14ac:dyDescent="0.2">
      <c r="A134" s="446" t="s">
        <v>2684</v>
      </c>
      <c r="B134" s="446" t="s">
        <v>149</v>
      </c>
      <c r="C134" s="446" t="s">
        <v>2685</v>
      </c>
      <c r="D134" s="446" t="s">
        <v>153</v>
      </c>
      <c r="E134" s="446" t="s">
        <v>3798</v>
      </c>
      <c r="F134" s="298">
        <v>43174</v>
      </c>
      <c r="G134" s="74">
        <v>0</v>
      </c>
      <c r="H134" s="74">
        <v>0</v>
      </c>
      <c r="I134" s="74">
        <v>0</v>
      </c>
      <c r="J134" s="74">
        <v>2056</v>
      </c>
      <c r="K134" s="74">
        <v>0</v>
      </c>
      <c r="L134" s="74">
        <v>2056</v>
      </c>
      <c r="M134" s="74">
        <v>0</v>
      </c>
      <c r="N134" s="74">
        <v>0</v>
      </c>
      <c r="O134" s="74">
        <v>0</v>
      </c>
      <c r="P134" s="74">
        <v>2047</v>
      </c>
      <c r="Q134" s="74">
        <v>0</v>
      </c>
      <c r="R134" s="74">
        <v>2047</v>
      </c>
      <c r="S134" s="74">
        <v>9</v>
      </c>
    </row>
    <row r="135" spans="1:19" x14ac:dyDescent="0.2">
      <c r="A135" s="446" t="s">
        <v>2155</v>
      </c>
      <c r="B135" s="446" t="s">
        <v>3946</v>
      </c>
      <c r="C135" s="446" t="s">
        <v>528</v>
      </c>
      <c r="D135" s="446" t="s">
        <v>153</v>
      </c>
      <c r="E135" s="446" t="s">
        <v>3798</v>
      </c>
      <c r="F135" s="298">
        <v>42459</v>
      </c>
      <c r="G135" s="74">
        <v>0</v>
      </c>
      <c r="H135" s="74">
        <v>0</v>
      </c>
      <c r="I135" s="74">
        <v>0</v>
      </c>
      <c r="J135" s="74">
        <v>79</v>
      </c>
      <c r="K135" s="74">
        <v>0</v>
      </c>
      <c r="L135" s="74">
        <v>79</v>
      </c>
      <c r="M135" s="74">
        <v>0</v>
      </c>
      <c r="N135" s="74">
        <v>0</v>
      </c>
      <c r="O135" s="74">
        <v>0</v>
      </c>
      <c r="P135" s="74">
        <v>0</v>
      </c>
      <c r="Q135" s="74">
        <v>0</v>
      </c>
      <c r="R135" s="74">
        <v>0</v>
      </c>
      <c r="S135" s="74">
        <v>79</v>
      </c>
    </row>
    <row r="136" spans="1:19" x14ac:dyDescent="0.2">
      <c r="A136" s="446" t="s">
        <v>1920</v>
      </c>
      <c r="B136" s="446" t="s">
        <v>3945</v>
      </c>
      <c r="C136" s="446" t="s">
        <v>475</v>
      </c>
      <c r="D136" s="446" t="s">
        <v>153</v>
      </c>
      <c r="E136" s="446" t="s">
        <v>3798</v>
      </c>
      <c r="F136" s="298">
        <v>42324</v>
      </c>
      <c r="G136" s="74">
        <v>0</v>
      </c>
      <c r="H136" s="74">
        <v>0</v>
      </c>
      <c r="I136" s="74">
        <v>0</v>
      </c>
      <c r="J136" s="74">
        <v>294</v>
      </c>
      <c r="K136" s="74">
        <v>0</v>
      </c>
      <c r="L136" s="74">
        <v>294</v>
      </c>
      <c r="M136" s="74">
        <v>0</v>
      </c>
      <c r="N136" s="74">
        <v>0</v>
      </c>
      <c r="O136" s="74">
        <v>0</v>
      </c>
      <c r="P136" s="74">
        <v>585</v>
      </c>
      <c r="Q136" s="74">
        <v>0</v>
      </c>
      <c r="R136" s="74">
        <v>585</v>
      </c>
      <c r="S136" s="74">
        <v>-291</v>
      </c>
    </row>
    <row r="137" spans="1:19" x14ac:dyDescent="0.2">
      <c r="A137" s="446" t="s">
        <v>2506</v>
      </c>
      <c r="B137" s="446" t="s">
        <v>3943</v>
      </c>
      <c r="C137" s="446" t="s">
        <v>2507</v>
      </c>
      <c r="D137" s="446" t="s">
        <v>153</v>
      </c>
      <c r="E137" s="446" t="s">
        <v>3798</v>
      </c>
      <c r="F137" s="298">
        <v>42969</v>
      </c>
      <c r="G137" s="74">
        <v>0</v>
      </c>
      <c r="H137" s="74">
        <v>0</v>
      </c>
      <c r="I137" s="74">
        <v>0</v>
      </c>
      <c r="J137" s="74">
        <v>0</v>
      </c>
      <c r="K137" s="74">
        <v>0</v>
      </c>
      <c r="L137" s="74">
        <v>0</v>
      </c>
      <c r="M137" s="74">
        <v>44</v>
      </c>
      <c r="N137" s="74">
        <v>44</v>
      </c>
      <c r="O137" s="74">
        <v>44</v>
      </c>
      <c r="P137" s="74">
        <v>0</v>
      </c>
      <c r="Q137" s="74">
        <v>0</v>
      </c>
      <c r="R137" s="74">
        <v>132</v>
      </c>
      <c r="S137" s="74">
        <v>-132</v>
      </c>
    </row>
    <row r="138" spans="1:19" x14ac:dyDescent="0.2">
      <c r="A138" s="446" t="s">
        <v>2430</v>
      </c>
      <c r="B138" s="446" t="s">
        <v>3943</v>
      </c>
      <c r="C138" s="446" t="s">
        <v>2431</v>
      </c>
      <c r="D138" s="446" t="s">
        <v>153</v>
      </c>
      <c r="E138" s="446" t="s">
        <v>3798</v>
      </c>
      <c r="F138" s="298">
        <v>42879</v>
      </c>
      <c r="G138" s="74">
        <v>0</v>
      </c>
      <c r="H138" s="74">
        <v>0</v>
      </c>
      <c r="I138" s="74">
        <v>0</v>
      </c>
      <c r="J138" s="74">
        <v>0</v>
      </c>
      <c r="K138" s="74">
        <v>0</v>
      </c>
      <c r="L138" s="74">
        <v>0</v>
      </c>
      <c r="M138" s="74">
        <v>87</v>
      </c>
      <c r="N138" s="74">
        <v>87</v>
      </c>
      <c r="O138" s="74">
        <v>87</v>
      </c>
      <c r="P138" s="74">
        <v>0</v>
      </c>
      <c r="Q138" s="74">
        <v>0</v>
      </c>
      <c r="R138" s="74">
        <v>261</v>
      </c>
      <c r="S138" s="74">
        <v>-261</v>
      </c>
    </row>
    <row r="139" spans="1:19" x14ac:dyDescent="0.2">
      <c r="A139" s="446" t="s">
        <v>2592</v>
      </c>
      <c r="B139" s="446" t="s">
        <v>3946</v>
      </c>
      <c r="C139" s="446" t="s">
        <v>2593</v>
      </c>
      <c r="D139" s="446" t="s">
        <v>153</v>
      </c>
      <c r="E139" s="446" t="s">
        <v>3798</v>
      </c>
      <c r="F139" s="298">
        <v>43154</v>
      </c>
      <c r="G139" s="74">
        <v>0</v>
      </c>
      <c r="H139" s="74">
        <v>0</v>
      </c>
      <c r="I139" s="74">
        <v>0</v>
      </c>
      <c r="J139" s="74">
        <v>0</v>
      </c>
      <c r="K139" s="74">
        <v>0</v>
      </c>
      <c r="L139" s="74">
        <v>0</v>
      </c>
      <c r="M139" s="74">
        <v>588</v>
      </c>
      <c r="N139" s="74">
        <v>0</v>
      </c>
      <c r="O139" s="74">
        <v>0</v>
      </c>
      <c r="P139" s="74">
        <v>0</v>
      </c>
      <c r="Q139" s="74">
        <v>0</v>
      </c>
      <c r="R139" s="74">
        <v>588</v>
      </c>
      <c r="S139" s="74">
        <v>-588</v>
      </c>
    </row>
    <row r="140" spans="1:19" x14ac:dyDescent="0.2">
      <c r="A140" s="446" t="s">
        <v>2301</v>
      </c>
      <c r="B140" s="446" t="s">
        <v>3943</v>
      </c>
      <c r="C140" s="446" t="s">
        <v>655</v>
      </c>
      <c r="D140" s="446" t="s">
        <v>153</v>
      </c>
      <c r="E140" s="446" t="s">
        <v>3798</v>
      </c>
      <c r="F140" s="298">
        <v>42640</v>
      </c>
      <c r="G140" s="74">
        <v>0</v>
      </c>
      <c r="H140" s="74">
        <v>0</v>
      </c>
      <c r="I140" s="74">
        <v>0</v>
      </c>
      <c r="J140" s="74">
        <v>0</v>
      </c>
      <c r="K140" s="74">
        <v>0</v>
      </c>
      <c r="L140" s="74">
        <v>0</v>
      </c>
      <c r="M140" s="74">
        <v>0</v>
      </c>
      <c r="N140" s="74">
        <v>0</v>
      </c>
      <c r="O140" s="74">
        <v>310</v>
      </c>
      <c r="P140" s="74">
        <v>0</v>
      </c>
      <c r="Q140" s="74">
        <v>0</v>
      </c>
      <c r="R140" s="74">
        <v>310</v>
      </c>
      <c r="S140" s="74">
        <v>-310</v>
      </c>
    </row>
    <row r="141" spans="1:19" x14ac:dyDescent="0.2">
      <c r="A141" s="446" t="s">
        <v>2636</v>
      </c>
      <c r="B141" s="446" t="s">
        <v>3948</v>
      </c>
      <c r="C141" s="446" t="s">
        <v>2637</v>
      </c>
      <c r="D141" s="446" t="s">
        <v>153</v>
      </c>
      <c r="E141" s="446" t="s">
        <v>3798</v>
      </c>
      <c r="F141" s="298">
        <v>43144</v>
      </c>
      <c r="G141" s="74">
        <v>0</v>
      </c>
      <c r="H141" s="74">
        <v>50</v>
      </c>
      <c r="I141" s="74">
        <v>0</v>
      </c>
      <c r="J141" s="74">
        <v>0</v>
      </c>
      <c r="K141" s="74">
        <v>0</v>
      </c>
      <c r="L141" s="74">
        <v>50</v>
      </c>
      <c r="M141" s="74">
        <v>51</v>
      </c>
      <c r="N141" s="74">
        <v>50</v>
      </c>
      <c r="O141" s="74">
        <v>0</v>
      </c>
      <c r="P141" s="74">
        <v>0</v>
      </c>
      <c r="Q141" s="74">
        <v>0</v>
      </c>
      <c r="R141" s="74">
        <v>101</v>
      </c>
      <c r="S141" s="74">
        <v>-51</v>
      </c>
    </row>
    <row r="142" spans="1:19" x14ac:dyDescent="0.2">
      <c r="A142" s="446" t="s">
        <v>1418</v>
      </c>
      <c r="B142" s="446" t="s">
        <v>3941</v>
      </c>
      <c r="C142" s="446" t="s">
        <v>268</v>
      </c>
      <c r="D142" s="446" t="s">
        <v>153</v>
      </c>
      <c r="E142" s="446" t="s">
        <v>3798</v>
      </c>
      <c r="F142" s="298">
        <v>42195</v>
      </c>
      <c r="G142" s="74">
        <v>103</v>
      </c>
      <c r="H142" s="74">
        <v>0</v>
      </c>
      <c r="I142" s="74">
        <v>0</v>
      </c>
      <c r="J142" s="74">
        <v>0</v>
      </c>
      <c r="K142" s="74">
        <v>0</v>
      </c>
      <c r="L142" s="74">
        <v>103</v>
      </c>
      <c r="M142" s="74">
        <v>139</v>
      </c>
      <c r="N142" s="74">
        <v>0</v>
      </c>
      <c r="O142" s="74">
        <v>0</v>
      </c>
      <c r="P142" s="74">
        <v>0</v>
      </c>
      <c r="Q142" s="74">
        <v>0</v>
      </c>
      <c r="R142" s="74">
        <v>139</v>
      </c>
      <c r="S142" s="74">
        <v>-36</v>
      </c>
    </row>
    <row r="143" spans="1:19" x14ac:dyDescent="0.2">
      <c r="A143" s="446" t="s">
        <v>95</v>
      </c>
      <c r="G143" s="74">
        <v>18351</v>
      </c>
      <c r="H143" s="74">
        <v>9997</v>
      </c>
      <c r="I143" s="74">
        <v>9331</v>
      </c>
      <c r="J143" s="74">
        <v>8293</v>
      </c>
      <c r="K143" s="74">
        <v>4151</v>
      </c>
      <c r="L143" s="74">
        <v>50123</v>
      </c>
      <c r="M143" s="74">
        <v>17706</v>
      </c>
      <c r="N143" s="74">
        <v>2052</v>
      </c>
      <c r="O143" s="74">
        <v>2809</v>
      </c>
      <c r="P143" s="74">
        <v>6147</v>
      </c>
      <c r="Q143" s="74">
        <v>134</v>
      </c>
      <c r="R143" s="74">
        <v>28848</v>
      </c>
      <c r="S143" s="74">
        <v>21275</v>
      </c>
    </row>
  </sheetData>
  <conditionalFormatting sqref="D1:D1048576">
    <cfRule type="cellIs" dxfId="40"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S24"/>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4009</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x14ac:dyDescent="0.2">
      <c r="A7" s="344" t="s">
        <v>2784</v>
      </c>
      <c r="B7" s="342" t="s">
        <v>3945</v>
      </c>
      <c r="C7" s="343" t="s">
        <v>2785</v>
      </c>
      <c r="D7" s="342" t="s">
        <v>153</v>
      </c>
      <c r="E7" s="344" t="s">
        <v>421</v>
      </c>
      <c r="F7" s="345">
        <v>42864</v>
      </c>
      <c r="G7" s="346">
        <v>0</v>
      </c>
      <c r="H7" s="346">
        <v>0</v>
      </c>
      <c r="I7" s="346">
        <v>50</v>
      </c>
      <c r="J7" s="346">
        <v>0</v>
      </c>
      <c r="K7" s="346">
        <v>0</v>
      </c>
      <c r="L7" s="347">
        <v>50</v>
      </c>
      <c r="M7" s="346">
        <v>50</v>
      </c>
      <c r="N7" s="346">
        <v>0</v>
      </c>
      <c r="O7" s="346">
        <v>0</v>
      </c>
      <c r="P7" s="346">
        <v>0</v>
      </c>
      <c r="Q7" s="346">
        <v>0</v>
      </c>
      <c r="R7" s="347">
        <v>50</v>
      </c>
      <c r="S7" s="346">
        <v>0</v>
      </c>
    </row>
    <row r="8" spans="1:19" x14ac:dyDescent="0.2">
      <c r="A8" s="305" t="s">
        <v>2451</v>
      </c>
      <c r="B8" s="306" t="s">
        <v>2904</v>
      </c>
      <c r="C8" s="307" t="s">
        <v>2452</v>
      </c>
      <c r="D8" s="306" t="s">
        <v>153</v>
      </c>
      <c r="E8" s="305" t="s">
        <v>421</v>
      </c>
      <c r="F8" s="335">
        <v>43054</v>
      </c>
      <c r="G8" s="309">
        <v>0</v>
      </c>
      <c r="H8" s="309">
        <v>0</v>
      </c>
      <c r="I8" s="309">
        <v>0</v>
      </c>
      <c r="J8" s="309">
        <v>0</v>
      </c>
      <c r="K8" s="309">
        <v>0</v>
      </c>
      <c r="L8" s="317">
        <v>0</v>
      </c>
      <c r="M8" s="309">
        <v>89</v>
      </c>
      <c r="N8" s="309">
        <v>0</v>
      </c>
      <c r="O8" s="309">
        <v>0</v>
      </c>
      <c r="P8" s="309">
        <v>0</v>
      </c>
      <c r="Q8" s="309">
        <v>0</v>
      </c>
      <c r="R8" s="317">
        <v>89</v>
      </c>
      <c r="S8" s="309">
        <v>-89</v>
      </c>
    </row>
    <row r="9" spans="1:19" x14ac:dyDescent="0.2">
      <c r="A9" s="305" t="s">
        <v>1798</v>
      </c>
      <c r="B9" s="306" t="s">
        <v>3942</v>
      </c>
      <c r="C9" s="307" t="s">
        <v>1208</v>
      </c>
      <c r="D9" s="306" t="s">
        <v>153</v>
      </c>
      <c r="E9" s="305" t="s">
        <v>421</v>
      </c>
      <c r="F9" s="335">
        <v>42804</v>
      </c>
      <c r="G9" s="309">
        <v>0</v>
      </c>
      <c r="H9" s="309">
        <v>0</v>
      </c>
      <c r="I9" s="309">
        <v>0</v>
      </c>
      <c r="J9" s="309">
        <v>0</v>
      </c>
      <c r="K9" s="309">
        <v>0</v>
      </c>
      <c r="L9" s="317">
        <v>0</v>
      </c>
      <c r="M9" s="309">
        <v>0</v>
      </c>
      <c r="N9" s="309">
        <v>19</v>
      </c>
      <c r="O9" s="309">
        <v>0</v>
      </c>
      <c r="P9" s="309">
        <v>0</v>
      </c>
      <c r="Q9" s="309">
        <v>0</v>
      </c>
      <c r="R9" s="317">
        <v>19</v>
      </c>
      <c r="S9" s="309">
        <v>-19</v>
      </c>
    </row>
    <row r="10" spans="1:19" ht="22.5" x14ac:dyDescent="0.2">
      <c r="A10" s="305" t="s">
        <v>2299</v>
      </c>
      <c r="B10" s="306" t="s">
        <v>149</v>
      </c>
      <c r="C10" s="307" t="s">
        <v>1237</v>
      </c>
      <c r="D10" s="306" t="s">
        <v>153</v>
      </c>
      <c r="E10" s="305" t="s">
        <v>421</v>
      </c>
      <c r="F10" s="335">
        <v>42815</v>
      </c>
      <c r="G10" s="309">
        <v>0</v>
      </c>
      <c r="H10" s="309">
        <v>0</v>
      </c>
      <c r="I10" s="309">
        <v>0</v>
      </c>
      <c r="J10" s="309">
        <v>0</v>
      </c>
      <c r="K10" s="309">
        <v>0</v>
      </c>
      <c r="L10" s="317">
        <v>0</v>
      </c>
      <c r="M10" s="309">
        <v>0</v>
      </c>
      <c r="N10" s="309">
        <v>79</v>
      </c>
      <c r="O10" s="309">
        <v>0</v>
      </c>
      <c r="P10" s="309">
        <v>0</v>
      </c>
      <c r="Q10" s="309">
        <v>0</v>
      </c>
      <c r="R10" s="317">
        <v>79</v>
      </c>
      <c r="S10" s="309">
        <v>-79</v>
      </c>
    </row>
    <row r="11" spans="1:19" x14ac:dyDescent="0.2">
      <c r="A11" s="305" t="s">
        <v>2141</v>
      </c>
      <c r="B11" s="306" t="s">
        <v>2907</v>
      </c>
      <c r="C11" s="307" t="s">
        <v>1204</v>
      </c>
      <c r="D11" s="306" t="s">
        <v>153</v>
      </c>
      <c r="E11" s="305" t="s">
        <v>421</v>
      </c>
      <c r="F11" s="335">
        <v>42802</v>
      </c>
      <c r="G11" s="309">
        <v>0</v>
      </c>
      <c r="H11" s="309">
        <v>0</v>
      </c>
      <c r="I11" s="309">
        <v>0</v>
      </c>
      <c r="J11" s="309">
        <v>0</v>
      </c>
      <c r="K11" s="309">
        <v>0</v>
      </c>
      <c r="L11" s="317">
        <v>0</v>
      </c>
      <c r="M11" s="309">
        <v>100</v>
      </c>
      <c r="N11" s="309">
        <v>0</v>
      </c>
      <c r="O11" s="309">
        <v>0</v>
      </c>
      <c r="P11" s="309">
        <v>0</v>
      </c>
      <c r="Q11" s="309">
        <v>0</v>
      </c>
      <c r="R11" s="317">
        <v>100</v>
      </c>
      <c r="S11" s="309">
        <v>-100</v>
      </c>
    </row>
    <row r="12" spans="1:19" ht="33.75" x14ac:dyDescent="0.2">
      <c r="A12" s="305" t="s">
        <v>2230</v>
      </c>
      <c r="B12" s="306" t="s">
        <v>2907</v>
      </c>
      <c r="C12" s="307" t="s">
        <v>1026</v>
      </c>
      <c r="D12" s="306" t="s">
        <v>153</v>
      </c>
      <c r="E12" s="305" t="s">
        <v>2944</v>
      </c>
      <c r="F12" s="335">
        <v>42685</v>
      </c>
      <c r="G12" s="309">
        <v>95</v>
      </c>
      <c r="H12" s="309">
        <v>0</v>
      </c>
      <c r="I12" s="309">
        <v>0</v>
      </c>
      <c r="J12" s="309">
        <v>0</v>
      </c>
      <c r="K12" s="309">
        <v>0</v>
      </c>
      <c r="L12" s="317">
        <v>95</v>
      </c>
      <c r="M12" s="309">
        <v>0</v>
      </c>
      <c r="N12" s="309">
        <v>0</v>
      </c>
      <c r="O12" s="309">
        <v>0</v>
      </c>
      <c r="P12" s="309">
        <v>0</v>
      </c>
      <c r="Q12" s="309">
        <v>0</v>
      </c>
      <c r="R12" s="317">
        <v>0</v>
      </c>
      <c r="S12" s="309">
        <v>95</v>
      </c>
    </row>
    <row r="13" spans="1:19" x14ac:dyDescent="0.2">
      <c r="A13" s="305" t="s">
        <v>1594</v>
      </c>
      <c r="B13" s="306" t="s">
        <v>2907</v>
      </c>
      <c r="C13" s="307" t="s">
        <v>917</v>
      </c>
      <c r="D13" s="306" t="s">
        <v>153</v>
      </c>
      <c r="E13" s="305" t="s">
        <v>421</v>
      </c>
      <c r="F13" s="335">
        <v>42586</v>
      </c>
      <c r="G13" s="309">
        <v>0</v>
      </c>
      <c r="H13" s="309">
        <v>49</v>
      </c>
      <c r="I13" s="309">
        <v>0</v>
      </c>
      <c r="J13" s="309">
        <v>0</v>
      </c>
      <c r="K13" s="309">
        <v>0</v>
      </c>
      <c r="L13" s="317">
        <v>49</v>
      </c>
      <c r="M13" s="309">
        <v>0</v>
      </c>
      <c r="N13" s="309">
        <v>97</v>
      </c>
      <c r="O13" s="309">
        <v>0</v>
      </c>
      <c r="P13" s="309">
        <v>0</v>
      </c>
      <c r="Q13" s="309">
        <v>0</v>
      </c>
      <c r="R13" s="317">
        <v>97</v>
      </c>
      <c r="S13" s="309">
        <v>-48</v>
      </c>
    </row>
    <row r="14" spans="1:19" x14ac:dyDescent="0.2">
      <c r="A14" s="305" t="s">
        <v>2146</v>
      </c>
      <c r="B14" s="306" t="s">
        <v>3946</v>
      </c>
      <c r="C14" s="307" t="s">
        <v>828</v>
      </c>
      <c r="D14" s="306" t="s">
        <v>153</v>
      </c>
      <c r="E14" s="305" t="s">
        <v>421</v>
      </c>
      <c r="F14" s="335">
        <v>42517</v>
      </c>
      <c r="G14" s="309">
        <v>0</v>
      </c>
      <c r="H14" s="309">
        <v>0</v>
      </c>
      <c r="I14" s="309">
        <v>0</v>
      </c>
      <c r="J14" s="309">
        <v>0</v>
      </c>
      <c r="K14" s="309">
        <v>0</v>
      </c>
      <c r="L14" s="317">
        <v>0</v>
      </c>
      <c r="M14" s="309">
        <v>61</v>
      </c>
      <c r="N14" s="309">
        <v>0</v>
      </c>
      <c r="O14" s="309">
        <v>0</v>
      </c>
      <c r="P14" s="309">
        <v>0</v>
      </c>
      <c r="Q14" s="309">
        <v>0</v>
      </c>
      <c r="R14" s="317">
        <v>61</v>
      </c>
      <c r="S14" s="309">
        <v>-61</v>
      </c>
    </row>
    <row r="15" spans="1:19" ht="22.5" x14ac:dyDescent="0.2">
      <c r="A15" s="305" t="s">
        <v>1926</v>
      </c>
      <c r="B15" s="306" t="s">
        <v>3952</v>
      </c>
      <c r="C15" s="307" t="s">
        <v>507</v>
      </c>
      <c r="D15" s="306" t="s">
        <v>153</v>
      </c>
      <c r="E15" s="305" t="s">
        <v>421</v>
      </c>
      <c r="F15" s="335">
        <v>42277</v>
      </c>
      <c r="G15" s="309">
        <v>44</v>
      </c>
      <c r="H15" s="309">
        <v>0</v>
      </c>
      <c r="I15" s="309">
        <v>0</v>
      </c>
      <c r="J15" s="309">
        <v>0</v>
      </c>
      <c r="K15" s="309">
        <v>0</v>
      </c>
      <c r="L15" s="317">
        <v>44</v>
      </c>
      <c r="M15" s="309">
        <v>122</v>
      </c>
      <c r="N15" s="309">
        <v>0</v>
      </c>
      <c r="O15" s="309">
        <v>0</v>
      </c>
      <c r="P15" s="309">
        <v>0</v>
      </c>
      <c r="Q15" s="309">
        <v>0</v>
      </c>
      <c r="R15" s="317">
        <v>122</v>
      </c>
      <c r="S15" s="309">
        <v>-78</v>
      </c>
    </row>
    <row r="16" spans="1:19" x14ac:dyDescent="0.2">
      <c r="A16" s="305" t="s">
        <v>1565</v>
      </c>
      <c r="B16" s="306" t="s">
        <v>149</v>
      </c>
      <c r="C16" s="307" t="s">
        <v>957</v>
      </c>
      <c r="D16" s="306" t="s">
        <v>153</v>
      </c>
      <c r="E16" s="305" t="s">
        <v>421</v>
      </c>
      <c r="F16" s="335">
        <v>42597</v>
      </c>
      <c r="G16" s="309">
        <v>0</v>
      </c>
      <c r="H16" s="309">
        <v>0</v>
      </c>
      <c r="I16" s="309">
        <v>150</v>
      </c>
      <c r="J16" s="309">
        <v>0</v>
      </c>
      <c r="K16" s="309">
        <v>0</v>
      </c>
      <c r="L16" s="317">
        <v>150</v>
      </c>
      <c r="M16" s="309">
        <v>150</v>
      </c>
      <c r="N16" s="309">
        <v>0</v>
      </c>
      <c r="O16" s="309">
        <v>0</v>
      </c>
      <c r="P16" s="309">
        <v>0</v>
      </c>
      <c r="Q16" s="309">
        <v>0</v>
      </c>
      <c r="R16" s="317">
        <v>150</v>
      </c>
      <c r="S16" s="309">
        <v>0</v>
      </c>
    </row>
    <row r="17" spans="1:19" x14ac:dyDescent="0.2">
      <c r="A17" s="305" t="s">
        <v>2397</v>
      </c>
      <c r="B17" s="306" t="s">
        <v>2907</v>
      </c>
      <c r="C17" s="307" t="s">
        <v>2398</v>
      </c>
      <c r="D17" s="306" t="s">
        <v>153</v>
      </c>
      <c r="E17" s="305" t="s">
        <v>421</v>
      </c>
      <c r="F17" s="335">
        <v>42900</v>
      </c>
      <c r="G17" s="309">
        <v>0</v>
      </c>
      <c r="H17" s="309">
        <v>0</v>
      </c>
      <c r="I17" s="309">
        <v>0</v>
      </c>
      <c r="J17" s="309">
        <v>0</v>
      </c>
      <c r="K17" s="309">
        <v>0</v>
      </c>
      <c r="L17" s="317">
        <v>0</v>
      </c>
      <c r="M17" s="309">
        <v>60</v>
      </c>
      <c r="N17" s="309">
        <v>0</v>
      </c>
      <c r="O17" s="309">
        <v>0</v>
      </c>
      <c r="P17" s="309">
        <v>0</v>
      </c>
      <c r="Q17" s="309">
        <v>0</v>
      </c>
      <c r="R17" s="317">
        <v>60</v>
      </c>
      <c r="S17" s="309">
        <v>-60</v>
      </c>
    </row>
    <row r="18" spans="1:19" x14ac:dyDescent="0.2">
      <c r="A18" s="305" t="s">
        <v>2338</v>
      </c>
      <c r="B18" s="306" t="s">
        <v>3951</v>
      </c>
      <c r="C18" s="307" t="s">
        <v>1145</v>
      </c>
      <c r="D18" s="306" t="s">
        <v>153</v>
      </c>
      <c r="E18" s="305" t="s">
        <v>421</v>
      </c>
      <c r="F18" s="335">
        <v>42740</v>
      </c>
      <c r="G18" s="309">
        <v>0</v>
      </c>
      <c r="H18" s="309">
        <v>0</v>
      </c>
      <c r="I18" s="309">
        <v>149</v>
      </c>
      <c r="J18" s="309">
        <v>0</v>
      </c>
      <c r="K18" s="309">
        <v>0</v>
      </c>
      <c r="L18" s="317">
        <v>149</v>
      </c>
      <c r="M18" s="309">
        <v>149</v>
      </c>
      <c r="N18" s="309">
        <v>0</v>
      </c>
      <c r="O18" s="309">
        <v>0</v>
      </c>
      <c r="P18" s="309">
        <v>0</v>
      </c>
      <c r="Q18" s="309">
        <v>0</v>
      </c>
      <c r="R18" s="317">
        <v>149</v>
      </c>
      <c r="S18" s="309">
        <v>0</v>
      </c>
    </row>
    <row r="19" spans="1:19" ht="22.5" x14ac:dyDescent="0.2">
      <c r="A19" s="305" t="s">
        <v>2387</v>
      </c>
      <c r="B19" s="306" t="s">
        <v>150</v>
      </c>
      <c r="C19" s="307" t="s">
        <v>2388</v>
      </c>
      <c r="D19" s="306" t="s">
        <v>153</v>
      </c>
      <c r="E19" s="305" t="s">
        <v>421</v>
      </c>
      <c r="F19" s="335">
        <v>42954</v>
      </c>
      <c r="G19" s="309">
        <v>0</v>
      </c>
      <c r="H19" s="309">
        <v>0</v>
      </c>
      <c r="I19" s="309">
        <v>0</v>
      </c>
      <c r="J19" s="309">
        <v>0</v>
      </c>
      <c r="K19" s="309">
        <v>0</v>
      </c>
      <c r="L19" s="317">
        <v>0</v>
      </c>
      <c r="M19" s="309">
        <v>55</v>
      </c>
      <c r="N19" s="309">
        <v>0</v>
      </c>
      <c r="O19" s="309">
        <v>0</v>
      </c>
      <c r="P19" s="309">
        <v>0</v>
      </c>
      <c r="Q19" s="309">
        <v>0</v>
      </c>
      <c r="R19" s="317">
        <v>55</v>
      </c>
      <c r="S19" s="309">
        <v>-55</v>
      </c>
    </row>
    <row r="20" spans="1:19" ht="22.5" x14ac:dyDescent="0.2">
      <c r="A20" s="305" t="s">
        <v>2309</v>
      </c>
      <c r="B20" s="306" t="s">
        <v>3949</v>
      </c>
      <c r="C20" s="307" t="s">
        <v>1160</v>
      </c>
      <c r="D20" s="306" t="s">
        <v>153</v>
      </c>
      <c r="E20" s="305" t="s">
        <v>421</v>
      </c>
      <c r="F20" s="335">
        <v>42761</v>
      </c>
      <c r="G20" s="309">
        <v>0</v>
      </c>
      <c r="H20" s="309">
        <v>0</v>
      </c>
      <c r="I20" s="309">
        <v>0</v>
      </c>
      <c r="J20" s="309">
        <v>0</v>
      </c>
      <c r="K20" s="309">
        <v>0</v>
      </c>
      <c r="L20" s="317">
        <v>0</v>
      </c>
      <c r="M20" s="309">
        <v>40</v>
      </c>
      <c r="N20" s="309">
        <v>0</v>
      </c>
      <c r="O20" s="309">
        <v>0</v>
      </c>
      <c r="P20" s="309">
        <v>0</v>
      </c>
      <c r="Q20" s="309">
        <v>0</v>
      </c>
      <c r="R20" s="317">
        <v>40</v>
      </c>
      <c r="S20" s="309">
        <v>-40</v>
      </c>
    </row>
    <row r="21" spans="1:19" ht="33.75" x14ac:dyDescent="0.2">
      <c r="A21" s="305" t="s">
        <v>2515</v>
      </c>
      <c r="B21" s="306" t="s">
        <v>2907</v>
      </c>
      <c r="C21" s="307" t="s">
        <v>2516</v>
      </c>
      <c r="D21" s="306" t="s">
        <v>153</v>
      </c>
      <c r="E21" s="305" t="s">
        <v>2944</v>
      </c>
      <c r="F21" s="335">
        <v>42999</v>
      </c>
      <c r="G21" s="309">
        <v>73</v>
      </c>
      <c r="H21" s="309">
        <v>0</v>
      </c>
      <c r="I21" s="309">
        <v>0</v>
      </c>
      <c r="J21" s="309">
        <v>0</v>
      </c>
      <c r="K21" s="309">
        <v>0</v>
      </c>
      <c r="L21" s="317">
        <v>73</v>
      </c>
      <c r="M21" s="309">
        <v>0</v>
      </c>
      <c r="N21" s="309">
        <v>0</v>
      </c>
      <c r="O21" s="309">
        <v>73</v>
      </c>
      <c r="P21" s="309">
        <v>0</v>
      </c>
      <c r="Q21" s="309">
        <v>0</v>
      </c>
      <c r="R21" s="317">
        <v>73</v>
      </c>
      <c r="S21" s="309">
        <v>0</v>
      </c>
    </row>
    <row r="22" spans="1:19" ht="22.5" x14ac:dyDescent="0.2">
      <c r="A22" s="305" t="s">
        <v>2286</v>
      </c>
      <c r="B22" s="306" t="s">
        <v>3947</v>
      </c>
      <c r="C22" s="307" t="s">
        <v>1024</v>
      </c>
      <c r="D22" s="306" t="s">
        <v>153</v>
      </c>
      <c r="E22" s="305" t="s">
        <v>421</v>
      </c>
      <c r="F22" s="335">
        <v>42653</v>
      </c>
      <c r="G22" s="309">
        <v>0</v>
      </c>
      <c r="H22" s="309">
        <v>0</v>
      </c>
      <c r="I22" s="309">
        <v>80</v>
      </c>
      <c r="J22" s="309">
        <v>0</v>
      </c>
      <c r="K22" s="309">
        <v>0</v>
      </c>
      <c r="L22" s="317">
        <v>80</v>
      </c>
      <c r="M22" s="309">
        <v>80</v>
      </c>
      <c r="N22" s="309">
        <v>0</v>
      </c>
      <c r="O22" s="309">
        <v>0</v>
      </c>
      <c r="P22" s="309">
        <v>0</v>
      </c>
      <c r="Q22" s="309">
        <v>0</v>
      </c>
      <c r="R22" s="317">
        <v>80</v>
      </c>
      <c r="S22" s="309">
        <v>0</v>
      </c>
    </row>
    <row r="23" spans="1:19" ht="33.75" x14ac:dyDescent="0.2">
      <c r="A23" s="305" t="s">
        <v>1450</v>
      </c>
      <c r="B23" s="306" t="s">
        <v>150</v>
      </c>
      <c r="C23" s="307" t="s">
        <v>1303</v>
      </c>
      <c r="D23" s="306" t="s">
        <v>153</v>
      </c>
      <c r="E23" s="305" t="s">
        <v>2944</v>
      </c>
      <c r="F23" s="335">
        <v>42535</v>
      </c>
      <c r="G23" s="309">
        <v>45</v>
      </c>
      <c r="H23" s="309">
        <v>0</v>
      </c>
      <c r="I23" s="309">
        <v>0</v>
      </c>
      <c r="J23" s="309">
        <v>0</v>
      </c>
      <c r="K23" s="309">
        <v>0</v>
      </c>
      <c r="L23" s="317">
        <v>45</v>
      </c>
      <c r="M23" s="309">
        <v>45</v>
      </c>
      <c r="N23" s="309">
        <v>0</v>
      </c>
      <c r="O23" s="309">
        <v>0</v>
      </c>
      <c r="P23" s="309">
        <v>0</v>
      </c>
      <c r="Q23" s="309">
        <v>0</v>
      </c>
      <c r="R23" s="317">
        <v>45</v>
      </c>
      <c r="S23" s="309">
        <v>0</v>
      </c>
    </row>
    <row r="24" spans="1:19" x14ac:dyDescent="0.2">
      <c r="A24" s="328" t="s">
        <v>95</v>
      </c>
      <c r="B24" s="329"/>
      <c r="C24" s="330"/>
      <c r="D24" s="329"/>
      <c r="E24" s="328"/>
      <c r="F24" s="349"/>
      <c r="G24" s="333">
        <v>257</v>
      </c>
      <c r="H24" s="333">
        <v>49</v>
      </c>
      <c r="I24" s="333">
        <v>429</v>
      </c>
      <c r="J24" s="333">
        <v>0</v>
      </c>
      <c r="K24" s="333">
        <v>0</v>
      </c>
      <c r="L24" s="334">
        <v>735</v>
      </c>
      <c r="M24" s="333">
        <v>1001</v>
      </c>
      <c r="N24" s="333">
        <v>195</v>
      </c>
      <c r="O24" s="333">
        <v>73</v>
      </c>
      <c r="P24" s="333">
        <v>0</v>
      </c>
      <c r="Q24" s="333">
        <v>0</v>
      </c>
      <c r="R24" s="334">
        <v>1269</v>
      </c>
      <c r="S24" s="333">
        <v>-534</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38"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S24"/>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2937</v>
      </c>
    </row>
    <row r="2" spans="1:19" x14ac:dyDescent="0.2">
      <c r="A2" s="77" t="s">
        <v>2940</v>
      </c>
      <c r="B2" s="446" t="s">
        <v>3972</v>
      </c>
    </row>
    <row r="3" spans="1:19" x14ac:dyDescent="0.2">
      <c r="A3" s="77" t="s">
        <v>2941</v>
      </c>
      <c r="B3" s="446" t="s">
        <v>429</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2784</v>
      </c>
      <c r="B7" s="446" t="s">
        <v>3945</v>
      </c>
      <c r="C7" s="446" t="s">
        <v>2785</v>
      </c>
      <c r="D7" s="446" t="s">
        <v>153</v>
      </c>
      <c r="E7" s="446" t="s">
        <v>421</v>
      </c>
      <c r="F7" s="298">
        <v>42864</v>
      </c>
      <c r="G7" s="74">
        <v>0</v>
      </c>
      <c r="H7" s="74">
        <v>0</v>
      </c>
      <c r="I7" s="74">
        <v>50</v>
      </c>
      <c r="J7" s="74">
        <v>0</v>
      </c>
      <c r="K7" s="74">
        <v>0</v>
      </c>
      <c r="L7" s="74">
        <v>50</v>
      </c>
      <c r="M7" s="74">
        <v>50</v>
      </c>
      <c r="N7" s="74">
        <v>0</v>
      </c>
      <c r="O7" s="74">
        <v>0</v>
      </c>
      <c r="P7" s="74">
        <v>0</v>
      </c>
      <c r="Q7" s="74">
        <v>0</v>
      </c>
      <c r="R7" s="74">
        <v>50</v>
      </c>
      <c r="S7" s="74">
        <v>0</v>
      </c>
    </row>
    <row r="8" spans="1:19" x14ac:dyDescent="0.2">
      <c r="A8" s="446" t="s">
        <v>2451</v>
      </c>
      <c r="B8" s="446" t="s">
        <v>2904</v>
      </c>
      <c r="C8" s="446" t="s">
        <v>2452</v>
      </c>
      <c r="D8" s="446" t="s">
        <v>153</v>
      </c>
      <c r="E8" s="446" t="s">
        <v>421</v>
      </c>
      <c r="F8" s="298">
        <v>43054</v>
      </c>
      <c r="G8" s="74">
        <v>0</v>
      </c>
      <c r="H8" s="74">
        <v>0</v>
      </c>
      <c r="I8" s="74">
        <v>0</v>
      </c>
      <c r="J8" s="74">
        <v>0</v>
      </c>
      <c r="K8" s="74">
        <v>0</v>
      </c>
      <c r="L8" s="74">
        <v>0</v>
      </c>
      <c r="M8" s="74">
        <v>89</v>
      </c>
      <c r="N8" s="74">
        <v>0</v>
      </c>
      <c r="O8" s="74">
        <v>0</v>
      </c>
      <c r="P8" s="74">
        <v>0</v>
      </c>
      <c r="Q8" s="74">
        <v>0</v>
      </c>
      <c r="R8" s="74">
        <v>89</v>
      </c>
      <c r="S8" s="74">
        <v>-89</v>
      </c>
    </row>
    <row r="9" spans="1:19" x14ac:dyDescent="0.2">
      <c r="A9" s="446" t="s">
        <v>1798</v>
      </c>
      <c r="B9" s="446" t="s">
        <v>3942</v>
      </c>
      <c r="C9" s="446" t="s">
        <v>1208</v>
      </c>
      <c r="D9" s="446" t="s">
        <v>153</v>
      </c>
      <c r="E9" s="446" t="s">
        <v>421</v>
      </c>
      <c r="F9" s="298">
        <v>42804</v>
      </c>
      <c r="G9" s="74">
        <v>0</v>
      </c>
      <c r="H9" s="74">
        <v>0</v>
      </c>
      <c r="I9" s="74">
        <v>0</v>
      </c>
      <c r="J9" s="74">
        <v>0</v>
      </c>
      <c r="K9" s="74">
        <v>0</v>
      </c>
      <c r="L9" s="74">
        <v>0</v>
      </c>
      <c r="M9" s="74">
        <v>0</v>
      </c>
      <c r="N9" s="74">
        <v>19</v>
      </c>
      <c r="O9" s="74">
        <v>0</v>
      </c>
      <c r="P9" s="74">
        <v>0</v>
      </c>
      <c r="Q9" s="74">
        <v>0</v>
      </c>
      <c r="R9" s="74">
        <v>19</v>
      </c>
      <c r="S9" s="74">
        <v>-19</v>
      </c>
    </row>
    <row r="10" spans="1:19" x14ac:dyDescent="0.2">
      <c r="A10" s="446" t="s">
        <v>2299</v>
      </c>
      <c r="B10" s="446" t="s">
        <v>149</v>
      </c>
      <c r="C10" s="446" t="s">
        <v>1237</v>
      </c>
      <c r="D10" s="446" t="s">
        <v>153</v>
      </c>
      <c r="E10" s="446" t="s">
        <v>421</v>
      </c>
      <c r="F10" s="298">
        <v>42815</v>
      </c>
      <c r="G10" s="74">
        <v>0</v>
      </c>
      <c r="H10" s="74">
        <v>0</v>
      </c>
      <c r="I10" s="74">
        <v>0</v>
      </c>
      <c r="J10" s="74">
        <v>0</v>
      </c>
      <c r="K10" s="74">
        <v>0</v>
      </c>
      <c r="L10" s="74">
        <v>0</v>
      </c>
      <c r="M10" s="74">
        <v>0</v>
      </c>
      <c r="N10" s="74">
        <v>79</v>
      </c>
      <c r="O10" s="74">
        <v>0</v>
      </c>
      <c r="P10" s="74">
        <v>0</v>
      </c>
      <c r="Q10" s="74">
        <v>0</v>
      </c>
      <c r="R10" s="74">
        <v>79</v>
      </c>
      <c r="S10" s="74">
        <v>-79</v>
      </c>
    </row>
    <row r="11" spans="1:19" x14ac:dyDescent="0.2">
      <c r="A11" s="446" t="s">
        <v>2141</v>
      </c>
      <c r="B11" s="446" t="s">
        <v>2907</v>
      </c>
      <c r="C11" s="446" t="s">
        <v>1204</v>
      </c>
      <c r="D11" s="446" t="s">
        <v>153</v>
      </c>
      <c r="E11" s="446" t="s">
        <v>421</v>
      </c>
      <c r="F11" s="298">
        <v>42802</v>
      </c>
      <c r="G11" s="74">
        <v>0</v>
      </c>
      <c r="H11" s="74">
        <v>0</v>
      </c>
      <c r="I11" s="74">
        <v>0</v>
      </c>
      <c r="J11" s="74">
        <v>0</v>
      </c>
      <c r="K11" s="74">
        <v>0</v>
      </c>
      <c r="L11" s="74">
        <v>0</v>
      </c>
      <c r="M11" s="74">
        <v>100</v>
      </c>
      <c r="N11" s="74">
        <v>0</v>
      </c>
      <c r="O11" s="74">
        <v>0</v>
      </c>
      <c r="P11" s="74">
        <v>0</v>
      </c>
      <c r="Q11" s="74">
        <v>0</v>
      </c>
      <c r="R11" s="74">
        <v>100</v>
      </c>
      <c r="S11" s="74">
        <v>-100</v>
      </c>
    </row>
    <row r="12" spans="1:19" x14ac:dyDescent="0.2">
      <c r="A12" s="446" t="s">
        <v>2230</v>
      </c>
      <c r="B12" s="446" t="s">
        <v>2907</v>
      </c>
      <c r="C12" s="446" t="s">
        <v>1026</v>
      </c>
      <c r="D12" s="446" t="s">
        <v>153</v>
      </c>
      <c r="E12" s="446" t="s">
        <v>2944</v>
      </c>
      <c r="F12" s="298">
        <v>42685</v>
      </c>
      <c r="G12" s="74">
        <v>95</v>
      </c>
      <c r="H12" s="74">
        <v>0</v>
      </c>
      <c r="I12" s="74">
        <v>0</v>
      </c>
      <c r="J12" s="74">
        <v>0</v>
      </c>
      <c r="K12" s="74">
        <v>0</v>
      </c>
      <c r="L12" s="74">
        <v>95</v>
      </c>
      <c r="M12" s="74">
        <v>0</v>
      </c>
      <c r="N12" s="74">
        <v>0</v>
      </c>
      <c r="O12" s="74">
        <v>0</v>
      </c>
      <c r="P12" s="74">
        <v>0</v>
      </c>
      <c r="Q12" s="74">
        <v>0</v>
      </c>
      <c r="R12" s="74">
        <v>0</v>
      </c>
      <c r="S12" s="74">
        <v>95</v>
      </c>
    </row>
    <row r="13" spans="1:19" x14ac:dyDescent="0.2">
      <c r="A13" s="446" t="s">
        <v>1594</v>
      </c>
      <c r="B13" s="446" t="s">
        <v>2907</v>
      </c>
      <c r="C13" s="446" t="s">
        <v>917</v>
      </c>
      <c r="D13" s="446" t="s">
        <v>153</v>
      </c>
      <c r="E13" s="446" t="s">
        <v>421</v>
      </c>
      <c r="F13" s="298">
        <v>42586</v>
      </c>
      <c r="G13" s="74">
        <v>0</v>
      </c>
      <c r="H13" s="74">
        <v>49</v>
      </c>
      <c r="I13" s="74">
        <v>0</v>
      </c>
      <c r="J13" s="74">
        <v>0</v>
      </c>
      <c r="K13" s="74">
        <v>0</v>
      </c>
      <c r="L13" s="74">
        <v>49</v>
      </c>
      <c r="M13" s="74">
        <v>0</v>
      </c>
      <c r="N13" s="74">
        <v>97</v>
      </c>
      <c r="O13" s="74">
        <v>0</v>
      </c>
      <c r="P13" s="74">
        <v>0</v>
      </c>
      <c r="Q13" s="74">
        <v>0</v>
      </c>
      <c r="R13" s="74">
        <v>97</v>
      </c>
      <c r="S13" s="74">
        <v>-48</v>
      </c>
    </row>
    <row r="14" spans="1:19" x14ac:dyDescent="0.2">
      <c r="A14" s="446" t="s">
        <v>2146</v>
      </c>
      <c r="B14" s="446" t="s">
        <v>3946</v>
      </c>
      <c r="C14" s="446" t="s">
        <v>828</v>
      </c>
      <c r="D14" s="446" t="s">
        <v>153</v>
      </c>
      <c r="E14" s="446" t="s">
        <v>421</v>
      </c>
      <c r="F14" s="298">
        <v>42517</v>
      </c>
      <c r="G14" s="74">
        <v>0</v>
      </c>
      <c r="H14" s="74">
        <v>0</v>
      </c>
      <c r="I14" s="74">
        <v>0</v>
      </c>
      <c r="J14" s="74">
        <v>0</v>
      </c>
      <c r="K14" s="74">
        <v>0</v>
      </c>
      <c r="L14" s="74">
        <v>0</v>
      </c>
      <c r="M14" s="74">
        <v>61</v>
      </c>
      <c r="N14" s="74">
        <v>0</v>
      </c>
      <c r="O14" s="74">
        <v>0</v>
      </c>
      <c r="P14" s="74">
        <v>0</v>
      </c>
      <c r="Q14" s="74">
        <v>0</v>
      </c>
      <c r="R14" s="74">
        <v>61</v>
      </c>
      <c r="S14" s="74">
        <v>-61</v>
      </c>
    </row>
    <row r="15" spans="1:19" x14ac:dyDescent="0.2">
      <c r="A15" s="446" t="s">
        <v>1926</v>
      </c>
      <c r="B15" s="446" t="s">
        <v>3952</v>
      </c>
      <c r="C15" s="446" t="s">
        <v>507</v>
      </c>
      <c r="D15" s="446" t="s">
        <v>153</v>
      </c>
      <c r="E15" s="446" t="s">
        <v>421</v>
      </c>
      <c r="F15" s="298">
        <v>42277</v>
      </c>
      <c r="G15" s="74">
        <v>44</v>
      </c>
      <c r="H15" s="74">
        <v>0</v>
      </c>
      <c r="I15" s="74">
        <v>0</v>
      </c>
      <c r="J15" s="74">
        <v>0</v>
      </c>
      <c r="K15" s="74">
        <v>0</v>
      </c>
      <c r="L15" s="74">
        <v>44</v>
      </c>
      <c r="M15" s="74">
        <v>122</v>
      </c>
      <c r="N15" s="74">
        <v>0</v>
      </c>
      <c r="O15" s="74">
        <v>0</v>
      </c>
      <c r="P15" s="74">
        <v>0</v>
      </c>
      <c r="Q15" s="74">
        <v>0</v>
      </c>
      <c r="R15" s="74">
        <v>122</v>
      </c>
      <c r="S15" s="74">
        <v>-78</v>
      </c>
    </row>
    <row r="16" spans="1:19" x14ac:dyDescent="0.2">
      <c r="A16" s="446" t="s">
        <v>1565</v>
      </c>
      <c r="B16" s="446" t="s">
        <v>149</v>
      </c>
      <c r="C16" s="446" t="s">
        <v>957</v>
      </c>
      <c r="D16" s="446" t="s">
        <v>153</v>
      </c>
      <c r="E16" s="446" t="s">
        <v>421</v>
      </c>
      <c r="F16" s="298">
        <v>42597</v>
      </c>
      <c r="G16" s="74">
        <v>0</v>
      </c>
      <c r="H16" s="74">
        <v>0</v>
      </c>
      <c r="I16" s="74">
        <v>150</v>
      </c>
      <c r="J16" s="74">
        <v>0</v>
      </c>
      <c r="K16" s="74">
        <v>0</v>
      </c>
      <c r="L16" s="74">
        <v>150</v>
      </c>
      <c r="M16" s="74">
        <v>150</v>
      </c>
      <c r="N16" s="74">
        <v>0</v>
      </c>
      <c r="O16" s="74">
        <v>0</v>
      </c>
      <c r="P16" s="74">
        <v>0</v>
      </c>
      <c r="Q16" s="74">
        <v>0</v>
      </c>
      <c r="R16" s="74">
        <v>150</v>
      </c>
      <c r="S16" s="74">
        <v>0</v>
      </c>
    </row>
    <row r="17" spans="1:19" x14ac:dyDescent="0.2">
      <c r="A17" s="446" t="s">
        <v>2397</v>
      </c>
      <c r="B17" s="446" t="s">
        <v>2907</v>
      </c>
      <c r="C17" s="446" t="s">
        <v>2398</v>
      </c>
      <c r="D17" s="446" t="s">
        <v>153</v>
      </c>
      <c r="E17" s="446" t="s">
        <v>421</v>
      </c>
      <c r="F17" s="298">
        <v>42900</v>
      </c>
      <c r="G17" s="74">
        <v>0</v>
      </c>
      <c r="H17" s="74">
        <v>0</v>
      </c>
      <c r="I17" s="74">
        <v>0</v>
      </c>
      <c r="J17" s="74">
        <v>0</v>
      </c>
      <c r="K17" s="74">
        <v>0</v>
      </c>
      <c r="L17" s="74">
        <v>0</v>
      </c>
      <c r="M17" s="74">
        <v>60</v>
      </c>
      <c r="N17" s="74">
        <v>0</v>
      </c>
      <c r="O17" s="74">
        <v>0</v>
      </c>
      <c r="P17" s="74">
        <v>0</v>
      </c>
      <c r="Q17" s="74">
        <v>0</v>
      </c>
      <c r="R17" s="74">
        <v>60</v>
      </c>
      <c r="S17" s="74">
        <v>-60</v>
      </c>
    </row>
    <row r="18" spans="1:19" x14ac:dyDescent="0.2">
      <c r="A18" s="446" t="s">
        <v>2338</v>
      </c>
      <c r="B18" s="446" t="s">
        <v>3951</v>
      </c>
      <c r="C18" s="446" t="s">
        <v>1145</v>
      </c>
      <c r="D18" s="446" t="s">
        <v>153</v>
      </c>
      <c r="E18" s="446" t="s">
        <v>421</v>
      </c>
      <c r="F18" s="298">
        <v>42740</v>
      </c>
      <c r="G18" s="74">
        <v>0</v>
      </c>
      <c r="H18" s="74">
        <v>0</v>
      </c>
      <c r="I18" s="74">
        <v>149</v>
      </c>
      <c r="J18" s="74">
        <v>0</v>
      </c>
      <c r="K18" s="74">
        <v>0</v>
      </c>
      <c r="L18" s="74">
        <v>149</v>
      </c>
      <c r="M18" s="74">
        <v>149</v>
      </c>
      <c r="N18" s="74">
        <v>0</v>
      </c>
      <c r="O18" s="74">
        <v>0</v>
      </c>
      <c r="P18" s="74">
        <v>0</v>
      </c>
      <c r="Q18" s="74">
        <v>0</v>
      </c>
      <c r="R18" s="74">
        <v>149</v>
      </c>
      <c r="S18" s="74">
        <v>0</v>
      </c>
    </row>
    <row r="19" spans="1:19" x14ac:dyDescent="0.2">
      <c r="A19" s="446" t="s">
        <v>2387</v>
      </c>
      <c r="B19" s="446" t="s">
        <v>150</v>
      </c>
      <c r="C19" s="446" t="s">
        <v>2388</v>
      </c>
      <c r="D19" s="446" t="s">
        <v>153</v>
      </c>
      <c r="E19" s="446" t="s">
        <v>421</v>
      </c>
      <c r="F19" s="298">
        <v>42954</v>
      </c>
      <c r="G19" s="74">
        <v>0</v>
      </c>
      <c r="H19" s="74">
        <v>0</v>
      </c>
      <c r="I19" s="74">
        <v>0</v>
      </c>
      <c r="J19" s="74">
        <v>0</v>
      </c>
      <c r="K19" s="74">
        <v>0</v>
      </c>
      <c r="L19" s="74">
        <v>0</v>
      </c>
      <c r="M19" s="74">
        <v>55</v>
      </c>
      <c r="N19" s="74">
        <v>0</v>
      </c>
      <c r="O19" s="74">
        <v>0</v>
      </c>
      <c r="P19" s="74">
        <v>0</v>
      </c>
      <c r="Q19" s="74">
        <v>0</v>
      </c>
      <c r="R19" s="74">
        <v>55</v>
      </c>
      <c r="S19" s="74">
        <v>-55</v>
      </c>
    </row>
    <row r="20" spans="1:19" x14ac:dyDescent="0.2">
      <c r="A20" s="446" t="s">
        <v>2309</v>
      </c>
      <c r="B20" s="446" t="s">
        <v>3949</v>
      </c>
      <c r="C20" s="446" t="s">
        <v>1160</v>
      </c>
      <c r="D20" s="446" t="s">
        <v>153</v>
      </c>
      <c r="E20" s="446" t="s">
        <v>421</v>
      </c>
      <c r="F20" s="298">
        <v>42761</v>
      </c>
      <c r="G20" s="74">
        <v>0</v>
      </c>
      <c r="H20" s="74">
        <v>0</v>
      </c>
      <c r="I20" s="74">
        <v>0</v>
      </c>
      <c r="J20" s="74">
        <v>0</v>
      </c>
      <c r="K20" s="74">
        <v>0</v>
      </c>
      <c r="L20" s="74">
        <v>0</v>
      </c>
      <c r="M20" s="74">
        <v>40</v>
      </c>
      <c r="N20" s="74">
        <v>0</v>
      </c>
      <c r="O20" s="74">
        <v>0</v>
      </c>
      <c r="P20" s="74">
        <v>0</v>
      </c>
      <c r="Q20" s="74">
        <v>0</v>
      </c>
      <c r="R20" s="74">
        <v>40</v>
      </c>
      <c r="S20" s="74">
        <v>-40</v>
      </c>
    </row>
    <row r="21" spans="1:19" x14ac:dyDescent="0.2">
      <c r="A21" s="446" t="s">
        <v>2515</v>
      </c>
      <c r="B21" s="446" t="s">
        <v>2907</v>
      </c>
      <c r="C21" s="446" t="s">
        <v>2516</v>
      </c>
      <c r="D21" s="446" t="s">
        <v>153</v>
      </c>
      <c r="E21" s="446" t="s">
        <v>2944</v>
      </c>
      <c r="F21" s="298">
        <v>42999</v>
      </c>
      <c r="G21" s="74">
        <v>73</v>
      </c>
      <c r="H21" s="74">
        <v>0</v>
      </c>
      <c r="I21" s="74">
        <v>0</v>
      </c>
      <c r="J21" s="74">
        <v>0</v>
      </c>
      <c r="K21" s="74">
        <v>0</v>
      </c>
      <c r="L21" s="74">
        <v>73</v>
      </c>
      <c r="M21" s="74">
        <v>0</v>
      </c>
      <c r="N21" s="74">
        <v>0</v>
      </c>
      <c r="O21" s="74">
        <v>73</v>
      </c>
      <c r="P21" s="74">
        <v>0</v>
      </c>
      <c r="Q21" s="74">
        <v>0</v>
      </c>
      <c r="R21" s="74">
        <v>73</v>
      </c>
      <c r="S21" s="74">
        <v>0</v>
      </c>
    </row>
    <row r="22" spans="1:19" x14ac:dyDescent="0.2">
      <c r="A22" s="446" t="s">
        <v>2286</v>
      </c>
      <c r="B22" s="446" t="s">
        <v>3947</v>
      </c>
      <c r="C22" s="446" t="s">
        <v>1024</v>
      </c>
      <c r="D22" s="446" t="s">
        <v>153</v>
      </c>
      <c r="E22" s="446" t="s">
        <v>421</v>
      </c>
      <c r="F22" s="298">
        <v>42653</v>
      </c>
      <c r="G22" s="74">
        <v>0</v>
      </c>
      <c r="H22" s="74">
        <v>0</v>
      </c>
      <c r="I22" s="74">
        <v>80</v>
      </c>
      <c r="J22" s="74">
        <v>0</v>
      </c>
      <c r="K22" s="74">
        <v>0</v>
      </c>
      <c r="L22" s="74">
        <v>80</v>
      </c>
      <c r="M22" s="74">
        <v>80</v>
      </c>
      <c r="N22" s="74">
        <v>0</v>
      </c>
      <c r="O22" s="74">
        <v>0</v>
      </c>
      <c r="P22" s="74">
        <v>0</v>
      </c>
      <c r="Q22" s="74">
        <v>0</v>
      </c>
      <c r="R22" s="74">
        <v>80</v>
      </c>
      <c r="S22" s="74">
        <v>0</v>
      </c>
    </row>
    <row r="23" spans="1:19" x14ac:dyDescent="0.2">
      <c r="A23" s="446" t="s">
        <v>1450</v>
      </c>
      <c r="B23" s="446" t="s">
        <v>150</v>
      </c>
      <c r="C23" s="446" t="s">
        <v>1303</v>
      </c>
      <c r="D23" s="446" t="s">
        <v>153</v>
      </c>
      <c r="E23" s="446" t="s">
        <v>2944</v>
      </c>
      <c r="F23" s="298">
        <v>42535</v>
      </c>
      <c r="G23" s="74">
        <v>45</v>
      </c>
      <c r="H23" s="74">
        <v>0</v>
      </c>
      <c r="I23" s="74">
        <v>0</v>
      </c>
      <c r="J23" s="74">
        <v>0</v>
      </c>
      <c r="K23" s="74">
        <v>0</v>
      </c>
      <c r="L23" s="74">
        <v>45</v>
      </c>
      <c r="M23" s="74">
        <v>45</v>
      </c>
      <c r="N23" s="74">
        <v>0</v>
      </c>
      <c r="O23" s="74">
        <v>0</v>
      </c>
      <c r="P23" s="74">
        <v>0</v>
      </c>
      <c r="Q23" s="74">
        <v>0</v>
      </c>
      <c r="R23" s="74">
        <v>45</v>
      </c>
      <c r="S23" s="74">
        <v>0</v>
      </c>
    </row>
    <row r="24" spans="1:19" x14ac:dyDescent="0.2">
      <c r="A24" s="446" t="s">
        <v>95</v>
      </c>
      <c r="G24" s="74">
        <v>257</v>
      </c>
      <c r="H24" s="74">
        <v>49</v>
      </c>
      <c r="I24" s="74">
        <v>429</v>
      </c>
      <c r="J24" s="74">
        <v>0</v>
      </c>
      <c r="K24" s="74">
        <v>0</v>
      </c>
      <c r="L24" s="74">
        <v>735</v>
      </c>
      <c r="M24" s="74">
        <v>1001</v>
      </c>
      <c r="N24" s="74">
        <v>195</v>
      </c>
      <c r="O24" s="74">
        <v>73</v>
      </c>
      <c r="P24" s="74">
        <v>0</v>
      </c>
      <c r="Q24" s="74">
        <v>0</v>
      </c>
      <c r="R24" s="74">
        <v>1269</v>
      </c>
      <c r="S24" s="74">
        <v>-534</v>
      </c>
    </row>
  </sheetData>
  <conditionalFormatting sqref="D1:D1048576">
    <cfRule type="cellIs" dxfId="37"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S15"/>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3895</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ht="33.75" x14ac:dyDescent="0.2">
      <c r="A7" s="344" t="s">
        <v>1388</v>
      </c>
      <c r="B7" s="342" t="s">
        <v>3947</v>
      </c>
      <c r="C7" s="343" t="s">
        <v>576</v>
      </c>
      <c r="D7" s="342" t="s">
        <v>153</v>
      </c>
      <c r="E7" s="344" t="s">
        <v>3974</v>
      </c>
      <c r="F7" s="345" t="s">
        <v>153</v>
      </c>
      <c r="G7" s="346">
        <v>0</v>
      </c>
      <c r="H7" s="346">
        <v>0</v>
      </c>
      <c r="I7" s="346">
        <v>557</v>
      </c>
      <c r="J7" s="346">
        <v>0</v>
      </c>
      <c r="K7" s="346">
        <v>0</v>
      </c>
      <c r="L7" s="347">
        <v>557</v>
      </c>
      <c r="M7" s="346">
        <v>0</v>
      </c>
      <c r="N7" s="346">
        <v>0</v>
      </c>
      <c r="O7" s="346">
        <v>0</v>
      </c>
      <c r="P7" s="346">
        <v>0</v>
      </c>
      <c r="Q7" s="346">
        <v>0</v>
      </c>
      <c r="R7" s="347">
        <v>0</v>
      </c>
      <c r="S7" s="346">
        <v>557</v>
      </c>
    </row>
    <row r="8" spans="1:19" ht="22.5" x14ac:dyDescent="0.2">
      <c r="A8" s="305" t="s">
        <v>1717</v>
      </c>
      <c r="B8" s="306" t="s">
        <v>3944</v>
      </c>
      <c r="C8" s="307" t="s">
        <v>1244</v>
      </c>
      <c r="D8" s="306" t="s">
        <v>153</v>
      </c>
      <c r="E8" s="305" t="s">
        <v>3974</v>
      </c>
      <c r="F8" s="335" t="s">
        <v>153</v>
      </c>
      <c r="G8" s="309">
        <v>549</v>
      </c>
      <c r="H8" s="309">
        <v>549</v>
      </c>
      <c r="I8" s="309">
        <v>549</v>
      </c>
      <c r="J8" s="309">
        <v>549</v>
      </c>
      <c r="K8" s="309">
        <v>0</v>
      </c>
      <c r="L8" s="317">
        <v>2196</v>
      </c>
      <c r="M8" s="309">
        <v>6309</v>
      </c>
      <c r="N8" s="309">
        <v>0</v>
      </c>
      <c r="O8" s="309">
        <v>0</v>
      </c>
      <c r="P8" s="309">
        <v>0</v>
      </c>
      <c r="Q8" s="309">
        <v>0</v>
      </c>
      <c r="R8" s="317">
        <v>6309</v>
      </c>
      <c r="S8" s="309">
        <v>-4113</v>
      </c>
    </row>
    <row r="9" spans="1:19" ht="22.5" x14ac:dyDescent="0.2">
      <c r="A9" s="305" t="s">
        <v>1792</v>
      </c>
      <c r="B9" s="306" t="s">
        <v>3943</v>
      </c>
      <c r="C9" s="307" t="s">
        <v>1257</v>
      </c>
      <c r="D9" s="306" t="s">
        <v>153</v>
      </c>
      <c r="E9" s="305" t="s">
        <v>3974</v>
      </c>
      <c r="F9" s="335" t="s">
        <v>153</v>
      </c>
      <c r="G9" s="309">
        <v>4277</v>
      </c>
      <c r="H9" s="309">
        <v>155</v>
      </c>
      <c r="I9" s="309">
        <v>155</v>
      </c>
      <c r="J9" s="309">
        <v>156</v>
      </c>
      <c r="K9" s="309">
        <v>0</v>
      </c>
      <c r="L9" s="317">
        <v>4743</v>
      </c>
      <c r="M9" s="309">
        <v>2865</v>
      </c>
      <c r="N9" s="309">
        <v>0</v>
      </c>
      <c r="O9" s="309">
        <v>0</v>
      </c>
      <c r="P9" s="309">
        <v>0</v>
      </c>
      <c r="Q9" s="309">
        <v>0</v>
      </c>
      <c r="R9" s="317">
        <v>2865</v>
      </c>
      <c r="S9" s="309">
        <v>1878</v>
      </c>
    </row>
    <row r="10" spans="1:19" ht="22.5" x14ac:dyDescent="0.2">
      <c r="A10" s="305" t="s">
        <v>1721</v>
      </c>
      <c r="B10" s="306" t="s">
        <v>3944</v>
      </c>
      <c r="C10" s="307" t="s">
        <v>1198</v>
      </c>
      <c r="D10" s="306" t="s">
        <v>153</v>
      </c>
      <c r="E10" s="305" t="s">
        <v>3974</v>
      </c>
      <c r="F10" s="335" t="s">
        <v>153</v>
      </c>
      <c r="G10" s="309">
        <v>199</v>
      </c>
      <c r="H10" s="309">
        <v>823</v>
      </c>
      <c r="I10" s="309">
        <v>199</v>
      </c>
      <c r="J10" s="309">
        <v>0</v>
      </c>
      <c r="K10" s="309">
        <v>199</v>
      </c>
      <c r="L10" s="317">
        <v>1420</v>
      </c>
      <c r="M10" s="309">
        <v>3701</v>
      </c>
      <c r="N10" s="309">
        <v>0</v>
      </c>
      <c r="O10" s="309">
        <v>0</v>
      </c>
      <c r="P10" s="309">
        <v>0</v>
      </c>
      <c r="Q10" s="309">
        <v>0</v>
      </c>
      <c r="R10" s="317">
        <v>3701</v>
      </c>
      <c r="S10" s="309">
        <v>-2281</v>
      </c>
    </row>
    <row r="11" spans="1:19" ht="45" x14ac:dyDescent="0.2">
      <c r="A11" s="305" t="s">
        <v>2666</v>
      </c>
      <c r="B11" s="306" t="s">
        <v>3948</v>
      </c>
      <c r="C11" s="307" t="s">
        <v>2667</v>
      </c>
      <c r="D11" s="306" t="s">
        <v>153</v>
      </c>
      <c r="E11" s="305" t="s">
        <v>3974</v>
      </c>
      <c r="F11" s="335" t="s">
        <v>153</v>
      </c>
      <c r="G11" s="309">
        <v>0</v>
      </c>
      <c r="H11" s="309">
        <v>110</v>
      </c>
      <c r="I11" s="309">
        <v>0</v>
      </c>
      <c r="J11" s="309">
        <v>0</v>
      </c>
      <c r="K11" s="309">
        <v>0</v>
      </c>
      <c r="L11" s="317">
        <v>110</v>
      </c>
      <c r="M11" s="309">
        <v>0</v>
      </c>
      <c r="N11" s="309">
        <v>0</v>
      </c>
      <c r="O11" s="309">
        <v>0</v>
      </c>
      <c r="P11" s="309">
        <v>0</v>
      </c>
      <c r="Q11" s="309">
        <v>0</v>
      </c>
      <c r="R11" s="317">
        <v>0</v>
      </c>
      <c r="S11" s="309">
        <v>110</v>
      </c>
    </row>
    <row r="12" spans="1:19" ht="22.5" x14ac:dyDescent="0.2">
      <c r="A12" s="305" t="s">
        <v>1648</v>
      </c>
      <c r="B12" s="306" t="s">
        <v>3945</v>
      </c>
      <c r="C12" s="307" t="s">
        <v>1650</v>
      </c>
      <c r="D12" s="306" t="s">
        <v>153</v>
      </c>
      <c r="E12" s="305" t="s">
        <v>3974</v>
      </c>
      <c r="F12" s="335" t="s">
        <v>153</v>
      </c>
      <c r="G12" s="309">
        <v>7405</v>
      </c>
      <c r="H12" s="309">
        <v>0</v>
      </c>
      <c r="I12" s="309">
        <v>0</v>
      </c>
      <c r="J12" s="309">
        <v>0</v>
      </c>
      <c r="K12" s="309">
        <v>0</v>
      </c>
      <c r="L12" s="317">
        <v>7405</v>
      </c>
      <c r="M12" s="309">
        <v>1461</v>
      </c>
      <c r="N12" s="309">
        <v>0</v>
      </c>
      <c r="O12" s="309">
        <v>0</v>
      </c>
      <c r="P12" s="309">
        <v>0</v>
      </c>
      <c r="Q12" s="309">
        <v>0</v>
      </c>
      <c r="R12" s="317">
        <v>1461</v>
      </c>
      <c r="S12" s="309">
        <v>5944</v>
      </c>
    </row>
    <row r="13" spans="1:19" ht="22.5" x14ac:dyDescent="0.2">
      <c r="A13" s="305" t="s">
        <v>2352</v>
      </c>
      <c r="B13" s="306" t="s">
        <v>3947</v>
      </c>
      <c r="C13" s="307" t="s">
        <v>1060</v>
      </c>
      <c r="D13" s="306" t="s">
        <v>153</v>
      </c>
      <c r="E13" s="305" t="s">
        <v>3974</v>
      </c>
      <c r="F13" s="335" t="s">
        <v>153</v>
      </c>
      <c r="G13" s="309">
        <v>88</v>
      </c>
      <c r="H13" s="309">
        <v>88</v>
      </c>
      <c r="I13" s="309">
        <v>88</v>
      </c>
      <c r="J13" s="309">
        <v>824</v>
      </c>
      <c r="K13" s="309">
        <v>0</v>
      </c>
      <c r="L13" s="317">
        <v>1088</v>
      </c>
      <c r="M13" s="309">
        <v>0</v>
      </c>
      <c r="N13" s="309">
        <v>0</v>
      </c>
      <c r="O13" s="309">
        <v>0</v>
      </c>
      <c r="P13" s="309">
        <v>842</v>
      </c>
      <c r="Q13" s="309">
        <v>0</v>
      </c>
      <c r="R13" s="317">
        <v>842</v>
      </c>
      <c r="S13" s="309">
        <v>246</v>
      </c>
    </row>
    <row r="14" spans="1:19" ht="33.75" x14ac:dyDescent="0.2">
      <c r="A14" s="305" t="s">
        <v>2368</v>
      </c>
      <c r="B14" s="306" t="s">
        <v>3943</v>
      </c>
      <c r="C14" s="307" t="s">
        <v>1070</v>
      </c>
      <c r="D14" s="306" t="s">
        <v>153</v>
      </c>
      <c r="E14" s="305" t="s">
        <v>3974</v>
      </c>
      <c r="F14" s="335" t="s">
        <v>153</v>
      </c>
      <c r="G14" s="309">
        <v>54</v>
      </c>
      <c r="H14" s="309">
        <v>0</v>
      </c>
      <c r="I14" s="309">
        <v>304</v>
      </c>
      <c r="J14" s="309">
        <v>305</v>
      </c>
      <c r="K14" s="309">
        <v>0</v>
      </c>
      <c r="L14" s="317">
        <v>663</v>
      </c>
      <c r="M14" s="309">
        <v>0</v>
      </c>
      <c r="N14" s="309">
        <v>0</v>
      </c>
      <c r="O14" s="309">
        <v>0</v>
      </c>
      <c r="P14" s="309">
        <v>0</v>
      </c>
      <c r="Q14" s="309">
        <v>0</v>
      </c>
      <c r="R14" s="317">
        <v>0</v>
      </c>
      <c r="S14" s="309">
        <v>663</v>
      </c>
    </row>
    <row r="15" spans="1:19" s="320" customFormat="1" x14ac:dyDescent="0.2">
      <c r="A15" s="328" t="s">
        <v>95</v>
      </c>
      <c r="B15" s="329"/>
      <c r="C15" s="330"/>
      <c r="D15" s="329"/>
      <c r="E15" s="328"/>
      <c r="F15" s="349"/>
      <c r="G15" s="333">
        <v>12572</v>
      </c>
      <c r="H15" s="333">
        <v>1725</v>
      </c>
      <c r="I15" s="333">
        <v>1852</v>
      </c>
      <c r="J15" s="333">
        <v>1834</v>
      </c>
      <c r="K15" s="333">
        <v>199</v>
      </c>
      <c r="L15" s="334">
        <v>18182</v>
      </c>
      <c r="M15" s="333">
        <v>14336</v>
      </c>
      <c r="N15" s="333">
        <v>0</v>
      </c>
      <c r="O15" s="333">
        <v>0</v>
      </c>
      <c r="P15" s="333">
        <v>842</v>
      </c>
      <c r="Q15" s="333">
        <v>0</v>
      </c>
      <c r="R15" s="334">
        <v>15178</v>
      </c>
      <c r="S15" s="333">
        <v>3004</v>
      </c>
    </row>
  </sheetData>
  <mergeCells count="10">
    <mergeCell ref="G4:S4"/>
    <mergeCell ref="G5:L5"/>
    <mergeCell ref="M5:R5"/>
    <mergeCell ref="S5:S6"/>
    <mergeCell ref="A4:A6"/>
    <mergeCell ref="B4:B6"/>
    <mergeCell ref="C4:C6"/>
    <mergeCell ref="D4:D6"/>
    <mergeCell ref="E4:E6"/>
    <mergeCell ref="F4:F6"/>
  </mergeCells>
  <conditionalFormatting sqref="D1:D1048576">
    <cfRule type="cellIs" dxfId="35" priority="2" operator="equal">
      <formula>"(blank)"</formula>
    </cfRule>
  </conditionalFormatting>
  <conditionalFormatting sqref="F1:F1048576">
    <cfRule type="cellIs" dxfId="34"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S15"/>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2938</v>
      </c>
    </row>
    <row r="2" spans="1:19" x14ac:dyDescent="0.2">
      <c r="A2" s="77" t="s">
        <v>2940</v>
      </c>
      <c r="B2" s="446" t="s">
        <v>2945</v>
      </c>
    </row>
    <row r="3" spans="1:19" x14ac:dyDescent="0.2">
      <c r="A3" s="77" t="s">
        <v>2941</v>
      </c>
      <c r="B3" s="446" t="s">
        <v>429</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1388</v>
      </c>
      <c r="B7" s="446" t="s">
        <v>3947</v>
      </c>
      <c r="C7" s="446" t="s">
        <v>576</v>
      </c>
      <c r="D7" s="446" t="s">
        <v>153</v>
      </c>
      <c r="E7" s="446" t="s">
        <v>3974</v>
      </c>
      <c r="F7" s="446" t="s">
        <v>153</v>
      </c>
      <c r="G7" s="74">
        <v>0</v>
      </c>
      <c r="H7" s="74">
        <v>0</v>
      </c>
      <c r="I7" s="74">
        <v>557</v>
      </c>
      <c r="J7" s="74">
        <v>0</v>
      </c>
      <c r="K7" s="74">
        <v>0</v>
      </c>
      <c r="L7" s="74">
        <v>557</v>
      </c>
      <c r="M7" s="74">
        <v>0</v>
      </c>
      <c r="N7" s="74">
        <v>0</v>
      </c>
      <c r="O7" s="74">
        <v>0</v>
      </c>
      <c r="P7" s="74">
        <v>0</v>
      </c>
      <c r="Q7" s="74">
        <v>0</v>
      </c>
      <c r="R7" s="74">
        <v>0</v>
      </c>
      <c r="S7" s="74">
        <v>557</v>
      </c>
    </row>
    <row r="8" spans="1:19" x14ac:dyDescent="0.2">
      <c r="A8" s="446" t="s">
        <v>1717</v>
      </c>
      <c r="B8" s="446" t="s">
        <v>3944</v>
      </c>
      <c r="C8" s="446" t="s">
        <v>1244</v>
      </c>
      <c r="D8" s="446" t="s">
        <v>153</v>
      </c>
      <c r="E8" s="446" t="s">
        <v>3974</v>
      </c>
      <c r="F8" s="446" t="s">
        <v>153</v>
      </c>
      <c r="G8" s="74">
        <v>549</v>
      </c>
      <c r="H8" s="74">
        <v>549</v>
      </c>
      <c r="I8" s="74">
        <v>549</v>
      </c>
      <c r="J8" s="74">
        <v>549</v>
      </c>
      <c r="K8" s="74">
        <v>0</v>
      </c>
      <c r="L8" s="74">
        <v>2196</v>
      </c>
      <c r="M8" s="74">
        <v>6309</v>
      </c>
      <c r="N8" s="74">
        <v>0</v>
      </c>
      <c r="O8" s="74">
        <v>0</v>
      </c>
      <c r="P8" s="74">
        <v>0</v>
      </c>
      <c r="Q8" s="74">
        <v>0</v>
      </c>
      <c r="R8" s="74">
        <v>6309</v>
      </c>
      <c r="S8" s="74">
        <v>-4113</v>
      </c>
    </row>
    <row r="9" spans="1:19" x14ac:dyDescent="0.2">
      <c r="A9" s="446" t="s">
        <v>1792</v>
      </c>
      <c r="B9" s="446" t="s">
        <v>3943</v>
      </c>
      <c r="C9" s="446" t="s">
        <v>1257</v>
      </c>
      <c r="D9" s="446" t="s">
        <v>153</v>
      </c>
      <c r="E9" s="446" t="s">
        <v>3974</v>
      </c>
      <c r="F9" s="446" t="s">
        <v>153</v>
      </c>
      <c r="G9" s="74">
        <v>4277</v>
      </c>
      <c r="H9" s="74">
        <v>155</v>
      </c>
      <c r="I9" s="74">
        <v>155</v>
      </c>
      <c r="J9" s="74">
        <v>156</v>
      </c>
      <c r="K9" s="74">
        <v>0</v>
      </c>
      <c r="L9" s="74">
        <v>4743</v>
      </c>
      <c r="M9" s="74">
        <v>2865</v>
      </c>
      <c r="N9" s="74">
        <v>0</v>
      </c>
      <c r="O9" s="74">
        <v>0</v>
      </c>
      <c r="P9" s="74">
        <v>0</v>
      </c>
      <c r="Q9" s="74">
        <v>0</v>
      </c>
      <c r="R9" s="74">
        <v>2865</v>
      </c>
      <c r="S9" s="74">
        <v>1878</v>
      </c>
    </row>
    <row r="10" spans="1:19" x14ac:dyDescent="0.2">
      <c r="A10" s="446" t="s">
        <v>1721</v>
      </c>
      <c r="B10" s="446" t="s">
        <v>3944</v>
      </c>
      <c r="C10" s="446" t="s">
        <v>1198</v>
      </c>
      <c r="D10" s="446" t="s">
        <v>153</v>
      </c>
      <c r="E10" s="446" t="s">
        <v>3974</v>
      </c>
      <c r="F10" s="446" t="s">
        <v>153</v>
      </c>
      <c r="G10" s="74">
        <v>199</v>
      </c>
      <c r="H10" s="74">
        <v>823</v>
      </c>
      <c r="I10" s="74">
        <v>199</v>
      </c>
      <c r="J10" s="74">
        <v>0</v>
      </c>
      <c r="K10" s="74">
        <v>199</v>
      </c>
      <c r="L10" s="74">
        <v>1420</v>
      </c>
      <c r="M10" s="74">
        <v>3701</v>
      </c>
      <c r="N10" s="74">
        <v>0</v>
      </c>
      <c r="O10" s="74">
        <v>0</v>
      </c>
      <c r="P10" s="74">
        <v>0</v>
      </c>
      <c r="Q10" s="74">
        <v>0</v>
      </c>
      <c r="R10" s="74">
        <v>3701</v>
      </c>
      <c r="S10" s="74">
        <v>-2281</v>
      </c>
    </row>
    <row r="11" spans="1:19" x14ac:dyDescent="0.2">
      <c r="A11" s="446" t="s">
        <v>2666</v>
      </c>
      <c r="B11" s="446" t="s">
        <v>3948</v>
      </c>
      <c r="C11" s="446" t="s">
        <v>2667</v>
      </c>
      <c r="D11" s="446" t="s">
        <v>153</v>
      </c>
      <c r="E11" s="446" t="s">
        <v>3974</v>
      </c>
      <c r="F11" s="446" t="s">
        <v>153</v>
      </c>
      <c r="G11" s="74">
        <v>0</v>
      </c>
      <c r="H11" s="74">
        <v>110</v>
      </c>
      <c r="I11" s="74">
        <v>0</v>
      </c>
      <c r="J11" s="74">
        <v>0</v>
      </c>
      <c r="K11" s="74">
        <v>0</v>
      </c>
      <c r="L11" s="74">
        <v>110</v>
      </c>
      <c r="M11" s="74">
        <v>0</v>
      </c>
      <c r="N11" s="74">
        <v>0</v>
      </c>
      <c r="O11" s="74">
        <v>0</v>
      </c>
      <c r="P11" s="74">
        <v>0</v>
      </c>
      <c r="Q11" s="74">
        <v>0</v>
      </c>
      <c r="R11" s="74">
        <v>0</v>
      </c>
      <c r="S11" s="74">
        <v>110</v>
      </c>
    </row>
    <row r="12" spans="1:19" x14ac:dyDescent="0.2">
      <c r="A12" s="446" t="s">
        <v>1648</v>
      </c>
      <c r="B12" s="446" t="s">
        <v>3945</v>
      </c>
      <c r="C12" s="446" t="s">
        <v>1650</v>
      </c>
      <c r="D12" s="446" t="s">
        <v>153</v>
      </c>
      <c r="E12" s="446" t="s">
        <v>3974</v>
      </c>
      <c r="F12" s="446" t="s">
        <v>153</v>
      </c>
      <c r="G12" s="74">
        <v>7405</v>
      </c>
      <c r="H12" s="74">
        <v>0</v>
      </c>
      <c r="I12" s="74">
        <v>0</v>
      </c>
      <c r="J12" s="74">
        <v>0</v>
      </c>
      <c r="K12" s="74">
        <v>0</v>
      </c>
      <c r="L12" s="74">
        <v>7405</v>
      </c>
      <c r="M12" s="74">
        <v>1461</v>
      </c>
      <c r="N12" s="74">
        <v>0</v>
      </c>
      <c r="O12" s="74">
        <v>0</v>
      </c>
      <c r="P12" s="74">
        <v>0</v>
      </c>
      <c r="Q12" s="74">
        <v>0</v>
      </c>
      <c r="R12" s="74">
        <v>1461</v>
      </c>
      <c r="S12" s="74">
        <v>5944</v>
      </c>
    </row>
    <row r="13" spans="1:19" x14ac:dyDescent="0.2">
      <c r="A13" s="446" t="s">
        <v>2352</v>
      </c>
      <c r="B13" s="446" t="s">
        <v>3947</v>
      </c>
      <c r="C13" s="446" t="s">
        <v>1060</v>
      </c>
      <c r="D13" s="446" t="s">
        <v>153</v>
      </c>
      <c r="E13" s="446" t="s">
        <v>3974</v>
      </c>
      <c r="F13" s="446" t="s">
        <v>153</v>
      </c>
      <c r="G13" s="74">
        <v>88</v>
      </c>
      <c r="H13" s="74">
        <v>88</v>
      </c>
      <c r="I13" s="74">
        <v>88</v>
      </c>
      <c r="J13" s="74">
        <v>824</v>
      </c>
      <c r="K13" s="74">
        <v>0</v>
      </c>
      <c r="L13" s="74">
        <v>1088</v>
      </c>
      <c r="M13" s="74">
        <v>0</v>
      </c>
      <c r="N13" s="74">
        <v>0</v>
      </c>
      <c r="O13" s="74">
        <v>0</v>
      </c>
      <c r="P13" s="74">
        <v>842</v>
      </c>
      <c r="Q13" s="74">
        <v>0</v>
      </c>
      <c r="R13" s="74">
        <v>842</v>
      </c>
      <c r="S13" s="74">
        <v>246</v>
      </c>
    </row>
    <row r="14" spans="1:19" x14ac:dyDescent="0.2">
      <c r="A14" s="446" t="s">
        <v>2368</v>
      </c>
      <c r="B14" s="446" t="s">
        <v>3943</v>
      </c>
      <c r="C14" s="446" t="s">
        <v>1070</v>
      </c>
      <c r="D14" s="446" t="s">
        <v>153</v>
      </c>
      <c r="E14" s="446" t="s">
        <v>3974</v>
      </c>
      <c r="F14" s="446" t="s">
        <v>153</v>
      </c>
      <c r="G14" s="74">
        <v>54</v>
      </c>
      <c r="H14" s="74">
        <v>0</v>
      </c>
      <c r="I14" s="74">
        <v>304</v>
      </c>
      <c r="J14" s="74">
        <v>305</v>
      </c>
      <c r="K14" s="74">
        <v>0</v>
      </c>
      <c r="L14" s="74">
        <v>663</v>
      </c>
      <c r="M14" s="74">
        <v>0</v>
      </c>
      <c r="N14" s="74">
        <v>0</v>
      </c>
      <c r="O14" s="74">
        <v>0</v>
      </c>
      <c r="P14" s="74">
        <v>0</v>
      </c>
      <c r="Q14" s="74">
        <v>0</v>
      </c>
      <c r="R14" s="74">
        <v>0</v>
      </c>
      <c r="S14" s="74">
        <v>663</v>
      </c>
    </row>
    <row r="15" spans="1:19" x14ac:dyDescent="0.2">
      <c r="A15" s="446" t="s">
        <v>95</v>
      </c>
      <c r="G15" s="74">
        <v>12572</v>
      </c>
      <c r="H15" s="74">
        <v>1725</v>
      </c>
      <c r="I15" s="74">
        <v>1852</v>
      </c>
      <c r="J15" s="74">
        <v>1834</v>
      </c>
      <c r="K15" s="74">
        <v>199</v>
      </c>
      <c r="L15" s="74">
        <v>18182</v>
      </c>
      <c r="M15" s="74">
        <v>14336</v>
      </c>
      <c r="N15" s="74">
        <v>0</v>
      </c>
      <c r="O15" s="74">
        <v>0</v>
      </c>
      <c r="P15" s="74">
        <v>842</v>
      </c>
      <c r="Q15" s="74">
        <v>0</v>
      </c>
      <c r="R15" s="74">
        <v>15178</v>
      </c>
      <c r="S15" s="74">
        <v>3004</v>
      </c>
    </row>
  </sheetData>
  <conditionalFormatting sqref="D1:D1048576">
    <cfRule type="cellIs" dxfId="33"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S8"/>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3986</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x14ac:dyDescent="0.2">
      <c r="A7" s="344" t="s">
        <v>2424</v>
      </c>
      <c r="B7" s="342" t="s">
        <v>3942</v>
      </c>
      <c r="C7" s="343" t="s">
        <v>2425</v>
      </c>
      <c r="D7" s="342" t="s">
        <v>153</v>
      </c>
      <c r="E7" s="344" t="s">
        <v>3985</v>
      </c>
      <c r="F7" s="345">
        <v>43098</v>
      </c>
      <c r="G7" s="346">
        <v>0</v>
      </c>
      <c r="H7" s="346">
        <v>0</v>
      </c>
      <c r="I7" s="346">
        <v>134</v>
      </c>
      <c r="J7" s="346">
        <v>0</v>
      </c>
      <c r="K7" s="346">
        <v>0</v>
      </c>
      <c r="L7" s="347">
        <v>134</v>
      </c>
      <c r="M7" s="346">
        <v>145</v>
      </c>
      <c r="N7" s="346">
        <v>0</v>
      </c>
      <c r="O7" s="346">
        <v>0</v>
      </c>
      <c r="P7" s="346">
        <v>0</v>
      </c>
      <c r="Q7" s="346">
        <v>0</v>
      </c>
      <c r="R7" s="347">
        <v>145</v>
      </c>
      <c r="S7" s="346">
        <v>-11</v>
      </c>
    </row>
    <row r="8" spans="1:19" x14ac:dyDescent="0.2">
      <c r="A8" s="328" t="s">
        <v>95</v>
      </c>
      <c r="B8" s="329"/>
      <c r="C8" s="330"/>
      <c r="D8" s="329"/>
      <c r="E8" s="328"/>
      <c r="F8" s="349"/>
      <c r="G8" s="333">
        <v>0</v>
      </c>
      <c r="H8" s="333">
        <v>0</v>
      </c>
      <c r="I8" s="333">
        <v>134</v>
      </c>
      <c r="J8" s="333">
        <v>0</v>
      </c>
      <c r="K8" s="333">
        <v>0</v>
      </c>
      <c r="L8" s="334">
        <v>134</v>
      </c>
      <c r="M8" s="333">
        <v>145</v>
      </c>
      <c r="N8" s="333">
        <v>0</v>
      </c>
      <c r="O8" s="333">
        <v>0</v>
      </c>
      <c r="P8" s="333">
        <v>0</v>
      </c>
      <c r="Q8" s="333">
        <v>0</v>
      </c>
      <c r="R8" s="334">
        <v>145</v>
      </c>
      <c r="S8" s="333">
        <v>-11</v>
      </c>
    </row>
  </sheetData>
  <mergeCells count="10">
    <mergeCell ref="G4:S4"/>
    <mergeCell ref="G5:L5"/>
    <mergeCell ref="M5:R5"/>
    <mergeCell ref="S5:S6"/>
    <mergeCell ref="A4:A6"/>
    <mergeCell ref="B4:B6"/>
    <mergeCell ref="C4:C6"/>
    <mergeCell ref="D4:D6"/>
    <mergeCell ref="E4:E6"/>
    <mergeCell ref="F4:F6"/>
  </mergeCells>
  <conditionalFormatting sqref="D1:D1048576 F1:F1048576">
    <cfRule type="cellIs" dxfId="31" priority="2"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J111"/>
  <sheetViews>
    <sheetView workbookViewId="0">
      <selection sqref="A1:H1"/>
    </sheetView>
  </sheetViews>
  <sheetFormatPr defaultRowHeight="12" x14ac:dyDescent="0.2"/>
  <cols>
    <col min="1" max="1" width="24" style="294" customWidth="1"/>
    <col min="2" max="2" width="13.7109375" style="16" bestFit="1" customWidth="1"/>
    <col min="3" max="3" width="12.28515625" style="162" customWidth="1"/>
    <col min="4" max="4" width="12.85546875" style="162" customWidth="1"/>
    <col min="5" max="7" width="12.28515625" style="162" customWidth="1"/>
    <col min="8" max="8" width="12.28515625" style="163" customWidth="1"/>
    <col min="9" max="9" width="10.7109375" style="28" customWidth="1"/>
    <col min="10" max="16384" width="9.140625" style="16"/>
  </cols>
  <sheetData>
    <row r="1" spans="1:36" ht="15.75" x14ac:dyDescent="0.25">
      <c r="A1" s="606" t="s">
        <v>423</v>
      </c>
      <c r="B1" s="606"/>
      <c r="C1" s="606"/>
      <c r="D1" s="606"/>
      <c r="E1" s="606"/>
      <c r="F1" s="606"/>
      <c r="G1" s="606"/>
      <c r="H1" s="606"/>
      <c r="AJ1" s="10"/>
    </row>
    <row r="2" spans="1:36" ht="12.75" x14ac:dyDescent="0.2">
      <c r="A2" s="640" t="s">
        <v>3901</v>
      </c>
      <c r="B2" s="640"/>
      <c r="C2" s="640"/>
      <c r="D2" s="640"/>
      <c r="E2" s="640"/>
      <c r="F2" s="640"/>
      <c r="G2" s="640"/>
      <c r="H2" s="640"/>
      <c r="I2" s="32"/>
    </row>
    <row r="3" spans="1:36" x14ac:dyDescent="0.2">
      <c r="A3" s="419"/>
      <c r="B3" s="19"/>
      <c r="I3" s="32"/>
    </row>
    <row r="4" spans="1:36" x14ac:dyDescent="0.2">
      <c r="A4" s="652" t="s">
        <v>105</v>
      </c>
      <c r="B4" s="158"/>
      <c r="C4" s="164" t="s">
        <v>97</v>
      </c>
      <c r="D4" s="165" t="s">
        <v>98</v>
      </c>
      <c r="E4" s="164" t="s">
        <v>99</v>
      </c>
      <c r="F4" s="165" t="s">
        <v>100</v>
      </c>
      <c r="G4" s="164" t="s">
        <v>101</v>
      </c>
      <c r="H4" s="650" t="s">
        <v>95</v>
      </c>
      <c r="I4" s="34"/>
    </row>
    <row r="5" spans="1:36" ht="24" customHeight="1" x14ac:dyDescent="0.2">
      <c r="A5" s="653"/>
      <c r="B5" s="159"/>
      <c r="C5" s="166" t="s">
        <v>416</v>
      </c>
      <c r="D5" s="166" t="s">
        <v>55</v>
      </c>
      <c r="E5" s="166" t="s">
        <v>51</v>
      </c>
      <c r="F5" s="166" t="s">
        <v>2986</v>
      </c>
      <c r="G5" s="166" t="s">
        <v>2987</v>
      </c>
      <c r="H5" s="651"/>
      <c r="I5" s="34"/>
    </row>
    <row r="6" spans="1:36" x14ac:dyDescent="0.2">
      <c r="A6" s="655" t="s">
        <v>107</v>
      </c>
      <c r="B6" s="160" t="s">
        <v>2970</v>
      </c>
      <c r="C6" s="167">
        <f>GETPIVOTDATA("Count of B1a Net",'1.5 Pivot A'!$A$4)</f>
        <v>9</v>
      </c>
      <c r="D6" s="167">
        <f>GETPIVOTDATA("Count of B1b Net",'1.5 Pivot A'!$A$4)</f>
        <v>0</v>
      </c>
      <c r="E6" s="167">
        <f>GETPIVOTDATA("Count of B1c Net",'1.5 Pivot A'!$A$4)</f>
        <v>2</v>
      </c>
      <c r="F6" s="167">
        <f>GETPIVOTDATA("Count of B2 Net",'1.5 Pivot A'!$A$4)</f>
        <v>0</v>
      </c>
      <c r="G6" s="167">
        <f>GETPIVOTDATA("Count of B8 Net",'1.5 Pivot A'!$A$4)</f>
        <v>1</v>
      </c>
      <c r="H6" s="462">
        <f>GETPIVOTDATA("Count of B Total Net",'1.5 Pivot A'!$A$4)</f>
        <v>12</v>
      </c>
      <c r="I6" s="33"/>
    </row>
    <row r="7" spans="1:36" x14ac:dyDescent="0.2">
      <c r="A7" s="656"/>
      <c r="B7" s="83" t="s">
        <v>168</v>
      </c>
      <c r="C7" s="172">
        <f>GETPIVOTDATA("Sum of B1a Net2",'1.5 Pivot A'!$A$4)</f>
        <v>-8948</v>
      </c>
      <c r="D7" s="172">
        <f>GETPIVOTDATA("Sum of B1b Net2",'1.5 Pivot A'!$A$4)</f>
        <v>0</v>
      </c>
      <c r="E7" s="172">
        <f>GETPIVOTDATA("Sum of B1c Net2",'1.5 Pivot A'!$A$4)</f>
        <v>-10382</v>
      </c>
      <c r="F7" s="172">
        <f>GETPIVOTDATA("Sum of B2 Net2",'1.5 Pivot A'!$A$4)</f>
        <v>0</v>
      </c>
      <c r="G7" s="172">
        <f>GETPIVOTDATA("Sum of B8 Net2",'1.5 Pivot A'!$A$4)</f>
        <v>1685</v>
      </c>
      <c r="H7" s="463">
        <f>GETPIVOTDATA("Sum of B Total Net2",'1.5 Pivot A'!$A$4)</f>
        <v>-17645</v>
      </c>
      <c r="I7" s="33"/>
    </row>
    <row r="8" spans="1:36" x14ac:dyDescent="0.2">
      <c r="A8" s="655" t="s">
        <v>108</v>
      </c>
      <c r="B8" s="160" t="s">
        <v>2970</v>
      </c>
      <c r="C8" s="167">
        <f>GETPIVOTDATA("Count of B1a Net",'1.5 Pivot B'!$A$9)</f>
        <v>1</v>
      </c>
      <c r="D8" s="167">
        <f>GETPIVOTDATA("Count of B1b Net",'1.5 Pivot B'!$A$9)</f>
        <v>0</v>
      </c>
      <c r="E8" s="167">
        <f>GETPIVOTDATA("Count of B1c Net",'1.5 Pivot B'!$A$9)</f>
        <v>1</v>
      </c>
      <c r="F8" s="167">
        <f>GETPIVOTDATA("Count of B2 Net",'1.5 Pivot B'!$A$9)</f>
        <v>0</v>
      </c>
      <c r="G8" s="167">
        <f>GETPIVOTDATA("Count of B8 Net",'1.5 Pivot B'!$A$9)</f>
        <v>0</v>
      </c>
      <c r="H8" s="462">
        <f>GETPIVOTDATA("Count of B Total Net",'1.5 Pivot B'!$A$9)</f>
        <v>0</v>
      </c>
      <c r="I8" s="33"/>
    </row>
    <row r="9" spans="1:36" x14ac:dyDescent="0.2">
      <c r="A9" s="656"/>
      <c r="B9" s="83" t="s">
        <v>168</v>
      </c>
      <c r="C9" s="172">
        <f>GETPIVOTDATA("Sum of B1a Net2",'1.5 Pivot B'!$A$9)</f>
        <v>894</v>
      </c>
      <c r="D9" s="172">
        <f>GETPIVOTDATA("Sum of B1b Net2",'1.5 Pivot B'!$A$9)</f>
        <v>0</v>
      </c>
      <c r="E9" s="172">
        <f>GETPIVOTDATA("Sum of B1c Net2",'1.5 Pivot B'!$A$9)</f>
        <v>-894</v>
      </c>
      <c r="F9" s="172">
        <f>GETPIVOTDATA("Sum of B2 Net2",'1.5 Pivot B'!$A$9)</f>
        <v>0</v>
      </c>
      <c r="G9" s="172">
        <f>GETPIVOTDATA("Sum of B8 Net2",'1.5 Pivot B'!$A$9)</f>
        <v>0</v>
      </c>
      <c r="H9" s="463">
        <f>GETPIVOTDATA("Sum of B Total Net2",'1.5 Pivot B'!$A$9)</f>
        <v>0</v>
      </c>
      <c r="I9" s="33"/>
    </row>
    <row r="10" spans="1:36" x14ac:dyDescent="0.2">
      <c r="A10" s="655" t="s">
        <v>109</v>
      </c>
      <c r="B10" s="160" t="s">
        <v>2970</v>
      </c>
      <c r="C10" s="167">
        <f>GETPIVOTDATA("Count of B1a Net",'1.5 Pivot C'!$A$9)</f>
        <v>6</v>
      </c>
      <c r="D10" s="167">
        <f>GETPIVOTDATA("Count of B1b Net",'1.5 Pivot C'!$A$9)</f>
        <v>0</v>
      </c>
      <c r="E10" s="167">
        <f>GETPIVOTDATA("Count of B1c Net",'1.5 Pivot C'!$A$9)</f>
        <v>2</v>
      </c>
      <c r="F10" s="167">
        <f>GETPIVOTDATA("Count of B2 Net",'1.5 Pivot C'!$A$9)</f>
        <v>1</v>
      </c>
      <c r="G10" s="167">
        <f>GETPIVOTDATA("Count of B8 Net",'1.5 Pivot C'!$A$9)</f>
        <v>4</v>
      </c>
      <c r="H10" s="462">
        <f>GETPIVOTDATA("Count of B Total Net",'1.5 Pivot C'!$A$9)</f>
        <v>8</v>
      </c>
      <c r="I10" s="33"/>
    </row>
    <row r="11" spans="1:36" x14ac:dyDescent="0.2">
      <c r="A11" s="656"/>
      <c r="B11" s="83" t="s">
        <v>168</v>
      </c>
      <c r="C11" s="172">
        <f>GETPIVOTDATA("Sum of B1a Net2",'1.5 Pivot C'!$A$9)</f>
        <v>244</v>
      </c>
      <c r="D11" s="172">
        <f>GETPIVOTDATA("Sum of B1b Net2",'1.5 Pivot C'!$A$9)</f>
        <v>0</v>
      </c>
      <c r="E11" s="172">
        <f>GETPIVOTDATA("Sum of B1c Net2",'1.5 Pivot C'!$A$9)</f>
        <v>269</v>
      </c>
      <c r="F11" s="172">
        <f>GETPIVOTDATA("Sum of B2 Net2",'1.5 Pivot C'!$A$9)</f>
        <v>43</v>
      </c>
      <c r="G11" s="172">
        <f>GETPIVOTDATA("Sum of B8 Net2",'1.5 Pivot C'!$A$9)</f>
        <v>769</v>
      </c>
      <c r="H11" s="463">
        <f>GETPIVOTDATA("Sum of B Total Net2",'1.5 Pivot C'!$A$9)</f>
        <v>1325</v>
      </c>
      <c r="I11" s="33"/>
    </row>
    <row r="12" spans="1:36" x14ac:dyDescent="0.2">
      <c r="A12" s="655" t="s">
        <v>110</v>
      </c>
      <c r="B12" s="160" t="s">
        <v>2970</v>
      </c>
      <c r="C12" s="167">
        <f>GETPIVOTDATA("Count of B1a Net",'1.5 Pivot D'!$A$9)</f>
        <v>1</v>
      </c>
      <c r="D12" s="167">
        <f>GETPIVOTDATA("Count of B1b Net",'1.5 Pivot D'!$A$9)</f>
        <v>0</v>
      </c>
      <c r="E12" s="167">
        <f>GETPIVOTDATA("Count of B1c Net",'1.5 Pivot D'!$A$9)</f>
        <v>1</v>
      </c>
      <c r="F12" s="167">
        <f>GETPIVOTDATA("Count of B2 Net",'1.5 Pivot D'!$A$9)</f>
        <v>0</v>
      </c>
      <c r="G12" s="167">
        <f>GETPIVOTDATA("Count of B8 Net",'1.5 Pivot D'!$A$9)</f>
        <v>0</v>
      </c>
      <c r="H12" s="462">
        <f>GETPIVOTDATA("Count of B Total Net",'1.5 Pivot D'!$A$9)</f>
        <v>2</v>
      </c>
      <c r="I12" s="33"/>
    </row>
    <row r="13" spans="1:36" x14ac:dyDescent="0.2">
      <c r="A13" s="656"/>
      <c r="B13" s="83" t="s">
        <v>168</v>
      </c>
      <c r="C13" s="172">
        <f>GETPIVOTDATA("Sum of B1a Net2",'1.5 Pivot D'!$A$9)</f>
        <v>2245</v>
      </c>
      <c r="D13" s="172">
        <f>GETPIVOTDATA("Sum of B1b Net2",'1.5 Pivot D'!$A$9)</f>
        <v>0</v>
      </c>
      <c r="E13" s="172">
        <f>GETPIVOTDATA("Sum of B1c Net2",'1.5 Pivot D'!$A$9)</f>
        <v>-235</v>
      </c>
      <c r="F13" s="172">
        <f>GETPIVOTDATA("Sum of B2 Net2",'1.5 Pivot D'!$A$9)</f>
        <v>0</v>
      </c>
      <c r="G13" s="172">
        <f>GETPIVOTDATA("Sum of B8 Net2",'1.5 Pivot D'!$A$9)</f>
        <v>0</v>
      </c>
      <c r="H13" s="463">
        <f>GETPIVOTDATA("Sum of B Total Net2",'1.5 Pivot D'!$A$9)</f>
        <v>2010</v>
      </c>
      <c r="I13" s="33"/>
    </row>
    <row r="14" spans="1:36" x14ac:dyDescent="0.2">
      <c r="A14" s="655" t="s">
        <v>2900</v>
      </c>
      <c r="B14" s="160" t="s">
        <v>2970</v>
      </c>
      <c r="C14" s="167">
        <f>GETPIVOTDATA("Count of B1a Net",'1.5 Pivot E'!$A$9)</f>
        <v>6</v>
      </c>
      <c r="D14" s="167">
        <f>GETPIVOTDATA("Count of B1b Net",'1.5 Pivot E'!$A$9)</f>
        <v>1</v>
      </c>
      <c r="E14" s="167">
        <f>GETPIVOTDATA("Count of B1c Net",'1.5 Pivot E'!$A$9)</f>
        <v>3</v>
      </c>
      <c r="F14" s="167">
        <f>GETPIVOTDATA("Count of B2 Net",'1.5 Pivot E'!$A$9)</f>
        <v>1</v>
      </c>
      <c r="G14" s="167">
        <f>GETPIVOTDATA("Count of B8 Net",'1.5 Pivot E'!$A$9)</f>
        <v>2</v>
      </c>
      <c r="H14" s="462">
        <f>GETPIVOTDATA("Count of B Total Net",'1.5 Pivot E'!$A$9)</f>
        <v>7</v>
      </c>
      <c r="I14" s="33"/>
    </row>
    <row r="15" spans="1:36" x14ac:dyDescent="0.2">
      <c r="A15" s="656"/>
      <c r="B15" s="83" t="s">
        <v>168</v>
      </c>
      <c r="C15" s="172">
        <f>GETPIVOTDATA("Sum of B1a Net2",'1.5 Pivot E'!$A$9)</f>
        <v>-17495</v>
      </c>
      <c r="D15" s="172">
        <f>GETPIVOTDATA("Sum of B1b Net2",'1.5 Pivot E'!$A$9)</f>
        <v>-4728</v>
      </c>
      <c r="E15" s="172">
        <f>GETPIVOTDATA("Sum of B1c Net2",'1.5 Pivot E'!$A$9)</f>
        <v>-15769</v>
      </c>
      <c r="F15" s="172">
        <f>GETPIVOTDATA("Sum of B2 Net2",'1.5 Pivot E'!$A$9)</f>
        <v>-4728</v>
      </c>
      <c r="G15" s="172">
        <f>GETPIVOTDATA("Sum of B8 Net2",'1.5 Pivot E'!$A$9)</f>
        <v>-3044</v>
      </c>
      <c r="H15" s="463">
        <f>GETPIVOTDATA("Sum of B Total Net2",'1.5 Pivot E'!$A$9)</f>
        <v>-45764</v>
      </c>
      <c r="I15" s="33"/>
    </row>
    <row r="16" spans="1:36" x14ac:dyDescent="0.2">
      <c r="A16" s="655" t="s">
        <v>2991</v>
      </c>
      <c r="B16" s="160" t="s">
        <v>2970</v>
      </c>
      <c r="C16" s="167">
        <f>GETPIVOTDATA("Count of B1a Net",'1.5 Pivot F'!$A$9)</f>
        <v>17</v>
      </c>
      <c r="D16" s="167">
        <f>GETPIVOTDATA("Count of B1b Net",'1.5 Pivot F'!$A$9)</f>
        <v>0</v>
      </c>
      <c r="E16" s="167">
        <f>GETPIVOTDATA("Count of B1c Net",'1.5 Pivot F'!$A$9)</f>
        <v>1</v>
      </c>
      <c r="F16" s="167">
        <f>GETPIVOTDATA("Count of B2 Net",'1.5 Pivot F'!$A$9)</f>
        <v>0</v>
      </c>
      <c r="G16" s="167">
        <f>GETPIVOTDATA("Count of B8 Net",'1.5 Pivot F'!$A$9)</f>
        <v>1</v>
      </c>
      <c r="H16" s="462">
        <f>GETPIVOTDATA("Count of B Total Net",'1.5 Pivot F'!$A$9)</f>
        <v>18</v>
      </c>
      <c r="I16" s="33"/>
    </row>
    <row r="17" spans="1:9" x14ac:dyDescent="0.2">
      <c r="A17" s="656"/>
      <c r="B17" s="83" t="s">
        <v>168</v>
      </c>
      <c r="C17" s="172">
        <f>GETPIVOTDATA("Sum of B1a Net2",'1.5 Pivot F'!$A$9)</f>
        <v>2904</v>
      </c>
      <c r="D17" s="172">
        <f>GETPIVOTDATA("Sum of B1b Net2",'1.5 Pivot F'!$A$9)</f>
        <v>0</v>
      </c>
      <c r="E17" s="172">
        <f>GETPIVOTDATA("Sum of B1c Net2",'1.5 Pivot F'!$A$9)</f>
        <v>-309</v>
      </c>
      <c r="F17" s="172">
        <f>GETPIVOTDATA("Sum of B2 Net2",'1.5 Pivot F'!$A$9)</f>
        <v>0</v>
      </c>
      <c r="G17" s="172">
        <f>GETPIVOTDATA("Sum of B8 Net2",'1.5 Pivot F'!$A$9)</f>
        <v>-42</v>
      </c>
      <c r="H17" s="463">
        <f>GETPIVOTDATA("Sum of B Total Net2",'1.5 Pivot F'!$A$9)</f>
        <v>2553</v>
      </c>
      <c r="I17" s="33"/>
    </row>
    <row r="18" spans="1:9" x14ac:dyDescent="0.2">
      <c r="A18" s="655" t="s">
        <v>426</v>
      </c>
      <c r="B18" s="160" t="s">
        <v>2970</v>
      </c>
      <c r="C18" s="167">
        <f>GETPIVOTDATA("Count of B1a Net",'1.5 Pivot G'!$A$9)</f>
        <v>22</v>
      </c>
      <c r="D18" s="167">
        <f>GETPIVOTDATA("Count of B1b Net",'1.5 Pivot G'!$A$9)</f>
        <v>2</v>
      </c>
      <c r="E18" s="167">
        <f>GETPIVOTDATA("Count of B1c Net",'1.5 Pivot G'!$A$9)</f>
        <v>3</v>
      </c>
      <c r="F18" s="167">
        <f>GETPIVOTDATA("Count of B2 Net",'1.5 Pivot G'!$A$9)</f>
        <v>0</v>
      </c>
      <c r="G18" s="167">
        <f>GETPIVOTDATA("Count of B8 Net",'1.5 Pivot G'!$A$9)</f>
        <v>12</v>
      </c>
      <c r="H18" s="462">
        <f>GETPIVOTDATA("Count of B Total Net",'1.5 Pivot G'!$A$9)</f>
        <v>37</v>
      </c>
      <c r="I18" s="33"/>
    </row>
    <row r="19" spans="1:9" x14ac:dyDescent="0.2">
      <c r="A19" s="657"/>
      <c r="B19" s="161" t="s">
        <v>168</v>
      </c>
      <c r="C19" s="168">
        <f>GETPIVOTDATA("Sum of B1a Net2",'1.5 Pivot G'!$A$9)</f>
        <v>-3968</v>
      </c>
      <c r="D19" s="168">
        <f>GETPIVOTDATA("Sum of B1b Net2",'1.5 Pivot G'!$A$9)</f>
        <v>-247</v>
      </c>
      <c r="E19" s="168">
        <f>GETPIVOTDATA("Sum of B1c Net2",'1.5 Pivot G'!$A$9)</f>
        <v>-645</v>
      </c>
      <c r="F19" s="168">
        <f>GETPIVOTDATA("Sum of B2 Net2",'1.5 Pivot G'!$A$9)</f>
        <v>0</v>
      </c>
      <c r="G19" s="168">
        <f>GETPIVOTDATA("Sum of B8 Net2",'1.5 Pivot G'!$A$9)</f>
        <v>-839</v>
      </c>
      <c r="H19" s="464">
        <f>GETPIVOTDATA("Sum of B Total Net2",'1.5 Pivot G'!$A$9)</f>
        <v>-5499</v>
      </c>
      <c r="I19" s="33"/>
    </row>
    <row r="20" spans="1:9" s="11" customFormat="1" x14ac:dyDescent="0.2">
      <c r="A20" s="652" t="s">
        <v>2992</v>
      </c>
      <c r="B20" s="160" t="s">
        <v>2970</v>
      </c>
      <c r="C20" s="164">
        <f>GETPIVOTDATA("Count of B1a Net",'1.5 Pivot H'!$A$3)</f>
        <v>55</v>
      </c>
      <c r="D20" s="164">
        <f>GETPIVOTDATA("Count of B1b Net",'1.5 Pivot H'!$A$3)</f>
        <v>3</v>
      </c>
      <c r="E20" s="164">
        <f>GETPIVOTDATA("Count of B1c Net",'1.5 Pivot H'!$A$3)</f>
        <v>10</v>
      </c>
      <c r="F20" s="164">
        <f>GETPIVOTDATA("Count of B2 Net",'1.5 Pivot H'!$A$3)</f>
        <v>2</v>
      </c>
      <c r="G20" s="164">
        <f>GETPIVOTDATA("Count of B8 Net",'1.5 Pivot H'!$A$3)</f>
        <v>19</v>
      </c>
      <c r="H20" s="465">
        <f>GETPIVOTDATA("Count of B Total Net",'1.5 Pivot H'!$A$3)</f>
        <v>75</v>
      </c>
      <c r="I20" s="35"/>
    </row>
    <row r="21" spans="1:9" s="11" customFormat="1" x14ac:dyDescent="0.2">
      <c r="A21" s="653"/>
      <c r="B21" s="161" t="s">
        <v>168</v>
      </c>
      <c r="C21" s="170">
        <f>GETPIVOTDATA("Sum of B1a Net2",'1.5 Pivot H'!$A$3)</f>
        <v>-16515</v>
      </c>
      <c r="D21" s="170">
        <f>GETPIVOTDATA("Sum of B1b Net2",'1.5 Pivot H'!$A$3)</f>
        <v>-4975</v>
      </c>
      <c r="E21" s="170">
        <f>GETPIVOTDATA("Sum of B1c Net2",'1.5 Pivot H'!$A$3)</f>
        <v>-16689</v>
      </c>
      <c r="F21" s="170">
        <f>GETPIVOTDATA("Sum of B2 Net2",'1.5 Pivot H'!$A$3)</f>
        <v>-4685</v>
      </c>
      <c r="G21" s="170">
        <f>GETPIVOTDATA("Sum of B8 Net2",'1.5 Pivot H'!$A$3)</f>
        <v>-3156</v>
      </c>
      <c r="H21" s="170">
        <f>GETPIVOTDATA("Sum of B Total Net2",'1.5 Pivot H'!$A$3)</f>
        <v>-45820</v>
      </c>
      <c r="I21" s="40"/>
    </row>
    <row r="22" spans="1:9" s="37" customFormat="1" ht="12" customHeight="1" x14ac:dyDescent="0.2">
      <c r="A22" s="425"/>
      <c r="I22" s="36"/>
    </row>
    <row r="23" spans="1:9" x14ac:dyDescent="0.2">
      <c r="A23" s="654" t="s">
        <v>4006</v>
      </c>
      <c r="B23" s="654"/>
      <c r="C23" s="654"/>
      <c r="D23" s="654"/>
      <c r="E23" s="654"/>
      <c r="F23" s="654"/>
      <c r="G23" s="654"/>
      <c r="H23" s="654"/>
    </row>
    <row r="24" spans="1:9" x14ac:dyDescent="0.2">
      <c r="C24" s="171"/>
    </row>
    <row r="47" spans="1:10" x14ac:dyDescent="0.2">
      <c r="A47" s="405"/>
      <c r="B47" s="18"/>
      <c r="I47" s="41"/>
      <c r="J47" s="18"/>
    </row>
    <row r="64" spans="1:2" x14ac:dyDescent="0.2">
      <c r="A64" s="26"/>
      <c r="B64" s="78"/>
    </row>
    <row r="105" spans="1:21" x14ac:dyDescent="0.2">
      <c r="A105" s="26"/>
      <c r="B105" s="78"/>
    </row>
    <row r="111" spans="1:21" x14ac:dyDescent="0.2">
      <c r="U111" s="4"/>
    </row>
  </sheetData>
  <mergeCells count="13">
    <mergeCell ref="A1:H1"/>
    <mergeCell ref="A2:H2"/>
    <mergeCell ref="H4:H5"/>
    <mergeCell ref="A4:A5"/>
    <mergeCell ref="A23:H23"/>
    <mergeCell ref="A20:A21"/>
    <mergeCell ref="A8:A9"/>
    <mergeCell ref="A10:A11"/>
    <mergeCell ref="A6:A7"/>
    <mergeCell ref="A12:A13"/>
    <mergeCell ref="A14:A15"/>
    <mergeCell ref="A16:A17"/>
    <mergeCell ref="A18:A19"/>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rowBreaks count="2" manualBreakCount="2">
    <brk id="63" max="7" man="1"/>
    <brk id="104" max="7" man="1"/>
  </rowBreaks>
  <colBreaks count="1" manualBreakCount="1">
    <brk id="9" max="80"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S8"/>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2938</v>
      </c>
    </row>
    <row r="2" spans="1:19" x14ac:dyDescent="0.2">
      <c r="A2" s="77" t="s">
        <v>2940</v>
      </c>
      <c r="B2" s="446" t="s">
        <v>2959</v>
      </c>
    </row>
    <row r="3" spans="1:19" x14ac:dyDescent="0.2">
      <c r="A3" s="77" t="s">
        <v>2941</v>
      </c>
      <c r="B3" s="446" t="s">
        <v>429</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2424</v>
      </c>
      <c r="B7" s="446" t="s">
        <v>3942</v>
      </c>
      <c r="C7" s="446" t="s">
        <v>2425</v>
      </c>
      <c r="D7" s="446" t="s">
        <v>153</v>
      </c>
      <c r="E7" s="446" t="s">
        <v>3985</v>
      </c>
      <c r="F7" s="298">
        <v>43098</v>
      </c>
      <c r="G7" s="74">
        <v>0</v>
      </c>
      <c r="H7" s="74">
        <v>0</v>
      </c>
      <c r="I7" s="74">
        <v>134</v>
      </c>
      <c r="J7" s="74">
        <v>0</v>
      </c>
      <c r="K7" s="74">
        <v>0</v>
      </c>
      <c r="L7" s="74">
        <v>134</v>
      </c>
      <c r="M7" s="74">
        <v>145</v>
      </c>
      <c r="N7" s="74">
        <v>0</v>
      </c>
      <c r="O7" s="74">
        <v>0</v>
      </c>
      <c r="P7" s="74">
        <v>0</v>
      </c>
      <c r="Q7" s="74">
        <v>0</v>
      </c>
      <c r="R7" s="74">
        <v>145</v>
      </c>
      <c r="S7" s="74">
        <v>-11</v>
      </c>
    </row>
    <row r="8" spans="1:19" x14ac:dyDescent="0.2">
      <c r="A8" s="446" t="s">
        <v>95</v>
      </c>
      <c r="G8" s="74">
        <v>0</v>
      </c>
      <c r="H8" s="74">
        <v>0</v>
      </c>
      <c r="I8" s="74">
        <v>134</v>
      </c>
      <c r="J8" s="74">
        <v>0</v>
      </c>
      <c r="K8" s="74">
        <v>0</v>
      </c>
      <c r="L8" s="74">
        <v>134</v>
      </c>
      <c r="M8" s="74">
        <v>145</v>
      </c>
      <c r="N8" s="74">
        <v>0</v>
      </c>
      <c r="O8" s="74">
        <v>0</v>
      </c>
      <c r="P8" s="74">
        <v>0</v>
      </c>
      <c r="Q8" s="74">
        <v>0</v>
      </c>
      <c r="R8" s="74">
        <v>145</v>
      </c>
      <c r="S8" s="74">
        <v>-11</v>
      </c>
    </row>
  </sheetData>
  <conditionalFormatting sqref="D1:D1048576">
    <cfRule type="cellIs" dxfId="30"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S52"/>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 customHeight="1" x14ac:dyDescent="0.2">
      <c r="A2" s="341" t="s">
        <v>3987</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x14ac:dyDescent="0.2">
      <c r="A7" s="344" t="s">
        <v>2642</v>
      </c>
      <c r="B7" s="342" t="s">
        <v>3944</v>
      </c>
      <c r="C7" s="343" t="s">
        <v>2643</v>
      </c>
      <c r="D7" s="342" t="s">
        <v>153</v>
      </c>
      <c r="E7" s="344" t="s">
        <v>3798</v>
      </c>
      <c r="F7" s="345" t="s">
        <v>153</v>
      </c>
      <c r="G7" s="346">
        <v>149</v>
      </c>
      <c r="H7" s="346">
        <v>150</v>
      </c>
      <c r="I7" s="346">
        <v>0</v>
      </c>
      <c r="J7" s="346">
        <v>0</v>
      </c>
      <c r="K7" s="346">
        <v>0</v>
      </c>
      <c r="L7" s="347">
        <v>299</v>
      </c>
      <c r="M7" s="346">
        <v>121</v>
      </c>
      <c r="N7" s="346">
        <v>0</v>
      </c>
      <c r="O7" s="346">
        <v>0</v>
      </c>
      <c r="P7" s="346">
        <v>0</v>
      </c>
      <c r="Q7" s="346">
        <v>0</v>
      </c>
      <c r="R7" s="347">
        <v>121</v>
      </c>
      <c r="S7" s="346">
        <v>178</v>
      </c>
    </row>
    <row r="8" spans="1:19" s="319" customFormat="1" ht="22.5" x14ac:dyDescent="0.2">
      <c r="A8" s="321" t="s">
        <v>1900</v>
      </c>
      <c r="B8" s="322" t="s">
        <v>2907</v>
      </c>
      <c r="C8" s="323" t="s">
        <v>1901</v>
      </c>
      <c r="D8" s="322" t="s">
        <v>153</v>
      </c>
      <c r="E8" s="321" t="s">
        <v>3798</v>
      </c>
      <c r="F8" s="352" t="s">
        <v>153</v>
      </c>
      <c r="G8" s="326">
        <v>251</v>
      </c>
      <c r="H8" s="326">
        <v>0</v>
      </c>
      <c r="I8" s="326">
        <v>0</v>
      </c>
      <c r="J8" s="326">
        <v>0</v>
      </c>
      <c r="K8" s="326">
        <v>0</v>
      </c>
      <c r="L8" s="327">
        <v>251</v>
      </c>
      <c r="M8" s="326">
        <v>0</v>
      </c>
      <c r="N8" s="326">
        <v>0</v>
      </c>
      <c r="O8" s="326">
        <v>0</v>
      </c>
      <c r="P8" s="326">
        <v>0</v>
      </c>
      <c r="Q8" s="326">
        <v>0</v>
      </c>
      <c r="R8" s="327">
        <v>0</v>
      </c>
      <c r="S8" s="326">
        <v>251</v>
      </c>
    </row>
    <row r="9" spans="1:19" x14ac:dyDescent="0.2">
      <c r="A9" s="305" t="s">
        <v>2171</v>
      </c>
      <c r="B9" s="306" t="s">
        <v>150</v>
      </c>
      <c r="C9" s="307" t="s">
        <v>2172</v>
      </c>
      <c r="D9" s="306" t="s">
        <v>153</v>
      </c>
      <c r="E9" s="305" t="s">
        <v>3798</v>
      </c>
      <c r="F9" s="335" t="s">
        <v>153</v>
      </c>
      <c r="G9" s="309">
        <v>22</v>
      </c>
      <c r="H9" s="309">
        <v>35</v>
      </c>
      <c r="I9" s="309">
        <v>0</v>
      </c>
      <c r="J9" s="309">
        <v>0</v>
      </c>
      <c r="K9" s="309">
        <v>0</v>
      </c>
      <c r="L9" s="317">
        <v>57</v>
      </c>
      <c r="M9" s="309">
        <v>0</v>
      </c>
      <c r="N9" s="309">
        <v>0</v>
      </c>
      <c r="O9" s="309">
        <v>0</v>
      </c>
      <c r="P9" s="309">
        <v>0</v>
      </c>
      <c r="Q9" s="309">
        <v>112</v>
      </c>
      <c r="R9" s="317">
        <v>112</v>
      </c>
      <c r="S9" s="309">
        <v>-55</v>
      </c>
    </row>
    <row r="10" spans="1:19" x14ac:dyDescent="0.2">
      <c r="A10" s="305" t="s">
        <v>2699</v>
      </c>
      <c r="B10" s="306" t="s">
        <v>3946</v>
      </c>
      <c r="C10" s="307" t="s">
        <v>2700</v>
      </c>
      <c r="D10" s="306" t="s">
        <v>153</v>
      </c>
      <c r="E10" s="305" t="s">
        <v>3798</v>
      </c>
      <c r="F10" s="335" t="s">
        <v>153</v>
      </c>
      <c r="G10" s="309">
        <v>40</v>
      </c>
      <c r="H10" s="309">
        <v>39</v>
      </c>
      <c r="I10" s="309">
        <v>0</v>
      </c>
      <c r="J10" s="309">
        <v>0</v>
      </c>
      <c r="K10" s="309">
        <v>0</v>
      </c>
      <c r="L10" s="317">
        <v>79</v>
      </c>
      <c r="M10" s="309">
        <v>59</v>
      </c>
      <c r="N10" s="309">
        <v>0</v>
      </c>
      <c r="O10" s="309">
        <v>0</v>
      </c>
      <c r="P10" s="309">
        <v>0</v>
      </c>
      <c r="Q10" s="309">
        <v>0</v>
      </c>
      <c r="R10" s="317">
        <v>59</v>
      </c>
      <c r="S10" s="309">
        <v>20</v>
      </c>
    </row>
    <row r="11" spans="1:19" x14ac:dyDescent="0.2">
      <c r="A11" s="305" t="s">
        <v>2580</v>
      </c>
      <c r="B11" s="306" t="s">
        <v>3952</v>
      </c>
      <c r="C11" s="307" t="s">
        <v>2581</v>
      </c>
      <c r="D11" s="306" t="s">
        <v>153</v>
      </c>
      <c r="E11" s="305" t="s">
        <v>3798</v>
      </c>
      <c r="F11" s="335" t="s">
        <v>153</v>
      </c>
      <c r="G11" s="309">
        <v>0</v>
      </c>
      <c r="H11" s="309">
        <v>0</v>
      </c>
      <c r="I11" s="309">
        <v>118</v>
      </c>
      <c r="J11" s="309">
        <v>0</v>
      </c>
      <c r="K11" s="309">
        <v>0</v>
      </c>
      <c r="L11" s="317">
        <v>118</v>
      </c>
      <c r="M11" s="309">
        <v>113</v>
      </c>
      <c r="N11" s="309">
        <v>0</v>
      </c>
      <c r="O11" s="309">
        <v>0</v>
      </c>
      <c r="P11" s="309">
        <v>0</v>
      </c>
      <c r="Q11" s="309">
        <v>0</v>
      </c>
      <c r="R11" s="317">
        <v>113</v>
      </c>
      <c r="S11" s="309">
        <v>5</v>
      </c>
    </row>
    <row r="12" spans="1:19" x14ac:dyDescent="0.2">
      <c r="A12" s="305" t="s">
        <v>2708</v>
      </c>
      <c r="B12" s="306" t="s">
        <v>2907</v>
      </c>
      <c r="C12" s="307" t="s">
        <v>2709</v>
      </c>
      <c r="D12" s="306" t="s">
        <v>153</v>
      </c>
      <c r="E12" s="305" t="s">
        <v>3798</v>
      </c>
      <c r="F12" s="335" t="s">
        <v>153</v>
      </c>
      <c r="G12" s="309">
        <v>0</v>
      </c>
      <c r="H12" s="309">
        <v>0</v>
      </c>
      <c r="I12" s="309">
        <v>0</v>
      </c>
      <c r="J12" s="309">
        <v>0</v>
      </c>
      <c r="K12" s="309">
        <v>0</v>
      </c>
      <c r="L12" s="317">
        <v>0</v>
      </c>
      <c r="M12" s="309">
        <v>0</v>
      </c>
      <c r="N12" s="309">
        <v>54</v>
      </c>
      <c r="O12" s="309">
        <v>0</v>
      </c>
      <c r="P12" s="309">
        <v>0</v>
      </c>
      <c r="Q12" s="309">
        <v>0</v>
      </c>
      <c r="R12" s="317">
        <v>54</v>
      </c>
      <c r="S12" s="309">
        <v>-54</v>
      </c>
    </row>
    <row r="13" spans="1:19" ht="22.5" x14ac:dyDescent="0.2">
      <c r="A13" s="305" t="s">
        <v>2544</v>
      </c>
      <c r="B13" s="306" t="s">
        <v>150</v>
      </c>
      <c r="C13" s="307" t="s">
        <v>2545</v>
      </c>
      <c r="D13" s="306" t="s">
        <v>153</v>
      </c>
      <c r="E13" s="305" t="s">
        <v>3798</v>
      </c>
      <c r="F13" s="335" t="s">
        <v>153</v>
      </c>
      <c r="G13" s="309">
        <v>0</v>
      </c>
      <c r="H13" s="309">
        <v>0</v>
      </c>
      <c r="I13" s="309">
        <v>57</v>
      </c>
      <c r="J13" s="309">
        <v>0</v>
      </c>
      <c r="K13" s="309">
        <v>0</v>
      </c>
      <c r="L13" s="317">
        <v>57</v>
      </c>
      <c r="M13" s="309">
        <v>57</v>
      </c>
      <c r="N13" s="309">
        <v>0</v>
      </c>
      <c r="O13" s="309">
        <v>0</v>
      </c>
      <c r="P13" s="309">
        <v>0</v>
      </c>
      <c r="Q13" s="309">
        <v>0</v>
      </c>
      <c r="R13" s="317">
        <v>57</v>
      </c>
      <c r="S13" s="309">
        <v>0</v>
      </c>
    </row>
    <row r="14" spans="1:19" x14ac:dyDescent="0.2">
      <c r="A14" s="305" t="s">
        <v>2610</v>
      </c>
      <c r="B14" s="306" t="s">
        <v>3951</v>
      </c>
      <c r="C14" s="307" t="s">
        <v>2611</v>
      </c>
      <c r="D14" s="306" t="s">
        <v>153</v>
      </c>
      <c r="E14" s="305" t="s">
        <v>3798</v>
      </c>
      <c r="F14" s="335" t="s">
        <v>153</v>
      </c>
      <c r="G14" s="309">
        <v>0</v>
      </c>
      <c r="H14" s="309">
        <v>0</v>
      </c>
      <c r="I14" s="309">
        <v>85</v>
      </c>
      <c r="J14" s="309">
        <v>0</v>
      </c>
      <c r="K14" s="309">
        <v>0</v>
      </c>
      <c r="L14" s="317">
        <v>85</v>
      </c>
      <c r="M14" s="309">
        <v>85</v>
      </c>
      <c r="N14" s="309">
        <v>0</v>
      </c>
      <c r="O14" s="309">
        <v>0</v>
      </c>
      <c r="P14" s="309">
        <v>0</v>
      </c>
      <c r="Q14" s="309">
        <v>0</v>
      </c>
      <c r="R14" s="317">
        <v>85</v>
      </c>
      <c r="S14" s="309">
        <v>0</v>
      </c>
    </row>
    <row r="15" spans="1:19" x14ac:dyDescent="0.2">
      <c r="A15" s="305" t="s">
        <v>1957</v>
      </c>
      <c r="B15" s="306" t="s">
        <v>3946</v>
      </c>
      <c r="C15" s="307" t="s">
        <v>1958</v>
      </c>
      <c r="D15" s="306" t="s">
        <v>153</v>
      </c>
      <c r="E15" s="305" t="s">
        <v>3798</v>
      </c>
      <c r="F15" s="335" t="s">
        <v>153</v>
      </c>
      <c r="G15" s="309">
        <v>0</v>
      </c>
      <c r="H15" s="309">
        <v>0</v>
      </c>
      <c r="I15" s="309">
        <v>0</v>
      </c>
      <c r="J15" s="309">
        <v>0</v>
      </c>
      <c r="K15" s="309">
        <v>0</v>
      </c>
      <c r="L15" s="317">
        <v>0</v>
      </c>
      <c r="M15" s="309">
        <v>51</v>
      </c>
      <c r="N15" s="309">
        <v>0</v>
      </c>
      <c r="O15" s="309">
        <v>0</v>
      </c>
      <c r="P15" s="309">
        <v>0</v>
      </c>
      <c r="Q15" s="309">
        <v>0</v>
      </c>
      <c r="R15" s="317">
        <v>51</v>
      </c>
      <c r="S15" s="309">
        <v>-51</v>
      </c>
    </row>
    <row r="16" spans="1:19" ht="22.5" x14ac:dyDescent="0.2">
      <c r="A16" s="305" t="s">
        <v>1425</v>
      </c>
      <c r="B16" s="306" t="s">
        <v>3949</v>
      </c>
      <c r="C16" s="307" t="s">
        <v>1426</v>
      </c>
      <c r="D16" s="306" t="s">
        <v>153</v>
      </c>
      <c r="E16" s="305" t="s">
        <v>3798</v>
      </c>
      <c r="F16" s="335" t="s">
        <v>153</v>
      </c>
      <c r="G16" s="309">
        <v>22</v>
      </c>
      <c r="H16" s="309">
        <v>22</v>
      </c>
      <c r="I16" s="309">
        <v>0</v>
      </c>
      <c r="J16" s="309">
        <v>0</v>
      </c>
      <c r="K16" s="309">
        <v>0</v>
      </c>
      <c r="L16" s="317">
        <v>44</v>
      </c>
      <c r="M16" s="309">
        <v>80</v>
      </c>
      <c r="N16" s="309">
        <v>0</v>
      </c>
      <c r="O16" s="309">
        <v>0</v>
      </c>
      <c r="P16" s="309">
        <v>0</v>
      </c>
      <c r="Q16" s="309">
        <v>0</v>
      </c>
      <c r="R16" s="317">
        <v>80</v>
      </c>
      <c r="S16" s="309">
        <v>-36</v>
      </c>
    </row>
    <row r="17" spans="1:19" x14ac:dyDescent="0.2">
      <c r="A17" s="305" t="s">
        <v>1511</v>
      </c>
      <c r="B17" s="306" t="s">
        <v>3951</v>
      </c>
      <c r="C17" s="307" t="s">
        <v>1512</v>
      </c>
      <c r="D17" s="306" t="s">
        <v>153</v>
      </c>
      <c r="E17" s="305" t="s">
        <v>3798</v>
      </c>
      <c r="F17" s="335" t="s">
        <v>153</v>
      </c>
      <c r="G17" s="309">
        <v>66</v>
      </c>
      <c r="H17" s="309">
        <v>66</v>
      </c>
      <c r="I17" s="309">
        <v>66</v>
      </c>
      <c r="J17" s="309">
        <v>66</v>
      </c>
      <c r="K17" s="309">
        <v>66</v>
      </c>
      <c r="L17" s="317">
        <v>330</v>
      </c>
      <c r="M17" s="309">
        <v>79</v>
      </c>
      <c r="N17" s="309">
        <v>79</v>
      </c>
      <c r="O17" s="309">
        <v>79</v>
      </c>
      <c r="P17" s="309">
        <v>79</v>
      </c>
      <c r="Q17" s="309">
        <v>79</v>
      </c>
      <c r="R17" s="317">
        <v>395</v>
      </c>
      <c r="S17" s="309">
        <v>-65</v>
      </c>
    </row>
    <row r="18" spans="1:19" x14ac:dyDescent="0.2">
      <c r="A18" s="305" t="s">
        <v>2793</v>
      </c>
      <c r="B18" s="306" t="s">
        <v>2904</v>
      </c>
      <c r="C18" s="307" t="s">
        <v>2794</v>
      </c>
      <c r="D18" s="306" t="s">
        <v>153</v>
      </c>
      <c r="E18" s="305" t="s">
        <v>3798</v>
      </c>
      <c r="F18" s="335" t="s">
        <v>153</v>
      </c>
      <c r="G18" s="309">
        <v>32</v>
      </c>
      <c r="H18" s="309">
        <v>0</v>
      </c>
      <c r="I18" s="309">
        <v>0</v>
      </c>
      <c r="J18" s="309">
        <v>0</v>
      </c>
      <c r="K18" s="309">
        <v>0</v>
      </c>
      <c r="L18" s="317">
        <v>32</v>
      </c>
      <c r="M18" s="309">
        <v>83</v>
      </c>
      <c r="N18" s="309">
        <v>0</v>
      </c>
      <c r="O18" s="309">
        <v>0</v>
      </c>
      <c r="P18" s="309">
        <v>0</v>
      </c>
      <c r="Q18" s="309">
        <v>0</v>
      </c>
      <c r="R18" s="317">
        <v>83</v>
      </c>
      <c r="S18" s="309">
        <v>-51</v>
      </c>
    </row>
    <row r="19" spans="1:19" x14ac:dyDescent="0.2">
      <c r="A19" s="305" t="s">
        <v>2702</v>
      </c>
      <c r="B19" s="306" t="s">
        <v>3946</v>
      </c>
      <c r="C19" s="307" t="s">
        <v>2703</v>
      </c>
      <c r="D19" s="306" t="s">
        <v>153</v>
      </c>
      <c r="E19" s="305" t="s">
        <v>3798</v>
      </c>
      <c r="F19" s="335" t="s">
        <v>153</v>
      </c>
      <c r="G19" s="309">
        <v>0</v>
      </c>
      <c r="H19" s="309">
        <v>0</v>
      </c>
      <c r="I19" s="309">
        <v>0</v>
      </c>
      <c r="J19" s="309">
        <v>217</v>
      </c>
      <c r="K19" s="309">
        <v>0</v>
      </c>
      <c r="L19" s="317">
        <v>217</v>
      </c>
      <c r="M19" s="309">
        <v>0</v>
      </c>
      <c r="N19" s="309">
        <v>0</v>
      </c>
      <c r="O19" s="309">
        <v>0</v>
      </c>
      <c r="P19" s="309">
        <v>663</v>
      </c>
      <c r="Q19" s="309">
        <v>0</v>
      </c>
      <c r="R19" s="317">
        <v>663</v>
      </c>
      <c r="S19" s="309">
        <v>-446</v>
      </c>
    </row>
    <row r="20" spans="1:19" x14ac:dyDescent="0.2">
      <c r="A20" s="305" t="s">
        <v>2799</v>
      </c>
      <c r="B20" s="306" t="s">
        <v>3952</v>
      </c>
      <c r="C20" s="307" t="s">
        <v>2800</v>
      </c>
      <c r="D20" s="306" t="s">
        <v>153</v>
      </c>
      <c r="E20" s="305" t="s">
        <v>3798</v>
      </c>
      <c r="F20" s="335" t="s">
        <v>153</v>
      </c>
      <c r="G20" s="309">
        <v>0</v>
      </c>
      <c r="H20" s="309">
        <v>0</v>
      </c>
      <c r="I20" s="309">
        <v>50</v>
      </c>
      <c r="J20" s="309">
        <v>0</v>
      </c>
      <c r="K20" s="309">
        <v>0</v>
      </c>
      <c r="L20" s="317">
        <v>50</v>
      </c>
      <c r="M20" s="309">
        <v>50</v>
      </c>
      <c r="N20" s="309">
        <v>0</v>
      </c>
      <c r="O20" s="309">
        <v>0</v>
      </c>
      <c r="P20" s="309">
        <v>0</v>
      </c>
      <c r="Q20" s="309">
        <v>0</v>
      </c>
      <c r="R20" s="317">
        <v>50</v>
      </c>
      <c r="S20" s="309">
        <v>0</v>
      </c>
    </row>
    <row r="21" spans="1:19" ht="22.5" x14ac:dyDescent="0.2">
      <c r="A21" s="305" t="s">
        <v>1858</v>
      </c>
      <c r="B21" s="306" t="s">
        <v>3946</v>
      </c>
      <c r="C21" s="307" t="s">
        <v>1859</v>
      </c>
      <c r="D21" s="306" t="s">
        <v>153</v>
      </c>
      <c r="E21" s="305" t="s">
        <v>3798</v>
      </c>
      <c r="F21" s="335" t="s">
        <v>153</v>
      </c>
      <c r="G21" s="309">
        <v>0</v>
      </c>
      <c r="H21" s="309">
        <v>0</v>
      </c>
      <c r="I21" s="309">
        <v>0</v>
      </c>
      <c r="J21" s="309">
        <v>0</v>
      </c>
      <c r="K21" s="309">
        <v>0</v>
      </c>
      <c r="L21" s="317">
        <v>0</v>
      </c>
      <c r="M21" s="309">
        <v>48</v>
      </c>
      <c r="N21" s="309">
        <v>0</v>
      </c>
      <c r="O21" s="309">
        <v>0</v>
      </c>
      <c r="P21" s="309">
        <v>0</v>
      </c>
      <c r="Q21" s="309">
        <v>0</v>
      </c>
      <c r="R21" s="317">
        <v>48</v>
      </c>
      <c r="S21" s="309">
        <v>-48</v>
      </c>
    </row>
    <row r="22" spans="1:19" x14ac:dyDescent="0.2">
      <c r="A22" s="305" t="s">
        <v>1503</v>
      </c>
      <c r="B22" s="306" t="s">
        <v>3946</v>
      </c>
      <c r="C22" s="307" t="s">
        <v>1505</v>
      </c>
      <c r="D22" s="306" t="s">
        <v>153</v>
      </c>
      <c r="E22" s="305" t="s">
        <v>3798</v>
      </c>
      <c r="F22" s="335" t="s">
        <v>153</v>
      </c>
      <c r="G22" s="309">
        <v>320</v>
      </c>
      <c r="H22" s="309">
        <v>320</v>
      </c>
      <c r="I22" s="309">
        <v>321</v>
      </c>
      <c r="J22" s="309">
        <v>0</v>
      </c>
      <c r="K22" s="309">
        <v>0</v>
      </c>
      <c r="L22" s="317">
        <v>961</v>
      </c>
      <c r="M22" s="309">
        <v>1088</v>
      </c>
      <c r="N22" s="309">
        <v>0</v>
      </c>
      <c r="O22" s="309">
        <v>0</v>
      </c>
      <c r="P22" s="309">
        <v>0</v>
      </c>
      <c r="Q22" s="309">
        <v>0</v>
      </c>
      <c r="R22" s="317">
        <v>1088</v>
      </c>
      <c r="S22" s="309">
        <v>-127</v>
      </c>
    </row>
    <row r="23" spans="1:19" x14ac:dyDescent="0.2">
      <c r="A23" s="305" t="s">
        <v>2790</v>
      </c>
      <c r="B23" s="306" t="s">
        <v>3946</v>
      </c>
      <c r="C23" s="307" t="s">
        <v>2791</v>
      </c>
      <c r="D23" s="306" t="s">
        <v>153</v>
      </c>
      <c r="E23" s="305" t="s">
        <v>3798</v>
      </c>
      <c r="F23" s="335" t="s">
        <v>153</v>
      </c>
      <c r="G23" s="309">
        <v>70</v>
      </c>
      <c r="H23" s="309">
        <v>0</v>
      </c>
      <c r="I23" s="309">
        <v>0</v>
      </c>
      <c r="J23" s="309">
        <v>0</v>
      </c>
      <c r="K23" s="309">
        <v>0</v>
      </c>
      <c r="L23" s="317">
        <v>70</v>
      </c>
      <c r="M23" s="309">
        <v>99</v>
      </c>
      <c r="N23" s="309">
        <v>0</v>
      </c>
      <c r="O23" s="309">
        <v>0</v>
      </c>
      <c r="P23" s="309">
        <v>0</v>
      </c>
      <c r="Q23" s="309">
        <v>0</v>
      </c>
      <c r="R23" s="317">
        <v>99</v>
      </c>
      <c r="S23" s="309">
        <v>-29</v>
      </c>
    </row>
    <row r="24" spans="1:19" x14ac:dyDescent="0.2">
      <c r="A24" s="305" t="s">
        <v>1758</v>
      </c>
      <c r="B24" s="306" t="s">
        <v>3952</v>
      </c>
      <c r="C24" s="307" t="s">
        <v>1759</v>
      </c>
      <c r="D24" s="306" t="s">
        <v>153</v>
      </c>
      <c r="E24" s="305" t="s">
        <v>3798</v>
      </c>
      <c r="F24" s="335" t="s">
        <v>153</v>
      </c>
      <c r="G24" s="309">
        <v>0</v>
      </c>
      <c r="H24" s="309">
        <v>0</v>
      </c>
      <c r="I24" s="309">
        <v>147</v>
      </c>
      <c r="J24" s="309">
        <v>0</v>
      </c>
      <c r="K24" s="309">
        <v>0</v>
      </c>
      <c r="L24" s="317">
        <v>147</v>
      </c>
      <c r="M24" s="309">
        <v>0</v>
      </c>
      <c r="N24" s="309">
        <v>0</v>
      </c>
      <c r="O24" s="309">
        <v>147</v>
      </c>
      <c r="P24" s="309">
        <v>0</v>
      </c>
      <c r="Q24" s="309">
        <v>0</v>
      </c>
      <c r="R24" s="317">
        <v>147</v>
      </c>
      <c r="S24" s="309">
        <v>0</v>
      </c>
    </row>
    <row r="25" spans="1:19" x14ac:dyDescent="0.2">
      <c r="A25" s="305" t="s">
        <v>2796</v>
      </c>
      <c r="B25" s="306" t="s">
        <v>3945</v>
      </c>
      <c r="C25" s="307" t="s">
        <v>2797</v>
      </c>
      <c r="D25" s="306" t="s">
        <v>153</v>
      </c>
      <c r="E25" s="305" t="s">
        <v>3798</v>
      </c>
      <c r="F25" s="335" t="s">
        <v>153</v>
      </c>
      <c r="G25" s="309">
        <v>0</v>
      </c>
      <c r="H25" s="309">
        <v>5</v>
      </c>
      <c r="I25" s="309">
        <v>0</v>
      </c>
      <c r="J25" s="309">
        <v>0</v>
      </c>
      <c r="K25" s="309">
        <v>0</v>
      </c>
      <c r="L25" s="317">
        <v>5</v>
      </c>
      <c r="M25" s="309">
        <v>0</v>
      </c>
      <c r="N25" s="309">
        <v>0</v>
      </c>
      <c r="O25" s="309">
        <v>0</v>
      </c>
      <c r="P25" s="309">
        <v>0</v>
      </c>
      <c r="Q25" s="309">
        <v>0</v>
      </c>
      <c r="R25" s="317">
        <v>0</v>
      </c>
      <c r="S25" s="309">
        <v>5</v>
      </c>
    </row>
    <row r="26" spans="1:19" x14ac:dyDescent="0.2">
      <c r="A26" s="305" t="s">
        <v>2769</v>
      </c>
      <c r="B26" s="306" t="s">
        <v>3950</v>
      </c>
      <c r="C26" s="307" t="s">
        <v>2770</v>
      </c>
      <c r="D26" s="306" t="s">
        <v>153</v>
      </c>
      <c r="E26" s="305" t="s">
        <v>3798</v>
      </c>
      <c r="F26" s="335" t="s">
        <v>153</v>
      </c>
      <c r="G26" s="309">
        <v>0</v>
      </c>
      <c r="H26" s="309">
        <v>0</v>
      </c>
      <c r="I26" s="309">
        <v>0</v>
      </c>
      <c r="J26" s="309">
        <v>0</v>
      </c>
      <c r="K26" s="309">
        <v>0</v>
      </c>
      <c r="L26" s="317">
        <v>0</v>
      </c>
      <c r="M26" s="309">
        <v>58</v>
      </c>
      <c r="N26" s="309">
        <v>0</v>
      </c>
      <c r="O26" s="309">
        <v>0</v>
      </c>
      <c r="P26" s="309">
        <v>0</v>
      </c>
      <c r="Q26" s="309">
        <v>0</v>
      </c>
      <c r="R26" s="317">
        <v>58</v>
      </c>
      <c r="S26" s="309">
        <v>-58</v>
      </c>
    </row>
    <row r="27" spans="1:19" x14ac:dyDescent="0.2">
      <c r="A27" s="305" t="s">
        <v>1378</v>
      </c>
      <c r="B27" s="306" t="s">
        <v>3943</v>
      </c>
      <c r="C27" s="307" t="s">
        <v>1379</v>
      </c>
      <c r="D27" s="306" t="s">
        <v>153</v>
      </c>
      <c r="E27" s="305" t="s">
        <v>421</v>
      </c>
      <c r="F27" s="335" t="s">
        <v>153</v>
      </c>
      <c r="G27" s="309">
        <v>0</v>
      </c>
      <c r="H27" s="309">
        <v>0</v>
      </c>
      <c r="I27" s="309">
        <v>30</v>
      </c>
      <c r="J27" s="309">
        <v>0</v>
      </c>
      <c r="K27" s="309">
        <v>0</v>
      </c>
      <c r="L27" s="317">
        <v>30</v>
      </c>
      <c r="M27" s="309">
        <v>30</v>
      </c>
      <c r="N27" s="309">
        <v>0</v>
      </c>
      <c r="O27" s="309">
        <v>0</v>
      </c>
      <c r="P27" s="309">
        <v>0</v>
      </c>
      <c r="Q27" s="309">
        <v>0</v>
      </c>
      <c r="R27" s="317">
        <v>30</v>
      </c>
      <c r="S27" s="309">
        <v>0</v>
      </c>
    </row>
    <row r="28" spans="1:19" x14ac:dyDescent="0.2">
      <c r="A28" s="305" t="s">
        <v>2747</v>
      </c>
      <c r="B28" s="306" t="s">
        <v>3942</v>
      </c>
      <c r="C28" s="307" t="s">
        <v>2748</v>
      </c>
      <c r="D28" s="306" t="s">
        <v>153</v>
      </c>
      <c r="E28" s="305" t="s">
        <v>3798</v>
      </c>
      <c r="F28" s="335" t="s">
        <v>153</v>
      </c>
      <c r="G28" s="309">
        <v>30</v>
      </c>
      <c r="H28" s="309">
        <v>0</v>
      </c>
      <c r="I28" s="309">
        <v>0</v>
      </c>
      <c r="J28" s="309">
        <v>0</v>
      </c>
      <c r="K28" s="309">
        <v>0</v>
      </c>
      <c r="L28" s="317">
        <v>30</v>
      </c>
      <c r="M28" s="309">
        <v>95</v>
      </c>
      <c r="N28" s="309">
        <v>0</v>
      </c>
      <c r="O28" s="309">
        <v>0</v>
      </c>
      <c r="P28" s="309">
        <v>0</v>
      </c>
      <c r="Q28" s="309">
        <v>0</v>
      </c>
      <c r="R28" s="317">
        <v>95</v>
      </c>
      <c r="S28" s="309">
        <v>-65</v>
      </c>
    </row>
    <row r="29" spans="1:19" x14ac:dyDescent="0.2">
      <c r="A29" s="305" t="s">
        <v>2468</v>
      </c>
      <c r="B29" s="306" t="s">
        <v>3946</v>
      </c>
      <c r="C29" s="307" t="s">
        <v>2469</v>
      </c>
      <c r="D29" s="306" t="s">
        <v>153</v>
      </c>
      <c r="E29" s="305" t="s">
        <v>3798</v>
      </c>
      <c r="F29" s="335" t="s">
        <v>153</v>
      </c>
      <c r="G29" s="309">
        <v>35</v>
      </c>
      <c r="H29" s="309">
        <v>35</v>
      </c>
      <c r="I29" s="309">
        <v>0</v>
      </c>
      <c r="J29" s="309">
        <v>0</v>
      </c>
      <c r="K29" s="309">
        <v>0</v>
      </c>
      <c r="L29" s="317">
        <v>70</v>
      </c>
      <c r="M29" s="309">
        <v>0</v>
      </c>
      <c r="N29" s="309">
        <v>0</v>
      </c>
      <c r="O29" s="309">
        <v>0</v>
      </c>
      <c r="P29" s="309">
        <v>0</v>
      </c>
      <c r="Q29" s="309">
        <v>0</v>
      </c>
      <c r="R29" s="317">
        <v>0</v>
      </c>
      <c r="S29" s="309">
        <v>70</v>
      </c>
    </row>
    <row r="30" spans="1:19" x14ac:dyDescent="0.2">
      <c r="A30" s="305" t="s">
        <v>2595</v>
      </c>
      <c r="B30" s="306" t="s">
        <v>149</v>
      </c>
      <c r="C30" s="307" t="s">
        <v>2596</v>
      </c>
      <c r="D30" s="306" t="s">
        <v>153</v>
      </c>
      <c r="E30" s="305" t="s">
        <v>3798</v>
      </c>
      <c r="F30" s="335" t="s">
        <v>153</v>
      </c>
      <c r="G30" s="309">
        <v>0</v>
      </c>
      <c r="H30" s="309">
        <v>0</v>
      </c>
      <c r="I30" s="309">
        <v>130</v>
      </c>
      <c r="J30" s="309">
        <v>0</v>
      </c>
      <c r="K30" s="309">
        <v>0</v>
      </c>
      <c r="L30" s="317">
        <v>130</v>
      </c>
      <c r="M30" s="309">
        <v>220</v>
      </c>
      <c r="N30" s="309">
        <v>0</v>
      </c>
      <c r="O30" s="309">
        <v>0</v>
      </c>
      <c r="P30" s="309">
        <v>0</v>
      </c>
      <c r="Q30" s="309">
        <v>0</v>
      </c>
      <c r="R30" s="317">
        <v>220</v>
      </c>
      <c r="S30" s="309">
        <v>-90</v>
      </c>
    </row>
    <row r="31" spans="1:19" x14ac:dyDescent="0.2">
      <c r="A31" s="305" t="s">
        <v>2778</v>
      </c>
      <c r="B31" s="306" t="s">
        <v>3951</v>
      </c>
      <c r="C31" s="307" t="s">
        <v>2779</v>
      </c>
      <c r="D31" s="306" t="s">
        <v>153</v>
      </c>
      <c r="E31" s="305" t="s">
        <v>3798</v>
      </c>
      <c r="F31" s="335" t="s">
        <v>153</v>
      </c>
      <c r="G31" s="309">
        <v>0</v>
      </c>
      <c r="H31" s="309">
        <v>0</v>
      </c>
      <c r="I31" s="309">
        <v>0</v>
      </c>
      <c r="J31" s="309">
        <v>0</v>
      </c>
      <c r="K31" s="309">
        <v>79</v>
      </c>
      <c r="L31" s="317">
        <v>79</v>
      </c>
      <c r="M31" s="309">
        <v>79</v>
      </c>
      <c r="N31" s="309">
        <v>0</v>
      </c>
      <c r="O31" s="309">
        <v>0</v>
      </c>
      <c r="P31" s="309">
        <v>0</v>
      </c>
      <c r="Q31" s="309">
        <v>0</v>
      </c>
      <c r="R31" s="317">
        <v>79</v>
      </c>
      <c r="S31" s="309">
        <v>0</v>
      </c>
    </row>
    <row r="32" spans="1:19" x14ac:dyDescent="0.2">
      <c r="A32" s="305" t="s">
        <v>2645</v>
      </c>
      <c r="B32" s="306" t="s">
        <v>3944</v>
      </c>
      <c r="C32" s="307" t="s">
        <v>2646</v>
      </c>
      <c r="D32" s="306" t="s">
        <v>153</v>
      </c>
      <c r="E32" s="305" t="s">
        <v>3798</v>
      </c>
      <c r="F32" s="335" t="s">
        <v>153</v>
      </c>
      <c r="G32" s="309">
        <v>77</v>
      </c>
      <c r="H32" s="309">
        <v>77</v>
      </c>
      <c r="I32" s="309">
        <v>77</v>
      </c>
      <c r="J32" s="309">
        <v>0</v>
      </c>
      <c r="K32" s="309">
        <v>0</v>
      </c>
      <c r="L32" s="317">
        <v>231</v>
      </c>
      <c r="M32" s="309">
        <v>471</v>
      </c>
      <c r="N32" s="309">
        <v>0</v>
      </c>
      <c r="O32" s="309">
        <v>0</v>
      </c>
      <c r="P32" s="309">
        <v>0</v>
      </c>
      <c r="Q32" s="309">
        <v>0</v>
      </c>
      <c r="R32" s="317">
        <v>471</v>
      </c>
      <c r="S32" s="309">
        <v>-240</v>
      </c>
    </row>
    <row r="33" spans="1:19" x14ac:dyDescent="0.2">
      <c r="A33" s="305" t="s">
        <v>2772</v>
      </c>
      <c r="B33" s="306" t="s">
        <v>3951</v>
      </c>
      <c r="C33" s="307" t="s">
        <v>2773</v>
      </c>
      <c r="D33" s="306" t="s">
        <v>153</v>
      </c>
      <c r="E33" s="305" t="s">
        <v>3798</v>
      </c>
      <c r="F33" s="335" t="s">
        <v>153</v>
      </c>
      <c r="G33" s="309">
        <v>0</v>
      </c>
      <c r="H33" s="309">
        <v>0</v>
      </c>
      <c r="I33" s="309">
        <v>0</v>
      </c>
      <c r="J33" s="309">
        <v>0</v>
      </c>
      <c r="K33" s="309">
        <v>0</v>
      </c>
      <c r="L33" s="317">
        <v>0</v>
      </c>
      <c r="M33" s="309">
        <v>67</v>
      </c>
      <c r="N33" s="309">
        <v>0</v>
      </c>
      <c r="O33" s="309">
        <v>0</v>
      </c>
      <c r="P33" s="309">
        <v>0</v>
      </c>
      <c r="Q33" s="309">
        <v>0</v>
      </c>
      <c r="R33" s="317">
        <v>67</v>
      </c>
      <c r="S33" s="309">
        <v>-67</v>
      </c>
    </row>
    <row r="34" spans="1:19" ht="22.5" x14ac:dyDescent="0.2">
      <c r="A34" s="305" t="s">
        <v>2711</v>
      </c>
      <c r="B34" s="306" t="s">
        <v>3946</v>
      </c>
      <c r="C34" s="307" t="s">
        <v>2712</v>
      </c>
      <c r="D34" s="306" t="s">
        <v>153</v>
      </c>
      <c r="E34" s="305" t="s">
        <v>3798</v>
      </c>
      <c r="F34" s="335" t="s">
        <v>153</v>
      </c>
      <c r="G34" s="309">
        <v>0</v>
      </c>
      <c r="H34" s="309">
        <v>0</v>
      </c>
      <c r="I34" s="309">
        <v>0</v>
      </c>
      <c r="J34" s="309">
        <v>0</v>
      </c>
      <c r="K34" s="309">
        <v>0</v>
      </c>
      <c r="L34" s="317">
        <v>0</v>
      </c>
      <c r="M34" s="309">
        <v>0</v>
      </c>
      <c r="N34" s="309">
        <v>150</v>
      </c>
      <c r="O34" s="309">
        <v>0</v>
      </c>
      <c r="P34" s="309">
        <v>0</v>
      </c>
      <c r="Q34" s="309">
        <v>0</v>
      </c>
      <c r="R34" s="317">
        <v>150</v>
      </c>
      <c r="S34" s="309">
        <v>-150</v>
      </c>
    </row>
    <row r="35" spans="1:19" ht="22.5" x14ac:dyDescent="0.2">
      <c r="A35" s="305" t="s">
        <v>2574</v>
      </c>
      <c r="B35" s="306" t="s">
        <v>3946</v>
      </c>
      <c r="C35" s="307" t="s">
        <v>2575</v>
      </c>
      <c r="D35" s="306" t="s">
        <v>153</v>
      </c>
      <c r="E35" s="305" t="s">
        <v>3798</v>
      </c>
      <c r="F35" s="335" t="s">
        <v>153</v>
      </c>
      <c r="G35" s="309">
        <v>0</v>
      </c>
      <c r="H35" s="309">
        <v>0</v>
      </c>
      <c r="I35" s="309">
        <v>0</v>
      </c>
      <c r="J35" s="309">
        <v>0</v>
      </c>
      <c r="K35" s="309">
        <v>0</v>
      </c>
      <c r="L35" s="317">
        <v>0</v>
      </c>
      <c r="M35" s="309">
        <v>125</v>
      </c>
      <c r="N35" s="309">
        <v>0</v>
      </c>
      <c r="O35" s="309">
        <v>0</v>
      </c>
      <c r="P35" s="309">
        <v>0</v>
      </c>
      <c r="Q35" s="309">
        <v>0</v>
      </c>
      <c r="R35" s="317">
        <v>125</v>
      </c>
      <c r="S35" s="309">
        <v>-125</v>
      </c>
    </row>
    <row r="36" spans="1:19" ht="22.5" x14ac:dyDescent="0.2">
      <c r="A36" s="305" t="s">
        <v>2696</v>
      </c>
      <c r="B36" s="306" t="s">
        <v>3943</v>
      </c>
      <c r="C36" s="307" t="s">
        <v>2697</v>
      </c>
      <c r="D36" s="306" t="s">
        <v>153</v>
      </c>
      <c r="E36" s="305" t="s">
        <v>3798</v>
      </c>
      <c r="F36" s="335" t="s">
        <v>153</v>
      </c>
      <c r="G36" s="309">
        <v>58</v>
      </c>
      <c r="H36" s="309">
        <v>58</v>
      </c>
      <c r="I36" s="309">
        <v>58</v>
      </c>
      <c r="J36" s="309">
        <v>0</v>
      </c>
      <c r="K36" s="309">
        <v>0</v>
      </c>
      <c r="L36" s="317">
        <v>174</v>
      </c>
      <c r="M36" s="309">
        <v>72</v>
      </c>
      <c r="N36" s="309">
        <v>72</v>
      </c>
      <c r="O36" s="309">
        <v>73</v>
      </c>
      <c r="P36" s="309">
        <v>0</v>
      </c>
      <c r="Q36" s="309">
        <v>0</v>
      </c>
      <c r="R36" s="317">
        <v>217</v>
      </c>
      <c r="S36" s="309">
        <v>-43</v>
      </c>
    </row>
    <row r="37" spans="1:19" ht="56.25" x14ac:dyDescent="0.2">
      <c r="A37" s="305" t="s">
        <v>2512</v>
      </c>
      <c r="B37" s="306" t="s">
        <v>2904</v>
      </c>
      <c r="C37" s="307" t="s">
        <v>2513</v>
      </c>
      <c r="D37" s="306" t="s">
        <v>153</v>
      </c>
      <c r="E37" s="305" t="s">
        <v>3798</v>
      </c>
      <c r="F37" s="335" t="s">
        <v>153</v>
      </c>
      <c r="G37" s="309">
        <v>141</v>
      </c>
      <c r="H37" s="309">
        <v>47</v>
      </c>
      <c r="I37" s="309">
        <v>47</v>
      </c>
      <c r="J37" s="309">
        <v>0</v>
      </c>
      <c r="K37" s="309">
        <v>0</v>
      </c>
      <c r="L37" s="317">
        <v>235</v>
      </c>
      <c r="M37" s="309">
        <v>0</v>
      </c>
      <c r="N37" s="309">
        <v>0</v>
      </c>
      <c r="O37" s="309">
        <v>0</v>
      </c>
      <c r="P37" s="309">
        <v>0</v>
      </c>
      <c r="Q37" s="309">
        <v>0</v>
      </c>
      <c r="R37" s="317">
        <v>0</v>
      </c>
      <c r="S37" s="309">
        <v>235</v>
      </c>
    </row>
    <row r="38" spans="1:19" ht="22.5" x14ac:dyDescent="0.2">
      <c r="A38" s="305" t="s">
        <v>2756</v>
      </c>
      <c r="B38" s="306" t="s">
        <v>3946</v>
      </c>
      <c r="C38" s="307" t="s">
        <v>2757</v>
      </c>
      <c r="D38" s="306" t="s">
        <v>153</v>
      </c>
      <c r="E38" s="305" t="s">
        <v>3798</v>
      </c>
      <c r="F38" s="335" t="s">
        <v>153</v>
      </c>
      <c r="G38" s="309">
        <v>0</v>
      </c>
      <c r="H38" s="309">
        <v>0</v>
      </c>
      <c r="I38" s="309">
        <v>707</v>
      </c>
      <c r="J38" s="309">
        <v>707</v>
      </c>
      <c r="K38" s="309">
        <v>0</v>
      </c>
      <c r="L38" s="317">
        <v>1414</v>
      </c>
      <c r="M38" s="309">
        <v>0</v>
      </c>
      <c r="N38" s="309">
        <v>0</v>
      </c>
      <c r="O38" s="309">
        <v>0</v>
      </c>
      <c r="P38" s="309">
        <v>0</v>
      </c>
      <c r="Q38" s="309">
        <v>0</v>
      </c>
      <c r="R38" s="317">
        <v>0</v>
      </c>
      <c r="S38" s="309">
        <v>1414</v>
      </c>
    </row>
    <row r="39" spans="1:19" ht="22.5" x14ac:dyDescent="0.2">
      <c r="A39" s="305" t="s">
        <v>2524</v>
      </c>
      <c r="B39" s="306" t="s">
        <v>150</v>
      </c>
      <c r="C39" s="307" t="s">
        <v>2525</v>
      </c>
      <c r="D39" s="306" t="s">
        <v>153</v>
      </c>
      <c r="E39" s="305" t="s">
        <v>3798</v>
      </c>
      <c r="F39" s="335" t="s">
        <v>153</v>
      </c>
      <c r="G39" s="309">
        <v>0</v>
      </c>
      <c r="H39" s="309">
        <v>0</v>
      </c>
      <c r="I39" s="309">
        <v>0</v>
      </c>
      <c r="J39" s="309">
        <v>0</v>
      </c>
      <c r="K39" s="309">
        <v>0</v>
      </c>
      <c r="L39" s="317">
        <v>0</v>
      </c>
      <c r="M39" s="309">
        <v>70</v>
      </c>
      <c r="N39" s="309">
        <v>0</v>
      </c>
      <c r="O39" s="309">
        <v>0</v>
      </c>
      <c r="P39" s="309">
        <v>0</v>
      </c>
      <c r="Q39" s="309">
        <v>0</v>
      </c>
      <c r="R39" s="317">
        <v>70</v>
      </c>
      <c r="S39" s="309">
        <v>-70</v>
      </c>
    </row>
    <row r="40" spans="1:19" ht="22.5" x14ac:dyDescent="0.2">
      <c r="A40" s="305" t="s">
        <v>1785</v>
      </c>
      <c r="B40" s="306" t="s">
        <v>150</v>
      </c>
      <c r="C40" s="307" t="s">
        <v>1787</v>
      </c>
      <c r="D40" s="306" t="s">
        <v>153</v>
      </c>
      <c r="E40" s="305" t="s">
        <v>3798</v>
      </c>
      <c r="F40" s="335" t="s">
        <v>153</v>
      </c>
      <c r="G40" s="309">
        <v>214</v>
      </c>
      <c r="H40" s="309">
        <v>204</v>
      </c>
      <c r="I40" s="309">
        <v>367</v>
      </c>
      <c r="J40" s="309">
        <v>1320</v>
      </c>
      <c r="K40" s="309">
        <v>0</v>
      </c>
      <c r="L40" s="317">
        <v>2105</v>
      </c>
      <c r="M40" s="309">
        <v>3898</v>
      </c>
      <c r="N40" s="309">
        <v>0</v>
      </c>
      <c r="O40" s="309">
        <v>176</v>
      </c>
      <c r="P40" s="309">
        <v>0</v>
      </c>
      <c r="Q40" s="309">
        <v>0</v>
      </c>
      <c r="R40" s="317">
        <v>4074</v>
      </c>
      <c r="S40" s="309">
        <v>-1969</v>
      </c>
    </row>
    <row r="41" spans="1:19" ht="22.5" x14ac:dyDescent="0.2">
      <c r="A41" s="305" t="s">
        <v>1411</v>
      </c>
      <c r="B41" s="306" t="s">
        <v>2907</v>
      </c>
      <c r="C41" s="307" t="s">
        <v>1412</v>
      </c>
      <c r="D41" s="306" t="s">
        <v>153</v>
      </c>
      <c r="E41" s="305" t="s">
        <v>3798</v>
      </c>
      <c r="F41" s="335" t="s">
        <v>153</v>
      </c>
      <c r="G41" s="309">
        <v>168</v>
      </c>
      <c r="H41" s="309">
        <v>0</v>
      </c>
      <c r="I41" s="309">
        <v>0</v>
      </c>
      <c r="J41" s="309">
        <v>0</v>
      </c>
      <c r="K41" s="309">
        <v>0</v>
      </c>
      <c r="L41" s="317">
        <v>168</v>
      </c>
      <c r="M41" s="309">
        <v>0</v>
      </c>
      <c r="N41" s="309">
        <v>0</v>
      </c>
      <c r="O41" s="309">
        <v>0</v>
      </c>
      <c r="P41" s="309">
        <v>0</v>
      </c>
      <c r="Q41" s="309">
        <v>0</v>
      </c>
      <c r="R41" s="317">
        <v>0</v>
      </c>
      <c r="S41" s="309">
        <v>168</v>
      </c>
    </row>
    <row r="42" spans="1:19" ht="22.5" x14ac:dyDescent="0.2">
      <c r="A42" s="305" t="s">
        <v>2753</v>
      </c>
      <c r="B42" s="306" t="s">
        <v>3939</v>
      </c>
      <c r="C42" s="307" t="s">
        <v>2754</v>
      </c>
      <c r="D42" s="306" t="s">
        <v>153</v>
      </c>
      <c r="E42" s="305" t="s">
        <v>421</v>
      </c>
      <c r="F42" s="335" t="s">
        <v>153</v>
      </c>
      <c r="G42" s="309">
        <v>0</v>
      </c>
      <c r="H42" s="309">
        <v>0</v>
      </c>
      <c r="I42" s="309">
        <v>91</v>
      </c>
      <c r="J42" s="309">
        <v>0</v>
      </c>
      <c r="K42" s="309">
        <v>0</v>
      </c>
      <c r="L42" s="317">
        <v>91</v>
      </c>
      <c r="M42" s="309">
        <v>91</v>
      </c>
      <c r="N42" s="309">
        <v>0</v>
      </c>
      <c r="O42" s="309">
        <v>0</v>
      </c>
      <c r="P42" s="309">
        <v>0</v>
      </c>
      <c r="Q42" s="309">
        <v>0</v>
      </c>
      <c r="R42" s="317">
        <v>91</v>
      </c>
      <c r="S42" s="309">
        <v>0</v>
      </c>
    </row>
    <row r="43" spans="1:19" x14ac:dyDescent="0.2">
      <c r="A43" s="305" t="s">
        <v>1569</v>
      </c>
      <c r="B43" s="306" t="s">
        <v>3944</v>
      </c>
      <c r="C43" s="307" t="s">
        <v>1570</v>
      </c>
      <c r="D43" s="306" t="s">
        <v>153</v>
      </c>
      <c r="E43" s="305" t="s">
        <v>3798</v>
      </c>
      <c r="F43" s="335" t="s">
        <v>153</v>
      </c>
      <c r="G43" s="309">
        <v>25</v>
      </c>
      <c r="H43" s="309">
        <v>0</v>
      </c>
      <c r="I43" s="309">
        <v>28</v>
      </c>
      <c r="J43" s="309">
        <v>0</v>
      </c>
      <c r="K43" s="309">
        <v>0</v>
      </c>
      <c r="L43" s="317">
        <v>53</v>
      </c>
      <c r="M43" s="309">
        <v>0</v>
      </c>
      <c r="N43" s="309">
        <v>0</v>
      </c>
      <c r="O43" s="309">
        <v>97</v>
      </c>
      <c r="P43" s="309">
        <v>0</v>
      </c>
      <c r="Q43" s="309">
        <v>0</v>
      </c>
      <c r="R43" s="317">
        <v>97</v>
      </c>
      <c r="S43" s="309">
        <v>-44</v>
      </c>
    </row>
    <row r="44" spans="1:19" ht="22.5" x14ac:dyDescent="0.2">
      <c r="A44" s="305" t="s">
        <v>2380</v>
      </c>
      <c r="B44" s="306" t="s">
        <v>2907</v>
      </c>
      <c r="C44" s="307" t="s">
        <v>1239</v>
      </c>
      <c r="D44" s="306" t="s">
        <v>153</v>
      </c>
      <c r="E44" s="305" t="s">
        <v>3798</v>
      </c>
      <c r="F44" s="335" t="s">
        <v>153</v>
      </c>
      <c r="G44" s="309">
        <v>0</v>
      </c>
      <c r="H44" s="309">
        <v>0</v>
      </c>
      <c r="I44" s="309">
        <v>31</v>
      </c>
      <c r="J44" s="309">
        <v>0</v>
      </c>
      <c r="K44" s="309">
        <v>0</v>
      </c>
      <c r="L44" s="317">
        <v>31</v>
      </c>
      <c r="M44" s="309">
        <v>0</v>
      </c>
      <c r="N44" s="309">
        <v>0</v>
      </c>
      <c r="O44" s="309">
        <v>0</v>
      </c>
      <c r="P44" s="309">
        <v>0</v>
      </c>
      <c r="Q44" s="309">
        <v>0</v>
      </c>
      <c r="R44" s="317">
        <v>0</v>
      </c>
      <c r="S44" s="309">
        <v>31</v>
      </c>
    </row>
    <row r="45" spans="1:19" ht="22.5" x14ac:dyDescent="0.2">
      <c r="A45" s="305" t="s">
        <v>1867</v>
      </c>
      <c r="B45" s="306" t="s">
        <v>3947</v>
      </c>
      <c r="C45" s="307" t="s">
        <v>1890</v>
      </c>
      <c r="D45" s="306" t="s">
        <v>153</v>
      </c>
      <c r="E45" s="305" t="s">
        <v>3798</v>
      </c>
      <c r="F45" s="335" t="s">
        <v>153</v>
      </c>
      <c r="G45" s="309">
        <v>123</v>
      </c>
      <c r="H45" s="309">
        <v>0</v>
      </c>
      <c r="I45" s="309">
        <v>123</v>
      </c>
      <c r="J45" s="309">
        <v>0</v>
      </c>
      <c r="K45" s="309">
        <v>0</v>
      </c>
      <c r="L45" s="317">
        <v>246</v>
      </c>
      <c r="M45" s="309">
        <v>0</v>
      </c>
      <c r="N45" s="309">
        <v>0</v>
      </c>
      <c r="O45" s="309">
        <v>0</v>
      </c>
      <c r="P45" s="309">
        <v>0</v>
      </c>
      <c r="Q45" s="309">
        <v>0</v>
      </c>
      <c r="R45" s="317">
        <v>0</v>
      </c>
      <c r="S45" s="309">
        <v>246</v>
      </c>
    </row>
    <row r="46" spans="1:19" ht="33.75" x14ac:dyDescent="0.2">
      <c r="A46" s="305" t="s">
        <v>1706</v>
      </c>
      <c r="B46" s="306" t="s">
        <v>3947</v>
      </c>
      <c r="C46" s="307" t="s">
        <v>1709</v>
      </c>
      <c r="D46" s="306" t="s">
        <v>153</v>
      </c>
      <c r="E46" s="305" t="s">
        <v>3798</v>
      </c>
      <c r="F46" s="335" t="s">
        <v>153</v>
      </c>
      <c r="G46" s="309">
        <v>0</v>
      </c>
      <c r="H46" s="309">
        <v>0</v>
      </c>
      <c r="I46" s="309">
        <v>0</v>
      </c>
      <c r="J46" s="309">
        <v>0</v>
      </c>
      <c r="K46" s="309">
        <v>0</v>
      </c>
      <c r="L46" s="317">
        <v>0</v>
      </c>
      <c r="M46" s="309">
        <v>93</v>
      </c>
      <c r="N46" s="309">
        <v>93</v>
      </c>
      <c r="O46" s="309">
        <v>92</v>
      </c>
      <c r="P46" s="309">
        <v>0</v>
      </c>
      <c r="Q46" s="309">
        <v>0</v>
      </c>
      <c r="R46" s="317">
        <v>278</v>
      </c>
      <c r="S46" s="309">
        <v>-278</v>
      </c>
    </row>
    <row r="47" spans="1:19" ht="33.75" x14ac:dyDescent="0.2">
      <c r="A47" s="305" t="s">
        <v>1932</v>
      </c>
      <c r="B47" s="306" t="s">
        <v>3939</v>
      </c>
      <c r="C47" s="307" t="s">
        <v>1933</v>
      </c>
      <c r="D47" s="306" t="s">
        <v>153</v>
      </c>
      <c r="E47" s="305" t="s">
        <v>3798</v>
      </c>
      <c r="F47" s="335" t="s">
        <v>153</v>
      </c>
      <c r="G47" s="309">
        <v>118</v>
      </c>
      <c r="H47" s="309">
        <v>0</v>
      </c>
      <c r="I47" s="309">
        <v>0</v>
      </c>
      <c r="J47" s="309">
        <v>0</v>
      </c>
      <c r="K47" s="309">
        <v>0</v>
      </c>
      <c r="L47" s="317">
        <v>118</v>
      </c>
      <c r="M47" s="309">
        <v>168</v>
      </c>
      <c r="N47" s="309">
        <v>0</v>
      </c>
      <c r="O47" s="309">
        <v>0</v>
      </c>
      <c r="P47" s="309">
        <v>0</v>
      </c>
      <c r="Q47" s="309">
        <v>0</v>
      </c>
      <c r="R47" s="317">
        <v>168</v>
      </c>
      <c r="S47" s="309">
        <v>-50</v>
      </c>
    </row>
    <row r="48" spans="1:19" ht="22.5" x14ac:dyDescent="0.2">
      <c r="A48" s="305" t="s">
        <v>2648</v>
      </c>
      <c r="B48" s="306" t="s">
        <v>3951</v>
      </c>
      <c r="C48" s="307" t="s">
        <v>2649</v>
      </c>
      <c r="D48" s="306" t="s">
        <v>153</v>
      </c>
      <c r="E48" s="305" t="s">
        <v>3798</v>
      </c>
      <c r="F48" s="335" t="s">
        <v>153</v>
      </c>
      <c r="G48" s="309">
        <v>117</v>
      </c>
      <c r="H48" s="309">
        <v>0</v>
      </c>
      <c r="I48" s="309">
        <v>0</v>
      </c>
      <c r="J48" s="309">
        <v>0</v>
      </c>
      <c r="K48" s="309">
        <v>0</v>
      </c>
      <c r="L48" s="317">
        <v>117</v>
      </c>
      <c r="M48" s="309">
        <v>0</v>
      </c>
      <c r="N48" s="309">
        <v>0</v>
      </c>
      <c r="O48" s="309">
        <v>0</v>
      </c>
      <c r="P48" s="309">
        <v>0</v>
      </c>
      <c r="Q48" s="309">
        <v>0</v>
      </c>
      <c r="R48" s="317">
        <v>0</v>
      </c>
      <c r="S48" s="309">
        <v>117</v>
      </c>
    </row>
    <row r="49" spans="1:19" ht="22.5" x14ac:dyDescent="0.2">
      <c r="A49" s="305" t="s">
        <v>2486</v>
      </c>
      <c r="B49" s="306" t="s">
        <v>3947</v>
      </c>
      <c r="C49" s="307" t="s">
        <v>2487</v>
      </c>
      <c r="D49" s="306" t="s">
        <v>153</v>
      </c>
      <c r="E49" s="305" t="s">
        <v>3798</v>
      </c>
      <c r="F49" s="335" t="s">
        <v>153</v>
      </c>
      <c r="G49" s="309">
        <v>0</v>
      </c>
      <c r="H49" s="309">
        <v>0</v>
      </c>
      <c r="I49" s="309">
        <v>0</v>
      </c>
      <c r="J49" s="309">
        <v>0</v>
      </c>
      <c r="K49" s="309">
        <v>0</v>
      </c>
      <c r="L49" s="317">
        <v>0</v>
      </c>
      <c r="M49" s="309">
        <v>0</v>
      </c>
      <c r="N49" s="309">
        <v>0</v>
      </c>
      <c r="O49" s="309">
        <v>0</v>
      </c>
      <c r="P49" s="309">
        <v>11</v>
      </c>
      <c r="Q49" s="309">
        <v>0</v>
      </c>
      <c r="R49" s="317">
        <v>11</v>
      </c>
      <c r="S49" s="309">
        <v>-11</v>
      </c>
    </row>
    <row r="50" spans="1:19" x14ac:dyDescent="0.2">
      <c r="C50" s="307" t="s">
        <v>2489</v>
      </c>
      <c r="D50" s="306" t="s">
        <v>153</v>
      </c>
      <c r="E50" s="305" t="s">
        <v>3798</v>
      </c>
      <c r="F50" s="335" t="s">
        <v>153</v>
      </c>
      <c r="G50" s="309">
        <v>0</v>
      </c>
      <c r="H50" s="309">
        <v>0</v>
      </c>
      <c r="I50" s="309">
        <v>0</v>
      </c>
      <c r="J50" s="309">
        <v>352</v>
      </c>
      <c r="K50" s="309">
        <v>0</v>
      </c>
      <c r="L50" s="317">
        <v>352</v>
      </c>
      <c r="M50" s="309">
        <v>0</v>
      </c>
      <c r="N50" s="309">
        <v>0</v>
      </c>
      <c r="O50" s="309">
        <v>0</v>
      </c>
      <c r="P50" s="309">
        <v>714</v>
      </c>
      <c r="Q50" s="309">
        <v>0</v>
      </c>
      <c r="R50" s="317">
        <v>714</v>
      </c>
      <c r="S50" s="309">
        <v>-362</v>
      </c>
    </row>
    <row r="51" spans="1:19" x14ac:dyDescent="0.2">
      <c r="A51" s="305" t="s">
        <v>1430</v>
      </c>
      <c r="B51" s="306" t="s">
        <v>2904</v>
      </c>
      <c r="C51" s="307" t="s">
        <v>1431</v>
      </c>
      <c r="D51" s="306" t="s">
        <v>153</v>
      </c>
      <c r="E51" s="305" t="s">
        <v>3798</v>
      </c>
      <c r="F51" s="335" t="s">
        <v>153</v>
      </c>
      <c r="G51" s="309">
        <v>0</v>
      </c>
      <c r="H51" s="309">
        <v>0</v>
      </c>
      <c r="I51" s="309">
        <v>0</v>
      </c>
      <c r="J51" s="309">
        <v>0</v>
      </c>
      <c r="K51" s="309">
        <v>0</v>
      </c>
      <c r="L51" s="317">
        <v>0</v>
      </c>
      <c r="M51" s="309">
        <v>147</v>
      </c>
      <c r="N51" s="309">
        <v>0</v>
      </c>
      <c r="O51" s="309">
        <v>0</v>
      </c>
      <c r="P51" s="309">
        <v>0</v>
      </c>
      <c r="Q51" s="309">
        <v>0</v>
      </c>
      <c r="R51" s="317">
        <v>147</v>
      </c>
      <c r="S51" s="309">
        <v>-147</v>
      </c>
    </row>
    <row r="52" spans="1:19" x14ac:dyDescent="0.2">
      <c r="A52" s="328" t="s">
        <v>95</v>
      </c>
      <c r="B52" s="329"/>
      <c r="C52" s="330"/>
      <c r="D52" s="329"/>
      <c r="E52" s="328"/>
      <c r="F52" s="349"/>
      <c r="G52" s="333">
        <v>2078</v>
      </c>
      <c r="H52" s="333">
        <v>1058</v>
      </c>
      <c r="I52" s="333">
        <v>2533</v>
      </c>
      <c r="J52" s="333">
        <v>2662</v>
      </c>
      <c r="K52" s="333">
        <v>145</v>
      </c>
      <c r="L52" s="334">
        <v>8476</v>
      </c>
      <c r="M52" s="333">
        <v>7697</v>
      </c>
      <c r="N52" s="333">
        <v>448</v>
      </c>
      <c r="O52" s="333">
        <v>664</v>
      </c>
      <c r="P52" s="333">
        <v>1467</v>
      </c>
      <c r="Q52" s="333">
        <v>191</v>
      </c>
      <c r="R52" s="334">
        <v>10467</v>
      </c>
      <c r="S52" s="333">
        <v>-1991</v>
      </c>
    </row>
  </sheetData>
  <mergeCells count="10">
    <mergeCell ref="G4:S4"/>
    <mergeCell ref="G5:L5"/>
    <mergeCell ref="M5:R5"/>
    <mergeCell ref="S5:S6"/>
    <mergeCell ref="A4:A6"/>
    <mergeCell ref="B4:B6"/>
    <mergeCell ref="C4:C6"/>
    <mergeCell ref="D4:D6"/>
    <mergeCell ref="E4:E6"/>
    <mergeCell ref="F4:F6"/>
  </mergeCells>
  <conditionalFormatting sqref="D1:D1048576 F1:F1048576">
    <cfRule type="cellIs" dxfId="28"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S52"/>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11" width="13.42578125" customWidth="1"/>
    <col min="12" max="12" width="16.85546875" customWidth="1"/>
    <col min="13" max="17" width="13.85546875" customWidth="1"/>
    <col min="18" max="18" width="17.42578125" customWidth="1"/>
    <col min="19" max="19" width="16" customWidth="1"/>
    <col min="20" max="74" width="9.42578125" customWidth="1"/>
    <col min="75" max="75" width="10.28515625" customWidth="1"/>
    <col min="76" max="76" width="19" bestFit="1" customWidth="1"/>
  </cols>
  <sheetData>
    <row r="1" spans="1:19" x14ac:dyDescent="0.2">
      <c r="A1" s="77" t="s">
        <v>2939</v>
      </c>
      <c r="B1" s="446" t="s">
        <v>2938</v>
      </c>
    </row>
    <row r="2" spans="1:19" x14ac:dyDescent="0.2">
      <c r="A2" s="77" t="s">
        <v>2940</v>
      </c>
      <c r="B2" s="446" t="s">
        <v>3972</v>
      </c>
    </row>
    <row r="3" spans="1:19" x14ac:dyDescent="0.2">
      <c r="A3" s="77" t="s">
        <v>2941</v>
      </c>
      <c r="B3" s="446" t="s">
        <v>429</v>
      </c>
    </row>
    <row r="4" spans="1:19" x14ac:dyDescent="0.2">
      <c r="A4" s="77" t="s">
        <v>3967</v>
      </c>
      <c r="B4" s="446" t="s">
        <v>126</v>
      </c>
    </row>
    <row r="6" spans="1:19" x14ac:dyDescent="0.2">
      <c r="A6" s="77" t="s">
        <v>185</v>
      </c>
      <c r="B6" s="77" t="s">
        <v>3938</v>
      </c>
      <c r="C6" s="77" t="s">
        <v>2848</v>
      </c>
      <c r="D6" s="77" t="s">
        <v>2844</v>
      </c>
      <c r="E6" s="77" t="s">
        <v>3966</v>
      </c>
      <c r="F6" s="77" t="s">
        <v>13</v>
      </c>
      <c r="G6" s="446" t="s">
        <v>3822</v>
      </c>
      <c r="H6" s="446" t="s">
        <v>3823</v>
      </c>
      <c r="I6" s="446" t="s">
        <v>3824</v>
      </c>
      <c r="J6" s="446" t="s">
        <v>3825</v>
      </c>
      <c r="K6" s="446" t="s">
        <v>3826</v>
      </c>
      <c r="L6" s="446" t="s">
        <v>3827</v>
      </c>
      <c r="M6" s="446" t="s">
        <v>3975</v>
      </c>
      <c r="N6" s="446" t="s">
        <v>3976</v>
      </c>
      <c r="O6" s="446" t="s">
        <v>3977</v>
      </c>
      <c r="P6" s="446" t="s">
        <v>3978</v>
      </c>
      <c r="Q6" s="446" t="s">
        <v>3979</v>
      </c>
      <c r="R6" s="446" t="s">
        <v>3980</v>
      </c>
      <c r="S6" s="446" t="s">
        <v>3981</v>
      </c>
    </row>
    <row r="7" spans="1:19" x14ac:dyDescent="0.2">
      <c r="A7" s="446" t="s">
        <v>2642</v>
      </c>
      <c r="B7" s="446" t="s">
        <v>3944</v>
      </c>
      <c r="C7" s="446" t="s">
        <v>2643</v>
      </c>
      <c r="D7" s="446" t="s">
        <v>153</v>
      </c>
      <c r="E7" s="446" t="s">
        <v>3798</v>
      </c>
      <c r="F7" s="446" t="s">
        <v>153</v>
      </c>
      <c r="G7" s="74">
        <v>149</v>
      </c>
      <c r="H7" s="74">
        <v>150</v>
      </c>
      <c r="I7" s="74">
        <v>0</v>
      </c>
      <c r="J7" s="74">
        <v>0</v>
      </c>
      <c r="K7" s="74">
        <v>0</v>
      </c>
      <c r="L7" s="74">
        <v>299</v>
      </c>
      <c r="M7" s="74">
        <v>121</v>
      </c>
      <c r="N7" s="74">
        <v>0</v>
      </c>
      <c r="O7" s="74">
        <v>0</v>
      </c>
      <c r="P7" s="74">
        <v>0</v>
      </c>
      <c r="Q7" s="74">
        <v>0</v>
      </c>
      <c r="R7" s="74">
        <v>121</v>
      </c>
      <c r="S7" s="74">
        <v>178</v>
      </c>
    </row>
    <row r="8" spans="1:19" x14ac:dyDescent="0.2">
      <c r="A8" s="446" t="s">
        <v>1900</v>
      </c>
      <c r="B8" s="446" t="s">
        <v>2907</v>
      </c>
      <c r="C8" s="446" t="s">
        <v>1901</v>
      </c>
      <c r="D8" s="446" t="s">
        <v>153</v>
      </c>
      <c r="E8" s="446" t="s">
        <v>3798</v>
      </c>
      <c r="F8" s="446" t="s">
        <v>153</v>
      </c>
      <c r="G8" s="74">
        <v>251</v>
      </c>
      <c r="H8" s="74">
        <v>0</v>
      </c>
      <c r="I8" s="74">
        <v>0</v>
      </c>
      <c r="J8" s="74">
        <v>0</v>
      </c>
      <c r="K8" s="74">
        <v>0</v>
      </c>
      <c r="L8" s="74">
        <v>251</v>
      </c>
      <c r="M8" s="74">
        <v>0</v>
      </c>
      <c r="N8" s="74">
        <v>0</v>
      </c>
      <c r="O8" s="74">
        <v>0</v>
      </c>
      <c r="P8" s="74">
        <v>0</v>
      </c>
      <c r="Q8" s="74">
        <v>0</v>
      </c>
      <c r="R8" s="74">
        <v>0</v>
      </c>
      <c r="S8" s="74">
        <v>251</v>
      </c>
    </row>
    <row r="9" spans="1:19" x14ac:dyDescent="0.2">
      <c r="A9" s="446" t="s">
        <v>2171</v>
      </c>
      <c r="B9" s="446" t="s">
        <v>150</v>
      </c>
      <c r="C9" s="446" t="s">
        <v>2172</v>
      </c>
      <c r="D9" s="446" t="s">
        <v>153</v>
      </c>
      <c r="E9" s="446" t="s">
        <v>3798</v>
      </c>
      <c r="F9" s="446" t="s">
        <v>153</v>
      </c>
      <c r="G9" s="74">
        <v>22</v>
      </c>
      <c r="H9" s="74">
        <v>35</v>
      </c>
      <c r="I9" s="74">
        <v>0</v>
      </c>
      <c r="J9" s="74">
        <v>0</v>
      </c>
      <c r="K9" s="74">
        <v>0</v>
      </c>
      <c r="L9" s="74">
        <v>57</v>
      </c>
      <c r="M9" s="74">
        <v>0</v>
      </c>
      <c r="N9" s="74">
        <v>0</v>
      </c>
      <c r="O9" s="74">
        <v>0</v>
      </c>
      <c r="P9" s="74">
        <v>0</v>
      </c>
      <c r="Q9" s="74">
        <v>112</v>
      </c>
      <c r="R9" s="74">
        <v>112</v>
      </c>
      <c r="S9" s="74">
        <v>-55</v>
      </c>
    </row>
    <row r="10" spans="1:19" x14ac:dyDescent="0.2">
      <c r="A10" s="446" t="s">
        <v>2699</v>
      </c>
      <c r="B10" s="446" t="s">
        <v>3946</v>
      </c>
      <c r="C10" s="446" t="s">
        <v>2700</v>
      </c>
      <c r="D10" s="446" t="s">
        <v>153</v>
      </c>
      <c r="E10" s="446" t="s">
        <v>3798</v>
      </c>
      <c r="F10" s="446" t="s">
        <v>153</v>
      </c>
      <c r="G10" s="74">
        <v>40</v>
      </c>
      <c r="H10" s="74">
        <v>39</v>
      </c>
      <c r="I10" s="74">
        <v>0</v>
      </c>
      <c r="J10" s="74">
        <v>0</v>
      </c>
      <c r="K10" s="74">
        <v>0</v>
      </c>
      <c r="L10" s="74">
        <v>79</v>
      </c>
      <c r="M10" s="74">
        <v>59</v>
      </c>
      <c r="N10" s="74">
        <v>0</v>
      </c>
      <c r="O10" s="74">
        <v>0</v>
      </c>
      <c r="P10" s="74">
        <v>0</v>
      </c>
      <c r="Q10" s="74">
        <v>0</v>
      </c>
      <c r="R10" s="74">
        <v>59</v>
      </c>
      <c r="S10" s="74">
        <v>20</v>
      </c>
    </row>
    <row r="11" spans="1:19" x14ac:dyDescent="0.2">
      <c r="A11" s="446" t="s">
        <v>2580</v>
      </c>
      <c r="B11" s="446" t="s">
        <v>3952</v>
      </c>
      <c r="C11" s="446" t="s">
        <v>2581</v>
      </c>
      <c r="D11" s="446" t="s">
        <v>153</v>
      </c>
      <c r="E11" s="446" t="s">
        <v>3798</v>
      </c>
      <c r="F11" s="446" t="s">
        <v>153</v>
      </c>
      <c r="G11" s="74">
        <v>0</v>
      </c>
      <c r="H11" s="74">
        <v>0</v>
      </c>
      <c r="I11" s="74">
        <v>118</v>
      </c>
      <c r="J11" s="74">
        <v>0</v>
      </c>
      <c r="K11" s="74">
        <v>0</v>
      </c>
      <c r="L11" s="74">
        <v>118</v>
      </c>
      <c r="M11" s="74">
        <v>113</v>
      </c>
      <c r="N11" s="74">
        <v>0</v>
      </c>
      <c r="O11" s="74">
        <v>0</v>
      </c>
      <c r="P11" s="74">
        <v>0</v>
      </c>
      <c r="Q11" s="74">
        <v>0</v>
      </c>
      <c r="R11" s="74">
        <v>113</v>
      </c>
      <c r="S11" s="74">
        <v>5</v>
      </c>
    </row>
    <row r="12" spans="1:19" x14ac:dyDescent="0.2">
      <c r="A12" s="446" t="s">
        <v>2708</v>
      </c>
      <c r="B12" s="446" t="s">
        <v>2907</v>
      </c>
      <c r="C12" s="446" t="s">
        <v>2709</v>
      </c>
      <c r="D12" s="446" t="s">
        <v>153</v>
      </c>
      <c r="E12" s="446" t="s">
        <v>3798</v>
      </c>
      <c r="F12" s="446" t="s">
        <v>153</v>
      </c>
      <c r="G12" s="74">
        <v>0</v>
      </c>
      <c r="H12" s="74">
        <v>0</v>
      </c>
      <c r="I12" s="74">
        <v>0</v>
      </c>
      <c r="J12" s="74">
        <v>0</v>
      </c>
      <c r="K12" s="74">
        <v>0</v>
      </c>
      <c r="L12" s="74">
        <v>0</v>
      </c>
      <c r="M12" s="74">
        <v>0</v>
      </c>
      <c r="N12" s="74">
        <v>54</v>
      </c>
      <c r="O12" s="74">
        <v>0</v>
      </c>
      <c r="P12" s="74">
        <v>0</v>
      </c>
      <c r="Q12" s="74">
        <v>0</v>
      </c>
      <c r="R12" s="74">
        <v>54</v>
      </c>
      <c r="S12" s="74">
        <v>-54</v>
      </c>
    </row>
    <row r="13" spans="1:19" x14ac:dyDescent="0.2">
      <c r="A13" s="446" t="s">
        <v>2544</v>
      </c>
      <c r="B13" s="446" t="s">
        <v>150</v>
      </c>
      <c r="C13" s="446" t="s">
        <v>2545</v>
      </c>
      <c r="D13" s="446" t="s">
        <v>153</v>
      </c>
      <c r="E13" s="446" t="s">
        <v>3798</v>
      </c>
      <c r="F13" s="446" t="s">
        <v>153</v>
      </c>
      <c r="G13" s="74">
        <v>0</v>
      </c>
      <c r="H13" s="74">
        <v>0</v>
      </c>
      <c r="I13" s="74">
        <v>57</v>
      </c>
      <c r="J13" s="74">
        <v>0</v>
      </c>
      <c r="K13" s="74">
        <v>0</v>
      </c>
      <c r="L13" s="74">
        <v>57</v>
      </c>
      <c r="M13" s="74">
        <v>57</v>
      </c>
      <c r="N13" s="74">
        <v>0</v>
      </c>
      <c r="O13" s="74">
        <v>0</v>
      </c>
      <c r="P13" s="74">
        <v>0</v>
      </c>
      <c r="Q13" s="74">
        <v>0</v>
      </c>
      <c r="R13" s="74">
        <v>57</v>
      </c>
      <c r="S13" s="74">
        <v>0</v>
      </c>
    </row>
    <row r="14" spans="1:19" x14ac:dyDescent="0.2">
      <c r="A14" s="446" t="s">
        <v>2610</v>
      </c>
      <c r="B14" s="446" t="s">
        <v>3951</v>
      </c>
      <c r="C14" s="446" t="s">
        <v>2611</v>
      </c>
      <c r="D14" s="446" t="s">
        <v>153</v>
      </c>
      <c r="E14" s="446" t="s">
        <v>3798</v>
      </c>
      <c r="F14" s="446" t="s">
        <v>153</v>
      </c>
      <c r="G14" s="74">
        <v>0</v>
      </c>
      <c r="H14" s="74">
        <v>0</v>
      </c>
      <c r="I14" s="74">
        <v>85</v>
      </c>
      <c r="J14" s="74">
        <v>0</v>
      </c>
      <c r="K14" s="74">
        <v>0</v>
      </c>
      <c r="L14" s="74">
        <v>85</v>
      </c>
      <c r="M14" s="74">
        <v>85</v>
      </c>
      <c r="N14" s="74">
        <v>0</v>
      </c>
      <c r="O14" s="74">
        <v>0</v>
      </c>
      <c r="P14" s="74">
        <v>0</v>
      </c>
      <c r="Q14" s="74">
        <v>0</v>
      </c>
      <c r="R14" s="74">
        <v>85</v>
      </c>
      <c r="S14" s="74">
        <v>0</v>
      </c>
    </row>
    <row r="15" spans="1:19" x14ac:dyDescent="0.2">
      <c r="A15" s="446" t="s">
        <v>1957</v>
      </c>
      <c r="B15" s="446" t="s">
        <v>3946</v>
      </c>
      <c r="C15" s="446" t="s">
        <v>1958</v>
      </c>
      <c r="D15" s="446" t="s">
        <v>153</v>
      </c>
      <c r="E15" s="446" t="s">
        <v>3798</v>
      </c>
      <c r="F15" s="446" t="s">
        <v>153</v>
      </c>
      <c r="G15" s="74">
        <v>0</v>
      </c>
      <c r="H15" s="74">
        <v>0</v>
      </c>
      <c r="I15" s="74">
        <v>0</v>
      </c>
      <c r="J15" s="74">
        <v>0</v>
      </c>
      <c r="K15" s="74">
        <v>0</v>
      </c>
      <c r="L15" s="74">
        <v>0</v>
      </c>
      <c r="M15" s="74">
        <v>51</v>
      </c>
      <c r="N15" s="74">
        <v>0</v>
      </c>
      <c r="O15" s="74">
        <v>0</v>
      </c>
      <c r="P15" s="74">
        <v>0</v>
      </c>
      <c r="Q15" s="74">
        <v>0</v>
      </c>
      <c r="R15" s="74">
        <v>51</v>
      </c>
      <c r="S15" s="74">
        <v>-51</v>
      </c>
    </row>
    <row r="16" spans="1:19" x14ac:dyDescent="0.2">
      <c r="A16" s="446" t="s">
        <v>1425</v>
      </c>
      <c r="B16" s="446" t="s">
        <v>3949</v>
      </c>
      <c r="C16" s="446" t="s">
        <v>1426</v>
      </c>
      <c r="D16" s="446" t="s">
        <v>153</v>
      </c>
      <c r="E16" s="446" t="s">
        <v>3798</v>
      </c>
      <c r="F16" s="446" t="s">
        <v>153</v>
      </c>
      <c r="G16" s="74">
        <v>22</v>
      </c>
      <c r="H16" s="74">
        <v>22</v>
      </c>
      <c r="I16" s="74">
        <v>0</v>
      </c>
      <c r="J16" s="74">
        <v>0</v>
      </c>
      <c r="K16" s="74">
        <v>0</v>
      </c>
      <c r="L16" s="74">
        <v>44</v>
      </c>
      <c r="M16" s="74">
        <v>80</v>
      </c>
      <c r="N16" s="74">
        <v>0</v>
      </c>
      <c r="O16" s="74">
        <v>0</v>
      </c>
      <c r="P16" s="74">
        <v>0</v>
      </c>
      <c r="Q16" s="74">
        <v>0</v>
      </c>
      <c r="R16" s="74">
        <v>80</v>
      </c>
      <c r="S16" s="74">
        <v>-36</v>
      </c>
    </row>
    <row r="17" spans="1:19" x14ac:dyDescent="0.2">
      <c r="A17" s="446" t="s">
        <v>1511</v>
      </c>
      <c r="B17" s="446" t="s">
        <v>3951</v>
      </c>
      <c r="C17" s="446" t="s">
        <v>1512</v>
      </c>
      <c r="D17" s="446" t="s">
        <v>153</v>
      </c>
      <c r="E17" s="446" t="s">
        <v>3798</v>
      </c>
      <c r="F17" s="446" t="s">
        <v>153</v>
      </c>
      <c r="G17" s="74">
        <v>66</v>
      </c>
      <c r="H17" s="74">
        <v>66</v>
      </c>
      <c r="I17" s="74">
        <v>66</v>
      </c>
      <c r="J17" s="74">
        <v>66</v>
      </c>
      <c r="K17" s="74">
        <v>66</v>
      </c>
      <c r="L17" s="74">
        <v>330</v>
      </c>
      <c r="M17" s="74">
        <v>79</v>
      </c>
      <c r="N17" s="74">
        <v>79</v>
      </c>
      <c r="O17" s="74">
        <v>79</v>
      </c>
      <c r="P17" s="74">
        <v>79</v>
      </c>
      <c r="Q17" s="74">
        <v>79</v>
      </c>
      <c r="R17" s="74">
        <v>395</v>
      </c>
      <c r="S17" s="74">
        <v>-65</v>
      </c>
    </row>
    <row r="18" spans="1:19" x14ac:dyDescent="0.2">
      <c r="A18" s="446" t="s">
        <v>2793</v>
      </c>
      <c r="B18" s="446" t="s">
        <v>2904</v>
      </c>
      <c r="C18" s="446" t="s">
        <v>2794</v>
      </c>
      <c r="D18" s="446" t="s">
        <v>153</v>
      </c>
      <c r="E18" s="446" t="s">
        <v>3798</v>
      </c>
      <c r="F18" s="446" t="s">
        <v>153</v>
      </c>
      <c r="G18" s="74">
        <v>32</v>
      </c>
      <c r="H18" s="74">
        <v>0</v>
      </c>
      <c r="I18" s="74">
        <v>0</v>
      </c>
      <c r="J18" s="74">
        <v>0</v>
      </c>
      <c r="K18" s="74">
        <v>0</v>
      </c>
      <c r="L18" s="74">
        <v>32</v>
      </c>
      <c r="M18" s="74">
        <v>83</v>
      </c>
      <c r="N18" s="74">
        <v>0</v>
      </c>
      <c r="O18" s="74">
        <v>0</v>
      </c>
      <c r="P18" s="74">
        <v>0</v>
      </c>
      <c r="Q18" s="74">
        <v>0</v>
      </c>
      <c r="R18" s="74">
        <v>83</v>
      </c>
      <c r="S18" s="74">
        <v>-51</v>
      </c>
    </row>
    <row r="19" spans="1:19" x14ac:dyDescent="0.2">
      <c r="A19" s="446" t="s">
        <v>2702</v>
      </c>
      <c r="B19" s="446" t="s">
        <v>3946</v>
      </c>
      <c r="C19" s="446" t="s">
        <v>2703</v>
      </c>
      <c r="D19" s="446" t="s">
        <v>153</v>
      </c>
      <c r="E19" s="446" t="s">
        <v>3798</v>
      </c>
      <c r="F19" s="446" t="s">
        <v>153</v>
      </c>
      <c r="G19" s="74">
        <v>0</v>
      </c>
      <c r="H19" s="74">
        <v>0</v>
      </c>
      <c r="I19" s="74">
        <v>0</v>
      </c>
      <c r="J19" s="74">
        <v>217</v>
      </c>
      <c r="K19" s="74">
        <v>0</v>
      </c>
      <c r="L19" s="74">
        <v>217</v>
      </c>
      <c r="M19" s="74">
        <v>0</v>
      </c>
      <c r="N19" s="74">
        <v>0</v>
      </c>
      <c r="O19" s="74">
        <v>0</v>
      </c>
      <c r="P19" s="74">
        <v>663</v>
      </c>
      <c r="Q19" s="74">
        <v>0</v>
      </c>
      <c r="R19" s="74">
        <v>663</v>
      </c>
      <c r="S19" s="74">
        <v>-446</v>
      </c>
    </row>
    <row r="20" spans="1:19" x14ac:dyDescent="0.2">
      <c r="A20" s="446" t="s">
        <v>2799</v>
      </c>
      <c r="B20" s="446" t="s">
        <v>3952</v>
      </c>
      <c r="C20" s="446" t="s">
        <v>2800</v>
      </c>
      <c r="D20" s="446" t="s">
        <v>153</v>
      </c>
      <c r="E20" s="446" t="s">
        <v>3798</v>
      </c>
      <c r="F20" s="446" t="s">
        <v>153</v>
      </c>
      <c r="G20" s="74">
        <v>0</v>
      </c>
      <c r="H20" s="74">
        <v>0</v>
      </c>
      <c r="I20" s="74">
        <v>50</v>
      </c>
      <c r="J20" s="74">
        <v>0</v>
      </c>
      <c r="K20" s="74">
        <v>0</v>
      </c>
      <c r="L20" s="74">
        <v>50</v>
      </c>
      <c r="M20" s="74">
        <v>50</v>
      </c>
      <c r="N20" s="74">
        <v>0</v>
      </c>
      <c r="O20" s="74">
        <v>0</v>
      </c>
      <c r="P20" s="74">
        <v>0</v>
      </c>
      <c r="Q20" s="74">
        <v>0</v>
      </c>
      <c r="R20" s="74">
        <v>50</v>
      </c>
      <c r="S20" s="74">
        <v>0</v>
      </c>
    </row>
    <row r="21" spans="1:19" x14ac:dyDescent="0.2">
      <c r="A21" s="446" t="s">
        <v>1858</v>
      </c>
      <c r="B21" s="446" t="s">
        <v>3946</v>
      </c>
      <c r="C21" s="446" t="s">
        <v>1859</v>
      </c>
      <c r="D21" s="446" t="s">
        <v>153</v>
      </c>
      <c r="E21" s="446" t="s">
        <v>3798</v>
      </c>
      <c r="F21" s="446" t="s">
        <v>153</v>
      </c>
      <c r="G21" s="74">
        <v>0</v>
      </c>
      <c r="H21" s="74">
        <v>0</v>
      </c>
      <c r="I21" s="74">
        <v>0</v>
      </c>
      <c r="J21" s="74">
        <v>0</v>
      </c>
      <c r="K21" s="74">
        <v>0</v>
      </c>
      <c r="L21" s="74">
        <v>0</v>
      </c>
      <c r="M21" s="74">
        <v>48</v>
      </c>
      <c r="N21" s="74">
        <v>0</v>
      </c>
      <c r="O21" s="74">
        <v>0</v>
      </c>
      <c r="P21" s="74">
        <v>0</v>
      </c>
      <c r="Q21" s="74">
        <v>0</v>
      </c>
      <c r="R21" s="74">
        <v>48</v>
      </c>
      <c r="S21" s="74">
        <v>-48</v>
      </c>
    </row>
    <row r="22" spans="1:19" x14ac:dyDescent="0.2">
      <c r="A22" s="446" t="s">
        <v>1503</v>
      </c>
      <c r="B22" s="446" t="s">
        <v>3946</v>
      </c>
      <c r="C22" s="446" t="s">
        <v>1505</v>
      </c>
      <c r="D22" s="446" t="s">
        <v>153</v>
      </c>
      <c r="E22" s="446" t="s">
        <v>3798</v>
      </c>
      <c r="F22" s="446" t="s">
        <v>153</v>
      </c>
      <c r="G22" s="74">
        <v>320</v>
      </c>
      <c r="H22" s="74">
        <v>320</v>
      </c>
      <c r="I22" s="74">
        <v>321</v>
      </c>
      <c r="J22" s="74">
        <v>0</v>
      </c>
      <c r="K22" s="74">
        <v>0</v>
      </c>
      <c r="L22" s="74">
        <v>961</v>
      </c>
      <c r="M22" s="74">
        <v>1088</v>
      </c>
      <c r="N22" s="74">
        <v>0</v>
      </c>
      <c r="O22" s="74">
        <v>0</v>
      </c>
      <c r="P22" s="74">
        <v>0</v>
      </c>
      <c r="Q22" s="74">
        <v>0</v>
      </c>
      <c r="R22" s="74">
        <v>1088</v>
      </c>
      <c r="S22" s="74">
        <v>-127</v>
      </c>
    </row>
    <row r="23" spans="1:19" x14ac:dyDescent="0.2">
      <c r="A23" s="446" t="s">
        <v>2790</v>
      </c>
      <c r="B23" s="446" t="s">
        <v>3946</v>
      </c>
      <c r="C23" s="446" t="s">
        <v>2791</v>
      </c>
      <c r="D23" s="446" t="s">
        <v>153</v>
      </c>
      <c r="E23" s="446" t="s">
        <v>3798</v>
      </c>
      <c r="F23" s="446" t="s">
        <v>153</v>
      </c>
      <c r="G23" s="74">
        <v>70</v>
      </c>
      <c r="H23" s="74">
        <v>0</v>
      </c>
      <c r="I23" s="74">
        <v>0</v>
      </c>
      <c r="J23" s="74">
        <v>0</v>
      </c>
      <c r="K23" s="74">
        <v>0</v>
      </c>
      <c r="L23" s="74">
        <v>70</v>
      </c>
      <c r="M23" s="74">
        <v>99</v>
      </c>
      <c r="N23" s="74">
        <v>0</v>
      </c>
      <c r="O23" s="74">
        <v>0</v>
      </c>
      <c r="P23" s="74">
        <v>0</v>
      </c>
      <c r="Q23" s="74">
        <v>0</v>
      </c>
      <c r="R23" s="74">
        <v>99</v>
      </c>
      <c r="S23" s="74">
        <v>-29</v>
      </c>
    </row>
    <row r="24" spans="1:19" x14ac:dyDescent="0.2">
      <c r="A24" s="446" t="s">
        <v>1758</v>
      </c>
      <c r="B24" s="446" t="s">
        <v>3952</v>
      </c>
      <c r="C24" s="446" t="s">
        <v>1759</v>
      </c>
      <c r="D24" s="446" t="s">
        <v>153</v>
      </c>
      <c r="E24" s="446" t="s">
        <v>3798</v>
      </c>
      <c r="F24" s="446" t="s">
        <v>153</v>
      </c>
      <c r="G24" s="74">
        <v>0</v>
      </c>
      <c r="H24" s="74">
        <v>0</v>
      </c>
      <c r="I24" s="74">
        <v>147</v>
      </c>
      <c r="J24" s="74">
        <v>0</v>
      </c>
      <c r="K24" s="74">
        <v>0</v>
      </c>
      <c r="L24" s="74">
        <v>147</v>
      </c>
      <c r="M24" s="74">
        <v>0</v>
      </c>
      <c r="N24" s="74">
        <v>0</v>
      </c>
      <c r="O24" s="74">
        <v>147</v>
      </c>
      <c r="P24" s="74">
        <v>0</v>
      </c>
      <c r="Q24" s="74">
        <v>0</v>
      </c>
      <c r="R24" s="74">
        <v>147</v>
      </c>
      <c r="S24" s="74">
        <v>0</v>
      </c>
    </row>
    <row r="25" spans="1:19" x14ac:dyDescent="0.2">
      <c r="A25" s="446" t="s">
        <v>2796</v>
      </c>
      <c r="B25" s="446" t="s">
        <v>3945</v>
      </c>
      <c r="C25" s="446" t="s">
        <v>2797</v>
      </c>
      <c r="D25" s="446" t="s">
        <v>153</v>
      </c>
      <c r="E25" s="446" t="s">
        <v>3798</v>
      </c>
      <c r="F25" s="446" t="s">
        <v>153</v>
      </c>
      <c r="G25" s="74">
        <v>0</v>
      </c>
      <c r="H25" s="74">
        <v>5</v>
      </c>
      <c r="I25" s="74">
        <v>0</v>
      </c>
      <c r="J25" s="74">
        <v>0</v>
      </c>
      <c r="K25" s="74">
        <v>0</v>
      </c>
      <c r="L25" s="74">
        <v>5</v>
      </c>
      <c r="M25" s="74">
        <v>0</v>
      </c>
      <c r="N25" s="74">
        <v>0</v>
      </c>
      <c r="O25" s="74">
        <v>0</v>
      </c>
      <c r="P25" s="74">
        <v>0</v>
      </c>
      <c r="Q25" s="74">
        <v>0</v>
      </c>
      <c r="R25" s="74">
        <v>0</v>
      </c>
      <c r="S25" s="74">
        <v>5</v>
      </c>
    </row>
    <row r="26" spans="1:19" x14ac:dyDescent="0.2">
      <c r="A26" s="446" t="s">
        <v>2769</v>
      </c>
      <c r="B26" s="446" t="s">
        <v>3950</v>
      </c>
      <c r="C26" s="446" t="s">
        <v>2770</v>
      </c>
      <c r="D26" s="446" t="s">
        <v>153</v>
      </c>
      <c r="E26" s="446" t="s">
        <v>3798</v>
      </c>
      <c r="F26" s="446" t="s">
        <v>153</v>
      </c>
      <c r="G26" s="74">
        <v>0</v>
      </c>
      <c r="H26" s="74">
        <v>0</v>
      </c>
      <c r="I26" s="74">
        <v>0</v>
      </c>
      <c r="J26" s="74">
        <v>0</v>
      </c>
      <c r="K26" s="74">
        <v>0</v>
      </c>
      <c r="L26" s="74">
        <v>0</v>
      </c>
      <c r="M26" s="74">
        <v>58</v>
      </c>
      <c r="N26" s="74">
        <v>0</v>
      </c>
      <c r="O26" s="74">
        <v>0</v>
      </c>
      <c r="P26" s="74">
        <v>0</v>
      </c>
      <c r="Q26" s="74">
        <v>0</v>
      </c>
      <c r="R26" s="74">
        <v>58</v>
      </c>
      <c r="S26" s="74">
        <v>-58</v>
      </c>
    </row>
    <row r="27" spans="1:19" x14ac:dyDescent="0.2">
      <c r="A27" s="446" t="s">
        <v>1378</v>
      </c>
      <c r="B27" s="446" t="s">
        <v>3943</v>
      </c>
      <c r="C27" s="446" t="s">
        <v>1379</v>
      </c>
      <c r="D27" s="446" t="s">
        <v>153</v>
      </c>
      <c r="E27" s="446" t="s">
        <v>421</v>
      </c>
      <c r="F27" s="446" t="s">
        <v>153</v>
      </c>
      <c r="G27" s="74">
        <v>0</v>
      </c>
      <c r="H27" s="74">
        <v>0</v>
      </c>
      <c r="I27" s="74">
        <v>30</v>
      </c>
      <c r="J27" s="74">
        <v>0</v>
      </c>
      <c r="K27" s="74">
        <v>0</v>
      </c>
      <c r="L27" s="74">
        <v>30</v>
      </c>
      <c r="M27" s="74">
        <v>30</v>
      </c>
      <c r="N27" s="74">
        <v>0</v>
      </c>
      <c r="O27" s="74">
        <v>0</v>
      </c>
      <c r="P27" s="74">
        <v>0</v>
      </c>
      <c r="Q27" s="74">
        <v>0</v>
      </c>
      <c r="R27" s="74">
        <v>30</v>
      </c>
      <c r="S27" s="74">
        <v>0</v>
      </c>
    </row>
    <row r="28" spans="1:19" x14ac:dyDescent="0.2">
      <c r="A28" s="446" t="s">
        <v>2747</v>
      </c>
      <c r="B28" s="446" t="s">
        <v>3942</v>
      </c>
      <c r="C28" s="446" t="s">
        <v>2748</v>
      </c>
      <c r="D28" s="446" t="s">
        <v>153</v>
      </c>
      <c r="E28" s="446" t="s">
        <v>3798</v>
      </c>
      <c r="F28" s="446" t="s">
        <v>153</v>
      </c>
      <c r="G28" s="74">
        <v>30</v>
      </c>
      <c r="H28" s="74">
        <v>0</v>
      </c>
      <c r="I28" s="74">
        <v>0</v>
      </c>
      <c r="J28" s="74">
        <v>0</v>
      </c>
      <c r="K28" s="74">
        <v>0</v>
      </c>
      <c r="L28" s="74">
        <v>30</v>
      </c>
      <c r="M28" s="74">
        <v>95</v>
      </c>
      <c r="N28" s="74">
        <v>0</v>
      </c>
      <c r="O28" s="74">
        <v>0</v>
      </c>
      <c r="P28" s="74">
        <v>0</v>
      </c>
      <c r="Q28" s="74">
        <v>0</v>
      </c>
      <c r="R28" s="74">
        <v>95</v>
      </c>
      <c r="S28" s="74">
        <v>-65</v>
      </c>
    </row>
    <row r="29" spans="1:19" x14ac:dyDescent="0.2">
      <c r="A29" s="446" t="s">
        <v>2468</v>
      </c>
      <c r="B29" s="446" t="s">
        <v>3946</v>
      </c>
      <c r="C29" s="446" t="s">
        <v>2469</v>
      </c>
      <c r="D29" s="446" t="s">
        <v>153</v>
      </c>
      <c r="E29" s="446" t="s">
        <v>3798</v>
      </c>
      <c r="F29" s="446" t="s">
        <v>153</v>
      </c>
      <c r="G29" s="74">
        <v>35</v>
      </c>
      <c r="H29" s="74">
        <v>35</v>
      </c>
      <c r="I29" s="74">
        <v>0</v>
      </c>
      <c r="J29" s="74">
        <v>0</v>
      </c>
      <c r="K29" s="74">
        <v>0</v>
      </c>
      <c r="L29" s="74">
        <v>70</v>
      </c>
      <c r="M29" s="74">
        <v>0</v>
      </c>
      <c r="N29" s="74">
        <v>0</v>
      </c>
      <c r="O29" s="74">
        <v>0</v>
      </c>
      <c r="P29" s="74">
        <v>0</v>
      </c>
      <c r="Q29" s="74">
        <v>0</v>
      </c>
      <c r="R29" s="74">
        <v>0</v>
      </c>
      <c r="S29" s="74">
        <v>70</v>
      </c>
    </row>
    <row r="30" spans="1:19" x14ac:dyDescent="0.2">
      <c r="A30" s="446" t="s">
        <v>2595</v>
      </c>
      <c r="B30" s="446" t="s">
        <v>149</v>
      </c>
      <c r="C30" s="446" t="s">
        <v>2596</v>
      </c>
      <c r="D30" s="446" t="s">
        <v>153</v>
      </c>
      <c r="E30" s="446" t="s">
        <v>3798</v>
      </c>
      <c r="F30" s="446" t="s">
        <v>153</v>
      </c>
      <c r="G30" s="74">
        <v>0</v>
      </c>
      <c r="H30" s="74">
        <v>0</v>
      </c>
      <c r="I30" s="74">
        <v>130</v>
      </c>
      <c r="J30" s="74">
        <v>0</v>
      </c>
      <c r="K30" s="74">
        <v>0</v>
      </c>
      <c r="L30" s="74">
        <v>130</v>
      </c>
      <c r="M30" s="74">
        <v>220</v>
      </c>
      <c r="N30" s="74">
        <v>0</v>
      </c>
      <c r="O30" s="74">
        <v>0</v>
      </c>
      <c r="P30" s="74">
        <v>0</v>
      </c>
      <c r="Q30" s="74">
        <v>0</v>
      </c>
      <c r="R30" s="74">
        <v>220</v>
      </c>
      <c r="S30" s="74">
        <v>-90</v>
      </c>
    </row>
    <row r="31" spans="1:19" x14ac:dyDescent="0.2">
      <c r="A31" s="446" t="s">
        <v>2778</v>
      </c>
      <c r="B31" s="446" t="s">
        <v>3951</v>
      </c>
      <c r="C31" s="446" t="s">
        <v>2779</v>
      </c>
      <c r="D31" s="446" t="s">
        <v>153</v>
      </c>
      <c r="E31" s="446" t="s">
        <v>3798</v>
      </c>
      <c r="F31" s="446" t="s">
        <v>153</v>
      </c>
      <c r="G31" s="74">
        <v>0</v>
      </c>
      <c r="H31" s="74">
        <v>0</v>
      </c>
      <c r="I31" s="74">
        <v>0</v>
      </c>
      <c r="J31" s="74">
        <v>0</v>
      </c>
      <c r="K31" s="74">
        <v>79</v>
      </c>
      <c r="L31" s="74">
        <v>79</v>
      </c>
      <c r="M31" s="74">
        <v>79</v>
      </c>
      <c r="N31" s="74">
        <v>0</v>
      </c>
      <c r="O31" s="74">
        <v>0</v>
      </c>
      <c r="P31" s="74">
        <v>0</v>
      </c>
      <c r="Q31" s="74">
        <v>0</v>
      </c>
      <c r="R31" s="74">
        <v>79</v>
      </c>
      <c r="S31" s="74">
        <v>0</v>
      </c>
    </row>
    <row r="32" spans="1:19" x14ac:dyDescent="0.2">
      <c r="A32" s="446" t="s">
        <v>2645</v>
      </c>
      <c r="B32" s="446" t="s">
        <v>3944</v>
      </c>
      <c r="C32" s="446" t="s">
        <v>2646</v>
      </c>
      <c r="D32" s="446" t="s">
        <v>153</v>
      </c>
      <c r="E32" s="446" t="s">
        <v>3798</v>
      </c>
      <c r="F32" s="446" t="s">
        <v>153</v>
      </c>
      <c r="G32" s="74">
        <v>77</v>
      </c>
      <c r="H32" s="74">
        <v>77</v>
      </c>
      <c r="I32" s="74">
        <v>77</v>
      </c>
      <c r="J32" s="74">
        <v>0</v>
      </c>
      <c r="K32" s="74">
        <v>0</v>
      </c>
      <c r="L32" s="74">
        <v>231</v>
      </c>
      <c r="M32" s="74">
        <v>471</v>
      </c>
      <c r="N32" s="74">
        <v>0</v>
      </c>
      <c r="O32" s="74">
        <v>0</v>
      </c>
      <c r="P32" s="74">
        <v>0</v>
      </c>
      <c r="Q32" s="74">
        <v>0</v>
      </c>
      <c r="R32" s="74">
        <v>471</v>
      </c>
      <c r="S32" s="74">
        <v>-240</v>
      </c>
    </row>
    <row r="33" spans="1:19" x14ac:dyDescent="0.2">
      <c r="A33" s="446" t="s">
        <v>2772</v>
      </c>
      <c r="B33" s="446" t="s">
        <v>3951</v>
      </c>
      <c r="C33" s="446" t="s">
        <v>2773</v>
      </c>
      <c r="D33" s="446" t="s">
        <v>153</v>
      </c>
      <c r="E33" s="446" t="s">
        <v>3798</v>
      </c>
      <c r="F33" s="446" t="s">
        <v>153</v>
      </c>
      <c r="G33" s="74">
        <v>0</v>
      </c>
      <c r="H33" s="74">
        <v>0</v>
      </c>
      <c r="I33" s="74">
        <v>0</v>
      </c>
      <c r="J33" s="74">
        <v>0</v>
      </c>
      <c r="K33" s="74">
        <v>0</v>
      </c>
      <c r="L33" s="74">
        <v>0</v>
      </c>
      <c r="M33" s="74">
        <v>67</v>
      </c>
      <c r="N33" s="74">
        <v>0</v>
      </c>
      <c r="O33" s="74">
        <v>0</v>
      </c>
      <c r="P33" s="74">
        <v>0</v>
      </c>
      <c r="Q33" s="74">
        <v>0</v>
      </c>
      <c r="R33" s="74">
        <v>67</v>
      </c>
      <c r="S33" s="74">
        <v>-67</v>
      </c>
    </row>
    <row r="34" spans="1:19" x14ac:dyDescent="0.2">
      <c r="A34" s="446" t="s">
        <v>2711</v>
      </c>
      <c r="B34" s="446" t="s">
        <v>3946</v>
      </c>
      <c r="C34" s="446" t="s">
        <v>2712</v>
      </c>
      <c r="D34" s="446" t="s">
        <v>153</v>
      </c>
      <c r="E34" s="446" t="s">
        <v>3798</v>
      </c>
      <c r="F34" s="446" t="s">
        <v>153</v>
      </c>
      <c r="G34" s="74">
        <v>0</v>
      </c>
      <c r="H34" s="74">
        <v>0</v>
      </c>
      <c r="I34" s="74">
        <v>0</v>
      </c>
      <c r="J34" s="74">
        <v>0</v>
      </c>
      <c r="K34" s="74">
        <v>0</v>
      </c>
      <c r="L34" s="74">
        <v>0</v>
      </c>
      <c r="M34" s="74">
        <v>0</v>
      </c>
      <c r="N34" s="74">
        <v>150</v>
      </c>
      <c r="O34" s="74">
        <v>0</v>
      </c>
      <c r="P34" s="74">
        <v>0</v>
      </c>
      <c r="Q34" s="74">
        <v>0</v>
      </c>
      <c r="R34" s="74">
        <v>150</v>
      </c>
      <c r="S34" s="74">
        <v>-150</v>
      </c>
    </row>
    <row r="35" spans="1:19" x14ac:dyDescent="0.2">
      <c r="A35" s="446" t="s">
        <v>2574</v>
      </c>
      <c r="B35" s="446" t="s">
        <v>3946</v>
      </c>
      <c r="C35" s="446" t="s">
        <v>2575</v>
      </c>
      <c r="D35" s="446" t="s">
        <v>153</v>
      </c>
      <c r="E35" s="446" t="s">
        <v>3798</v>
      </c>
      <c r="F35" s="446" t="s">
        <v>153</v>
      </c>
      <c r="G35" s="74">
        <v>0</v>
      </c>
      <c r="H35" s="74">
        <v>0</v>
      </c>
      <c r="I35" s="74">
        <v>0</v>
      </c>
      <c r="J35" s="74">
        <v>0</v>
      </c>
      <c r="K35" s="74">
        <v>0</v>
      </c>
      <c r="L35" s="74">
        <v>0</v>
      </c>
      <c r="M35" s="74">
        <v>125</v>
      </c>
      <c r="N35" s="74">
        <v>0</v>
      </c>
      <c r="O35" s="74">
        <v>0</v>
      </c>
      <c r="P35" s="74">
        <v>0</v>
      </c>
      <c r="Q35" s="74">
        <v>0</v>
      </c>
      <c r="R35" s="74">
        <v>125</v>
      </c>
      <c r="S35" s="74">
        <v>-125</v>
      </c>
    </row>
    <row r="36" spans="1:19" x14ac:dyDescent="0.2">
      <c r="A36" s="446" t="s">
        <v>2696</v>
      </c>
      <c r="B36" s="446" t="s">
        <v>3943</v>
      </c>
      <c r="C36" s="446" t="s">
        <v>2697</v>
      </c>
      <c r="D36" s="446" t="s">
        <v>153</v>
      </c>
      <c r="E36" s="446" t="s">
        <v>3798</v>
      </c>
      <c r="F36" s="446" t="s">
        <v>153</v>
      </c>
      <c r="G36" s="74">
        <v>58</v>
      </c>
      <c r="H36" s="74">
        <v>58</v>
      </c>
      <c r="I36" s="74">
        <v>58</v>
      </c>
      <c r="J36" s="74">
        <v>0</v>
      </c>
      <c r="K36" s="74">
        <v>0</v>
      </c>
      <c r="L36" s="74">
        <v>174</v>
      </c>
      <c r="M36" s="74">
        <v>72</v>
      </c>
      <c r="N36" s="74">
        <v>72</v>
      </c>
      <c r="O36" s="74">
        <v>73</v>
      </c>
      <c r="P36" s="74">
        <v>0</v>
      </c>
      <c r="Q36" s="74">
        <v>0</v>
      </c>
      <c r="R36" s="74">
        <v>217</v>
      </c>
      <c r="S36" s="74">
        <v>-43</v>
      </c>
    </row>
    <row r="37" spans="1:19" x14ac:dyDescent="0.2">
      <c r="A37" s="446" t="s">
        <v>2512</v>
      </c>
      <c r="B37" s="446" t="s">
        <v>2904</v>
      </c>
      <c r="C37" s="446" t="s">
        <v>2513</v>
      </c>
      <c r="D37" s="446" t="s">
        <v>153</v>
      </c>
      <c r="E37" s="446" t="s">
        <v>3798</v>
      </c>
      <c r="F37" s="446" t="s">
        <v>153</v>
      </c>
      <c r="G37" s="74">
        <v>141</v>
      </c>
      <c r="H37" s="74">
        <v>47</v>
      </c>
      <c r="I37" s="74">
        <v>47</v>
      </c>
      <c r="J37" s="74">
        <v>0</v>
      </c>
      <c r="K37" s="74">
        <v>0</v>
      </c>
      <c r="L37" s="74">
        <v>235</v>
      </c>
      <c r="M37" s="74">
        <v>0</v>
      </c>
      <c r="N37" s="74">
        <v>0</v>
      </c>
      <c r="O37" s="74">
        <v>0</v>
      </c>
      <c r="P37" s="74">
        <v>0</v>
      </c>
      <c r="Q37" s="74">
        <v>0</v>
      </c>
      <c r="R37" s="74">
        <v>0</v>
      </c>
      <c r="S37" s="74">
        <v>235</v>
      </c>
    </row>
    <row r="38" spans="1:19" x14ac:dyDescent="0.2">
      <c r="A38" s="446" t="s">
        <v>2756</v>
      </c>
      <c r="B38" s="446" t="s">
        <v>3946</v>
      </c>
      <c r="C38" s="446" t="s">
        <v>2757</v>
      </c>
      <c r="D38" s="446" t="s">
        <v>153</v>
      </c>
      <c r="E38" s="446" t="s">
        <v>3798</v>
      </c>
      <c r="F38" s="446" t="s">
        <v>153</v>
      </c>
      <c r="G38" s="74">
        <v>0</v>
      </c>
      <c r="H38" s="74">
        <v>0</v>
      </c>
      <c r="I38" s="74">
        <v>707</v>
      </c>
      <c r="J38" s="74">
        <v>707</v>
      </c>
      <c r="K38" s="74">
        <v>0</v>
      </c>
      <c r="L38" s="74">
        <v>1414</v>
      </c>
      <c r="M38" s="74">
        <v>0</v>
      </c>
      <c r="N38" s="74">
        <v>0</v>
      </c>
      <c r="O38" s="74">
        <v>0</v>
      </c>
      <c r="P38" s="74">
        <v>0</v>
      </c>
      <c r="Q38" s="74">
        <v>0</v>
      </c>
      <c r="R38" s="74">
        <v>0</v>
      </c>
      <c r="S38" s="74">
        <v>1414</v>
      </c>
    </row>
    <row r="39" spans="1:19" x14ac:dyDescent="0.2">
      <c r="A39" s="446" t="s">
        <v>2524</v>
      </c>
      <c r="B39" s="446" t="s">
        <v>150</v>
      </c>
      <c r="C39" s="446" t="s">
        <v>2525</v>
      </c>
      <c r="D39" s="446" t="s">
        <v>153</v>
      </c>
      <c r="E39" s="446" t="s">
        <v>3798</v>
      </c>
      <c r="F39" s="446" t="s">
        <v>153</v>
      </c>
      <c r="G39" s="74">
        <v>0</v>
      </c>
      <c r="H39" s="74">
        <v>0</v>
      </c>
      <c r="I39" s="74">
        <v>0</v>
      </c>
      <c r="J39" s="74">
        <v>0</v>
      </c>
      <c r="K39" s="74">
        <v>0</v>
      </c>
      <c r="L39" s="74">
        <v>0</v>
      </c>
      <c r="M39" s="74">
        <v>70</v>
      </c>
      <c r="N39" s="74">
        <v>0</v>
      </c>
      <c r="O39" s="74">
        <v>0</v>
      </c>
      <c r="P39" s="74">
        <v>0</v>
      </c>
      <c r="Q39" s="74">
        <v>0</v>
      </c>
      <c r="R39" s="74">
        <v>70</v>
      </c>
      <c r="S39" s="74">
        <v>-70</v>
      </c>
    </row>
    <row r="40" spans="1:19" x14ac:dyDescent="0.2">
      <c r="A40" s="446" t="s">
        <v>1785</v>
      </c>
      <c r="B40" s="446" t="s">
        <v>150</v>
      </c>
      <c r="C40" s="446" t="s">
        <v>1787</v>
      </c>
      <c r="D40" s="446" t="s">
        <v>153</v>
      </c>
      <c r="E40" s="446" t="s">
        <v>3798</v>
      </c>
      <c r="F40" s="446" t="s">
        <v>153</v>
      </c>
      <c r="G40" s="74">
        <v>214</v>
      </c>
      <c r="H40" s="74">
        <v>204</v>
      </c>
      <c r="I40" s="74">
        <v>367</v>
      </c>
      <c r="J40" s="74">
        <v>1320</v>
      </c>
      <c r="K40" s="74">
        <v>0</v>
      </c>
      <c r="L40" s="74">
        <v>2105</v>
      </c>
      <c r="M40" s="74">
        <v>3898</v>
      </c>
      <c r="N40" s="74">
        <v>0</v>
      </c>
      <c r="O40" s="74">
        <v>176</v>
      </c>
      <c r="P40" s="74">
        <v>0</v>
      </c>
      <c r="Q40" s="74">
        <v>0</v>
      </c>
      <c r="R40" s="74">
        <v>4074</v>
      </c>
      <c r="S40" s="74">
        <v>-1969</v>
      </c>
    </row>
    <row r="41" spans="1:19" x14ac:dyDescent="0.2">
      <c r="A41" s="446" t="s">
        <v>1411</v>
      </c>
      <c r="B41" s="446" t="s">
        <v>2907</v>
      </c>
      <c r="C41" s="446" t="s">
        <v>1412</v>
      </c>
      <c r="D41" s="446" t="s">
        <v>153</v>
      </c>
      <c r="E41" s="446" t="s">
        <v>3798</v>
      </c>
      <c r="F41" s="446" t="s">
        <v>153</v>
      </c>
      <c r="G41" s="74">
        <v>168</v>
      </c>
      <c r="H41" s="74">
        <v>0</v>
      </c>
      <c r="I41" s="74">
        <v>0</v>
      </c>
      <c r="J41" s="74">
        <v>0</v>
      </c>
      <c r="K41" s="74">
        <v>0</v>
      </c>
      <c r="L41" s="74">
        <v>168</v>
      </c>
      <c r="M41" s="74">
        <v>0</v>
      </c>
      <c r="N41" s="74">
        <v>0</v>
      </c>
      <c r="O41" s="74">
        <v>0</v>
      </c>
      <c r="P41" s="74">
        <v>0</v>
      </c>
      <c r="Q41" s="74">
        <v>0</v>
      </c>
      <c r="R41" s="74">
        <v>0</v>
      </c>
      <c r="S41" s="74">
        <v>168</v>
      </c>
    </row>
    <row r="42" spans="1:19" x14ac:dyDescent="0.2">
      <c r="A42" s="446" t="s">
        <v>2753</v>
      </c>
      <c r="B42" s="446" t="s">
        <v>3939</v>
      </c>
      <c r="C42" s="446" t="s">
        <v>2754</v>
      </c>
      <c r="D42" s="446" t="s">
        <v>153</v>
      </c>
      <c r="E42" s="446" t="s">
        <v>421</v>
      </c>
      <c r="F42" s="446" t="s">
        <v>153</v>
      </c>
      <c r="G42" s="74">
        <v>0</v>
      </c>
      <c r="H42" s="74">
        <v>0</v>
      </c>
      <c r="I42" s="74">
        <v>91</v>
      </c>
      <c r="J42" s="74">
        <v>0</v>
      </c>
      <c r="K42" s="74">
        <v>0</v>
      </c>
      <c r="L42" s="74">
        <v>91</v>
      </c>
      <c r="M42" s="74">
        <v>91</v>
      </c>
      <c r="N42" s="74">
        <v>0</v>
      </c>
      <c r="O42" s="74">
        <v>0</v>
      </c>
      <c r="P42" s="74">
        <v>0</v>
      </c>
      <c r="Q42" s="74">
        <v>0</v>
      </c>
      <c r="R42" s="74">
        <v>91</v>
      </c>
      <c r="S42" s="74">
        <v>0</v>
      </c>
    </row>
    <row r="43" spans="1:19" x14ac:dyDescent="0.2">
      <c r="A43" s="446" t="s">
        <v>1569</v>
      </c>
      <c r="B43" s="446" t="s">
        <v>3944</v>
      </c>
      <c r="C43" s="446" t="s">
        <v>1570</v>
      </c>
      <c r="D43" s="446" t="s">
        <v>153</v>
      </c>
      <c r="E43" s="446" t="s">
        <v>3798</v>
      </c>
      <c r="F43" s="446" t="s">
        <v>153</v>
      </c>
      <c r="G43" s="74">
        <v>25</v>
      </c>
      <c r="H43" s="74">
        <v>0</v>
      </c>
      <c r="I43" s="74">
        <v>28</v>
      </c>
      <c r="J43" s="74">
        <v>0</v>
      </c>
      <c r="K43" s="74">
        <v>0</v>
      </c>
      <c r="L43" s="74">
        <v>53</v>
      </c>
      <c r="M43" s="74">
        <v>0</v>
      </c>
      <c r="N43" s="74">
        <v>0</v>
      </c>
      <c r="O43" s="74">
        <v>97</v>
      </c>
      <c r="P43" s="74">
        <v>0</v>
      </c>
      <c r="Q43" s="74">
        <v>0</v>
      </c>
      <c r="R43" s="74">
        <v>97</v>
      </c>
      <c r="S43" s="74">
        <v>-44</v>
      </c>
    </row>
    <row r="44" spans="1:19" x14ac:dyDescent="0.2">
      <c r="A44" s="446" t="s">
        <v>2380</v>
      </c>
      <c r="B44" s="446" t="s">
        <v>2907</v>
      </c>
      <c r="C44" s="446" t="s">
        <v>1239</v>
      </c>
      <c r="D44" s="446" t="s">
        <v>153</v>
      </c>
      <c r="E44" s="446" t="s">
        <v>3798</v>
      </c>
      <c r="F44" s="446" t="s">
        <v>153</v>
      </c>
      <c r="G44" s="74">
        <v>0</v>
      </c>
      <c r="H44" s="74">
        <v>0</v>
      </c>
      <c r="I44" s="74">
        <v>31</v>
      </c>
      <c r="J44" s="74">
        <v>0</v>
      </c>
      <c r="K44" s="74">
        <v>0</v>
      </c>
      <c r="L44" s="74">
        <v>31</v>
      </c>
      <c r="M44" s="74">
        <v>0</v>
      </c>
      <c r="N44" s="74">
        <v>0</v>
      </c>
      <c r="O44" s="74">
        <v>0</v>
      </c>
      <c r="P44" s="74">
        <v>0</v>
      </c>
      <c r="Q44" s="74">
        <v>0</v>
      </c>
      <c r="R44" s="74">
        <v>0</v>
      </c>
      <c r="S44" s="74">
        <v>31</v>
      </c>
    </row>
    <row r="45" spans="1:19" x14ac:dyDescent="0.2">
      <c r="A45" s="446" t="s">
        <v>1867</v>
      </c>
      <c r="B45" s="446" t="s">
        <v>3947</v>
      </c>
      <c r="C45" s="446" t="s">
        <v>1890</v>
      </c>
      <c r="D45" s="446" t="s">
        <v>153</v>
      </c>
      <c r="E45" s="446" t="s">
        <v>3798</v>
      </c>
      <c r="F45" s="446" t="s">
        <v>153</v>
      </c>
      <c r="G45" s="74">
        <v>123</v>
      </c>
      <c r="H45" s="74">
        <v>0</v>
      </c>
      <c r="I45" s="74">
        <v>123</v>
      </c>
      <c r="J45" s="74">
        <v>0</v>
      </c>
      <c r="K45" s="74">
        <v>0</v>
      </c>
      <c r="L45" s="74">
        <v>246</v>
      </c>
      <c r="M45" s="74">
        <v>0</v>
      </c>
      <c r="N45" s="74">
        <v>0</v>
      </c>
      <c r="O45" s="74">
        <v>0</v>
      </c>
      <c r="P45" s="74">
        <v>0</v>
      </c>
      <c r="Q45" s="74">
        <v>0</v>
      </c>
      <c r="R45" s="74">
        <v>0</v>
      </c>
      <c r="S45" s="74">
        <v>246</v>
      </c>
    </row>
    <row r="46" spans="1:19" x14ac:dyDescent="0.2">
      <c r="A46" s="446" t="s">
        <v>1706</v>
      </c>
      <c r="B46" s="446" t="s">
        <v>3947</v>
      </c>
      <c r="C46" s="446" t="s">
        <v>1709</v>
      </c>
      <c r="D46" s="446" t="s">
        <v>153</v>
      </c>
      <c r="E46" s="446" t="s">
        <v>3798</v>
      </c>
      <c r="F46" s="446" t="s">
        <v>153</v>
      </c>
      <c r="G46" s="74">
        <v>0</v>
      </c>
      <c r="H46" s="74">
        <v>0</v>
      </c>
      <c r="I46" s="74">
        <v>0</v>
      </c>
      <c r="J46" s="74">
        <v>0</v>
      </c>
      <c r="K46" s="74">
        <v>0</v>
      </c>
      <c r="L46" s="74">
        <v>0</v>
      </c>
      <c r="M46" s="74">
        <v>93</v>
      </c>
      <c r="N46" s="74">
        <v>93</v>
      </c>
      <c r="O46" s="74">
        <v>92</v>
      </c>
      <c r="P46" s="74">
        <v>0</v>
      </c>
      <c r="Q46" s="74">
        <v>0</v>
      </c>
      <c r="R46" s="74">
        <v>278</v>
      </c>
      <c r="S46" s="74">
        <v>-278</v>
      </c>
    </row>
    <row r="47" spans="1:19" x14ac:dyDescent="0.2">
      <c r="A47" s="446" t="s">
        <v>1932</v>
      </c>
      <c r="B47" s="446" t="s">
        <v>3939</v>
      </c>
      <c r="C47" s="446" t="s">
        <v>1933</v>
      </c>
      <c r="D47" s="446" t="s">
        <v>153</v>
      </c>
      <c r="E47" s="446" t="s">
        <v>3798</v>
      </c>
      <c r="F47" s="446" t="s">
        <v>153</v>
      </c>
      <c r="G47" s="74">
        <v>118</v>
      </c>
      <c r="H47" s="74">
        <v>0</v>
      </c>
      <c r="I47" s="74">
        <v>0</v>
      </c>
      <c r="J47" s="74">
        <v>0</v>
      </c>
      <c r="K47" s="74">
        <v>0</v>
      </c>
      <c r="L47" s="74">
        <v>118</v>
      </c>
      <c r="M47" s="74">
        <v>168</v>
      </c>
      <c r="N47" s="74">
        <v>0</v>
      </c>
      <c r="O47" s="74">
        <v>0</v>
      </c>
      <c r="P47" s="74">
        <v>0</v>
      </c>
      <c r="Q47" s="74">
        <v>0</v>
      </c>
      <c r="R47" s="74">
        <v>168</v>
      </c>
      <c r="S47" s="74">
        <v>-50</v>
      </c>
    </row>
    <row r="48" spans="1:19" x14ac:dyDescent="0.2">
      <c r="A48" s="446" t="s">
        <v>2648</v>
      </c>
      <c r="B48" s="446" t="s">
        <v>3951</v>
      </c>
      <c r="C48" s="446" t="s">
        <v>2649</v>
      </c>
      <c r="D48" s="446" t="s">
        <v>153</v>
      </c>
      <c r="E48" s="446" t="s">
        <v>3798</v>
      </c>
      <c r="F48" s="446" t="s">
        <v>153</v>
      </c>
      <c r="G48" s="74">
        <v>117</v>
      </c>
      <c r="H48" s="74">
        <v>0</v>
      </c>
      <c r="I48" s="74">
        <v>0</v>
      </c>
      <c r="J48" s="74">
        <v>0</v>
      </c>
      <c r="K48" s="74">
        <v>0</v>
      </c>
      <c r="L48" s="74">
        <v>117</v>
      </c>
      <c r="M48" s="74">
        <v>0</v>
      </c>
      <c r="N48" s="74">
        <v>0</v>
      </c>
      <c r="O48" s="74">
        <v>0</v>
      </c>
      <c r="P48" s="74">
        <v>0</v>
      </c>
      <c r="Q48" s="74">
        <v>0</v>
      </c>
      <c r="R48" s="74">
        <v>0</v>
      </c>
      <c r="S48" s="74">
        <v>117</v>
      </c>
    </row>
    <row r="49" spans="1:19" x14ac:dyDescent="0.2">
      <c r="A49" s="446" t="s">
        <v>2486</v>
      </c>
      <c r="B49" s="446" t="s">
        <v>3947</v>
      </c>
      <c r="C49" s="446" t="s">
        <v>2487</v>
      </c>
      <c r="D49" s="446" t="s">
        <v>153</v>
      </c>
      <c r="E49" s="446" t="s">
        <v>3798</v>
      </c>
      <c r="F49" s="446" t="s">
        <v>153</v>
      </c>
      <c r="G49" s="74">
        <v>0</v>
      </c>
      <c r="H49" s="74">
        <v>0</v>
      </c>
      <c r="I49" s="74">
        <v>0</v>
      </c>
      <c r="J49" s="74">
        <v>0</v>
      </c>
      <c r="K49" s="74">
        <v>0</v>
      </c>
      <c r="L49" s="74">
        <v>0</v>
      </c>
      <c r="M49" s="74">
        <v>0</v>
      </c>
      <c r="N49" s="74">
        <v>0</v>
      </c>
      <c r="O49" s="74">
        <v>0</v>
      </c>
      <c r="P49" s="74">
        <v>11</v>
      </c>
      <c r="Q49" s="74">
        <v>0</v>
      </c>
      <c r="R49" s="74">
        <v>11</v>
      </c>
      <c r="S49" s="74">
        <v>-11</v>
      </c>
    </row>
    <row r="50" spans="1:19" x14ac:dyDescent="0.2">
      <c r="C50" s="446" t="s">
        <v>2489</v>
      </c>
      <c r="D50" s="446" t="s">
        <v>153</v>
      </c>
      <c r="E50" s="446" t="s">
        <v>3798</v>
      </c>
      <c r="F50" s="446" t="s">
        <v>153</v>
      </c>
      <c r="G50" s="74">
        <v>0</v>
      </c>
      <c r="H50" s="74">
        <v>0</v>
      </c>
      <c r="I50" s="74">
        <v>0</v>
      </c>
      <c r="J50" s="74">
        <v>352</v>
      </c>
      <c r="K50" s="74">
        <v>0</v>
      </c>
      <c r="L50" s="74">
        <v>352</v>
      </c>
      <c r="M50" s="74">
        <v>0</v>
      </c>
      <c r="N50" s="74">
        <v>0</v>
      </c>
      <c r="O50" s="74">
        <v>0</v>
      </c>
      <c r="P50" s="74">
        <v>714</v>
      </c>
      <c r="Q50" s="74">
        <v>0</v>
      </c>
      <c r="R50" s="74">
        <v>714</v>
      </c>
      <c r="S50" s="74">
        <v>-362</v>
      </c>
    </row>
    <row r="51" spans="1:19" x14ac:dyDescent="0.2">
      <c r="A51" s="446" t="s">
        <v>1430</v>
      </c>
      <c r="B51" s="446" t="s">
        <v>2904</v>
      </c>
      <c r="C51" s="446" t="s">
        <v>1431</v>
      </c>
      <c r="D51" s="446" t="s">
        <v>153</v>
      </c>
      <c r="E51" s="446" t="s">
        <v>3798</v>
      </c>
      <c r="F51" s="446" t="s">
        <v>153</v>
      </c>
      <c r="G51" s="74">
        <v>0</v>
      </c>
      <c r="H51" s="74">
        <v>0</v>
      </c>
      <c r="I51" s="74">
        <v>0</v>
      </c>
      <c r="J51" s="74">
        <v>0</v>
      </c>
      <c r="K51" s="74">
        <v>0</v>
      </c>
      <c r="L51" s="74">
        <v>0</v>
      </c>
      <c r="M51" s="74">
        <v>147</v>
      </c>
      <c r="N51" s="74">
        <v>0</v>
      </c>
      <c r="O51" s="74">
        <v>0</v>
      </c>
      <c r="P51" s="74">
        <v>0</v>
      </c>
      <c r="Q51" s="74">
        <v>0</v>
      </c>
      <c r="R51" s="74">
        <v>147</v>
      </c>
      <c r="S51" s="74">
        <v>-147</v>
      </c>
    </row>
    <row r="52" spans="1:19" x14ac:dyDescent="0.2">
      <c r="A52" s="446" t="s">
        <v>95</v>
      </c>
      <c r="G52" s="74">
        <v>2078</v>
      </c>
      <c r="H52" s="74">
        <v>1058</v>
      </c>
      <c r="I52" s="74">
        <v>2533</v>
      </c>
      <c r="J52" s="74">
        <v>2662</v>
      </c>
      <c r="K52" s="74">
        <v>145</v>
      </c>
      <c r="L52" s="74">
        <v>8476</v>
      </c>
      <c r="M52" s="74">
        <v>7697</v>
      </c>
      <c r="N52" s="74">
        <v>448</v>
      </c>
      <c r="O52" s="74">
        <v>664</v>
      </c>
      <c r="P52" s="74">
        <v>1467</v>
      </c>
      <c r="Q52" s="74">
        <v>191</v>
      </c>
      <c r="R52" s="74">
        <v>10467</v>
      </c>
      <c r="S52" s="74">
        <v>-1991</v>
      </c>
    </row>
  </sheetData>
  <conditionalFormatting sqref="D1:D1048576">
    <cfRule type="cellIs" dxfId="27"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S17"/>
  <sheetViews>
    <sheetView workbookViewId="0"/>
  </sheetViews>
  <sheetFormatPr defaultRowHeight="11.25" x14ac:dyDescent="0.2"/>
  <cols>
    <col min="1" max="1" width="22.570312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11" width="6.28515625" style="309" customWidth="1"/>
    <col min="12" max="12" width="6.7109375" style="317" customWidth="1"/>
    <col min="13" max="17" width="6.28515625" style="309" customWidth="1"/>
    <col min="18" max="18" width="6.7109375" style="317" customWidth="1"/>
    <col min="19" max="19" width="6.7109375" style="309" customWidth="1"/>
    <col min="20" max="16384" width="9.140625" style="301"/>
  </cols>
  <sheetData>
    <row r="1" spans="1:19" ht="15.75" x14ac:dyDescent="0.2">
      <c r="A1" s="336" t="s">
        <v>3982</v>
      </c>
      <c r="B1" s="337"/>
      <c r="C1" s="338"/>
      <c r="D1" s="337"/>
      <c r="E1" s="339"/>
      <c r="F1" s="348"/>
      <c r="G1" s="340"/>
      <c r="H1" s="340"/>
      <c r="I1" s="340"/>
      <c r="J1" s="340"/>
      <c r="K1" s="340"/>
      <c r="L1" s="340"/>
      <c r="M1" s="340"/>
      <c r="N1" s="340"/>
      <c r="O1" s="340"/>
      <c r="P1" s="340"/>
      <c r="Q1" s="340"/>
      <c r="R1" s="340"/>
      <c r="S1" s="340"/>
    </row>
    <row r="2" spans="1:19" ht="12.75" x14ac:dyDescent="0.2">
      <c r="A2" s="341" t="s">
        <v>3998</v>
      </c>
      <c r="B2" s="337"/>
      <c r="C2" s="338"/>
      <c r="D2" s="337"/>
      <c r="E2" s="339"/>
      <c r="F2" s="348"/>
      <c r="G2" s="340"/>
      <c r="H2" s="340"/>
      <c r="I2" s="340"/>
      <c r="J2" s="340"/>
      <c r="K2" s="340"/>
      <c r="L2" s="340"/>
      <c r="M2" s="340"/>
      <c r="N2" s="340"/>
      <c r="O2" s="340"/>
      <c r="P2" s="340"/>
      <c r="Q2" s="340"/>
      <c r="R2" s="340"/>
      <c r="S2" s="340"/>
    </row>
    <row r="3" spans="1:19" ht="12.75" x14ac:dyDescent="0.2">
      <c r="A3" s="341"/>
      <c r="B3" s="337"/>
      <c r="C3" s="338"/>
      <c r="D3" s="337"/>
      <c r="E3" s="339"/>
      <c r="F3" s="348"/>
      <c r="G3" s="340"/>
      <c r="H3" s="340"/>
      <c r="I3" s="340"/>
      <c r="J3" s="340"/>
      <c r="K3" s="340"/>
      <c r="L3" s="340"/>
      <c r="M3" s="340"/>
      <c r="N3" s="340"/>
      <c r="O3" s="340"/>
      <c r="P3" s="340"/>
      <c r="Q3" s="340"/>
      <c r="R3" s="340"/>
      <c r="S3" s="340"/>
    </row>
    <row r="4" spans="1:19" s="310" customFormat="1" ht="12.75" customHeight="1" x14ac:dyDescent="0.2">
      <c r="A4" s="842" t="s">
        <v>185</v>
      </c>
      <c r="B4" s="843" t="s">
        <v>3938</v>
      </c>
      <c r="C4" s="844" t="s">
        <v>2848</v>
      </c>
      <c r="D4" s="843" t="s">
        <v>3973</v>
      </c>
      <c r="E4" s="842" t="s">
        <v>3970</v>
      </c>
      <c r="F4" s="845" t="s">
        <v>13</v>
      </c>
      <c r="G4" s="838" t="s">
        <v>168</v>
      </c>
      <c r="H4" s="839"/>
      <c r="I4" s="839"/>
      <c r="J4" s="839"/>
      <c r="K4" s="839"/>
      <c r="L4" s="839"/>
      <c r="M4" s="839"/>
      <c r="N4" s="839"/>
      <c r="O4" s="839"/>
      <c r="P4" s="839"/>
      <c r="Q4" s="839"/>
      <c r="R4" s="839"/>
      <c r="S4" s="839"/>
    </row>
    <row r="5" spans="1:19" s="339" customFormat="1" ht="12" customHeight="1" x14ac:dyDescent="0.2">
      <c r="A5" s="842"/>
      <c r="B5" s="843"/>
      <c r="C5" s="844"/>
      <c r="D5" s="843"/>
      <c r="E5" s="842"/>
      <c r="F5" s="845"/>
      <c r="G5" s="838" t="s">
        <v>90</v>
      </c>
      <c r="H5" s="839"/>
      <c r="I5" s="839"/>
      <c r="J5" s="839"/>
      <c r="K5" s="839"/>
      <c r="L5" s="839"/>
      <c r="M5" s="838" t="s">
        <v>91</v>
      </c>
      <c r="N5" s="839"/>
      <c r="O5" s="839"/>
      <c r="P5" s="839"/>
      <c r="Q5" s="839"/>
      <c r="R5" s="840"/>
      <c r="S5" s="841" t="s">
        <v>93</v>
      </c>
    </row>
    <row r="6" spans="1:19" s="344" customFormat="1" ht="12.75" customHeight="1" x14ac:dyDescent="0.2">
      <c r="A6" s="842"/>
      <c r="B6" s="843"/>
      <c r="C6" s="844"/>
      <c r="D6" s="843"/>
      <c r="E6" s="842"/>
      <c r="F6" s="845"/>
      <c r="G6" s="350" t="s">
        <v>135</v>
      </c>
      <c r="H6" s="350" t="s">
        <v>136</v>
      </c>
      <c r="I6" s="350" t="s">
        <v>137</v>
      </c>
      <c r="J6" s="350" t="s">
        <v>138</v>
      </c>
      <c r="K6" s="350" t="s">
        <v>139</v>
      </c>
      <c r="L6" s="539" t="s">
        <v>95</v>
      </c>
      <c r="M6" s="350" t="s">
        <v>135</v>
      </c>
      <c r="N6" s="350" t="s">
        <v>136</v>
      </c>
      <c r="O6" s="350" t="s">
        <v>137</v>
      </c>
      <c r="P6" s="350" t="s">
        <v>138</v>
      </c>
      <c r="Q6" s="350" t="s">
        <v>139</v>
      </c>
      <c r="R6" s="539" t="s">
        <v>95</v>
      </c>
      <c r="S6" s="841"/>
    </row>
    <row r="7" spans="1:19" x14ac:dyDescent="0.2">
      <c r="A7" s="344" t="s">
        <v>1624</v>
      </c>
      <c r="B7" s="342" t="s">
        <v>150</v>
      </c>
      <c r="C7" s="343" t="s">
        <v>1625</v>
      </c>
      <c r="D7" s="342" t="s">
        <v>153</v>
      </c>
      <c r="E7" s="344" t="s">
        <v>3798</v>
      </c>
      <c r="F7" s="345">
        <v>42947</v>
      </c>
      <c r="G7" s="346">
        <v>0</v>
      </c>
      <c r="H7" s="346">
        <v>0</v>
      </c>
      <c r="I7" s="346">
        <v>0</v>
      </c>
      <c r="J7" s="346">
        <v>0</v>
      </c>
      <c r="K7" s="346">
        <v>0</v>
      </c>
      <c r="L7" s="347">
        <v>0</v>
      </c>
      <c r="M7" s="346">
        <v>0</v>
      </c>
      <c r="N7" s="346">
        <v>0</v>
      </c>
      <c r="O7" s="346">
        <v>9</v>
      </c>
      <c r="P7" s="346">
        <v>0</v>
      </c>
      <c r="Q7" s="346">
        <v>0</v>
      </c>
      <c r="R7" s="347">
        <v>9</v>
      </c>
      <c r="S7" s="346">
        <v>-9</v>
      </c>
    </row>
    <row r="8" spans="1:19" x14ac:dyDescent="0.2">
      <c r="A8" s="305" t="s">
        <v>2161</v>
      </c>
      <c r="B8" s="306" t="s">
        <v>3946</v>
      </c>
      <c r="C8" s="307" t="s">
        <v>2162</v>
      </c>
      <c r="D8" s="306" t="s">
        <v>153</v>
      </c>
      <c r="E8" s="305" t="s">
        <v>3798</v>
      </c>
      <c r="F8" s="335">
        <v>43026</v>
      </c>
      <c r="G8" s="309">
        <v>0</v>
      </c>
      <c r="H8" s="309">
        <v>0</v>
      </c>
      <c r="I8" s="309">
        <v>0</v>
      </c>
      <c r="J8" s="309">
        <v>0</v>
      </c>
      <c r="K8" s="309">
        <v>0</v>
      </c>
      <c r="L8" s="317">
        <v>0</v>
      </c>
      <c r="M8" s="309">
        <v>90</v>
      </c>
      <c r="N8" s="309">
        <v>0</v>
      </c>
      <c r="O8" s="309">
        <v>0</v>
      </c>
      <c r="P8" s="309">
        <v>0</v>
      </c>
      <c r="Q8" s="309">
        <v>0</v>
      </c>
      <c r="R8" s="317">
        <v>90</v>
      </c>
      <c r="S8" s="309">
        <v>-90</v>
      </c>
    </row>
    <row r="9" spans="1:19" ht="22.5" x14ac:dyDescent="0.2">
      <c r="A9" s="305" t="s">
        <v>2500</v>
      </c>
      <c r="B9" s="306" t="s">
        <v>3948</v>
      </c>
      <c r="C9" s="307" t="s">
        <v>2501</v>
      </c>
      <c r="D9" s="306" t="s">
        <v>153</v>
      </c>
      <c r="E9" s="305" t="s">
        <v>422</v>
      </c>
      <c r="F9" s="335">
        <v>42996</v>
      </c>
      <c r="G9" s="309">
        <v>0</v>
      </c>
      <c r="H9" s="309">
        <v>0</v>
      </c>
      <c r="I9" s="309">
        <v>59</v>
      </c>
      <c r="J9" s="309">
        <v>0</v>
      </c>
      <c r="K9" s="309">
        <v>0</v>
      </c>
      <c r="L9" s="317">
        <v>59</v>
      </c>
      <c r="M9" s="309">
        <v>59</v>
      </c>
      <c r="N9" s="309">
        <v>0</v>
      </c>
      <c r="O9" s="309">
        <v>0</v>
      </c>
      <c r="P9" s="309">
        <v>0</v>
      </c>
      <c r="Q9" s="309">
        <v>0</v>
      </c>
      <c r="R9" s="317">
        <v>59</v>
      </c>
      <c r="S9" s="309">
        <v>0</v>
      </c>
    </row>
    <row r="10" spans="1:19" ht="56.25" x14ac:dyDescent="0.2">
      <c r="A10" s="305" t="s">
        <v>1514</v>
      </c>
      <c r="B10" s="306" t="s">
        <v>3947</v>
      </c>
      <c r="C10" s="307" t="s">
        <v>558</v>
      </c>
      <c r="D10" s="306" t="s">
        <v>153</v>
      </c>
      <c r="E10" s="305" t="s">
        <v>3798</v>
      </c>
      <c r="F10" s="335">
        <v>42465</v>
      </c>
      <c r="G10" s="309">
        <v>0</v>
      </c>
      <c r="H10" s="309">
        <v>0</v>
      </c>
      <c r="I10" s="309">
        <v>0</v>
      </c>
      <c r="J10" s="309">
        <v>0</v>
      </c>
      <c r="K10" s="309">
        <v>0</v>
      </c>
      <c r="L10" s="317">
        <v>0</v>
      </c>
      <c r="M10" s="309">
        <v>0</v>
      </c>
      <c r="N10" s="309">
        <v>594</v>
      </c>
      <c r="O10" s="309">
        <v>0</v>
      </c>
      <c r="P10" s="309">
        <v>0</v>
      </c>
      <c r="Q10" s="309">
        <v>0</v>
      </c>
      <c r="R10" s="317">
        <v>594</v>
      </c>
      <c r="S10" s="309">
        <v>-594</v>
      </c>
    </row>
    <row r="11" spans="1:19" x14ac:dyDescent="0.2">
      <c r="C11" s="307" t="s">
        <v>1515</v>
      </c>
      <c r="D11" s="306" t="s">
        <v>153</v>
      </c>
      <c r="E11" s="305" t="s">
        <v>3798</v>
      </c>
      <c r="F11" s="335">
        <v>43031</v>
      </c>
      <c r="G11" s="309">
        <v>0</v>
      </c>
      <c r="H11" s="309">
        <v>561</v>
      </c>
      <c r="I11" s="309">
        <v>0</v>
      </c>
      <c r="J11" s="309">
        <v>0</v>
      </c>
      <c r="K11" s="309">
        <v>0</v>
      </c>
      <c r="L11" s="317">
        <v>561</v>
      </c>
      <c r="M11" s="309">
        <v>0</v>
      </c>
      <c r="N11" s="309">
        <v>0</v>
      </c>
      <c r="O11" s="309">
        <v>0</v>
      </c>
      <c r="P11" s="309">
        <v>0</v>
      </c>
      <c r="Q11" s="309">
        <v>0</v>
      </c>
      <c r="R11" s="317">
        <v>0</v>
      </c>
      <c r="S11" s="309">
        <v>561</v>
      </c>
    </row>
    <row r="12" spans="1:19" ht="22.5" x14ac:dyDescent="0.2">
      <c r="A12" s="305" t="s">
        <v>2808</v>
      </c>
      <c r="B12" s="306" t="s">
        <v>3943</v>
      </c>
      <c r="C12" s="307" t="s">
        <v>2809</v>
      </c>
      <c r="D12" s="306" t="s">
        <v>2814</v>
      </c>
      <c r="E12" s="305" t="s">
        <v>3798</v>
      </c>
      <c r="F12" s="335">
        <v>42681</v>
      </c>
      <c r="G12" s="309">
        <v>28</v>
      </c>
      <c r="H12" s="309">
        <v>0</v>
      </c>
      <c r="I12" s="309">
        <v>0</v>
      </c>
      <c r="J12" s="309">
        <v>0</v>
      </c>
      <c r="K12" s="309">
        <v>28</v>
      </c>
      <c r="L12" s="317">
        <v>56</v>
      </c>
      <c r="M12" s="309">
        <v>0</v>
      </c>
      <c r="N12" s="309">
        <v>0</v>
      </c>
      <c r="O12" s="309">
        <v>0</v>
      </c>
      <c r="P12" s="309">
        <v>0</v>
      </c>
      <c r="Q12" s="309">
        <v>0</v>
      </c>
      <c r="R12" s="317">
        <v>0</v>
      </c>
      <c r="S12" s="309">
        <v>56</v>
      </c>
    </row>
    <row r="13" spans="1:19" x14ac:dyDescent="0.2">
      <c r="D13" s="306" t="s">
        <v>2815</v>
      </c>
      <c r="E13" s="305" t="s">
        <v>3798</v>
      </c>
      <c r="F13" s="335">
        <v>42681</v>
      </c>
      <c r="G13" s="309">
        <v>37</v>
      </c>
      <c r="H13" s="309">
        <v>0</v>
      </c>
      <c r="I13" s="309">
        <v>37</v>
      </c>
      <c r="J13" s="309">
        <v>36</v>
      </c>
      <c r="K13" s="309">
        <v>0</v>
      </c>
      <c r="L13" s="317">
        <v>110</v>
      </c>
      <c r="M13" s="309">
        <v>0</v>
      </c>
      <c r="N13" s="309">
        <v>0</v>
      </c>
      <c r="O13" s="309">
        <v>0</v>
      </c>
      <c r="P13" s="309">
        <v>0</v>
      </c>
      <c r="Q13" s="309">
        <v>0</v>
      </c>
      <c r="R13" s="317">
        <v>0</v>
      </c>
      <c r="S13" s="309">
        <v>110</v>
      </c>
    </row>
    <row r="14" spans="1:19" x14ac:dyDescent="0.2">
      <c r="C14" s="307" t="s">
        <v>2816</v>
      </c>
      <c r="D14" s="306" t="s">
        <v>2818</v>
      </c>
      <c r="E14" s="305" t="s">
        <v>3798</v>
      </c>
      <c r="F14" s="335">
        <v>42997</v>
      </c>
      <c r="G14" s="309">
        <v>24</v>
      </c>
      <c r="H14" s="309">
        <v>0</v>
      </c>
      <c r="I14" s="309">
        <v>0</v>
      </c>
      <c r="J14" s="309">
        <v>25</v>
      </c>
      <c r="K14" s="309">
        <v>24</v>
      </c>
      <c r="L14" s="317">
        <v>73</v>
      </c>
      <c r="M14" s="309">
        <v>0</v>
      </c>
      <c r="N14" s="309">
        <v>0</v>
      </c>
      <c r="O14" s="309">
        <v>0</v>
      </c>
      <c r="P14" s="309">
        <v>0</v>
      </c>
      <c r="Q14" s="309">
        <v>0</v>
      </c>
      <c r="R14" s="317">
        <v>0</v>
      </c>
      <c r="S14" s="309">
        <v>73</v>
      </c>
    </row>
    <row r="15" spans="1:19" ht="22.5" x14ac:dyDescent="0.2">
      <c r="A15" s="305" t="s">
        <v>1803</v>
      </c>
      <c r="B15" s="306" t="s">
        <v>150</v>
      </c>
      <c r="C15" s="307" t="s">
        <v>1804</v>
      </c>
      <c r="D15" s="306" t="s">
        <v>153</v>
      </c>
      <c r="E15" s="305" t="s">
        <v>3798</v>
      </c>
      <c r="F15" s="335">
        <v>43066</v>
      </c>
      <c r="G15" s="309">
        <v>0</v>
      </c>
      <c r="H15" s="309">
        <v>0</v>
      </c>
      <c r="I15" s="309">
        <v>0</v>
      </c>
      <c r="J15" s="309">
        <v>135</v>
      </c>
      <c r="K15" s="309">
        <v>0</v>
      </c>
      <c r="L15" s="317">
        <v>135</v>
      </c>
      <c r="M15" s="309">
        <v>0</v>
      </c>
      <c r="N15" s="309">
        <v>0</v>
      </c>
      <c r="O15" s="309">
        <v>0</v>
      </c>
      <c r="P15" s="309">
        <v>0</v>
      </c>
      <c r="Q15" s="309">
        <v>0</v>
      </c>
      <c r="R15" s="317">
        <v>0</v>
      </c>
      <c r="S15" s="309">
        <v>135</v>
      </c>
    </row>
    <row r="16" spans="1:19" ht="22.5" x14ac:dyDescent="0.2">
      <c r="A16" s="305" t="s">
        <v>2497</v>
      </c>
      <c r="B16" s="306" t="s">
        <v>3943</v>
      </c>
      <c r="C16" s="307" t="s">
        <v>2498</v>
      </c>
      <c r="D16" s="306" t="s">
        <v>153</v>
      </c>
      <c r="E16" s="305" t="s">
        <v>422</v>
      </c>
      <c r="F16" s="335">
        <v>42912</v>
      </c>
      <c r="G16" s="309">
        <v>0</v>
      </c>
      <c r="H16" s="309">
        <v>0</v>
      </c>
      <c r="I16" s="309">
        <v>0</v>
      </c>
      <c r="J16" s="309">
        <v>0</v>
      </c>
      <c r="K16" s="309">
        <v>0</v>
      </c>
      <c r="L16" s="317">
        <v>0</v>
      </c>
      <c r="M16" s="309">
        <v>70</v>
      </c>
      <c r="N16" s="309">
        <v>0</v>
      </c>
      <c r="O16" s="309">
        <v>0</v>
      </c>
      <c r="P16" s="309">
        <v>0</v>
      </c>
      <c r="Q16" s="309">
        <v>0</v>
      </c>
      <c r="R16" s="317">
        <v>70</v>
      </c>
      <c r="S16" s="309">
        <v>-70</v>
      </c>
    </row>
    <row r="17" spans="1:19" x14ac:dyDescent="0.2">
      <c r="A17" s="328" t="s">
        <v>95</v>
      </c>
      <c r="B17" s="329"/>
      <c r="C17" s="330"/>
      <c r="D17" s="329"/>
      <c r="E17" s="328"/>
      <c r="F17" s="349"/>
      <c r="G17" s="333">
        <v>89</v>
      </c>
      <c r="H17" s="333">
        <v>561</v>
      </c>
      <c r="I17" s="333">
        <v>96</v>
      </c>
      <c r="J17" s="333">
        <v>196</v>
      </c>
      <c r="K17" s="333">
        <v>52</v>
      </c>
      <c r="L17" s="334">
        <v>994</v>
      </c>
      <c r="M17" s="333">
        <v>219</v>
      </c>
      <c r="N17" s="333">
        <v>594</v>
      </c>
      <c r="O17" s="333">
        <v>9</v>
      </c>
      <c r="P17" s="333">
        <v>0</v>
      </c>
      <c r="Q17" s="333">
        <v>0</v>
      </c>
      <c r="R17" s="334">
        <v>822</v>
      </c>
      <c r="S17" s="333">
        <v>172</v>
      </c>
    </row>
  </sheetData>
  <mergeCells count="10">
    <mergeCell ref="G4:S4"/>
    <mergeCell ref="G5:L5"/>
    <mergeCell ref="M5:R5"/>
    <mergeCell ref="S5:S6"/>
    <mergeCell ref="A4:A6"/>
    <mergeCell ref="B4:B6"/>
    <mergeCell ref="C4:C6"/>
    <mergeCell ref="D4:D6"/>
    <mergeCell ref="E4:E6"/>
    <mergeCell ref="F4:F6"/>
  </mergeCells>
  <conditionalFormatting sqref="D1:D1048576 F1:F1048576">
    <cfRule type="cellIs" dxfId="25" priority="2"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S16"/>
  <sheetViews>
    <sheetView workbookViewId="0"/>
  </sheetViews>
  <sheetFormatPr defaultRowHeight="12" x14ac:dyDescent="0.2"/>
  <cols>
    <col min="1" max="1" width="107.42578125" bestFit="1" customWidth="1"/>
    <col min="2" max="4" width="14.42578125" bestFit="1" customWidth="1"/>
    <col min="5" max="5" width="13.42578125" bestFit="1" customWidth="1"/>
    <col min="6" max="6" width="14.42578125" bestFit="1" customWidth="1"/>
    <col min="7" max="11" width="13.42578125" customWidth="1"/>
    <col min="12" max="12" width="16.85546875" customWidth="1"/>
    <col min="13" max="17" width="13.85546875" customWidth="1"/>
    <col min="18" max="18" width="17.42578125" customWidth="1"/>
    <col min="19" max="19" width="16" bestFit="1" customWidth="1"/>
  </cols>
  <sheetData>
    <row r="1" spans="1:19" x14ac:dyDescent="0.2">
      <c r="A1" s="77" t="s">
        <v>2939</v>
      </c>
      <c r="B1" s="446" t="s">
        <v>429</v>
      </c>
    </row>
    <row r="2" spans="1:19" x14ac:dyDescent="0.2">
      <c r="A2" s="77" t="s">
        <v>2940</v>
      </c>
      <c r="B2" s="446" t="s">
        <v>429</v>
      </c>
    </row>
    <row r="3" spans="1:19" x14ac:dyDescent="0.2">
      <c r="A3" s="77" t="s">
        <v>3967</v>
      </c>
      <c r="B3" s="446" t="s">
        <v>126</v>
      </c>
    </row>
    <row r="5" spans="1:19" x14ac:dyDescent="0.2">
      <c r="A5" s="77" t="s">
        <v>185</v>
      </c>
      <c r="B5" s="77" t="s">
        <v>3938</v>
      </c>
      <c r="C5" s="77" t="s">
        <v>2848</v>
      </c>
      <c r="D5" s="77" t="s">
        <v>2844</v>
      </c>
      <c r="E5" s="77" t="s">
        <v>3966</v>
      </c>
      <c r="F5" s="77" t="s">
        <v>13</v>
      </c>
      <c r="G5" s="446" t="s">
        <v>3822</v>
      </c>
      <c r="H5" s="446" t="s">
        <v>3823</v>
      </c>
      <c r="I5" s="446" t="s">
        <v>3824</v>
      </c>
      <c r="J5" s="446" t="s">
        <v>3825</v>
      </c>
      <c r="K5" s="446" t="s">
        <v>3826</v>
      </c>
      <c r="L5" s="446" t="s">
        <v>3827</v>
      </c>
      <c r="M5" s="446" t="s">
        <v>3975</v>
      </c>
      <c r="N5" s="446" t="s">
        <v>3976</v>
      </c>
      <c r="O5" s="446" t="s">
        <v>3977</v>
      </c>
      <c r="P5" s="446" t="s">
        <v>3978</v>
      </c>
      <c r="Q5" s="446" t="s">
        <v>3979</v>
      </c>
      <c r="R5" s="446" t="s">
        <v>3980</v>
      </c>
      <c r="S5" s="446" t="s">
        <v>3981</v>
      </c>
    </row>
    <row r="6" spans="1:19" x14ac:dyDescent="0.2">
      <c r="A6" s="446" t="s">
        <v>1624</v>
      </c>
      <c r="B6" s="446" t="s">
        <v>150</v>
      </c>
      <c r="C6" s="446" t="s">
        <v>1625</v>
      </c>
      <c r="D6" s="446" t="s">
        <v>153</v>
      </c>
      <c r="E6" s="446" t="s">
        <v>3798</v>
      </c>
      <c r="F6" s="298">
        <v>42947</v>
      </c>
      <c r="G6" s="297">
        <v>0</v>
      </c>
      <c r="H6" s="297">
        <v>0</v>
      </c>
      <c r="I6" s="297">
        <v>0</v>
      </c>
      <c r="J6" s="297">
        <v>0</v>
      </c>
      <c r="K6" s="297">
        <v>0</v>
      </c>
      <c r="L6" s="297">
        <v>0</v>
      </c>
      <c r="M6" s="297">
        <v>0</v>
      </c>
      <c r="N6" s="297">
        <v>0</v>
      </c>
      <c r="O6" s="297">
        <v>9</v>
      </c>
      <c r="P6" s="297">
        <v>0</v>
      </c>
      <c r="Q6" s="297">
        <v>0</v>
      </c>
      <c r="R6" s="297">
        <v>9</v>
      </c>
      <c r="S6" s="297">
        <v>-9</v>
      </c>
    </row>
    <row r="7" spans="1:19" x14ac:dyDescent="0.2">
      <c r="A7" s="446" t="s">
        <v>2161</v>
      </c>
      <c r="B7" s="446" t="s">
        <v>3946</v>
      </c>
      <c r="C7" s="446" t="s">
        <v>2162</v>
      </c>
      <c r="D7" s="446" t="s">
        <v>153</v>
      </c>
      <c r="E7" s="446" t="s">
        <v>3798</v>
      </c>
      <c r="F7" s="298">
        <v>43026</v>
      </c>
      <c r="G7" s="297">
        <v>0</v>
      </c>
      <c r="H7" s="297">
        <v>0</v>
      </c>
      <c r="I7" s="297">
        <v>0</v>
      </c>
      <c r="J7" s="297">
        <v>0</v>
      </c>
      <c r="K7" s="297">
        <v>0</v>
      </c>
      <c r="L7" s="297">
        <v>0</v>
      </c>
      <c r="M7" s="297">
        <v>90</v>
      </c>
      <c r="N7" s="297">
        <v>0</v>
      </c>
      <c r="O7" s="297">
        <v>0</v>
      </c>
      <c r="P7" s="297">
        <v>0</v>
      </c>
      <c r="Q7" s="297">
        <v>0</v>
      </c>
      <c r="R7" s="297">
        <v>90</v>
      </c>
      <c r="S7" s="297">
        <v>-90</v>
      </c>
    </row>
    <row r="8" spans="1:19" x14ac:dyDescent="0.2">
      <c r="A8" s="446" t="s">
        <v>2500</v>
      </c>
      <c r="B8" s="446" t="s">
        <v>3948</v>
      </c>
      <c r="C8" s="446" t="s">
        <v>2501</v>
      </c>
      <c r="D8" s="446" t="s">
        <v>153</v>
      </c>
      <c r="E8" s="446" t="s">
        <v>422</v>
      </c>
      <c r="F8" s="298">
        <v>42996</v>
      </c>
      <c r="G8" s="297">
        <v>0</v>
      </c>
      <c r="H8" s="297">
        <v>0</v>
      </c>
      <c r="I8" s="297">
        <v>59</v>
      </c>
      <c r="J8" s="297">
        <v>0</v>
      </c>
      <c r="K8" s="297">
        <v>0</v>
      </c>
      <c r="L8" s="297">
        <v>59</v>
      </c>
      <c r="M8" s="297">
        <v>59</v>
      </c>
      <c r="N8" s="297">
        <v>0</v>
      </c>
      <c r="O8" s="297">
        <v>0</v>
      </c>
      <c r="P8" s="297">
        <v>0</v>
      </c>
      <c r="Q8" s="297">
        <v>0</v>
      </c>
      <c r="R8" s="297">
        <v>59</v>
      </c>
      <c r="S8" s="297">
        <v>0</v>
      </c>
    </row>
    <row r="9" spans="1:19" x14ac:dyDescent="0.2">
      <c r="A9" s="446" t="s">
        <v>1514</v>
      </c>
      <c r="B9" s="446" t="s">
        <v>3947</v>
      </c>
      <c r="C9" s="446" t="s">
        <v>558</v>
      </c>
      <c r="D9" s="446" t="s">
        <v>153</v>
      </c>
      <c r="E9" s="446" t="s">
        <v>3798</v>
      </c>
      <c r="F9" s="298">
        <v>42465</v>
      </c>
      <c r="G9" s="297">
        <v>0</v>
      </c>
      <c r="H9" s="297">
        <v>0</v>
      </c>
      <c r="I9" s="297">
        <v>0</v>
      </c>
      <c r="J9" s="297">
        <v>0</v>
      </c>
      <c r="K9" s="297">
        <v>0</v>
      </c>
      <c r="L9" s="297">
        <v>0</v>
      </c>
      <c r="M9" s="297">
        <v>0</v>
      </c>
      <c r="N9" s="297">
        <v>594</v>
      </c>
      <c r="O9" s="297">
        <v>0</v>
      </c>
      <c r="P9" s="297">
        <v>0</v>
      </c>
      <c r="Q9" s="297">
        <v>0</v>
      </c>
      <c r="R9" s="297">
        <v>594</v>
      </c>
      <c r="S9" s="297">
        <v>-594</v>
      </c>
    </row>
    <row r="10" spans="1:19" x14ac:dyDescent="0.2">
      <c r="C10" s="446" t="s">
        <v>1515</v>
      </c>
      <c r="D10" s="446" t="s">
        <v>153</v>
      </c>
      <c r="E10" s="446" t="s">
        <v>3798</v>
      </c>
      <c r="F10" s="298">
        <v>43031</v>
      </c>
      <c r="G10" s="297">
        <v>0</v>
      </c>
      <c r="H10" s="297">
        <v>561</v>
      </c>
      <c r="I10" s="297">
        <v>0</v>
      </c>
      <c r="J10" s="297">
        <v>0</v>
      </c>
      <c r="K10" s="297">
        <v>0</v>
      </c>
      <c r="L10" s="297">
        <v>561</v>
      </c>
      <c r="M10" s="297">
        <v>0</v>
      </c>
      <c r="N10" s="297">
        <v>0</v>
      </c>
      <c r="O10" s="297">
        <v>0</v>
      </c>
      <c r="P10" s="297">
        <v>0</v>
      </c>
      <c r="Q10" s="297">
        <v>0</v>
      </c>
      <c r="R10" s="297">
        <v>0</v>
      </c>
      <c r="S10" s="297">
        <v>561</v>
      </c>
    </row>
    <row r="11" spans="1:19" x14ac:dyDescent="0.2">
      <c r="A11" s="446" t="s">
        <v>2808</v>
      </c>
      <c r="B11" s="446" t="s">
        <v>3943</v>
      </c>
      <c r="C11" s="446" t="s">
        <v>2809</v>
      </c>
      <c r="D11" s="446" t="s">
        <v>2814</v>
      </c>
      <c r="E11" s="446" t="s">
        <v>3798</v>
      </c>
      <c r="F11" s="298">
        <v>42681</v>
      </c>
      <c r="G11" s="297">
        <v>28</v>
      </c>
      <c r="H11" s="297">
        <v>0</v>
      </c>
      <c r="I11" s="297">
        <v>0</v>
      </c>
      <c r="J11" s="297">
        <v>0</v>
      </c>
      <c r="K11" s="297">
        <v>28</v>
      </c>
      <c r="L11" s="297">
        <v>56</v>
      </c>
      <c r="M11" s="297">
        <v>0</v>
      </c>
      <c r="N11" s="297">
        <v>0</v>
      </c>
      <c r="O11" s="297">
        <v>0</v>
      </c>
      <c r="P11" s="297">
        <v>0</v>
      </c>
      <c r="Q11" s="297">
        <v>0</v>
      </c>
      <c r="R11" s="297">
        <v>0</v>
      </c>
      <c r="S11" s="297">
        <v>56</v>
      </c>
    </row>
    <row r="12" spans="1:19" x14ac:dyDescent="0.2">
      <c r="D12" s="446" t="s">
        <v>2815</v>
      </c>
      <c r="E12" s="446" t="s">
        <v>3798</v>
      </c>
      <c r="F12" s="298">
        <v>42681</v>
      </c>
      <c r="G12" s="297">
        <v>37</v>
      </c>
      <c r="H12" s="297">
        <v>0</v>
      </c>
      <c r="I12" s="297">
        <v>37</v>
      </c>
      <c r="J12" s="297">
        <v>36</v>
      </c>
      <c r="K12" s="297">
        <v>0</v>
      </c>
      <c r="L12" s="297">
        <v>110</v>
      </c>
      <c r="M12" s="297">
        <v>0</v>
      </c>
      <c r="N12" s="297">
        <v>0</v>
      </c>
      <c r="O12" s="297">
        <v>0</v>
      </c>
      <c r="P12" s="297">
        <v>0</v>
      </c>
      <c r="Q12" s="297">
        <v>0</v>
      </c>
      <c r="R12" s="297">
        <v>0</v>
      </c>
      <c r="S12" s="297">
        <v>110</v>
      </c>
    </row>
    <row r="13" spans="1:19" x14ac:dyDescent="0.2">
      <c r="C13" s="446" t="s">
        <v>2816</v>
      </c>
      <c r="D13" s="446" t="s">
        <v>2818</v>
      </c>
      <c r="E13" s="446" t="s">
        <v>3798</v>
      </c>
      <c r="F13" s="298">
        <v>42997</v>
      </c>
      <c r="G13" s="297">
        <v>24</v>
      </c>
      <c r="H13" s="297">
        <v>0</v>
      </c>
      <c r="I13" s="297">
        <v>0</v>
      </c>
      <c r="J13" s="297">
        <v>25</v>
      </c>
      <c r="K13" s="297">
        <v>24</v>
      </c>
      <c r="L13" s="297">
        <v>73</v>
      </c>
      <c r="M13" s="297">
        <v>0</v>
      </c>
      <c r="N13" s="297">
        <v>0</v>
      </c>
      <c r="O13" s="297">
        <v>0</v>
      </c>
      <c r="P13" s="297">
        <v>0</v>
      </c>
      <c r="Q13" s="297">
        <v>0</v>
      </c>
      <c r="R13" s="297">
        <v>0</v>
      </c>
      <c r="S13" s="297">
        <v>73</v>
      </c>
    </row>
    <row r="14" spans="1:19" x14ac:dyDescent="0.2">
      <c r="A14" s="446" t="s">
        <v>1803</v>
      </c>
      <c r="B14" s="446" t="s">
        <v>150</v>
      </c>
      <c r="C14" s="446" t="s">
        <v>1804</v>
      </c>
      <c r="D14" s="446" t="s">
        <v>153</v>
      </c>
      <c r="E14" s="446" t="s">
        <v>3798</v>
      </c>
      <c r="F14" s="298">
        <v>43066</v>
      </c>
      <c r="G14" s="297">
        <v>0</v>
      </c>
      <c r="H14" s="297">
        <v>0</v>
      </c>
      <c r="I14" s="297">
        <v>0</v>
      </c>
      <c r="J14" s="297">
        <v>135</v>
      </c>
      <c r="K14" s="297">
        <v>0</v>
      </c>
      <c r="L14" s="297">
        <v>135</v>
      </c>
      <c r="M14" s="297">
        <v>0</v>
      </c>
      <c r="N14" s="297">
        <v>0</v>
      </c>
      <c r="O14" s="297">
        <v>0</v>
      </c>
      <c r="P14" s="297">
        <v>0</v>
      </c>
      <c r="Q14" s="297">
        <v>0</v>
      </c>
      <c r="R14" s="297">
        <v>0</v>
      </c>
      <c r="S14" s="297">
        <v>135</v>
      </c>
    </row>
    <row r="15" spans="1:19" x14ac:dyDescent="0.2">
      <c r="A15" s="446" t="s">
        <v>2497</v>
      </c>
      <c r="B15" s="446" t="s">
        <v>3943</v>
      </c>
      <c r="C15" s="446" t="s">
        <v>2498</v>
      </c>
      <c r="D15" s="446" t="s">
        <v>153</v>
      </c>
      <c r="E15" s="446" t="s">
        <v>422</v>
      </c>
      <c r="F15" s="298">
        <v>42912</v>
      </c>
      <c r="G15" s="297">
        <v>0</v>
      </c>
      <c r="H15" s="297">
        <v>0</v>
      </c>
      <c r="I15" s="297">
        <v>0</v>
      </c>
      <c r="J15" s="297">
        <v>0</v>
      </c>
      <c r="K15" s="297">
        <v>0</v>
      </c>
      <c r="L15" s="297">
        <v>0</v>
      </c>
      <c r="M15" s="297">
        <v>70</v>
      </c>
      <c r="N15" s="297">
        <v>0</v>
      </c>
      <c r="O15" s="297">
        <v>0</v>
      </c>
      <c r="P15" s="297">
        <v>0</v>
      </c>
      <c r="Q15" s="297">
        <v>0</v>
      </c>
      <c r="R15" s="297">
        <v>70</v>
      </c>
      <c r="S15" s="297">
        <v>-70</v>
      </c>
    </row>
    <row r="16" spans="1:19" x14ac:dyDescent="0.2">
      <c r="A16" s="446" t="s">
        <v>95</v>
      </c>
      <c r="G16" s="297">
        <v>89</v>
      </c>
      <c r="H16" s="297">
        <v>561</v>
      </c>
      <c r="I16" s="297">
        <v>96</v>
      </c>
      <c r="J16" s="297">
        <v>196</v>
      </c>
      <c r="K16" s="297">
        <v>52</v>
      </c>
      <c r="L16" s="297">
        <v>994</v>
      </c>
      <c r="M16" s="297">
        <v>219</v>
      </c>
      <c r="N16" s="297">
        <v>594</v>
      </c>
      <c r="O16" s="297">
        <v>9</v>
      </c>
      <c r="P16" s="297">
        <v>0</v>
      </c>
      <c r="Q16" s="297">
        <v>0</v>
      </c>
      <c r="R16" s="297">
        <v>822</v>
      </c>
      <c r="S16" s="297">
        <v>172</v>
      </c>
    </row>
  </sheetData>
  <pageMargins left="0.39370078740157483" right="0.39370078740157483" top="0.39370078740157483" bottom="0.39370078740157483" header="0.19685039370078741" footer="0.19685039370078741"/>
  <pageSetup paperSize="9" orientation="landscape" verticalDpi="0" r:id="rId2"/>
  <headerFooter>
    <oddFooter>&amp;C&amp;8&amp;P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46"/>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3896</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x14ac:dyDescent="0.2">
      <c r="A7" s="344" t="s">
        <v>1347</v>
      </c>
      <c r="B7" s="342" t="s">
        <v>3948</v>
      </c>
      <c r="C7" s="343" t="s">
        <v>1283</v>
      </c>
      <c r="D7" s="342" t="s">
        <v>153</v>
      </c>
      <c r="E7" s="344" t="s">
        <v>3798</v>
      </c>
      <c r="F7" s="345">
        <v>42850</v>
      </c>
      <c r="G7" s="346">
        <v>0</v>
      </c>
      <c r="H7" s="346">
        <v>90</v>
      </c>
      <c r="I7" s="347">
        <v>90</v>
      </c>
      <c r="J7" s="346">
        <v>0</v>
      </c>
      <c r="K7" s="346">
        <v>0</v>
      </c>
      <c r="L7" s="347">
        <v>0</v>
      </c>
      <c r="M7" s="346">
        <v>90</v>
      </c>
    </row>
    <row r="8" spans="1:13" s="319" customFormat="1" ht="22.5" x14ac:dyDescent="0.2">
      <c r="A8" s="321" t="s">
        <v>1329</v>
      </c>
      <c r="B8" s="322" t="s">
        <v>3943</v>
      </c>
      <c r="C8" s="323" t="s">
        <v>287</v>
      </c>
      <c r="D8" s="322" t="s">
        <v>153</v>
      </c>
      <c r="E8" s="321" t="s">
        <v>3798</v>
      </c>
      <c r="F8" s="352">
        <v>42167</v>
      </c>
      <c r="G8" s="326">
        <v>0</v>
      </c>
      <c r="H8" s="326">
        <v>194</v>
      </c>
      <c r="I8" s="327">
        <v>194</v>
      </c>
      <c r="J8" s="326">
        <v>0</v>
      </c>
      <c r="K8" s="326">
        <v>0</v>
      </c>
      <c r="L8" s="327">
        <v>0</v>
      </c>
      <c r="M8" s="326">
        <v>194</v>
      </c>
    </row>
    <row r="9" spans="1:13" x14ac:dyDescent="0.2">
      <c r="A9" s="305" t="s">
        <v>2323</v>
      </c>
      <c r="B9" s="306" t="s">
        <v>3944</v>
      </c>
      <c r="C9" s="307" t="s">
        <v>1184</v>
      </c>
      <c r="D9" s="306" t="s">
        <v>153</v>
      </c>
      <c r="E9" s="305" t="s">
        <v>3798</v>
      </c>
      <c r="F9" s="335">
        <v>42800</v>
      </c>
      <c r="G9" s="309">
        <v>0</v>
      </c>
      <c r="H9" s="309">
        <v>0</v>
      </c>
      <c r="I9" s="317">
        <v>0</v>
      </c>
      <c r="J9" s="309">
        <v>0</v>
      </c>
      <c r="K9" s="309">
        <v>192</v>
      </c>
      <c r="L9" s="317">
        <v>192</v>
      </c>
      <c r="M9" s="309">
        <v>-192</v>
      </c>
    </row>
    <row r="10" spans="1:13" x14ac:dyDescent="0.2">
      <c r="A10" s="305" t="s">
        <v>2589</v>
      </c>
      <c r="B10" s="306" t="s">
        <v>2904</v>
      </c>
      <c r="C10" s="307" t="s">
        <v>2590</v>
      </c>
      <c r="D10" s="306" t="s">
        <v>153</v>
      </c>
      <c r="E10" s="305" t="s">
        <v>3798</v>
      </c>
      <c r="F10" s="335">
        <v>43082</v>
      </c>
      <c r="G10" s="309">
        <v>17</v>
      </c>
      <c r="H10" s="309">
        <v>0</v>
      </c>
      <c r="I10" s="317">
        <v>17</v>
      </c>
      <c r="J10" s="309">
        <v>0</v>
      </c>
      <c r="K10" s="309">
        <v>0</v>
      </c>
      <c r="L10" s="317">
        <v>0</v>
      </c>
      <c r="M10" s="309">
        <v>17</v>
      </c>
    </row>
    <row r="11" spans="1:13" x14ac:dyDescent="0.2">
      <c r="A11" s="305" t="s">
        <v>2418</v>
      </c>
      <c r="B11" s="306" t="s">
        <v>3942</v>
      </c>
      <c r="C11" s="307" t="s">
        <v>2419</v>
      </c>
      <c r="D11" s="306" t="s">
        <v>153</v>
      </c>
      <c r="E11" s="305" t="s">
        <v>3798</v>
      </c>
      <c r="F11" s="335">
        <v>42870</v>
      </c>
      <c r="G11" s="309">
        <v>44</v>
      </c>
      <c r="H11" s="309">
        <v>44</v>
      </c>
      <c r="I11" s="317">
        <v>88</v>
      </c>
      <c r="J11" s="309">
        <v>0</v>
      </c>
      <c r="K11" s="309">
        <v>0</v>
      </c>
      <c r="L11" s="317">
        <v>0</v>
      </c>
      <c r="M11" s="309">
        <v>88</v>
      </c>
    </row>
    <row r="12" spans="1:13" x14ac:dyDescent="0.2">
      <c r="A12" s="305" t="s">
        <v>1615</v>
      </c>
      <c r="B12" s="306" t="s">
        <v>3951</v>
      </c>
      <c r="C12" s="307" t="s">
        <v>628</v>
      </c>
      <c r="D12" s="306" t="s">
        <v>153</v>
      </c>
      <c r="E12" s="305" t="s">
        <v>3798</v>
      </c>
      <c r="F12" s="335">
        <v>42471</v>
      </c>
      <c r="G12" s="309">
        <v>180</v>
      </c>
      <c r="H12" s="309">
        <v>0</v>
      </c>
      <c r="I12" s="317">
        <v>180</v>
      </c>
      <c r="J12" s="309">
        <v>0</v>
      </c>
      <c r="K12" s="309">
        <v>0</v>
      </c>
      <c r="L12" s="317">
        <v>0</v>
      </c>
      <c r="M12" s="309">
        <v>180</v>
      </c>
    </row>
    <row r="13" spans="1:13" x14ac:dyDescent="0.2">
      <c r="A13" s="305" t="s">
        <v>2088</v>
      </c>
      <c r="B13" s="306" t="s">
        <v>2904</v>
      </c>
      <c r="C13" s="307" t="s">
        <v>907</v>
      </c>
      <c r="D13" s="306" t="s">
        <v>153</v>
      </c>
      <c r="E13" s="305" t="s">
        <v>3798</v>
      </c>
      <c r="F13" s="335">
        <v>42587</v>
      </c>
      <c r="G13" s="309">
        <v>0</v>
      </c>
      <c r="H13" s="309">
        <v>0</v>
      </c>
      <c r="I13" s="317">
        <v>0</v>
      </c>
      <c r="J13" s="309">
        <v>86</v>
      </c>
      <c r="K13" s="309">
        <v>0</v>
      </c>
      <c r="L13" s="317">
        <v>86</v>
      </c>
      <c r="M13" s="309">
        <v>-86</v>
      </c>
    </row>
    <row r="14" spans="1:13" x14ac:dyDescent="0.2">
      <c r="A14" s="305" t="s">
        <v>2386</v>
      </c>
      <c r="B14" s="306" t="s">
        <v>149</v>
      </c>
      <c r="C14" s="307" t="s">
        <v>1222</v>
      </c>
      <c r="D14" s="306" t="s">
        <v>153</v>
      </c>
      <c r="E14" s="305" t="s">
        <v>3798</v>
      </c>
      <c r="F14" s="335">
        <v>42916</v>
      </c>
      <c r="G14" s="309">
        <v>78</v>
      </c>
      <c r="H14" s="309">
        <v>0</v>
      </c>
      <c r="I14" s="317">
        <v>78</v>
      </c>
      <c r="J14" s="309">
        <v>0</v>
      </c>
      <c r="K14" s="309">
        <v>0</v>
      </c>
      <c r="L14" s="317">
        <v>0</v>
      </c>
      <c r="M14" s="309">
        <v>78</v>
      </c>
    </row>
    <row r="15" spans="1:13" x14ac:dyDescent="0.2">
      <c r="A15" s="305" t="s">
        <v>1445</v>
      </c>
      <c r="B15" s="306" t="s">
        <v>3952</v>
      </c>
      <c r="C15" s="307" t="s">
        <v>1446</v>
      </c>
      <c r="D15" s="306" t="s">
        <v>153</v>
      </c>
      <c r="E15" s="305" t="s">
        <v>3798</v>
      </c>
      <c r="F15" s="335">
        <v>43185</v>
      </c>
      <c r="G15" s="309">
        <v>102</v>
      </c>
      <c r="H15" s="309">
        <v>0</v>
      </c>
      <c r="I15" s="317">
        <v>102</v>
      </c>
      <c r="J15" s="309">
        <v>0</v>
      </c>
      <c r="K15" s="309">
        <v>0</v>
      </c>
      <c r="L15" s="317">
        <v>0</v>
      </c>
      <c r="M15" s="309">
        <v>102</v>
      </c>
    </row>
    <row r="16" spans="1:13" x14ac:dyDescent="0.2">
      <c r="A16" s="305" t="s">
        <v>2231</v>
      </c>
      <c r="B16" s="306" t="s">
        <v>3947</v>
      </c>
      <c r="C16" s="307" t="s">
        <v>2232</v>
      </c>
      <c r="D16" s="306" t="s">
        <v>153</v>
      </c>
      <c r="E16" s="305" t="s">
        <v>3798</v>
      </c>
      <c r="F16" s="335">
        <v>43136</v>
      </c>
      <c r="G16" s="309">
        <v>357</v>
      </c>
      <c r="H16" s="309">
        <v>0</v>
      </c>
      <c r="I16" s="317">
        <v>357</v>
      </c>
      <c r="J16" s="309">
        <v>0</v>
      </c>
      <c r="K16" s="309">
        <v>0</v>
      </c>
      <c r="L16" s="317">
        <v>0</v>
      </c>
      <c r="M16" s="309">
        <v>357</v>
      </c>
    </row>
    <row r="17" spans="1:13" x14ac:dyDescent="0.2">
      <c r="A17" s="305" t="s">
        <v>2509</v>
      </c>
      <c r="B17" s="306" t="s">
        <v>149</v>
      </c>
      <c r="C17" s="307" t="s">
        <v>2510</v>
      </c>
      <c r="D17" s="306" t="s">
        <v>153</v>
      </c>
      <c r="E17" s="305" t="s">
        <v>421</v>
      </c>
      <c r="F17" s="335">
        <v>42982</v>
      </c>
      <c r="G17" s="309">
        <v>0</v>
      </c>
      <c r="H17" s="309">
        <v>65</v>
      </c>
      <c r="I17" s="317">
        <v>65</v>
      </c>
      <c r="J17" s="309">
        <v>0</v>
      </c>
      <c r="K17" s="309">
        <v>0</v>
      </c>
      <c r="L17" s="317">
        <v>0</v>
      </c>
      <c r="M17" s="309">
        <v>65</v>
      </c>
    </row>
    <row r="18" spans="1:13" x14ac:dyDescent="0.2">
      <c r="A18" s="305" t="s">
        <v>1437</v>
      </c>
      <c r="B18" s="306" t="s">
        <v>3949</v>
      </c>
      <c r="C18" s="307" t="s">
        <v>242</v>
      </c>
      <c r="D18" s="306" t="s">
        <v>153</v>
      </c>
      <c r="E18" s="305" t="s">
        <v>3798</v>
      </c>
      <c r="F18" s="335">
        <v>41494</v>
      </c>
      <c r="G18" s="309">
        <v>45</v>
      </c>
      <c r="H18" s="309">
        <v>0</v>
      </c>
      <c r="I18" s="317">
        <v>45</v>
      </c>
      <c r="J18" s="309">
        <v>0</v>
      </c>
      <c r="K18" s="309">
        <v>0</v>
      </c>
      <c r="L18" s="317">
        <v>0</v>
      </c>
      <c r="M18" s="309">
        <v>45</v>
      </c>
    </row>
    <row r="19" spans="1:13" x14ac:dyDescent="0.2">
      <c r="A19" s="305" t="s">
        <v>1652</v>
      </c>
      <c r="B19" s="306" t="s">
        <v>150</v>
      </c>
      <c r="C19" s="307" t="s">
        <v>1259</v>
      </c>
      <c r="D19" s="306" t="s">
        <v>153</v>
      </c>
      <c r="E19" s="305" t="s">
        <v>3798</v>
      </c>
      <c r="F19" s="335">
        <v>42836</v>
      </c>
      <c r="G19" s="309">
        <v>410</v>
      </c>
      <c r="H19" s="309">
        <v>0</v>
      </c>
      <c r="I19" s="317">
        <v>410</v>
      </c>
      <c r="J19" s="309">
        <v>410</v>
      </c>
      <c r="K19" s="309">
        <v>0</v>
      </c>
      <c r="L19" s="317">
        <v>410</v>
      </c>
      <c r="M19" s="309">
        <v>0</v>
      </c>
    </row>
    <row r="20" spans="1:13" x14ac:dyDescent="0.2">
      <c r="A20" s="305" t="s">
        <v>2532</v>
      </c>
      <c r="B20" s="306" t="s">
        <v>150</v>
      </c>
      <c r="C20" s="307" t="s">
        <v>2533</v>
      </c>
      <c r="D20" s="306" t="s">
        <v>153</v>
      </c>
      <c r="E20" s="305" t="s">
        <v>3798</v>
      </c>
      <c r="F20" s="335">
        <v>43047</v>
      </c>
      <c r="G20" s="309">
        <v>80</v>
      </c>
      <c r="H20" s="309">
        <v>0</v>
      </c>
      <c r="I20" s="317">
        <v>80</v>
      </c>
      <c r="J20" s="309">
        <v>0</v>
      </c>
      <c r="K20" s="309">
        <v>0</v>
      </c>
      <c r="L20" s="317">
        <v>0</v>
      </c>
      <c r="M20" s="309">
        <v>80</v>
      </c>
    </row>
    <row r="21" spans="1:13" ht="22.5" x14ac:dyDescent="0.2">
      <c r="A21" s="305" t="s">
        <v>1541</v>
      </c>
      <c r="B21" s="306" t="s">
        <v>150</v>
      </c>
      <c r="C21" s="307" t="s">
        <v>1542</v>
      </c>
      <c r="D21" s="306" t="s">
        <v>153</v>
      </c>
      <c r="E21" s="305" t="s">
        <v>3798</v>
      </c>
      <c r="F21" s="335">
        <v>42949</v>
      </c>
      <c r="G21" s="309">
        <v>157</v>
      </c>
      <c r="H21" s="309">
        <v>0</v>
      </c>
      <c r="I21" s="317">
        <v>157</v>
      </c>
      <c r="J21" s="309">
        <v>157</v>
      </c>
      <c r="K21" s="309">
        <v>0</v>
      </c>
      <c r="L21" s="317">
        <v>157</v>
      </c>
      <c r="M21" s="309">
        <v>0</v>
      </c>
    </row>
    <row r="22" spans="1:13" ht="22.5" x14ac:dyDescent="0.2">
      <c r="A22" s="305" t="s">
        <v>1429</v>
      </c>
      <c r="B22" s="306" t="s">
        <v>3953</v>
      </c>
      <c r="C22" s="307" t="s">
        <v>1149</v>
      </c>
      <c r="D22" s="306" t="s">
        <v>153</v>
      </c>
      <c r="E22" s="305" t="s">
        <v>3798</v>
      </c>
      <c r="F22" s="335">
        <v>42789</v>
      </c>
      <c r="G22" s="309">
        <v>60</v>
      </c>
      <c r="H22" s="309">
        <v>0</v>
      </c>
      <c r="I22" s="317">
        <v>60</v>
      </c>
      <c r="J22" s="309">
        <v>0</v>
      </c>
      <c r="K22" s="309">
        <v>0</v>
      </c>
      <c r="L22" s="317">
        <v>0</v>
      </c>
      <c r="M22" s="309">
        <v>60</v>
      </c>
    </row>
    <row r="23" spans="1:13" x14ac:dyDescent="0.2">
      <c r="A23" s="305" t="s">
        <v>1448</v>
      </c>
      <c r="B23" s="306" t="s">
        <v>3951</v>
      </c>
      <c r="C23" s="307" t="s">
        <v>1098</v>
      </c>
      <c r="D23" s="306" t="s">
        <v>153</v>
      </c>
      <c r="E23" s="305" t="s">
        <v>3798</v>
      </c>
      <c r="F23" s="335">
        <v>42765</v>
      </c>
      <c r="G23" s="309">
        <v>132</v>
      </c>
      <c r="H23" s="309">
        <v>0</v>
      </c>
      <c r="I23" s="317">
        <v>132</v>
      </c>
      <c r="J23" s="309">
        <v>0</v>
      </c>
      <c r="K23" s="309">
        <v>0</v>
      </c>
      <c r="L23" s="317">
        <v>0</v>
      </c>
      <c r="M23" s="309">
        <v>132</v>
      </c>
    </row>
    <row r="24" spans="1:13" ht="33.75" x14ac:dyDescent="0.2">
      <c r="A24" s="305" t="s">
        <v>1630</v>
      </c>
      <c r="B24" s="306" t="s">
        <v>3945</v>
      </c>
      <c r="C24" s="307" t="s">
        <v>1631</v>
      </c>
      <c r="D24" s="306" t="s">
        <v>153</v>
      </c>
      <c r="E24" s="305" t="s">
        <v>2944</v>
      </c>
      <c r="F24" s="335">
        <v>43132</v>
      </c>
      <c r="G24" s="309">
        <v>0</v>
      </c>
      <c r="H24" s="309">
        <v>0</v>
      </c>
      <c r="I24" s="317">
        <v>0</v>
      </c>
      <c r="J24" s="309">
        <v>101</v>
      </c>
      <c r="K24" s="309">
        <v>0</v>
      </c>
      <c r="L24" s="317">
        <v>101</v>
      </c>
      <c r="M24" s="309">
        <v>-101</v>
      </c>
    </row>
    <row r="25" spans="1:13" x14ac:dyDescent="0.2">
      <c r="A25" s="305" t="s">
        <v>1419</v>
      </c>
      <c r="B25" s="306" t="s">
        <v>3942</v>
      </c>
      <c r="C25" s="307" t="s">
        <v>1420</v>
      </c>
      <c r="D25" s="306" t="s">
        <v>153</v>
      </c>
      <c r="E25" s="305" t="s">
        <v>3798</v>
      </c>
      <c r="F25" s="335">
        <v>43062</v>
      </c>
      <c r="G25" s="309">
        <v>0</v>
      </c>
      <c r="H25" s="309">
        <v>33</v>
      </c>
      <c r="I25" s="317">
        <v>33</v>
      </c>
      <c r="J25" s="309">
        <v>0</v>
      </c>
      <c r="K25" s="309">
        <v>0</v>
      </c>
      <c r="L25" s="317">
        <v>0</v>
      </c>
      <c r="M25" s="309">
        <v>33</v>
      </c>
    </row>
    <row r="26" spans="1:13" ht="22.5" x14ac:dyDescent="0.2">
      <c r="A26" s="305" t="s">
        <v>1825</v>
      </c>
      <c r="B26" s="306" t="s">
        <v>3944</v>
      </c>
      <c r="C26" s="307" t="s">
        <v>250</v>
      </c>
      <c r="D26" s="306" t="s">
        <v>153</v>
      </c>
      <c r="E26" s="305" t="s">
        <v>3798</v>
      </c>
      <c r="F26" s="335">
        <v>41810</v>
      </c>
      <c r="G26" s="309">
        <v>533</v>
      </c>
      <c r="H26" s="309">
        <v>0</v>
      </c>
      <c r="I26" s="317">
        <v>533</v>
      </c>
      <c r="J26" s="309">
        <v>151</v>
      </c>
      <c r="K26" s="309">
        <v>0</v>
      </c>
      <c r="L26" s="317">
        <v>151</v>
      </c>
      <c r="M26" s="309">
        <v>382</v>
      </c>
    </row>
    <row r="27" spans="1:13" ht="22.5" x14ac:dyDescent="0.2">
      <c r="A27" s="305" t="s">
        <v>1520</v>
      </c>
      <c r="B27" s="306" t="s">
        <v>3944</v>
      </c>
      <c r="C27" s="307" t="s">
        <v>1218</v>
      </c>
      <c r="D27" s="306" t="s">
        <v>153</v>
      </c>
      <c r="E27" s="305" t="s">
        <v>3798</v>
      </c>
      <c r="F27" s="335">
        <v>42808</v>
      </c>
      <c r="G27" s="309">
        <v>0</v>
      </c>
      <c r="H27" s="309">
        <v>200</v>
      </c>
      <c r="I27" s="317">
        <v>200</v>
      </c>
      <c r="J27" s="309">
        <v>0</v>
      </c>
      <c r="K27" s="309">
        <v>0</v>
      </c>
      <c r="L27" s="317">
        <v>0</v>
      </c>
      <c r="M27" s="309">
        <v>200</v>
      </c>
    </row>
    <row r="28" spans="1:13" x14ac:dyDescent="0.2">
      <c r="A28" s="305" t="s">
        <v>2384</v>
      </c>
      <c r="B28" s="306" t="s">
        <v>3948</v>
      </c>
      <c r="C28" s="307" t="s">
        <v>1294</v>
      </c>
      <c r="D28" s="306" t="s">
        <v>153</v>
      </c>
      <c r="E28" s="305" t="s">
        <v>3798</v>
      </c>
      <c r="F28" s="335">
        <v>42863</v>
      </c>
      <c r="G28" s="309">
        <v>0</v>
      </c>
      <c r="H28" s="309">
        <v>93</v>
      </c>
      <c r="I28" s="317">
        <v>93</v>
      </c>
      <c r="J28" s="309">
        <v>0</v>
      </c>
      <c r="K28" s="309">
        <v>0</v>
      </c>
      <c r="L28" s="317">
        <v>0</v>
      </c>
      <c r="M28" s="309">
        <v>93</v>
      </c>
    </row>
    <row r="29" spans="1:13" ht="22.5" x14ac:dyDescent="0.2">
      <c r="A29" s="305" t="s">
        <v>1842</v>
      </c>
      <c r="B29" s="306" t="s">
        <v>3946</v>
      </c>
      <c r="C29" s="307" t="s">
        <v>454</v>
      </c>
      <c r="D29" s="306" t="s">
        <v>153</v>
      </c>
      <c r="E29" s="305" t="s">
        <v>3798</v>
      </c>
      <c r="F29" s="335">
        <v>42193</v>
      </c>
      <c r="G29" s="309">
        <v>80</v>
      </c>
      <c r="H29" s="309">
        <v>0</v>
      </c>
      <c r="I29" s="317">
        <v>80</v>
      </c>
      <c r="J29" s="309">
        <v>0</v>
      </c>
      <c r="K29" s="309">
        <v>0</v>
      </c>
      <c r="L29" s="317">
        <v>0</v>
      </c>
      <c r="M29" s="309">
        <v>80</v>
      </c>
    </row>
    <row r="30" spans="1:13" ht="22.5" x14ac:dyDescent="0.2">
      <c r="A30" s="305" t="s">
        <v>1637</v>
      </c>
      <c r="B30" s="306" t="s">
        <v>3945</v>
      </c>
      <c r="C30" s="307" t="s">
        <v>717</v>
      </c>
      <c r="D30" s="306" t="s">
        <v>153</v>
      </c>
      <c r="E30" s="305" t="s">
        <v>3798</v>
      </c>
      <c r="F30" s="335">
        <v>42181</v>
      </c>
      <c r="G30" s="309">
        <v>926</v>
      </c>
      <c r="H30" s="309">
        <v>0</v>
      </c>
      <c r="I30" s="317">
        <v>926</v>
      </c>
      <c r="J30" s="309">
        <v>460</v>
      </c>
      <c r="K30" s="309">
        <v>0</v>
      </c>
      <c r="L30" s="317">
        <v>460</v>
      </c>
      <c r="M30" s="309">
        <v>466</v>
      </c>
    </row>
    <row r="31" spans="1:13" x14ac:dyDescent="0.2">
      <c r="A31" s="305" t="s">
        <v>1658</v>
      </c>
      <c r="B31" s="306" t="s">
        <v>3954</v>
      </c>
      <c r="C31" s="307" t="s">
        <v>763</v>
      </c>
      <c r="D31" s="306" t="s">
        <v>153</v>
      </c>
      <c r="E31" s="305" t="s">
        <v>3798</v>
      </c>
      <c r="F31" s="335">
        <v>42320</v>
      </c>
      <c r="G31" s="309">
        <v>21</v>
      </c>
      <c r="H31" s="309">
        <v>0</v>
      </c>
      <c r="I31" s="317">
        <v>21</v>
      </c>
      <c r="J31" s="309">
        <v>0</v>
      </c>
      <c r="K31" s="309">
        <v>0</v>
      </c>
      <c r="L31" s="317">
        <v>0</v>
      </c>
      <c r="M31" s="309">
        <v>21</v>
      </c>
    </row>
    <row r="32" spans="1:13" ht="22.5" x14ac:dyDescent="0.2">
      <c r="A32" s="305" t="s">
        <v>1769</v>
      </c>
      <c r="B32" s="306" t="s">
        <v>3947</v>
      </c>
      <c r="C32" s="307" t="s">
        <v>868</v>
      </c>
      <c r="D32" s="306" t="s">
        <v>153</v>
      </c>
      <c r="E32" s="305" t="s">
        <v>3798</v>
      </c>
      <c r="F32" s="335">
        <v>42598</v>
      </c>
      <c r="G32" s="309">
        <v>28</v>
      </c>
      <c r="H32" s="309">
        <v>0</v>
      </c>
      <c r="I32" s="317">
        <v>28</v>
      </c>
      <c r="J32" s="309">
        <v>24</v>
      </c>
      <c r="K32" s="309">
        <v>0</v>
      </c>
      <c r="L32" s="317">
        <v>24</v>
      </c>
      <c r="M32" s="309">
        <v>4</v>
      </c>
    </row>
    <row r="33" spans="1:13" ht="22.5" x14ac:dyDescent="0.2">
      <c r="A33" s="305" t="s">
        <v>1309</v>
      </c>
      <c r="B33" s="306" t="s">
        <v>3939</v>
      </c>
      <c r="C33" s="307" t="s">
        <v>595</v>
      </c>
      <c r="D33" s="306" t="s">
        <v>153</v>
      </c>
      <c r="E33" s="305" t="s">
        <v>3798</v>
      </c>
      <c r="F33" s="335">
        <v>42453</v>
      </c>
      <c r="G33" s="309">
        <v>549</v>
      </c>
      <c r="H33" s="309">
        <v>0</v>
      </c>
      <c r="I33" s="317">
        <v>549</v>
      </c>
      <c r="J33" s="309">
        <v>0</v>
      </c>
      <c r="K33" s="309">
        <v>0</v>
      </c>
      <c r="L33" s="317">
        <v>0</v>
      </c>
      <c r="M33" s="309">
        <v>549</v>
      </c>
    </row>
    <row r="34" spans="1:13" ht="22.5" x14ac:dyDescent="0.2">
      <c r="A34" s="305" t="s">
        <v>1444</v>
      </c>
      <c r="B34" s="306" t="s">
        <v>3939</v>
      </c>
      <c r="C34" s="307" t="s">
        <v>822</v>
      </c>
      <c r="D34" s="306" t="s">
        <v>153</v>
      </c>
      <c r="E34" s="305" t="s">
        <v>3798</v>
      </c>
      <c r="F34" s="335">
        <v>42523</v>
      </c>
      <c r="G34" s="309">
        <v>166</v>
      </c>
      <c r="H34" s="309">
        <v>0</v>
      </c>
      <c r="I34" s="317">
        <v>166</v>
      </c>
      <c r="J34" s="309">
        <v>0</v>
      </c>
      <c r="K34" s="309">
        <v>0</v>
      </c>
      <c r="L34" s="317">
        <v>0</v>
      </c>
      <c r="M34" s="309">
        <v>166</v>
      </c>
    </row>
    <row r="35" spans="1:13" ht="33.75" x14ac:dyDescent="0.2">
      <c r="A35" s="305" t="s">
        <v>1582</v>
      </c>
      <c r="B35" s="306" t="s">
        <v>3940</v>
      </c>
      <c r="C35" s="307" t="s">
        <v>442</v>
      </c>
      <c r="D35" s="306" t="s">
        <v>153</v>
      </c>
      <c r="E35" s="305" t="s">
        <v>3798</v>
      </c>
      <c r="F35" s="335">
        <v>42200</v>
      </c>
      <c r="G35" s="309">
        <v>31</v>
      </c>
      <c r="H35" s="309">
        <v>0</v>
      </c>
      <c r="I35" s="317">
        <v>31</v>
      </c>
      <c r="J35" s="309">
        <v>0</v>
      </c>
      <c r="K35" s="309">
        <v>0</v>
      </c>
      <c r="L35" s="317">
        <v>0</v>
      </c>
      <c r="M35" s="309">
        <v>31</v>
      </c>
    </row>
    <row r="36" spans="1:13" ht="33.75" x14ac:dyDescent="0.2">
      <c r="A36" s="305" t="s">
        <v>1481</v>
      </c>
      <c r="B36" s="306" t="s">
        <v>3949</v>
      </c>
      <c r="C36" s="307" t="s">
        <v>1252</v>
      </c>
      <c r="D36" s="306" t="s">
        <v>153</v>
      </c>
      <c r="E36" s="305" t="s">
        <v>3798</v>
      </c>
      <c r="F36" s="335">
        <v>42796</v>
      </c>
      <c r="G36" s="309">
        <v>83</v>
      </c>
      <c r="H36" s="309">
        <v>0</v>
      </c>
      <c r="I36" s="317">
        <v>83</v>
      </c>
      <c r="J36" s="309">
        <v>166</v>
      </c>
      <c r="K36" s="309">
        <v>0</v>
      </c>
      <c r="L36" s="317">
        <v>166</v>
      </c>
      <c r="M36" s="309">
        <v>-83</v>
      </c>
    </row>
    <row r="37" spans="1:13" ht="33.75" x14ac:dyDescent="0.2">
      <c r="A37" s="305" t="s">
        <v>1602</v>
      </c>
      <c r="B37" s="306" t="s">
        <v>3940</v>
      </c>
      <c r="C37" s="307" t="s">
        <v>949</v>
      </c>
      <c r="D37" s="306" t="s">
        <v>153</v>
      </c>
      <c r="E37" s="305" t="s">
        <v>3798</v>
      </c>
      <c r="F37" s="335">
        <v>42593</v>
      </c>
      <c r="G37" s="309">
        <v>0</v>
      </c>
      <c r="H37" s="309">
        <v>213</v>
      </c>
      <c r="I37" s="317">
        <v>213</v>
      </c>
      <c r="J37" s="309">
        <v>0</v>
      </c>
      <c r="K37" s="309">
        <v>0</v>
      </c>
      <c r="L37" s="317">
        <v>0</v>
      </c>
      <c r="M37" s="309">
        <v>213</v>
      </c>
    </row>
    <row r="38" spans="1:13" ht="22.5" x14ac:dyDescent="0.2">
      <c r="A38" s="305" t="s">
        <v>1584</v>
      </c>
      <c r="B38" s="306" t="s">
        <v>3944</v>
      </c>
      <c r="C38" s="307" t="s">
        <v>1585</v>
      </c>
      <c r="D38" s="306" t="s">
        <v>153</v>
      </c>
      <c r="E38" s="305" t="s">
        <v>3798</v>
      </c>
      <c r="F38" s="335">
        <v>41736</v>
      </c>
      <c r="G38" s="309">
        <v>265</v>
      </c>
      <c r="H38" s="309">
        <v>0</v>
      </c>
      <c r="I38" s="317">
        <v>265</v>
      </c>
      <c r="J38" s="309">
        <v>153</v>
      </c>
      <c r="K38" s="309">
        <v>0</v>
      </c>
      <c r="L38" s="317">
        <v>153</v>
      </c>
      <c r="M38" s="309">
        <v>112</v>
      </c>
    </row>
    <row r="39" spans="1:13" ht="22.5" x14ac:dyDescent="0.2">
      <c r="A39" s="305" t="s">
        <v>1973</v>
      </c>
      <c r="B39" s="306" t="s">
        <v>3953</v>
      </c>
      <c r="C39" s="307" t="s">
        <v>351</v>
      </c>
      <c r="D39" s="306" t="s">
        <v>153</v>
      </c>
      <c r="E39" s="305" t="s">
        <v>3798</v>
      </c>
      <c r="F39" s="335">
        <v>41843</v>
      </c>
      <c r="G39" s="309">
        <v>140</v>
      </c>
      <c r="H39" s="309">
        <v>0</v>
      </c>
      <c r="I39" s="317">
        <v>140</v>
      </c>
      <c r="J39" s="309">
        <v>60</v>
      </c>
      <c r="K39" s="309">
        <v>0</v>
      </c>
      <c r="L39" s="317">
        <v>60</v>
      </c>
      <c r="M39" s="309">
        <v>80</v>
      </c>
    </row>
    <row r="40" spans="1:13" ht="22.5" x14ac:dyDescent="0.2">
      <c r="A40" s="305" t="s">
        <v>1948</v>
      </c>
      <c r="B40" s="306" t="s">
        <v>3943</v>
      </c>
      <c r="C40" s="307" t="s">
        <v>1276</v>
      </c>
      <c r="D40" s="306" t="s">
        <v>153</v>
      </c>
      <c r="E40" s="305" t="s">
        <v>3798</v>
      </c>
      <c r="F40" s="335">
        <v>42998</v>
      </c>
      <c r="G40" s="309">
        <v>379</v>
      </c>
      <c r="H40" s="309">
        <v>0</v>
      </c>
      <c r="I40" s="317">
        <v>379</v>
      </c>
      <c r="J40" s="309">
        <v>0</v>
      </c>
      <c r="K40" s="309">
        <v>0</v>
      </c>
      <c r="L40" s="317">
        <v>0</v>
      </c>
      <c r="M40" s="309">
        <v>379</v>
      </c>
    </row>
    <row r="41" spans="1:13" ht="22.5" x14ac:dyDescent="0.2">
      <c r="A41" s="305" t="s">
        <v>1832</v>
      </c>
      <c r="B41" s="306" t="s">
        <v>3953</v>
      </c>
      <c r="C41" s="307" t="s">
        <v>1833</v>
      </c>
      <c r="D41" s="306" t="s">
        <v>153</v>
      </c>
      <c r="E41" s="305" t="s">
        <v>3798</v>
      </c>
      <c r="F41" s="335">
        <v>43118</v>
      </c>
      <c r="G41" s="309">
        <v>0</v>
      </c>
      <c r="H41" s="309">
        <v>341</v>
      </c>
      <c r="I41" s="317">
        <v>341</v>
      </c>
      <c r="J41" s="309">
        <v>0</v>
      </c>
      <c r="K41" s="309">
        <v>95</v>
      </c>
      <c r="L41" s="317">
        <v>95</v>
      </c>
      <c r="M41" s="309">
        <v>246</v>
      </c>
    </row>
    <row r="42" spans="1:13" ht="22.5" x14ac:dyDescent="0.2">
      <c r="A42" s="305" t="s">
        <v>1843</v>
      </c>
      <c r="B42" s="306" t="s">
        <v>3943</v>
      </c>
      <c r="C42" s="307" t="s">
        <v>1003</v>
      </c>
      <c r="D42" s="306" t="s">
        <v>153</v>
      </c>
      <c r="E42" s="305" t="s">
        <v>3798</v>
      </c>
      <c r="F42" s="335">
        <v>42702</v>
      </c>
      <c r="G42" s="309">
        <v>914</v>
      </c>
      <c r="H42" s="309">
        <v>0</v>
      </c>
      <c r="I42" s="317">
        <v>914</v>
      </c>
      <c r="J42" s="309">
        <v>175</v>
      </c>
      <c r="K42" s="309">
        <v>0</v>
      </c>
      <c r="L42" s="317">
        <v>175</v>
      </c>
      <c r="M42" s="309">
        <v>739</v>
      </c>
    </row>
    <row r="43" spans="1:13" ht="22.5" x14ac:dyDescent="0.2">
      <c r="A43" s="305" t="s">
        <v>1674</v>
      </c>
      <c r="B43" s="306" t="s">
        <v>3947</v>
      </c>
      <c r="C43" s="307" t="s">
        <v>170</v>
      </c>
      <c r="D43" s="306" t="s">
        <v>153</v>
      </c>
      <c r="E43" s="305" t="s">
        <v>3798</v>
      </c>
      <c r="F43" s="335">
        <v>40892</v>
      </c>
      <c r="G43" s="309">
        <v>980</v>
      </c>
      <c r="H43" s="309">
        <v>0</v>
      </c>
      <c r="I43" s="317">
        <v>980</v>
      </c>
      <c r="J43" s="309">
        <v>0</v>
      </c>
      <c r="K43" s="309">
        <v>0</v>
      </c>
      <c r="L43" s="317">
        <v>0</v>
      </c>
      <c r="M43" s="309">
        <v>980</v>
      </c>
    </row>
    <row r="44" spans="1:13" ht="22.5" x14ac:dyDescent="0.2">
      <c r="A44" s="305" t="s">
        <v>1975</v>
      </c>
      <c r="B44" s="306" t="s">
        <v>3952</v>
      </c>
      <c r="C44" s="307" t="s">
        <v>237</v>
      </c>
      <c r="D44" s="306" t="s">
        <v>153</v>
      </c>
      <c r="E44" s="305" t="s">
        <v>3798</v>
      </c>
      <c r="F44" s="335">
        <v>41550</v>
      </c>
      <c r="G44" s="309">
        <v>0</v>
      </c>
      <c r="H44" s="309">
        <v>117</v>
      </c>
      <c r="I44" s="317">
        <v>117</v>
      </c>
      <c r="J44" s="309">
        <v>0</v>
      </c>
      <c r="K44" s="309">
        <v>63</v>
      </c>
      <c r="L44" s="317">
        <v>63</v>
      </c>
      <c r="M44" s="309">
        <v>54</v>
      </c>
    </row>
    <row r="45" spans="1:13" ht="33.75" x14ac:dyDescent="0.2">
      <c r="A45" s="305" t="s">
        <v>2550</v>
      </c>
      <c r="B45" s="306" t="s">
        <v>3940</v>
      </c>
      <c r="C45" s="307" t="s">
        <v>2551</v>
      </c>
      <c r="D45" s="306" t="s">
        <v>153</v>
      </c>
      <c r="E45" s="305" t="s">
        <v>3798</v>
      </c>
      <c r="F45" s="335">
        <v>43053</v>
      </c>
      <c r="G45" s="309">
        <v>286</v>
      </c>
      <c r="H45" s="309">
        <v>0</v>
      </c>
      <c r="I45" s="317">
        <v>286</v>
      </c>
      <c r="J45" s="309">
        <v>0</v>
      </c>
      <c r="K45" s="309">
        <v>0</v>
      </c>
      <c r="L45" s="317">
        <v>0</v>
      </c>
      <c r="M45" s="309">
        <v>286</v>
      </c>
    </row>
    <row r="46" spans="1:13" x14ac:dyDescent="0.2">
      <c r="A46" s="328" t="s">
        <v>95</v>
      </c>
      <c r="B46" s="329"/>
      <c r="C46" s="330"/>
      <c r="D46" s="329"/>
      <c r="E46" s="328"/>
      <c r="F46" s="349"/>
      <c r="G46" s="333">
        <v>7043</v>
      </c>
      <c r="H46" s="333">
        <v>1390</v>
      </c>
      <c r="I46" s="334">
        <v>8433</v>
      </c>
      <c r="J46" s="333">
        <v>1943</v>
      </c>
      <c r="K46" s="333">
        <v>350</v>
      </c>
      <c r="L46" s="334">
        <v>2293</v>
      </c>
      <c r="M46" s="333">
        <v>6140</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24"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M46"/>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2936</v>
      </c>
    </row>
    <row r="2" spans="1:13" x14ac:dyDescent="0.2">
      <c r="A2" s="77" t="s">
        <v>2940</v>
      </c>
      <c r="B2" s="446" t="s">
        <v>429</v>
      </c>
    </row>
    <row r="3" spans="1:13" x14ac:dyDescent="0.2">
      <c r="A3" s="77" t="s">
        <v>2941</v>
      </c>
      <c r="B3" s="446" t="s">
        <v>2943</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1347</v>
      </c>
      <c r="B7" s="446" t="s">
        <v>3948</v>
      </c>
      <c r="C7" s="446" t="s">
        <v>1283</v>
      </c>
      <c r="D7" s="446" t="s">
        <v>153</v>
      </c>
      <c r="E7" s="446" t="s">
        <v>3798</v>
      </c>
      <c r="F7" s="298">
        <v>42850</v>
      </c>
      <c r="G7" s="74">
        <v>0</v>
      </c>
      <c r="H7" s="74">
        <v>90</v>
      </c>
      <c r="I7" s="74">
        <v>90</v>
      </c>
      <c r="J7" s="74">
        <v>0</v>
      </c>
      <c r="K7" s="74">
        <v>0</v>
      </c>
      <c r="L7" s="74">
        <v>0</v>
      </c>
      <c r="M7" s="74">
        <v>90</v>
      </c>
    </row>
    <row r="8" spans="1:13" x14ac:dyDescent="0.2">
      <c r="A8" s="446" t="s">
        <v>1329</v>
      </c>
      <c r="B8" s="446" t="s">
        <v>3943</v>
      </c>
      <c r="C8" s="446" t="s">
        <v>287</v>
      </c>
      <c r="D8" s="446" t="s">
        <v>153</v>
      </c>
      <c r="E8" s="446" t="s">
        <v>3798</v>
      </c>
      <c r="F8" s="298">
        <v>42167</v>
      </c>
      <c r="G8" s="74">
        <v>0</v>
      </c>
      <c r="H8" s="74">
        <v>194</v>
      </c>
      <c r="I8" s="74">
        <v>194</v>
      </c>
      <c r="J8" s="74">
        <v>0</v>
      </c>
      <c r="K8" s="74">
        <v>0</v>
      </c>
      <c r="L8" s="74">
        <v>0</v>
      </c>
      <c r="M8" s="74">
        <v>194</v>
      </c>
    </row>
    <row r="9" spans="1:13" x14ac:dyDescent="0.2">
      <c r="A9" s="446" t="s">
        <v>2323</v>
      </c>
      <c r="B9" s="446" t="s">
        <v>3944</v>
      </c>
      <c r="C9" s="446" t="s">
        <v>1184</v>
      </c>
      <c r="D9" s="446" t="s">
        <v>153</v>
      </c>
      <c r="E9" s="446" t="s">
        <v>3798</v>
      </c>
      <c r="F9" s="298">
        <v>42800</v>
      </c>
      <c r="G9" s="74">
        <v>0</v>
      </c>
      <c r="H9" s="74">
        <v>0</v>
      </c>
      <c r="I9" s="74">
        <v>0</v>
      </c>
      <c r="J9" s="74">
        <v>0</v>
      </c>
      <c r="K9" s="74">
        <v>192</v>
      </c>
      <c r="L9" s="74">
        <v>192</v>
      </c>
      <c r="M9" s="74">
        <v>-192</v>
      </c>
    </row>
    <row r="10" spans="1:13" x14ac:dyDescent="0.2">
      <c r="A10" s="446" t="s">
        <v>2589</v>
      </c>
      <c r="B10" s="446" t="s">
        <v>2904</v>
      </c>
      <c r="C10" s="446" t="s">
        <v>2590</v>
      </c>
      <c r="D10" s="446" t="s">
        <v>153</v>
      </c>
      <c r="E10" s="446" t="s">
        <v>3798</v>
      </c>
      <c r="F10" s="298">
        <v>43082</v>
      </c>
      <c r="G10" s="74">
        <v>17</v>
      </c>
      <c r="H10" s="74">
        <v>0</v>
      </c>
      <c r="I10" s="74">
        <v>17</v>
      </c>
      <c r="J10" s="74">
        <v>0</v>
      </c>
      <c r="K10" s="74">
        <v>0</v>
      </c>
      <c r="L10" s="74">
        <v>0</v>
      </c>
      <c r="M10" s="74">
        <v>17</v>
      </c>
    </row>
    <row r="11" spans="1:13" x14ac:dyDescent="0.2">
      <c r="A11" s="446" t="s">
        <v>2418</v>
      </c>
      <c r="B11" s="446" t="s">
        <v>3942</v>
      </c>
      <c r="C11" s="446" t="s">
        <v>2419</v>
      </c>
      <c r="D11" s="446" t="s">
        <v>153</v>
      </c>
      <c r="E11" s="446" t="s">
        <v>3798</v>
      </c>
      <c r="F11" s="298">
        <v>42870</v>
      </c>
      <c r="G11" s="74">
        <v>44</v>
      </c>
      <c r="H11" s="74">
        <v>44</v>
      </c>
      <c r="I11" s="74">
        <v>88</v>
      </c>
      <c r="J11" s="74">
        <v>0</v>
      </c>
      <c r="K11" s="74">
        <v>0</v>
      </c>
      <c r="L11" s="74">
        <v>0</v>
      </c>
      <c r="M11" s="74">
        <v>88</v>
      </c>
    </row>
    <row r="12" spans="1:13" x14ac:dyDescent="0.2">
      <c r="A12" s="446" t="s">
        <v>1615</v>
      </c>
      <c r="B12" s="446" t="s">
        <v>3951</v>
      </c>
      <c r="C12" s="446" t="s">
        <v>628</v>
      </c>
      <c r="D12" s="446" t="s">
        <v>153</v>
      </c>
      <c r="E12" s="446" t="s">
        <v>3798</v>
      </c>
      <c r="F12" s="298">
        <v>42471</v>
      </c>
      <c r="G12" s="74">
        <v>180</v>
      </c>
      <c r="H12" s="74">
        <v>0</v>
      </c>
      <c r="I12" s="74">
        <v>180</v>
      </c>
      <c r="J12" s="74">
        <v>0</v>
      </c>
      <c r="K12" s="74">
        <v>0</v>
      </c>
      <c r="L12" s="74">
        <v>0</v>
      </c>
      <c r="M12" s="74">
        <v>180</v>
      </c>
    </row>
    <row r="13" spans="1:13" x14ac:dyDescent="0.2">
      <c r="A13" s="446" t="s">
        <v>2088</v>
      </c>
      <c r="B13" s="446" t="s">
        <v>2904</v>
      </c>
      <c r="C13" s="446" t="s">
        <v>907</v>
      </c>
      <c r="D13" s="446" t="s">
        <v>153</v>
      </c>
      <c r="E13" s="446" t="s">
        <v>3798</v>
      </c>
      <c r="F13" s="298">
        <v>42587</v>
      </c>
      <c r="G13" s="74">
        <v>0</v>
      </c>
      <c r="H13" s="74">
        <v>0</v>
      </c>
      <c r="I13" s="74">
        <v>0</v>
      </c>
      <c r="J13" s="74">
        <v>86</v>
      </c>
      <c r="K13" s="74">
        <v>0</v>
      </c>
      <c r="L13" s="74">
        <v>86</v>
      </c>
      <c r="M13" s="74">
        <v>-86</v>
      </c>
    </row>
    <row r="14" spans="1:13" x14ac:dyDescent="0.2">
      <c r="A14" s="446" t="s">
        <v>2386</v>
      </c>
      <c r="B14" s="446" t="s">
        <v>149</v>
      </c>
      <c r="C14" s="446" t="s">
        <v>1222</v>
      </c>
      <c r="D14" s="446" t="s">
        <v>153</v>
      </c>
      <c r="E14" s="446" t="s">
        <v>3798</v>
      </c>
      <c r="F14" s="298">
        <v>42916</v>
      </c>
      <c r="G14" s="74">
        <v>78</v>
      </c>
      <c r="H14" s="74">
        <v>0</v>
      </c>
      <c r="I14" s="74">
        <v>78</v>
      </c>
      <c r="J14" s="74">
        <v>0</v>
      </c>
      <c r="K14" s="74">
        <v>0</v>
      </c>
      <c r="L14" s="74">
        <v>0</v>
      </c>
      <c r="M14" s="74">
        <v>78</v>
      </c>
    </row>
    <row r="15" spans="1:13" x14ac:dyDescent="0.2">
      <c r="A15" s="446" t="s">
        <v>1445</v>
      </c>
      <c r="B15" s="446" t="s">
        <v>3952</v>
      </c>
      <c r="C15" s="446" t="s">
        <v>1446</v>
      </c>
      <c r="D15" s="446" t="s">
        <v>153</v>
      </c>
      <c r="E15" s="446" t="s">
        <v>3798</v>
      </c>
      <c r="F15" s="298">
        <v>43185</v>
      </c>
      <c r="G15" s="74">
        <v>102</v>
      </c>
      <c r="H15" s="74">
        <v>0</v>
      </c>
      <c r="I15" s="74">
        <v>102</v>
      </c>
      <c r="J15" s="74">
        <v>0</v>
      </c>
      <c r="K15" s="74">
        <v>0</v>
      </c>
      <c r="L15" s="74">
        <v>0</v>
      </c>
      <c r="M15" s="74">
        <v>102</v>
      </c>
    </row>
    <row r="16" spans="1:13" x14ac:dyDescent="0.2">
      <c r="A16" s="446" t="s">
        <v>2231</v>
      </c>
      <c r="B16" s="446" t="s">
        <v>3947</v>
      </c>
      <c r="C16" s="446" t="s">
        <v>2232</v>
      </c>
      <c r="D16" s="446" t="s">
        <v>153</v>
      </c>
      <c r="E16" s="446" t="s">
        <v>3798</v>
      </c>
      <c r="F16" s="298">
        <v>43136</v>
      </c>
      <c r="G16" s="74">
        <v>357</v>
      </c>
      <c r="H16" s="74">
        <v>0</v>
      </c>
      <c r="I16" s="74">
        <v>357</v>
      </c>
      <c r="J16" s="74">
        <v>0</v>
      </c>
      <c r="K16" s="74">
        <v>0</v>
      </c>
      <c r="L16" s="74">
        <v>0</v>
      </c>
      <c r="M16" s="74">
        <v>357</v>
      </c>
    </row>
    <row r="17" spans="1:13" x14ac:dyDescent="0.2">
      <c r="A17" s="446" t="s">
        <v>2509</v>
      </c>
      <c r="B17" s="446" t="s">
        <v>149</v>
      </c>
      <c r="C17" s="446" t="s">
        <v>2510</v>
      </c>
      <c r="D17" s="446" t="s">
        <v>153</v>
      </c>
      <c r="E17" s="446" t="s">
        <v>421</v>
      </c>
      <c r="F17" s="298">
        <v>42982</v>
      </c>
      <c r="G17" s="74">
        <v>0</v>
      </c>
      <c r="H17" s="74">
        <v>65</v>
      </c>
      <c r="I17" s="74">
        <v>65</v>
      </c>
      <c r="J17" s="74">
        <v>0</v>
      </c>
      <c r="K17" s="74">
        <v>0</v>
      </c>
      <c r="L17" s="74">
        <v>0</v>
      </c>
      <c r="M17" s="74">
        <v>65</v>
      </c>
    </row>
    <row r="18" spans="1:13" x14ac:dyDescent="0.2">
      <c r="A18" s="446" t="s">
        <v>1437</v>
      </c>
      <c r="B18" s="446" t="s">
        <v>3949</v>
      </c>
      <c r="C18" s="446" t="s">
        <v>242</v>
      </c>
      <c r="D18" s="446" t="s">
        <v>153</v>
      </c>
      <c r="E18" s="446" t="s">
        <v>3798</v>
      </c>
      <c r="F18" s="298">
        <v>41494</v>
      </c>
      <c r="G18" s="74">
        <v>45</v>
      </c>
      <c r="H18" s="74">
        <v>0</v>
      </c>
      <c r="I18" s="74">
        <v>45</v>
      </c>
      <c r="J18" s="74">
        <v>0</v>
      </c>
      <c r="K18" s="74">
        <v>0</v>
      </c>
      <c r="L18" s="74">
        <v>0</v>
      </c>
      <c r="M18" s="74">
        <v>45</v>
      </c>
    </row>
    <row r="19" spans="1:13" x14ac:dyDescent="0.2">
      <c r="A19" s="446" t="s">
        <v>1652</v>
      </c>
      <c r="B19" s="446" t="s">
        <v>150</v>
      </c>
      <c r="C19" s="446" t="s">
        <v>1259</v>
      </c>
      <c r="D19" s="446" t="s">
        <v>153</v>
      </c>
      <c r="E19" s="446" t="s">
        <v>3798</v>
      </c>
      <c r="F19" s="298">
        <v>42836</v>
      </c>
      <c r="G19" s="74">
        <v>410</v>
      </c>
      <c r="H19" s="74">
        <v>0</v>
      </c>
      <c r="I19" s="74">
        <v>410</v>
      </c>
      <c r="J19" s="74">
        <v>410</v>
      </c>
      <c r="K19" s="74">
        <v>0</v>
      </c>
      <c r="L19" s="74">
        <v>410</v>
      </c>
      <c r="M19" s="74">
        <v>0</v>
      </c>
    </row>
    <row r="20" spans="1:13" x14ac:dyDescent="0.2">
      <c r="A20" s="446" t="s">
        <v>2532</v>
      </c>
      <c r="B20" s="446" t="s">
        <v>150</v>
      </c>
      <c r="C20" s="446" t="s">
        <v>2533</v>
      </c>
      <c r="D20" s="446" t="s">
        <v>153</v>
      </c>
      <c r="E20" s="446" t="s">
        <v>3798</v>
      </c>
      <c r="F20" s="298">
        <v>43047</v>
      </c>
      <c r="G20" s="74">
        <v>80</v>
      </c>
      <c r="H20" s="74">
        <v>0</v>
      </c>
      <c r="I20" s="74">
        <v>80</v>
      </c>
      <c r="J20" s="74">
        <v>0</v>
      </c>
      <c r="K20" s="74">
        <v>0</v>
      </c>
      <c r="L20" s="74">
        <v>0</v>
      </c>
      <c r="M20" s="74">
        <v>80</v>
      </c>
    </row>
    <row r="21" spans="1:13" x14ac:dyDescent="0.2">
      <c r="A21" s="446" t="s">
        <v>1541</v>
      </c>
      <c r="B21" s="446" t="s">
        <v>150</v>
      </c>
      <c r="C21" s="446" t="s">
        <v>1542</v>
      </c>
      <c r="D21" s="446" t="s">
        <v>153</v>
      </c>
      <c r="E21" s="446" t="s">
        <v>3798</v>
      </c>
      <c r="F21" s="298">
        <v>42949</v>
      </c>
      <c r="G21" s="74">
        <v>157</v>
      </c>
      <c r="H21" s="74">
        <v>0</v>
      </c>
      <c r="I21" s="74">
        <v>157</v>
      </c>
      <c r="J21" s="74">
        <v>157</v>
      </c>
      <c r="K21" s="74">
        <v>0</v>
      </c>
      <c r="L21" s="74">
        <v>157</v>
      </c>
      <c r="M21" s="74">
        <v>0</v>
      </c>
    </row>
    <row r="22" spans="1:13" x14ac:dyDescent="0.2">
      <c r="A22" s="446" t="s">
        <v>1429</v>
      </c>
      <c r="B22" s="446" t="s">
        <v>3953</v>
      </c>
      <c r="C22" s="446" t="s">
        <v>1149</v>
      </c>
      <c r="D22" s="446" t="s">
        <v>153</v>
      </c>
      <c r="E22" s="446" t="s">
        <v>3798</v>
      </c>
      <c r="F22" s="298">
        <v>42789</v>
      </c>
      <c r="G22" s="74">
        <v>60</v>
      </c>
      <c r="H22" s="74">
        <v>0</v>
      </c>
      <c r="I22" s="74">
        <v>60</v>
      </c>
      <c r="J22" s="74">
        <v>0</v>
      </c>
      <c r="K22" s="74">
        <v>0</v>
      </c>
      <c r="L22" s="74">
        <v>0</v>
      </c>
      <c r="M22" s="74">
        <v>60</v>
      </c>
    </row>
    <row r="23" spans="1:13" x14ac:dyDescent="0.2">
      <c r="A23" s="446" t="s">
        <v>1448</v>
      </c>
      <c r="B23" s="446" t="s">
        <v>3951</v>
      </c>
      <c r="C23" s="446" t="s">
        <v>1098</v>
      </c>
      <c r="D23" s="446" t="s">
        <v>153</v>
      </c>
      <c r="E23" s="446" t="s">
        <v>3798</v>
      </c>
      <c r="F23" s="298">
        <v>42765</v>
      </c>
      <c r="G23" s="74">
        <v>132</v>
      </c>
      <c r="H23" s="74">
        <v>0</v>
      </c>
      <c r="I23" s="74">
        <v>132</v>
      </c>
      <c r="J23" s="74">
        <v>0</v>
      </c>
      <c r="K23" s="74">
        <v>0</v>
      </c>
      <c r="L23" s="74">
        <v>0</v>
      </c>
      <c r="M23" s="74">
        <v>132</v>
      </c>
    </row>
    <row r="24" spans="1:13" x14ac:dyDescent="0.2">
      <c r="A24" s="446" t="s">
        <v>1630</v>
      </c>
      <c r="B24" s="446" t="s">
        <v>3945</v>
      </c>
      <c r="C24" s="446" t="s">
        <v>1631</v>
      </c>
      <c r="D24" s="446" t="s">
        <v>153</v>
      </c>
      <c r="E24" s="446" t="s">
        <v>2944</v>
      </c>
      <c r="F24" s="298">
        <v>43132</v>
      </c>
      <c r="G24" s="74">
        <v>0</v>
      </c>
      <c r="H24" s="74">
        <v>0</v>
      </c>
      <c r="I24" s="74">
        <v>0</v>
      </c>
      <c r="J24" s="74">
        <v>101</v>
      </c>
      <c r="K24" s="74">
        <v>0</v>
      </c>
      <c r="L24" s="74">
        <v>101</v>
      </c>
      <c r="M24" s="74">
        <v>-101</v>
      </c>
    </row>
    <row r="25" spans="1:13" x14ac:dyDescent="0.2">
      <c r="A25" s="446" t="s">
        <v>1419</v>
      </c>
      <c r="B25" s="446" t="s">
        <v>3942</v>
      </c>
      <c r="C25" s="446" t="s">
        <v>1420</v>
      </c>
      <c r="D25" s="446" t="s">
        <v>153</v>
      </c>
      <c r="E25" s="446" t="s">
        <v>3798</v>
      </c>
      <c r="F25" s="298">
        <v>43062</v>
      </c>
      <c r="G25" s="74">
        <v>0</v>
      </c>
      <c r="H25" s="74">
        <v>33</v>
      </c>
      <c r="I25" s="74">
        <v>33</v>
      </c>
      <c r="J25" s="74">
        <v>0</v>
      </c>
      <c r="K25" s="74">
        <v>0</v>
      </c>
      <c r="L25" s="74">
        <v>0</v>
      </c>
      <c r="M25" s="74">
        <v>33</v>
      </c>
    </row>
    <row r="26" spans="1:13" x14ac:dyDescent="0.2">
      <c r="A26" s="446" t="s">
        <v>1825</v>
      </c>
      <c r="B26" s="446" t="s">
        <v>3944</v>
      </c>
      <c r="C26" s="446" t="s">
        <v>250</v>
      </c>
      <c r="D26" s="446" t="s">
        <v>153</v>
      </c>
      <c r="E26" s="446" t="s">
        <v>3798</v>
      </c>
      <c r="F26" s="298">
        <v>41810</v>
      </c>
      <c r="G26" s="74">
        <v>533</v>
      </c>
      <c r="H26" s="74">
        <v>0</v>
      </c>
      <c r="I26" s="74">
        <v>533</v>
      </c>
      <c r="J26" s="74">
        <v>151</v>
      </c>
      <c r="K26" s="74">
        <v>0</v>
      </c>
      <c r="L26" s="74">
        <v>151</v>
      </c>
      <c r="M26" s="74">
        <v>382</v>
      </c>
    </row>
    <row r="27" spans="1:13" x14ac:dyDescent="0.2">
      <c r="A27" s="446" t="s">
        <v>1520</v>
      </c>
      <c r="B27" s="446" t="s">
        <v>3944</v>
      </c>
      <c r="C27" s="446" t="s">
        <v>1218</v>
      </c>
      <c r="D27" s="446" t="s">
        <v>153</v>
      </c>
      <c r="E27" s="446" t="s">
        <v>3798</v>
      </c>
      <c r="F27" s="298">
        <v>42808</v>
      </c>
      <c r="G27" s="74">
        <v>0</v>
      </c>
      <c r="H27" s="74">
        <v>200</v>
      </c>
      <c r="I27" s="74">
        <v>200</v>
      </c>
      <c r="J27" s="74">
        <v>0</v>
      </c>
      <c r="K27" s="74">
        <v>0</v>
      </c>
      <c r="L27" s="74">
        <v>0</v>
      </c>
      <c r="M27" s="74">
        <v>200</v>
      </c>
    </row>
    <row r="28" spans="1:13" x14ac:dyDescent="0.2">
      <c r="A28" s="446" t="s">
        <v>2384</v>
      </c>
      <c r="B28" s="446" t="s">
        <v>3948</v>
      </c>
      <c r="C28" s="446" t="s">
        <v>1294</v>
      </c>
      <c r="D28" s="446" t="s">
        <v>153</v>
      </c>
      <c r="E28" s="446" t="s">
        <v>3798</v>
      </c>
      <c r="F28" s="298">
        <v>42863</v>
      </c>
      <c r="G28" s="74">
        <v>0</v>
      </c>
      <c r="H28" s="74">
        <v>93</v>
      </c>
      <c r="I28" s="74">
        <v>93</v>
      </c>
      <c r="J28" s="74">
        <v>0</v>
      </c>
      <c r="K28" s="74">
        <v>0</v>
      </c>
      <c r="L28" s="74">
        <v>0</v>
      </c>
      <c r="M28" s="74">
        <v>93</v>
      </c>
    </row>
    <row r="29" spans="1:13" x14ac:dyDescent="0.2">
      <c r="A29" s="446" t="s">
        <v>1842</v>
      </c>
      <c r="B29" s="446" t="s">
        <v>3946</v>
      </c>
      <c r="C29" s="446" t="s">
        <v>454</v>
      </c>
      <c r="D29" s="446" t="s">
        <v>153</v>
      </c>
      <c r="E29" s="446" t="s">
        <v>3798</v>
      </c>
      <c r="F29" s="298">
        <v>42193</v>
      </c>
      <c r="G29" s="74">
        <v>80</v>
      </c>
      <c r="H29" s="74">
        <v>0</v>
      </c>
      <c r="I29" s="74">
        <v>80</v>
      </c>
      <c r="J29" s="74">
        <v>0</v>
      </c>
      <c r="K29" s="74">
        <v>0</v>
      </c>
      <c r="L29" s="74">
        <v>0</v>
      </c>
      <c r="M29" s="74">
        <v>80</v>
      </c>
    </row>
    <row r="30" spans="1:13" x14ac:dyDescent="0.2">
      <c r="A30" s="446" t="s">
        <v>1637</v>
      </c>
      <c r="B30" s="446" t="s">
        <v>3945</v>
      </c>
      <c r="C30" s="446" t="s">
        <v>717</v>
      </c>
      <c r="D30" s="446" t="s">
        <v>153</v>
      </c>
      <c r="E30" s="446" t="s">
        <v>3798</v>
      </c>
      <c r="F30" s="298">
        <v>42181</v>
      </c>
      <c r="G30" s="74">
        <v>926</v>
      </c>
      <c r="H30" s="74">
        <v>0</v>
      </c>
      <c r="I30" s="74">
        <v>926</v>
      </c>
      <c r="J30" s="74">
        <v>460</v>
      </c>
      <c r="K30" s="74">
        <v>0</v>
      </c>
      <c r="L30" s="74">
        <v>460</v>
      </c>
      <c r="M30" s="74">
        <v>466</v>
      </c>
    </row>
    <row r="31" spans="1:13" x14ac:dyDescent="0.2">
      <c r="A31" s="446" t="s">
        <v>1658</v>
      </c>
      <c r="B31" s="446" t="s">
        <v>3954</v>
      </c>
      <c r="C31" s="446" t="s">
        <v>763</v>
      </c>
      <c r="D31" s="446" t="s">
        <v>153</v>
      </c>
      <c r="E31" s="446" t="s">
        <v>3798</v>
      </c>
      <c r="F31" s="298">
        <v>42320</v>
      </c>
      <c r="G31" s="74">
        <v>21</v>
      </c>
      <c r="H31" s="74">
        <v>0</v>
      </c>
      <c r="I31" s="74">
        <v>21</v>
      </c>
      <c r="J31" s="74">
        <v>0</v>
      </c>
      <c r="K31" s="74">
        <v>0</v>
      </c>
      <c r="L31" s="74">
        <v>0</v>
      </c>
      <c r="M31" s="74">
        <v>21</v>
      </c>
    </row>
    <row r="32" spans="1:13" x14ac:dyDescent="0.2">
      <c r="A32" s="446" t="s">
        <v>1769</v>
      </c>
      <c r="B32" s="446" t="s">
        <v>3947</v>
      </c>
      <c r="C32" s="446" t="s">
        <v>868</v>
      </c>
      <c r="D32" s="446" t="s">
        <v>153</v>
      </c>
      <c r="E32" s="446" t="s">
        <v>3798</v>
      </c>
      <c r="F32" s="298">
        <v>42598</v>
      </c>
      <c r="G32" s="74">
        <v>28</v>
      </c>
      <c r="H32" s="74">
        <v>0</v>
      </c>
      <c r="I32" s="74">
        <v>28</v>
      </c>
      <c r="J32" s="74">
        <v>24</v>
      </c>
      <c r="K32" s="74">
        <v>0</v>
      </c>
      <c r="L32" s="74">
        <v>24</v>
      </c>
      <c r="M32" s="74">
        <v>4</v>
      </c>
    </row>
    <row r="33" spans="1:13" x14ac:dyDescent="0.2">
      <c r="A33" s="446" t="s">
        <v>1309</v>
      </c>
      <c r="B33" s="446" t="s">
        <v>3939</v>
      </c>
      <c r="C33" s="446" t="s">
        <v>595</v>
      </c>
      <c r="D33" s="446" t="s">
        <v>153</v>
      </c>
      <c r="E33" s="446" t="s">
        <v>3798</v>
      </c>
      <c r="F33" s="298">
        <v>42453</v>
      </c>
      <c r="G33" s="74">
        <v>549</v>
      </c>
      <c r="H33" s="74">
        <v>0</v>
      </c>
      <c r="I33" s="74">
        <v>549</v>
      </c>
      <c r="J33" s="74">
        <v>0</v>
      </c>
      <c r="K33" s="74">
        <v>0</v>
      </c>
      <c r="L33" s="74">
        <v>0</v>
      </c>
      <c r="M33" s="74">
        <v>549</v>
      </c>
    </row>
    <row r="34" spans="1:13" x14ac:dyDescent="0.2">
      <c r="A34" s="446" t="s">
        <v>1444</v>
      </c>
      <c r="B34" s="446" t="s">
        <v>3939</v>
      </c>
      <c r="C34" s="446" t="s">
        <v>822</v>
      </c>
      <c r="D34" s="446" t="s">
        <v>153</v>
      </c>
      <c r="E34" s="446" t="s">
        <v>3798</v>
      </c>
      <c r="F34" s="298">
        <v>42523</v>
      </c>
      <c r="G34" s="74">
        <v>166</v>
      </c>
      <c r="H34" s="74">
        <v>0</v>
      </c>
      <c r="I34" s="74">
        <v>166</v>
      </c>
      <c r="J34" s="74">
        <v>0</v>
      </c>
      <c r="K34" s="74">
        <v>0</v>
      </c>
      <c r="L34" s="74">
        <v>0</v>
      </c>
      <c r="M34" s="74">
        <v>166</v>
      </c>
    </row>
    <row r="35" spans="1:13" x14ac:dyDescent="0.2">
      <c r="A35" s="446" t="s">
        <v>1582</v>
      </c>
      <c r="B35" s="446" t="s">
        <v>3940</v>
      </c>
      <c r="C35" s="446" t="s">
        <v>442</v>
      </c>
      <c r="D35" s="446" t="s">
        <v>153</v>
      </c>
      <c r="E35" s="446" t="s">
        <v>3798</v>
      </c>
      <c r="F35" s="298">
        <v>42200</v>
      </c>
      <c r="G35" s="74">
        <v>31</v>
      </c>
      <c r="H35" s="74">
        <v>0</v>
      </c>
      <c r="I35" s="74">
        <v>31</v>
      </c>
      <c r="J35" s="74">
        <v>0</v>
      </c>
      <c r="K35" s="74">
        <v>0</v>
      </c>
      <c r="L35" s="74">
        <v>0</v>
      </c>
      <c r="M35" s="74">
        <v>31</v>
      </c>
    </row>
    <row r="36" spans="1:13" x14ac:dyDescent="0.2">
      <c r="A36" s="446" t="s">
        <v>1481</v>
      </c>
      <c r="B36" s="446" t="s">
        <v>3949</v>
      </c>
      <c r="C36" s="446" t="s">
        <v>1252</v>
      </c>
      <c r="D36" s="446" t="s">
        <v>153</v>
      </c>
      <c r="E36" s="446" t="s">
        <v>3798</v>
      </c>
      <c r="F36" s="298">
        <v>42796</v>
      </c>
      <c r="G36" s="74">
        <v>83</v>
      </c>
      <c r="H36" s="74">
        <v>0</v>
      </c>
      <c r="I36" s="74">
        <v>83</v>
      </c>
      <c r="J36" s="74">
        <v>166</v>
      </c>
      <c r="K36" s="74">
        <v>0</v>
      </c>
      <c r="L36" s="74">
        <v>166</v>
      </c>
      <c r="M36" s="74">
        <v>-83</v>
      </c>
    </row>
    <row r="37" spans="1:13" x14ac:dyDescent="0.2">
      <c r="A37" s="446" t="s">
        <v>1602</v>
      </c>
      <c r="B37" s="446" t="s">
        <v>3940</v>
      </c>
      <c r="C37" s="446" t="s">
        <v>949</v>
      </c>
      <c r="D37" s="446" t="s">
        <v>153</v>
      </c>
      <c r="E37" s="446" t="s">
        <v>3798</v>
      </c>
      <c r="F37" s="298">
        <v>42593</v>
      </c>
      <c r="G37" s="74">
        <v>0</v>
      </c>
      <c r="H37" s="74">
        <v>213</v>
      </c>
      <c r="I37" s="74">
        <v>213</v>
      </c>
      <c r="J37" s="74">
        <v>0</v>
      </c>
      <c r="K37" s="74">
        <v>0</v>
      </c>
      <c r="L37" s="74">
        <v>0</v>
      </c>
      <c r="M37" s="74">
        <v>213</v>
      </c>
    </row>
    <row r="38" spans="1:13" x14ac:dyDescent="0.2">
      <c r="A38" s="446" t="s">
        <v>1584</v>
      </c>
      <c r="B38" s="446" t="s">
        <v>3944</v>
      </c>
      <c r="C38" s="446" t="s">
        <v>1585</v>
      </c>
      <c r="D38" s="446" t="s">
        <v>153</v>
      </c>
      <c r="E38" s="446" t="s">
        <v>3798</v>
      </c>
      <c r="F38" s="298">
        <v>41736</v>
      </c>
      <c r="G38" s="74">
        <v>265</v>
      </c>
      <c r="H38" s="74">
        <v>0</v>
      </c>
      <c r="I38" s="74">
        <v>265</v>
      </c>
      <c r="J38" s="74">
        <v>153</v>
      </c>
      <c r="K38" s="74">
        <v>0</v>
      </c>
      <c r="L38" s="74">
        <v>153</v>
      </c>
      <c r="M38" s="74">
        <v>112</v>
      </c>
    </row>
    <row r="39" spans="1:13" x14ac:dyDescent="0.2">
      <c r="A39" s="446" t="s">
        <v>1973</v>
      </c>
      <c r="B39" s="446" t="s">
        <v>3953</v>
      </c>
      <c r="C39" s="446" t="s">
        <v>351</v>
      </c>
      <c r="D39" s="446" t="s">
        <v>153</v>
      </c>
      <c r="E39" s="446" t="s">
        <v>3798</v>
      </c>
      <c r="F39" s="298">
        <v>41843</v>
      </c>
      <c r="G39" s="74">
        <v>140</v>
      </c>
      <c r="H39" s="74">
        <v>0</v>
      </c>
      <c r="I39" s="74">
        <v>140</v>
      </c>
      <c r="J39" s="74">
        <v>60</v>
      </c>
      <c r="K39" s="74">
        <v>0</v>
      </c>
      <c r="L39" s="74">
        <v>60</v>
      </c>
      <c r="M39" s="74">
        <v>80</v>
      </c>
    </row>
    <row r="40" spans="1:13" x14ac:dyDescent="0.2">
      <c r="A40" s="446" t="s">
        <v>1948</v>
      </c>
      <c r="B40" s="446" t="s">
        <v>3943</v>
      </c>
      <c r="C40" s="446" t="s">
        <v>1276</v>
      </c>
      <c r="D40" s="446" t="s">
        <v>153</v>
      </c>
      <c r="E40" s="446" t="s">
        <v>3798</v>
      </c>
      <c r="F40" s="298">
        <v>42998</v>
      </c>
      <c r="G40" s="74">
        <v>379</v>
      </c>
      <c r="H40" s="74">
        <v>0</v>
      </c>
      <c r="I40" s="74">
        <v>379</v>
      </c>
      <c r="J40" s="74">
        <v>0</v>
      </c>
      <c r="K40" s="74">
        <v>0</v>
      </c>
      <c r="L40" s="74">
        <v>0</v>
      </c>
      <c r="M40" s="74">
        <v>379</v>
      </c>
    </row>
    <row r="41" spans="1:13" x14ac:dyDescent="0.2">
      <c r="A41" s="446" t="s">
        <v>1832</v>
      </c>
      <c r="B41" s="446" t="s">
        <v>3953</v>
      </c>
      <c r="C41" s="446" t="s">
        <v>1833</v>
      </c>
      <c r="D41" s="446" t="s">
        <v>153</v>
      </c>
      <c r="E41" s="446" t="s">
        <v>3798</v>
      </c>
      <c r="F41" s="298">
        <v>43118</v>
      </c>
      <c r="G41" s="74">
        <v>0</v>
      </c>
      <c r="H41" s="74">
        <v>341</v>
      </c>
      <c r="I41" s="74">
        <v>341</v>
      </c>
      <c r="J41" s="74">
        <v>0</v>
      </c>
      <c r="K41" s="74">
        <v>95</v>
      </c>
      <c r="L41" s="74">
        <v>95</v>
      </c>
      <c r="M41" s="74">
        <v>246</v>
      </c>
    </row>
    <row r="42" spans="1:13" x14ac:dyDescent="0.2">
      <c r="A42" s="446" t="s">
        <v>1843</v>
      </c>
      <c r="B42" s="446" t="s">
        <v>3943</v>
      </c>
      <c r="C42" s="446" t="s">
        <v>1003</v>
      </c>
      <c r="D42" s="446" t="s">
        <v>153</v>
      </c>
      <c r="E42" s="446" t="s">
        <v>3798</v>
      </c>
      <c r="F42" s="298">
        <v>42702</v>
      </c>
      <c r="G42" s="74">
        <v>914</v>
      </c>
      <c r="H42" s="74">
        <v>0</v>
      </c>
      <c r="I42" s="74">
        <v>914</v>
      </c>
      <c r="J42" s="74">
        <v>175</v>
      </c>
      <c r="K42" s="74">
        <v>0</v>
      </c>
      <c r="L42" s="74">
        <v>175</v>
      </c>
      <c r="M42" s="74">
        <v>739</v>
      </c>
    </row>
    <row r="43" spans="1:13" x14ac:dyDescent="0.2">
      <c r="A43" s="446" t="s">
        <v>1674</v>
      </c>
      <c r="B43" s="446" t="s">
        <v>3947</v>
      </c>
      <c r="C43" s="446" t="s">
        <v>170</v>
      </c>
      <c r="D43" s="446" t="s">
        <v>153</v>
      </c>
      <c r="E43" s="446" t="s">
        <v>3798</v>
      </c>
      <c r="F43" s="298">
        <v>40892</v>
      </c>
      <c r="G43" s="74">
        <v>980</v>
      </c>
      <c r="H43" s="74">
        <v>0</v>
      </c>
      <c r="I43" s="74">
        <v>980</v>
      </c>
      <c r="J43" s="74">
        <v>0</v>
      </c>
      <c r="K43" s="74">
        <v>0</v>
      </c>
      <c r="L43" s="74">
        <v>0</v>
      </c>
      <c r="M43" s="74">
        <v>980</v>
      </c>
    </row>
    <row r="44" spans="1:13" x14ac:dyDescent="0.2">
      <c r="A44" s="446" t="s">
        <v>1975</v>
      </c>
      <c r="B44" s="446" t="s">
        <v>3952</v>
      </c>
      <c r="C44" s="446" t="s">
        <v>237</v>
      </c>
      <c r="D44" s="446" t="s">
        <v>153</v>
      </c>
      <c r="E44" s="446" t="s">
        <v>3798</v>
      </c>
      <c r="F44" s="298">
        <v>41550</v>
      </c>
      <c r="G44" s="74">
        <v>0</v>
      </c>
      <c r="H44" s="74">
        <v>117</v>
      </c>
      <c r="I44" s="74">
        <v>117</v>
      </c>
      <c r="J44" s="74">
        <v>0</v>
      </c>
      <c r="K44" s="74">
        <v>63</v>
      </c>
      <c r="L44" s="74">
        <v>63</v>
      </c>
      <c r="M44" s="74">
        <v>54</v>
      </c>
    </row>
    <row r="45" spans="1:13" x14ac:dyDescent="0.2">
      <c r="A45" s="446" t="s">
        <v>2550</v>
      </c>
      <c r="B45" s="446" t="s">
        <v>3940</v>
      </c>
      <c r="C45" s="446" t="s">
        <v>2551</v>
      </c>
      <c r="D45" s="446" t="s">
        <v>153</v>
      </c>
      <c r="E45" s="446" t="s">
        <v>3798</v>
      </c>
      <c r="F45" s="298">
        <v>43053</v>
      </c>
      <c r="G45" s="74">
        <v>286</v>
      </c>
      <c r="H45" s="74">
        <v>0</v>
      </c>
      <c r="I45" s="74">
        <v>286</v>
      </c>
      <c r="J45" s="74">
        <v>0</v>
      </c>
      <c r="K45" s="74">
        <v>0</v>
      </c>
      <c r="L45" s="74">
        <v>0</v>
      </c>
      <c r="M45" s="74">
        <v>286</v>
      </c>
    </row>
    <row r="46" spans="1:13" x14ac:dyDescent="0.2">
      <c r="A46" s="446" t="s">
        <v>95</v>
      </c>
      <c r="G46" s="74">
        <v>7043</v>
      </c>
      <c r="H46" s="74">
        <v>1390</v>
      </c>
      <c r="I46" s="74">
        <v>8433</v>
      </c>
      <c r="J46" s="74">
        <v>1943</v>
      </c>
      <c r="K46" s="74">
        <v>350</v>
      </c>
      <c r="L46" s="74">
        <v>2293</v>
      </c>
      <c r="M46" s="74">
        <v>6140</v>
      </c>
    </row>
  </sheetData>
  <conditionalFormatting sqref="D1:D1048576">
    <cfRule type="cellIs" dxfId="23"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M14"/>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3897</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x14ac:dyDescent="0.2">
      <c r="A7" s="344" t="s">
        <v>1835</v>
      </c>
      <c r="B7" s="342" t="s">
        <v>3946</v>
      </c>
      <c r="C7" s="343" t="s">
        <v>1109</v>
      </c>
      <c r="D7" s="342" t="s">
        <v>153</v>
      </c>
      <c r="E7" s="344" t="s">
        <v>3798</v>
      </c>
      <c r="F7" s="345">
        <v>42852</v>
      </c>
      <c r="G7" s="346">
        <v>130</v>
      </c>
      <c r="H7" s="346">
        <v>0</v>
      </c>
      <c r="I7" s="347">
        <v>130</v>
      </c>
      <c r="J7" s="346">
        <v>0</v>
      </c>
      <c r="K7" s="346">
        <v>0</v>
      </c>
      <c r="L7" s="347">
        <v>0</v>
      </c>
      <c r="M7" s="346">
        <v>130</v>
      </c>
    </row>
    <row r="8" spans="1:13" s="319" customFormat="1" x14ac:dyDescent="0.2">
      <c r="A8" s="321" t="s">
        <v>1729</v>
      </c>
      <c r="B8" s="322" t="s">
        <v>3947</v>
      </c>
      <c r="C8" s="323" t="s">
        <v>67</v>
      </c>
      <c r="D8" s="322" t="s">
        <v>153</v>
      </c>
      <c r="E8" s="321" t="s">
        <v>3798</v>
      </c>
      <c r="F8" s="352">
        <v>40464</v>
      </c>
      <c r="G8" s="326">
        <v>22</v>
      </c>
      <c r="H8" s="326">
        <v>0</v>
      </c>
      <c r="I8" s="327">
        <v>22</v>
      </c>
      <c r="J8" s="326">
        <v>0</v>
      </c>
      <c r="K8" s="326">
        <v>0</v>
      </c>
      <c r="L8" s="327">
        <v>0</v>
      </c>
      <c r="M8" s="326">
        <v>22</v>
      </c>
    </row>
    <row r="9" spans="1:13" x14ac:dyDescent="0.2">
      <c r="A9" s="305" t="s">
        <v>1460</v>
      </c>
      <c r="B9" s="306" t="s">
        <v>3944</v>
      </c>
      <c r="C9" s="307" t="s">
        <v>1461</v>
      </c>
      <c r="D9" s="306" t="s">
        <v>153</v>
      </c>
      <c r="E9" s="305" t="s">
        <v>3798</v>
      </c>
      <c r="F9" s="335">
        <v>43063</v>
      </c>
      <c r="G9" s="309">
        <v>113</v>
      </c>
      <c r="H9" s="309">
        <v>0</v>
      </c>
      <c r="I9" s="317">
        <v>113</v>
      </c>
      <c r="J9" s="309">
        <v>0</v>
      </c>
      <c r="K9" s="309">
        <v>0</v>
      </c>
      <c r="L9" s="317">
        <v>0</v>
      </c>
      <c r="M9" s="309">
        <v>113</v>
      </c>
    </row>
    <row r="10" spans="1:13" ht="22.5" x14ac:dyDescent="0.2">
      <c r="A10" s="305" t="s">
        <v>1867</v>
      </c>
      <c r="B10" s="306" t="s">
        <v>3947</v>
      </c>
      <c r="C10" s="307" t="s">
        <v>1262</v>
      </c>
      <c r="D10" s="306" t="s">
        <v>1885</v>
      </c>
      <c r="E10" s="305" t="s">
        <v>3798</v>
      </c>
      <c r="F10" s="335">
        <v>42845</v>
      </c>
      <c r="G10" s="309">
        <v>696</v>
      </c>
      <c r="H10" s="309">
        <v>696</v>
      </c>
      <c r="I10" s="317">
        <v>1392</v>
      </c>
      <c r="J10" s="309">
        <v>0</v>
      </c>
      <c r="K10" s="309">
        <v>0</v>
      </c>
      <c r="L10" s="317">
        <v>0</v>
      </c>
      <c r="M10" s="309">
        <v>1392</v>
      </c>
    </row>
    <row r="11" spans="1:13" ht="33.75" x14ac:dyDescent="0.2">
      <c r="A11" s="305" t="s">
        <v>1544</v>
      </c>
      <c r="B11" s="306" t="s">
        <v>3946</v>
      </c>
      <c r="C11" s="307" t="s">
        <v>62</v>
      </c>
      <c r="D11" s="306" t="s">
        <v>153</v>
      </c>
      <c r="E11" s="305" t="s">
        <v>3798</v>
      </c>
      <c r="F11" s="335">
        <v>40434</v>
      </c>
      <c r="G11" s="309">
        <v>497</v>
      </c>
      <c r="H11" s="309">
        <v>1321</v>
      </c>
      <c r="I11" s="317">
        <v>1818</v>
      </c>
      <c r="J11" s="309">
        <v>0</v>
      </c>
      <c r="K11" s="309">
        <v>0</v>
      </c>
      <c r="L11" s="317">
        <v>0</v>
      </c>
      <c r="M11" s="309">
        <v>1818</v>
      </c>
    </row>
    <row r="12" spans="1:13" ht="45" x14ac:dyDescent="0.2">
      <c r="A12" s="305" t="s">
        <v>1525</v>
      </c>
      <c r="B12" s="306" t="s">
        <v>3947</v>
      </c>
      <c r="C12" s="307" t="s">
        <v>1535</v>
      </c>
      <c r="D12" s="306" t="s">
        <v>1538</v>
      </c>
      <c r="E12" s="305" t="s">
        <v>3798</v>
      </c>
      <c r="F12" s="335">
        <v>42682</v>
      </c>
      <c r="G12" s="309">
        <v>509</v>
      </c>
      <c r="H12" s="309">
        <v>936</v>
      </c>
      <c r="I12" s="317">
        <v>1445</v>
      </c>
      <c r="J12" s="309">
        <v>0</v>
      </c>
      <c r="K12" s="309">
        <v>0</v>
      </c>
      <c r="L12" s="317">
        <v>0</v>
      </c>
      <c r="M12" s="309">
        <v>1445</v>
      </c>
    </row>
    <row r="13" spans="1:13" x14ac:dyDescent="0.2">
      <c r="A13" s="305" t="s">
        <v>1711</v>
      </c>
      <c r="B13" s="306" t="s">
        <v>3943</v>
      </c>
      <c r="C13" s="307" t="s">
        <v>383</v>
      </c>
      <c r="D13" s="306" t="s">
        <v>153</v>
      </c>
      <c r="E13" s="305" t="s">
        <v>3798</v>
      </c>
      <c r="F13" s="335">
        <v>41809</v>
      </c>
      <c r="G13" s="309">
        <v>824</v>
      </c>
      <c r="H13" s="309">
        <v>0</v>
      </c>
      <c r="I13" s="317">
        <v>824</v>
      </c>
      <c r="J13" s="309">
        <v>0</v>
      </c>
      <c r="K13" s="309">
        <v>0</v>
      </c>
      <c r="L13" s="317">
        <v>0</v>
      </c>
      <c r="M13" s="309">
        <v>824</v>
      </c>
    </row>
    <row r="14" spans="1:13" x14ac:dyDescent="0.2">
      <c r="A14" s="328" t="s">
        <v>95</v>
      </c>
      <c r="B14" s="329"/>
      <c r="C14" s="330"/>
      <c r="D14" s="329"/>
      <c r="E14" s="328"/>
      <c r="F14" s="349"/>
      <c r="G14" s="333">
        <v>2791</v>
      </c>
      <c r="H14" s="333">
        <v>2953</v>
      </c>
      <c r="I14" s="334">
        <v>5744</v>
      </c>
      <c r="J14" s="333">
        <v>0</v>
      </c>
      <c r="K14" s="333">
        <v>0</v>
      </c>
      <c r="L14" s="334">
        <v>0</v>
      </c>
      <c r="M14" s="333">
        <v>5744</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21"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M14"/>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2936</v>
      </c>
    </row>
    <row r="2" spans="1:13" x14ac:dyDescent="0.2">
      <c r="A2" s="77" t="s">
        <v>2940</v>
      </c>
      <c r="B2" s="446" t="s">
        <v>429</v>
      </c>
    </row>
    <row r="3" spans="1:13" x14ac:dyDescent="0.2">
      <c r="A3" s="77" t="s">
        <v>2941</v>
      </c>
      <c r="B3" s="446" t="s">
        <v>2942</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1835</v>
      </c>
      <c r="B7" s="446" t="s">
        <v>3946</v>
      </c>
      <c r="C7" s="446" t="s">
        <v>1109</v>
      </c>
      <c r="D7" s="446" t="s">
        <v>153</v>
      </c>
      <c r="E7" s="446" t="s">
        <v>3798</v>
      </c>
      <c r="F7" s="298">
        <v>42852</v>
      </c>
      <c r="G7" s="74">
        <v>130</v>
      </c>
      <c r="H7" s="74">
        <v>0</v>
      </c>
      <c r="I7" s="74">
        <v>130</v>
      </c>
      <c r="J7" s="74">
        <v>0</v>
      </c>
      <c r="K7" s="74">
        <v>0</v>
      </c>
      <c r="L7" s="74">
        <v>0</v>
      </c>
      <c r="M7" s="74">
        <v>130</v>
      </c>
    </row>
    <row r="8" spans="1:13" x14ac:dyDescent="0.2">
      <c r="A8" s="446" t="s">
        <v>1729</v>
      </c>
      <c r="B8" s="446" t="s">
        <v>3947</v>
      </c>
      <c r="C8" s="446" t="s">
        <v>67</v>
      </c>
      <c r="D8" s="446" t="s">
        <v>153</v>
      </c>
      <c r="E8" s="446" t="s">
        <v>3798</v>
      </c>
      <c r="F8" s="298">
        <v>40464</v>
      </c>
      <c r="G8" s="74">
        <v>22</v>
      </c>
      <c r="H8" s="74">
        <v>0</v>
      </c>
      <c r="I8" s="74">
        <v>22</v>
      </c>
      <c r="J8" s="74">
        <v>0</v>
      </c>
      <c r="K8" s="74">
        <v>0</v>
      </c>
      <c r="L8" s="74">
        <v>0</v>
      </c>
      <c r="M8" s="74">
        <v>22</v>
      </c>
    </row>
    <row r="9" spans="1:13" x14ac:dyDescent="0.2">
      <c r="A9" s="446" t="s">
        <v>1460</v>
      </c>
      <c r="B9" s="446" t="s">
        <v>3944</v>
      </c>
      <c r="C9" s="446" t="s">
        <v>1461</v>
      </c>
      <c r="D9" s="446" t="s">
        <v>153</v>
      </c>
      <c r="E9" s="446" t="s">
        <v>3798</v>
      </c>
      <c r="F9" s="298">
        <v>43063</v>
      </c>
      <c r="G9" s="74">
        <v>113</v>
      </c>
      <c r="H9" s="74">
        <v>0</v>
      </c>
      <c r="I9" s="74">
        <v>113</v>
      </c>
      <c r="J9" s="74">
        <v>0</v>
      </c>
      <c r="K9" s="74">
        <v>0</v>
      </c>
      <c r="L9" s="74">
        <v>0</v>
      </c>
      <c r="M9" s="74">
        <v>113</v>
      </c>
    </row>
    <row r="10" spans="1:13" x14ac:dyDescent="0.2">
      <c r="A10" s="446" t="s">
        <v>1867</v>
      </c>
      <c r="B10" s="446" t="s">
        <v>3947</v>
      </c>
      <c r="C10" s="446" t="s">
        <v>1262</v>
      </c>
      <c r="D10" s="446" t="s">
        <v>1885</v>
      </c>
      <c r="E10" s="446" t="s">
        <v>3798</v>
      </c>
      <c r="F10" s="298">
        <v>42845</v>
      </c>
      <c r="G10" s="74">
        <v>696</v>
      </c>
      <c r="H10" s="74">
        <v>696</v>
      </c>
      <c r="I10" s="74">
        <v>1392</v>
      </c>
      <c r="J10" s="74">
        <v>0</v>
      </c>
      <c r="K10" s="74">
        <v>0</v>
      </c>
      <c r="L10" s="74">
        <v>0</v>
      </c>
      <c r="M10" s="74">
        <v>1392</v>
      </c>
    </row>
    <row r="11" spans="1:13" x14ac:dyDescent="0.2">
      <c r="A11" s="446" t="s">
        <v>1544</v>
      </c>
      <c r="B11" s="446" t="s">
        <v>3946</v>
      </c>
      <c r="C11" s="446" t="s">
        <v>62</v>
      </c>
      <c r="D11" s="446" t="s">
        <v>153</v>
      </c>
      <c r="E11" s="446" t="s">
        <v>3798</v>
      </c>
      <c r="F11" s="298">
        <v>40434</v>
      </c>
      <c r="G11" s="74">
        <v>497</v>
      </c>
      <c r="H11" s="74">
        <v>1321</v>
      </c>
      <c r="I11" s="74">
        <v>1818</v>
      </c>
      <c r="J11" s="74">
        <v>0</v>
      </c>
      <c r="K11" s="74">
        <v>0</v>
      </c>
      <c r="L11" s="74">
        <v>0</v>
      </c>
      <c r="M11" s="74">
        <v>1818</v>
      </c>
    </row>
    <row r="12" spans="1:13" x14ac:dyDescent="0.2">
      <c r="A12" s="446" t="s">
        <v>1525</v>
      </c>
      <c r="B12" s="446" t="s">
        <v>3947</v>
      </c>
      <c r="C12" s="446" t="s">
        <v>1535</v>
      </c>
      <c r="D12" s="446" t="s">
        <v>1538</v>
      </c>
      <c r="E12" s="446" t="s">
        <v>3798</v>
      </c>
      <c r="F12" s="298">
        <v>42682</v>
      </c>
      <c r="G12" s="74">
        <v>509</v>
      </c>
      <c r="H12" s="74">
        <v>936</v>
      </c>
      <c r="I12" s="74">
        <v>1445</v>
      </c>
      <c r="J12" s="74">
        <v>0</v>
      </c>
      <c r="K12" s="74">
        <v>0</v>
      </c>
      <c r="L12" s="74">
        <v>0</v>
      </c>
      <c r="M12" s="74">
        <v>1445</v>
      </c>
    </row>
    <row r="13" spans="1:13" x14ac:dyDescent="0.2">
      <c r="A13" s="446" t="s">
        <v>1711</v>
      </c>
      <c r="B13" s="446" t="s">
        <v>3943</v>
      </c>
      <c r="C13" s="446" t="s">
        <v>383</v>
      </c>
      <c r="D13" s="446" t="s">
        <v>153</v>
      </c>
      <c r="E13" s="446" t="s">
        <v>3798</v>
      </c>
      <c r="F13" s="298">
        <v>41809</v>
      </c>
      <c r="G13" s="74">
        <v>824</v>
      </c>
      <c r="H13" s="74">
        <v>0</v>
      </c>
      <c r="I13" s="74">
        <v>824</v>
      </c>
      <c r="J13" s="74">
        <v>0</v>
      </c>
      <c r="K13" s="74">
        <v>0</v>
      </c>
      <c r="L13" s="74">
        <v>0</v>
      </c>
      <c r="M13" s="74">
        <v>824</v>
      </c>
    </row>
    <row r="14" spans="1:13" x14ac:dyDescent="0.2">
      <c r="A14" s="446" t="s">
        <v>95</v>
      </c>
      <c r="G14" s="74">
        <v>2791</v>
      </c>
      <c r="H14" s="74">
        <v>2953</v>
      </c>
      <c r="I14" s="74">
        <v>5744</v>
      </c>
      <c r="J14" s="74">
        <v>0</v>
      </c>
      <c r="K14" s="74">
        <v>0</v>
      </c>
      <c r="L14" s="74">
        <v>0</v>
      </c>
      <c r="M14" s="74">
        <v>5744</v>
      </c>
    </row>
  </sheetData>
  <conditionalFormatting sqref="D1:D1048576">
    <cfRule type="cellIs" dxfId="20"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M62"/>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3898</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ht="45" x14ac:dyDescent="0.2">
      <c r="A7" s="344" t="s">
        <v>2601</v>
      </c>
      <c r="B7" s="342" t="s">
        <v>3943</v>
      </c>
      <c r="C7" s="343" t="s">
        <v>2602</v>
      </c>
      <c r="D7" s="342" t="s">
        <v>153</v>
      </c>
      <c r="E7" s="344" t="s">
        <v>3798</v>
      </c>
      <c r="F7" s="345">
        <v>43185</v>
      </c>
      <c r="G7" s="346">
        <v>15759</v>
      </c>
      <c r="H7" s="346">
        <v>0</v>
      </c>
      <c r="I7" s="347">
        <v>15759</v>
      </c>
      <c r="J7" s="346">
        <v>2791</v>
      </c>
      <c r="K7" s="346">
        <v>0</v>
      </c>
      <c r="L7" s="347">
        <v>2791</v>
      </c>
      <c r="M7" s="346">
        <v>12968</v>
      </c>
    </row>
    <row r="8" spans="1:13" s="319" customFormat="1" ht="22.5" x14ac:dyDescent="0.2">
      <c r="A8" s="321" t="s">
        <v>1952</v>
      </c>
      <c r="B8" s="322" t="s">
        <v>3951</v>
      </c>
      <c r="C8" s="323" t="s">
        <v>1302</v>
      </c>
      <c r="D8" s="322" t="s">
        <v>153</v>
      </c>
      <c r="E8" s="321" t="s">
        <v>3798</v>
      </c>
      <c r="F8" s="352">
        <v>42599</v>
      </c>
      <c r="G8" s="326">
        <v>500</v>
      </c>
      <c r="H8" s="326">
        <v>0</v>
      </c>
      <c r="I8" s="327">
        <v>500</v>
      </c>
      <c r="J8" s="326">
        <v>0</v>
      </c>
      <c r="K8" s="326">
        <v>0</v>
      </c>
      <c r="L8" s="327">
        <v>0</v>
      </c>
      <c r="M8" s="326">
        <v>500</v>
      </c>
    </row>
    <row r="9" spans="1:13" x14ac:dyDescent="0.2">
      <c r="A9" s="305" t="s">
        <v>1587</v>
      </c>
      <c r="B9" s="306" t="s">
        <v>3951</v>
      </c>
      <c r="C9" s="307" t="s">
        <v>1032</v>
      </c>
      <c r="D9" s="306" t="s">
        <v>153</v>
      </c>
      <c r="E9" s="305" t="s">
        <v>3798</v>
      </c>
      <c r="F9" s="335">
        <v>42664</v>
      </c>
      <c r="G9" s="309">
        <v>81</v>
      </c>
      <c r="H9" s="309">
        <v>0</v>
      </c>
      <c r="I9" s="317">
        <v>81</v>
      </c>
      <c r="J9" s="309">
        <v>167</v>
      </c>
      <c r="K9" s="309">
        <v>0</v>
      </c>
      <c r="L9" s="317">
        <v>167</v>
      </c>
      <c r="M9" s="309">
        <v>-86</v>
      </c>
    </row>
    <row r="10" spans="1:13" x14ac:dyDescent="0.2">
      <c r="A10" s="305" t="s">
        <v>1892</v>
      </c>
      <c r="B10" s="306" t="s">
        <v>3941</v>
      </c>
      <c r="C10" s="307" t="s">
        <v>226</v>
      </c>
      <c r="D10" s="306" t="s">
        <v>153</v>
      </c>
      <c r="E10" s="305" t="s">
        <v>3798</v>
      </c>
      <c r="F10" s="335">
        <v>42114</v>
      </c>
      <c r="G10" s="309">
        <v>0</v>
      </c>
      <c r="H10" s="309">
        <v>1170</v>
      </c>
      <c r="I10" s="317">
        <v>1170</v>
      </c>
      <c r="J10" s="309">
        <v>0</v>
      </c>
      <c r="K10" s="309">
        <v>0</v>
      </c>
      <c r="L10" s="317">
        <v>0</v>
      </c>
      <c r="M10" s="309">
        <v>1170</v>
      </c>
    </row>
    <row r="11" spans="1:13" x14ac:dyDescent="0.2">
      <c r="A11" s="305" t="s">
        <v>1502</v>
      </c>
      <c r="B11" s="306" t="s">
        <v>3952</v>
      </c>
      <c r="C11" s="307" t="s">
        <v>569</v>
      </c>
      <c r="D11" s="306" t="s">
        <v>153</v>
      </c>
      <c r="E11" s="305" t="s">
        <v>3798</v>
      </c>
      <c r="F11" s="335">
        <v>42433</v>
      </c>
      <c r="G11" s="309">
        <v>0</v>
      </c>
      <c r="H11" s="309">
        <v>130</v>
      </c>
      <c r="I11" s="317">
        <v>130</v>
      </c>
      <c r="J11" s="309">
        <v>0</v>
      </c>
      <c r="K11" s="309">
        <v>0</v>
      </c>
      <c r="L11" s="317">
        <v>0</v>
      </c>
      <c r="M11" s="309">
        <v>130</v>
      </c>
    </row>
    <row r="12" spans="1:13" x14ac:dyDescent="0.2">
      <c r="A12" s="305" t="s">
        <v>1357</v>
      </c>
      <c r="B12" s="306" t="s">
        <v>3946</v>
      </c>
      <c r="C12" s="307" t="s">
        <v>181</v>
      </c>
      <c r="D12" s="306" t="s">
        <v>153</v>
      </c>
      <c r="E12" s="305" t="s">
        <v>3798</v>
      </c>
      <c r="F12" s="335">
        <v>41201</v>
      </c>
      <c r="G12" s="309">
        <v>86</v>
      </c>
      <c r="H12" s="309">
        <v>0</v>
      </c>
      <c r="I12" s="317">
        <v>86</v>
      </c>
      <c r="J12" s="309">
        <v>136</v>
      </c>
      <c r="K12" s="309">
        <v>0</v>
      </c>
      <c r="L12" s="317">
        <v>136</v>
      </c>
      <c r="M12" s="309">
        <v>-50</v>
      </c>
    </row>
    <row r="13" spans="1:13" x14ac:dyDescent="0.2">
      <c r="A13" s="305" t="s">
        <v>2657</v>
      </c>
      <c r="B13" s="306" t="s">
        <v>3946</v>
      </c>
      <c r="C13" s="307" t="s">
        <v>2658</v>
      </c>
      <c r="D13" s="306" t="s">
        <v>153</v>
      </c>
      <c r="E13" s="305" t="s">
        <v>3798</v>
      </c>
      <c r="F13" s="335">
        <v>43172</v>
      </c>
      <c r="G13" s="309">
        <v>118</v>
      </c>
      <c r="H13" s="309">
        <v>0</v>
      </c>
      <c r="I13" s="317">
        <v>118</v>
      </c>
      <c r="J13" s="309">
        <v>0</v>
      </c>
      <c r="K13" s="309">
        <v>0</v>
      </c>
      <c r="L13" s="317">
        <v>0</v>
      </c>
      <c r="M13" s="309">
        <v>118</v>
      </c>
    </row>
    <row r="14" spans="1:13" s="319" customFormat="1" x14ac:dyDescent="0.2">
      <c r="A14" s="321" t="s">
        <v>2263</v>
      </c>
      <c r="B14" s="322" t="s">
        <v>3947</v>
      </c>
      <c r="C14" s="323" t="s">
        <v>913</v>
      </c>
      <c r="D14" s="322" t="s">
        <v>153</v>
      </c>
      <c r="E14" s="321" t="s">
        <v>3798</v>
      </c>
      <c r="F14" s="352">
        <v>42634</v>
      </c>
      <c r="G14" s="326">
        <v>303</v>
      </c>
      <c r="H14" s="326">
        <v>0</v>
      </c>
      <c r="I14" s="327">
        <v>303</v>
      </c>
      <c r="J14" s="326">
        <v>0</v>
      </c>
      <c r="K14" s="326">
        <v>0</v>
      </c>
      <c r="L14" s="327">
        <v>0</v>
      </c>
      <c r="M14" s="326">
        <v>303</v>
      </c>
    </row>
    <row r="15" spans="1:13" x14ac:dyDescent="0.2">
      <c r="A15" s="305" t="s">
        <v>2363</v>
      </c>
      <c r="B15" s="306" t="s">
        <v>149</v>
      </c>
      <c r="C15" s="307" t="s">
        <v>1224</v>
      </c>
      <c r="D15" s="306" t="s">
        <v>153</v>
      </c>
      <c r="E15" s="305" t="s">
        <v>3798</v>
      </c>
      <c r="F15" s="335">
        <v>42852</v>
      </c>
      <c r="G15" s="309">
        <v>0</v>
      </c>
      <c r="H15" s="309">
        <v>0</v>
      </c>
      <c r="I15" s="317">
        <v>0</v>
      </c>
      <c r="J15" s="309">
        <v>119</v>
      </c>
      <c r="K15" s="309">
        <v>0</v>
      </c>
      <c r="L15" s="317">
        <v>119</v>
      </c>
      <c r="M15" s="309">
        <v>-119</v>
      </c>
    </row>
    <row r="16" spans="1:13" x14ac:dyDescent="0.2">
      <c r="A16" s="305" t="s">
        <v>1985</v>
      </c>
      <c r="B16" s="306" t="s">
        <v>3948</v>
      </c>
      <c r="C16" s="307" t="s">
        <v>1194</v>
      </c>
      <c r="D16" s="306" t="s">
        <v>153</v>
      </c>
      <c r="E16" s="305" t="s">
        <v>3798</v>
      </c>
      <c r="F16" s="335">
        <v>42814</v>
      </c>
      <c r="G16" s="309">
        <v>0</v>
      </c>
      <c r="H16" s="309">
        <v>467</v>
      </c>
      <c r="I16" s="317">
        <v>467</v>
      </c>
      <c r="J16" s="309">
        <v>0</v>
      </c>
      <c r="K16" s="309">
        <v>0</v>
      </c>
      <c r="L16" s="317">
        <v>0</v>
      </c>
      <c r="M16" s="309">
        <v>467</v>
      </c>
    </row>
    <row r="17" spans="1:13" x14ac:dyDescent="0.2">
      <c r="A17" s="305" t="s">
        <v>2084</v>
      </c>
      <c r="B17" s="306" t="s">
        <v>3947</v>
      </c>
      <c r="C17" s="307" t="s">
        <v>515</v>
      </c>
      <c r="D17" s="306" t="s">
        <v>153</v>
      </c>
      <c r="E17" s="305" t="s">
        <v>3798</v>
      </c>
      <c r="F17" s="335">
        <v>42647</v>
      </c>
      <c r="G17" s="309">
        <v>123</v>
      </c>
      <c r="H17" s="309">
        <v>310</v>
      </c>
      <c r="I17" s="317">
        <v>433</v>
      </c>
      <c r="J17" s="309">
        <v>0</v>
      </c>
      <c r="K17" s="309">
        <v>0</v>
      </c>
      <c r="L17" s="317">
        <v>0</v>
      </c>
      <c r="M17" s="309">
        <v>433</v>
      </c>
    </row>
    <row r="18" spans="1:13" x14ac:dyDescent="0.2">
      <c r="A18" s="305" t="s">
        <v>1910</v>
      </c>
      <c r="B18" s="306" t="s">
        <v>3947</v>
      </c>
      <c r="C18" s="307" t="s">
        <v>373</v>
      </c>
      <c r="D18" s="306" t="s">
        <v>153</v>
      </c>
      <c r="E18" s="305" t="s">
        <v>3798</v>
      </c>
      <c r="F18" s="335">
        <v>41953</v>
      </c>
      <c r="G18" s="309">
        <v>0</v>
      </c>
      <c r="H18" s="309">
        <v>0</v>
      </c>
      <c r="I18" s="317">
        <v>0</v>
      </c>
      <c r="J18" s="309">
        <v>742</v>
      </c>
      <c r="K18" s="309">
        <v>0</v>
      </c>
      <c r="L18" s="317">
        <v>742</v>
      </c>
      <c r="M18" s="309">
        <v>-742</v>
      </c>
    </row>
    <row r="19" spans="1:13" x14ac:dyDescent="0.2">
      <c r="A19" s="305" t="s">
        <v>2132</v>
      </c>
      <c r="B19" s="306" t="s">
        <v>2904</v>
      </c>
      <c r="C19" s="307" t="s">
        <v>479</v>
      </c>
      <c r="D19" s="306" t="s">
        <v>153</v>
      </c>
      <c r="E19" s="305" t="s">
        <v>3798</v>
      </c>
      <c r="F19" s="335">
        <v>42270</v>
      </c>
      <c r="G19" s="309">
        <v>990</v>
      </c>
      <c r="H19" s="309">
        <v>0</v>
      </c>
      <c r="I19" s="317">
        <v>990</v>
      </c>
      <c r="J19" s="309">
        <v>280</v>
      </c>
      <c r="K19" s="309">
        <v>0</v>
      </c>
      <c r="L19" s="317">
        <v>280</v>
      </c>
      <c r="M19" s="309">
        <v>710</v>
      </c>
    </row>
    <row r="20" spans="1:13" x14ac:dyDescent="0.2">
      <c r="A20" s="305" t="s">
        <v>1663</v>
      </c>
      <c r="B20" s="306" t="s">
        <v>3942</v>
      </c>
      <c r="C20" s="307" t="s">
        <v>1664</v>
      </c>
      <c r="D20" s="306" t="s">
        <v>153</v>
      </c>
      <c r="E20" s="305" t="s">
        <v>3798</v>
      </c>
      <c r="F20" s="335">
        <v>43063</v>
      </c>
      <c r="G20" s="309">
        <v>0</v>
      </c>
      <c r="H20" s="309">
        <v>75</v>
      </c>
      <c r="I20" s="317">
        <v>75</v>
      </c>
      <c r="J20" s="309">
        <v>0</v>
      </c>
      <c r="K20" s="309">
        <v>0</v>
      </c>
      <c r="L20" s="317">
        <v>0</v>
      </c>
      <c r="M20" s="309">
        <v>75</v>
      </c>
    </row>
    <row r="21" spans="1:13" ht="45" x14ac:dyDescent="0.2">
      <c r="A21" s="305" t="s">
        <v>2823</v>
      </c>
      <c r="B21" s="306" t="s">
        <v>3947</v>
      </c>
      <c r="C21" s="307" t="s">
        <v>2824</v>
      </c>
      <c r="D21" s="306" t="s">
        <v>2830</v>
      </c>
      <c r="E21" s="305" t="s">
        <v>3798</v>
      </c>
      <c r="F21" s="335">
        <v>42774</v>
      </c>
      <c r="G21" s="309">
        <v>149</v>
      </c>
      <c r="H21" s="309">
        <v>0</v>
      </c>
      <c r="I21" s="317">
        <v>149</v>
      </c>
      <c r="J21" s="309">
        <v>0</v>
      </c>
      <c r="K21" s="309">
        <v>0</v>
      </c>
      <c r="L21" s="317">
        <v>0</v>
      </c>
      <c r="M21" s="309">
        <v>149</v>
      </c>
    </row>
    <row r="22" spans="1:13" x14ac:dyDescent="0.2">
      <c r="D22" s="306" t="s">
        <v>2831</v>
      </c>
      <c r="E22" s="305" t="s">
        <v>3798</v>
      </c>
      <c r="F22" s="335">
        <v>42774</v>
      </c>
      <c r="G22" s="309">
        <v>0</v>
      </c>
      <c r="H22" s="309">
        <v>149</v>
      </c>
      <c r="I22" s="317">
        <v>149</v>
      </c>
      <c r="J22" s="309">
        <v>0</v>
      </c>
      <c r="K22" s="309">
        <v>0</v>
      </c>
      <c r="L22" s="317">
        <v>0</v>
      </c>
      <c r="M22" s="309">
        <v>149</v>
      </c>
    </row>
    <row r="23" spans="1:13" x14ac:dyDescent="0.2">
      <c r="D23" s="306" t="s">
        <v>2833</v>
      </c>
      <c r="E23" s="305" t="s">
        <v>3798</v>
      </c>
      <c r="F23" s="335">
        <v>42774</v>
      </c>
      <c r="G23" s="309">
        <v>0</v>
      </c>
      <c r="H23" s="309">
        <v>150</v>
      </c>
      <c r="I23" s="317">
        <v>150</v>
      </c>
      <c r="J23" s="309">
        <v>0</v>
      </c>
      <c r="K23" s="309">
        <v>0</v>
      </c>
      <c r="L23" s="317">
        <v>0</v>
      </c>
      <c r="M23" s="309">
        <v>150</v>
      </c>
    </row>
    <row r="24" spans="1:13" x14ac:dyDescent="0.2">
      <c r="D24" s="306" t="s">
        <v>2839</v>
      </c>
      <c r="E24" s="305" t="s">
        <v>3798</v>
      </c>
      <c r="F24" s="335">
        <v>42774</v>
      </c>
      <c r="G24" s="309">
        <v>233</v>
      </c>
      <c r="H24" s="309">
        <v>233</v>
      </c>
      <c r="I24" s="317">
        <v>466</v>
      </c>
      <c r="J24" s="309">
        <v>0</v>
      </c>
      <c r="K24" s="309">
        <v>0</v>
      </c>
      <c r="L24" s="317">
        <v>0</v>
      </c>
      <c r="M24" s="309">
        <v>466</v>
      </c>
    </row>
    <row r="25" spans="1:13" ht="22.5" x14ac:dyDescent="0.2">
      <c r="A25" s="305" t="s">
        <v>1700</v>
      </c>
      <c r="B25" s="306" t="s">
        <v>3947</v>
      </c>
      <c r="C25" s="307" t="s">
        <v>1306</v>
      </c>
      <c r="D25" s="306" t="s">
        <v>153</v>
      </c>
      <c r="E25" s="305" t="s">
        <v>3798</v>
      </c>
      <c r="F25" s="335">
        <v>42265</v>
      </c>
      <c r="G25" s="309">
        <v>2780</v>
      </c>
      <c r="H25" s="309">
        <v>0</v>
      </c>
      <c r="I25" s="317">
        <v>2780</v>
      </c>
      <c r="J25" s="309">
        <v>0</v>
      </c>
      <c r="K25" s="309">
        <v>0</v>
      </c>
      <c r="L25" s="317">
        <v>0</v>
      </c>
      <c r="M25" s="309">
        <v>2780</v>
      </c>
    </row>
    <row r="26" spans="1:13" x14ac:dyDescent="0.2">
      <c r="C26" s="307" t="s">
        <v>821</v>
      </c>
      <c r="D26" s="306" t="s">
        <v>153</v>
      </c>
      <c r="E26" s="305" t="s">
        <v>3798</v>
      </c>
      <c r="F26" s="335">
        <v>42667</v>
      </c>
      <c r="G26" s="309">
        <v>0</v>
      </c>
      <c r="H26" s="309">
        <v>1548</v>
      </c>
      <c r="I26" s="317">
        <v>1548</v>
      </c>
      <c r="J26" s="309">
        <v>0</v>
      </c>
      <c r="K26" s="309">
        <v>0</v>
      </c>
      <c r="L26" s="317">
        <v>0</v>
      </c>
      <c r="M26" s="309">
        <v>1548</v>
      </c>
    </row>
    <row r="27" spans="1:13" x14ac:dyDescent="0.2">
      <c r="C27" s="307" t="s">
        <v>1126</v>
      </c>
      <c r="D27" s="306" t="s">
        <v>153</v>
      </c>
      <c r="E27" s="305" t="s">
        <v>3798</v>
      </c>
      <c r="F27" s="335">
        <v>42858</v>
      </c>
      <c r="G27" s="309">
        <v>473</v>
      </c>
      <c r="H27" s="309">
        <v>331</v>
      </c>
      <c r="I27" s="317">
        <v>804</v>
      </c>
      <c r="J27" s="309">
        <v>395</v>
      </c>
      <c r="K27" s="309">
        <v>0</v>
      </c>
      <c r="L27" s="317">
        <v>395</v>
      </c>
      <c r="M27" s="309">
        <v>409</v>
      </c>
    </row>
    <row r="28" spans="1:13" ht="33.75" x14ac:dyDescent="0.2">
      <c r="A28" s="305" t="s">
        <v>2070</v>
      </c>
      <c r="B28" s="306" t="s">
        <v>3947</v>
      </c>
      <c r="C28" s="307" t="s">
        <v>380</v>
      </c>
      <c r="D28" s="306" t="s">
        <v>153</v>
      </c>
      <c r="E28" s="305" t="s">
        <v>3798</v>
      </c>
      <c r="F28" s="335">
        <v>42075</v>
      </c>
      <c r="G28" s="309">
        <v>4160</v>
      </c>
      <c r="H28" s="309">
        <v>0</v>
      </c>
      <c r="I28" s="317">
        <v>4160</v>
      </c>
      <c r="J28" s="309">
        <v>1780</v>
      </c>
      <c r="K28" s="309">
        <v>0</v>
      </c>
      <c r="L28" s="317">
        <v>1780</v>
      </c>
      <c r="M28" s="309">
        <v>2380</v>
      </c>
    </row>
    <row r="29" spans="1:13" ht="22.5" x14ac:dyDescent="0.2">
      <c r="A29" s="305" t="s">
        <v>2156</v>
      </c>
      <c r="B29" s="306" t="s">
        <v>3941</v>
      </c>
      <c r="C29" s="307" t="s">
        <v>550</v>
      </c>
      <c r="D29" s="306" t="s">
        <v>153</v>
      </c>
      <c r="E29" s="305" t="s">
        <v>3798</v>
      </c>
      <c r="F29" s="335">
        <v>42354</v>
      </c>
      <c r="G29" s="309">
        <v>8446</v>
      </c>
      <c r="H29" s="309">
        <v>0</v>
      </c>
      <c r="I29" s="317">
        <v>8446</v>
      </c>
      <c r="J29" s="309">
        <v>11557</v>
      </c>
      <c r="K29" s="309">
        <v>0</v>
      </c>
      <c r="L29" s="317">
        <v>11557</v>
      </c>
      <c r="M29" s="309">
        <v>-3111</v>
      </c>
    </row>
    <row r="30" spans="1:13" x14ac:dyDescent="0.2">
      <c r="C30" s="307" t="s">
        <v>1100</v>
      </c>
      <c r="D30" s="306" t="s">
        <v>153</v>
      </c>
      <c r="E30" s="305" t="s">
        <v>3798</v>
      </c>
      <c r="F30" s="335">
        <v>42793</v>
      </c>
      <c r="G30" s="309">
        <v>248</v>
      </c>
      <c r="H30" s="309">
        <v>0</v>
      </c>
      <c r="I30" s="317">
        <v>248</v>
      </c>
      <c r="J30" s="309">
        <v>0</v>
      </c>
      <c r="K30" s="309">
        <v>0</v>
      </c>
      <c r="L30" s="317">
        <v>0</v>
      </c>
      <c r="M30" s="309">
        <v>248</v>
      </c>
    </row>
    <row r="31" spans="1:13" ht="22.5" x14ac:dyDescent="0.2">
      <c r="A31" s="305" t="s">
        <v>1781</v>
      </c>
      <c r="B31" s="306" t="s">
        <v>3947</v>
      </c>
      <c r="C31" s="307" t="s">
        <v>1783</v>
      </c>
      <c r="D31" s="306" t="s">
        <v>153</v>
      </c>
      <c r="E31" s="305" t="s">
        <v>3798</v>
      </c>
      <c r="F31" s="335">
        <v>42810</v>
      </c>
      <c r="G31" s="309">
        <v>561</v>
      </c>
      <c r="H31" s="309">
        <v>561</v>
      </c>
      <c r="I31" s="317">
        <v>1122</v>
      </c>
      <c r="J31" s="309">
        <v>0</v>
      </c>
      <c r="K31" s="309">
        <v>0</v>
      </c>
      <c r="L31" s="317">
        <v>0</v>
      </c>
      <c r="M31" s="309">
        <v>1122</v>
      </c>
    </row>
    <row r="32" spans="1:13" ht="22.5" x14ac:dyDescent="0.2">
      <c r="A32" s="305" t="s">
        <v>2008</v>
      </c>
      <c r="B32" s="306" t="s">
        <v>3948</v>
      </c>
      <c r="C32" s="307" t="s">
        <v>258</v>
      </c>
      <c r="D32" s="306" t="s">
        <v>153</v>
      </c>
      <c r="E32" s="305" t="s">
        <v>3798</v>
      </c>
      <c r="F32" s="335">
        <v>41711</v>
      </c>
      <c r="G32" s="309">
        <v>502</v>
      </c>
      <c r="H32" s="309">
        <v>0</v>
      </c>
      <c r="I32" s="317">
        <v>502</v>
      </c>
      <c r="J32" s="309">
        <v>497</v>
      </c>
      <c r="K32" s="309">
        <v>0</v>
      </c>
      <c r="L32" s="317">
        <v>497</v>
      </c>
      <c r="M32" s="309">
        <v>5</v>
      </c>
    </row>
    <row r="33" spans="1:13" ht="45" x14ac:dyDescent="0.2">
      <c r="A33" s="305" t="s">
        <v>1517</v>
      </c>
      <c r="B33" s="306" t="s">
        <v>3943</v>
      </c>
      <c r="C33" s="307" t="s">
        <v>367</v>
      </c>
      <c r="D33" s="306" t="s">
        <v>153</v>
      </c>
      <c r="E33" s="305" t="s">
        <v>3798</v>
      </c>
      <c r="F33" s="335">
        <v>42185</v>
      </c>
      <c r="G33" s="309">
        <v>301</v>
      </c>
      <c r="H33" s="309">
        <v>0</v>
      </c>
      <c r="I33" s="317">
        <v>301</v>
      </c>
      <c r="J33" s="309">
        <v>362</v>
      </c>
      <c r="K33" s="309">
        <v>363</v>
      </c>
      <c r="L33" s="317">
        <v>725</v>
      </c>
      <c r="M33" s="309">
        <v>-424</v>
      </c>
    </row>
    <row r="34" spans="1:13" ht="22.5" x14ac:dyDescent="0.2">
      <c r="A34" s="305" t="s">
        <v>2621</v>
      </c>
      <c r="B34" s="306" t="s">
        <v>2907</v>
      </c>
      <c r="C34" s="307" t="s">
        <v>2622</v>
      </c>
      <c r="D34" s="306" t="s">
        <v>153</v>
      </c>
      <c r="E34" s="305" t="s">
        <v>3798</v>
      </c>
      <c r="F34" s="335">
        <v>43153</v>
      </c>
      <c r="G34" s="309">
        <v>0</v>
      </c>
      <c r="H34" s="309">
        <v>0</v>
      </c>
      <c r="I34" s="317">
        <v>0</v>
      </c>
      <c r="J34" s="309">
        <v>45</v>
      </c>
      <c r="K34" s="309">
        <v>0</v>
      </c>
      <c r="L34" s="317">
        <v>45</v>
      </c>
      <c r="M34" s="309">
        <v>-45</v>
      </c>
    </row>
    <row r="35" spans="1:13" ht="33.75" x14ac:dyDescent="0.2">
      <c r="A35" s="305" t="s">
        <v>2328</v>
      </c>
      <c r="B35" s="306" t="s">
        <v>3940</v>
      </c>
      <c r="C35" s="307" t="s">
        <v>1180</v>
      </c>
      <c r="D35" s="306" t="s">
        <v>153</v>
      </c>
      <c r="E35" s="305" t="s">
        <v>3798</v>
      </c>
      <c r="F35" s="335">
        <v>42818</v>
      </c>
      <c r="G35" s="309">
        <v>0</v>
      </c>
      <c r="H35" s="309">
        <v>0</v>
      </c>
      <c r="I35" s="317">
        <v>0</v>
      </c>
      <c r="J35" s="309">
        <v>85</v>
      </c>
      <c r="K35" s="309">
        <v>0</v>
      </c>
      <c r="L35" s="317">
        <v>85</v>
      </c>
      <c r="M35" s="309">
        <v>-85</v>
      </c>
    </row>
    <row r="36" spans="1:13" x14ac:dyDescent="0.2">
      <c r="A36" s="305" t="s">
        <v>1723</v>
      </c>
      <c r="B36" s="306" t="s">
        <v>3943</v>
      </c>
      <c r="C36" s="307" t="s">
        <v>1725</v>
      </c>
      <c r="D36" s="306" t="s">
        <v>153</v>
      </c>
      <c r="E36" s="305" t="s">
        <v>3798</v>
      </c>
      <c r="F36" s="335">
        <v>43160</v>
      </c>
      <c r="G36" s="309">
        <v>6423</v>
      </c>
      <c r="H36" s="309">
        <v>0</v>
      </c>
      <c r="I36" s="317">
        <v>6423</v>
      </c>
      <c r="J36" s="309">
        <v>0</v>
      </c>
      <c r="K36" s="309">
        <v>0</v>
      </c>
      <c r="L36" s="317">
        <v>0</v>
      </c>
      <c r="M36" s="309">
        <v>6423</v>
      </c>
    </row>
    <row r="37" spans="1:13" ht="22.5" x14ac:dyDescent="0.2">
      <c r="A37" s="305" t="s">
        <v>1733</v>
      </c>
      <c r="B37" s="306" t="s">
        <v>3941</v>
      </c>
      <c r="C37" s="307" t="s">
        <v>1105</v>
      </c>
      <c r="D37" s="306" t="s">
        <v>153</v>
      </c>
      <c r="E37" s="305" t="s">
        <v>3798</v>
      </c>
      <c r="F37" s="335">
        <v>42723</v>
      </c>
      <c r="G37" s="309">
        <v>227</v>
      </c>
      <c r="H37" s="309">
        <v>0</v>
      </c>
      <c r="I37" s="317">
        <v>227</v>
      </c>
      <c r="J37" s="309">
        <v>0</v>
      </c>
      <c r="K37" s="309">
        <v>0</v>
      </c>
      <c r="L37" s="317">
        <v>0</v>
      </c>
      <c r="M37" s="309">
        <v>227</v>
      </c>
    </row>
    <row r="38" spans="1:13" x14ac:dyDescent="0.2">
      <c r="A38" s="305" t="s">
        <v>1837</v>
      </c>
      <c r="B38" s="306" t="s">
        <v>3946</v>
      </c>
      <c r="C38" s="307" t="s">
        <v>66</v>
      </c>
      <c r="D38" s="306" t="s">
        <v>153</v>
      </c>
      <c r="E38" s="305" t="s">
        <v>3798</v>
      </c>
      <c r="F38" s="335">
        <v>40882</v>
      </c>
      <c r="G38" s="309">
        <v>83</v>
      </c>
      <c r="H38" s="309">
        <v>0</v>
      </c>
      <c r="I38" s="317">
        <v>83</v>
      </c>
      <c r="J38" s="309">
        <v>0</v>
      </c>
      <c r="K38" s="309">
        <v>0</v>
      </c>
      <c r="L38" s="317">
        <v>0</v>
      </c>
      <c r="M38" s="309">
        <v>83</v>
      </c>
    </row>
    <row r="39" spans="1:13" ht="33.75" x14ac:dyDescent="0.2">
      <c r="A39" s="305" t="s">
        <v>2377</v>
      </c>
      <c r="B39" s="306" t="s">
        <v>3946</v>
      </c>
      <c r="C39" s="307" t="s">
        <v>1210</v>
      </c>
      <c r="D39" s="306" t="s">
        <v>153</v>
      </c>
      <c r="E39" s="305" t="s">
        <v>3798</v>
      </c>
      <c r="F39" s="335">
        <v>43090</v>
      </c>
      <c r="G39" s="309">
        <v>0</v>
      </c>
      <c r="H39" s="309">
        <v>422</v>
      </c>
      <c r="I39" s="317">
        <v>422</v>
      </c>
      <c r="J39" s="309">
        <v>104</v>
      </c>
      <c r="K39" s="309">
        <v>275</v>
      </c>
      <c r="L39" s="317">
        <v>379</v>
      </c>
      <c r="M39" s="309">
        <v>43</v>
      </c>
    </row>
    <row r="40" spans="1:13" ht="22.5" x14ac:dyDescent="0.2">
      <c r="A40" s="305" t="s">
        <v>1849</v>
      </c>
      <c r="B40" s="306" t="s">
        <v>3946</v>
      </c>
      <c r="C40" s="307" t="s">
        <v>1107</v>
      </c>
      <c r="D40" s="306" t="s">
        <v>153</v>
      </c>
      <c r="E40" s="305" t="s">
        <v>3798</v>
      </c>
      <c r="F40" s="335">
        <v>42985</v>
      </c>
      <c r="G40" s="309">
        <v>155</v>
      </c>
      <c r="H40" s="309">
        <v>155</v>
      </c>
      <c r="I40" s="317">
        <v>310</v>
      </c>
      <c r="J40" s="309">
        <v>0</v>
      </c>
      <c r="K40" s="309">
        <v>0</v>
      </c>
      <c r="L40" s="317">
        <v>0</v>
      </c>
      <c r="M40" s="309">
        <v>310</v>
      </c>
    </row>
    <row r="41" spans="1:13" ht="22.5" x14ac:dyDescent="0.2">
      <c r="A41" s="305" t="s">
        <v>1572</v>
      </c>
      <c r="B41" s="306" t="s">
        <v>3946</v>
      </c>
      <c r="C41" s="307" t="s">
        <v>602</v>
      </c>
      <c r="D41" s="306" t="s">
        <v>153</v>
      </c>
      <c r="E41" s="305" t="s">
        <v>3798</v>
      </c>
      <c r="F41" s="335">
        <v>42481</v>
      </c>
      <c r="G41" s="309">
        <v>0</v>
      </c>
      <c r="H41" s="309">
        <v>106</v>
      </c>
      <c r="I41" s="317">
        <v>106</v>
      </c>
      <c r="J41" s="309">
        <v>0</v>
      </c>
      <c r="K41" s="309">
        <v>0</v>
      </c>
      <c r="L41" s="317">
        <v>0</v>
      </c>
      <c r="M41" s="309">
        <v>106</v>
      </c>
    </row>
    <row r="42" spans="1:13" ht="22.5" x14ac:dyDescent="0.2">
      <c r="A42" s="305" t="s">
        <v>1867</v>
      </c>
      <c r="B42" s="306" t="s">
        <v>3947</v>
      </c>
      <c r="C42" s="307" t="s">
        <v>1871</v>
      </c>
      <c r="D42" s="306" t="s">
        <v>1875</v>
      </c>
      <c r="E42" s="305" t="s">
        <v>3798</v>
      </c>
      <c r="F42" s="335">
        <v>42880</v>
      </c>
      <c r="G42" s="309">
        <v>375</v>
      </c>
      <c r="H42" s="309">
        <v>376</v>
      </c>
      <c r="I42" s="317">
        <v>751</v>
      </c>
      <c r="J42" s="309">
        <v>0</v>
      </c>
      <c r="K42" s="309">
        <v>0</v>
      </c>
      <c r="L42" s="317">
        <v>0</v>
      </c>
      <c r="M42" s="309">
        <v>751</v>
      </c>
    </row>
    <row r="43" spans="1:13" ht="33.75" x14ac:dyDescent="0.2">
      <c r="A43" s="305" t="s">
        <v>1498</v>
      </c>
      <c r="B43" s="306" t="s">
        <v>150</v>
      </c>
      <c r="C43" s="307" t="s">
        <v>391</v>
      </c>
      <c r="D43" s="306" t="s">
        <v>153</v>
      </c>
      <c r="E43" s="305" t="s">
        <v>3798</v>
      </c>
      <c r="F43" s="335">
        <v>41838</v>
      </c>
      <c r="G43" s="309">
        <v>0</v>
      </c>
      <c r="H43" s="309">
        <v>0</v>
      </c>
      <c r="I43" s="317">
        <v>0</v>
      </c>
      <c r="J43" s="309">
        <v>190</v>
      </c>
      <c r="K43" s="309">
        <v>0</v>
      </c>
      <c r="L43" s="317">
        <v>190</v>
      </c>
      <c r="M43" s="309">
        <v>-190</v>
      </c>
    </row>
    <row r="44" spans="1:13" ht="22.5" x14ac:dyDescent="0.2">
      <c r="A44" s="305" t="s">
        <v>1813</v>
      </c>
      <c r="B44" s="306" t="s">
        <v>3941</v>
      </c>
      <c r="C44" s="307" t="s">
        <v>905</v>
      </c>
      <c r="D44" s="306" t="s">
        <v>153</v>
      </c>
      <c r="E44" s="305" t="s">
        <v>421</v>
      </c>
      <c r="F44" s="335">
        <v>42571</v>
      </c>
      <c r="G44" s="309">
        <v>75</v>
      </c>
      <c r="H44" s="309">
        <v>0</v>
      </c>
      <c r="I44" s="317">
        <v>75</v>
      </c>
      <c r="J44" s="309">
        <v>0</v>
      </c>
      <c r="K44" s="309">
        <v>0</v>
      </c>
      <c r="L44" s="317">
        <v>0</v>
      </c>
      <c r="M44" s="309">
        <v>75</v>
      </c>
    </row>
    <row r="45" spans="1:13" ht="22.5" x14ac:dyDescent="0.2">
      <c r="A45" s="305" t="s">
        <v>2313</v>
      </c>
      <c r="B45" s="306" t="s">
        <v>149</v>
      </c>
      <c r="C45" s="307" t="s">
        <v>2314</v>
      </c>
      <c r="D45" s="306" t="s">
        <v>153</v>
      </c>
      <c r="E45" s="305" t="s">
        <v>3798</v>
      </c>
      <c r="F45" s="335">
        <v>42885</v>
      </c>
      <c r="G45" s="309">
        <v>40</v>
      </c>
      <c r="H45" s="309">
        <v>0</v>
      </c>
      <c r="I45" s="317">
        <v>40</v>
      </c>
      <c r="J45" s="309">
        <v>0</v>
      </c>
      <c r="K45" s="309">
        <v>0</v>
      </c>
      <c r="L45" s="317">
        <v>0</v>
      </c>
      <c r="M45" s="309">
        <v>40</v>
      </c>
    </row>
    <row r="46" spans="1:13" ht="22.5" x14ac:dyDescent="0.2">
      <c r="A46" s="305" t="s">
        <v>1476</v>
      </c>
      <c r="B46" s="306" t="s">
        <v>3947</v>
      </c>
      <c r="C46" s="307" t="s">
        <v>251</v>
      </c>
      <c r="D46" s="306" t="s">
        <v>153</v>
      </c>
      <c r="E46" s="305" t="s">
        <v>3798</v>
      </c>
      <c r="F46" s="335">
        <v>41940</v>
      </c>
      <c r="G46" s="309">
        <v>793</v>
      </c>
      <c r="H46" s="309">
        <v>0</v>
      </c>
      <c r="I46" s="317">
        <v>793</v>
      </c>
      <c r="J46" s="309">
        <v>1036</v>
      </c>
      <c r="K46" s="309">
        <v>0</v>
      </c>
      <c r="L46" s="317">
        <v>1036</v>
      </c>
      <c r="M46" s="309">
        <v>-243</v>
      </c>
    </row>
    <row r="47" spans="1:13" ht="33.75" x14ac:dyDescent="0.2">
      <c r="A47" s="305" t="s">
        <v>1809</v>
      </c>
      <c r="B47" s="306" t="s">
        <v>3940</v>
      </c>
      <c r="C47" s="307" t="s">
        <v>1214</v>
      </c>
      <c r="D47" s="306" t="s">
        <v>153</v>
      </c>
      <c r="E47" s="305" t="s">
        <v>3798</v>
      </c>
      <c r="F47" s="335">
        <v>42804</v>
      </c>
      <c r="G47" s="309">
        <v>0</v>
      </c>
      <c r="H47" s="309">
        <v>0</v>
      </c>
      <c r="I47" s="317">
        <v>0</v>
      </c>
      <c r="J47" s="309">
        <v>116</v>
      </c>
      <c r="K47" s="309">
        <v>0</v>
      </c>
      <c r="L47" s="317">
        <v>116</v>
      </c>
      <c r="M47" s="309">
        <v>-116</v>
      </c>
    </row>
    <row r="48" spans="1:13" x14ac:dyDescent="0.2">
      <c r="A48" s="305" t="s">
        <v>1719</v>
      </c>
      <c r="B48" s="306" t="s">
        <v>3942</v>
      </c>
      <c r="C48" s="307" t="s">
        <v>176</v>
      </c>
      <c r="D48" s="306" t="s">
        <v>153</v>
      </c>
      <c r="E48" s="305" t="s">
        <v>3798</v>
      </c>
      <c r="F48" s="335">
        <v>41200</v>
      </c>
      <c r="G48" s="309">
        <v>0</v>
      </c>
      <c r="H48" s="309">
        <v>530</v>
      </c>
      <c r="I48" s="317">
        <v>530</v>
      </c>
      <c r="J48" s="309">
        <v>0</v>
      </c>
      <c r="K48" s="309">
        <v>0</v>
      </c>
      <c r="L48" s="317">
        <v>0</v>
      </c>
      <c r="M48" s="309">
        <v>530</v>
      </c>
    </row>
    <row r="49" spans="1:13" ht="56.25" x14ac:dyDescent="0.2">
      <c r="A49" s="305" t="s">
        <v>1713</v>
      </c>
      <c r="B49" s="306" t="s">
        <v>3944</v>
      </c>
      <c r="C49" s="307" t="s">
        <v>229</v>
      </c>
      <c r="D49" s="306" t="s">
        <v>153</v>
      </c>
      <c r="E49" s="305" t="s">
        <v>3798</v>
      </c>
      <c r="F49" s="335">
        <v>41614</v>
      </c>
      <c r="G49" s="309">
        <v>647</v>
      </c>
      <c r="H49" s="309">
        <v>507</v>
      </c>
      <c r="I49" s="317">
        <v>1154</v>
      </c>
      <c r="J49" s="309">
        <v>0</v>
      </c>
      <c r="K49" s="309">
        <v>0</v>
      </c>
      <c r="L49" s="317">
        <v>0</v>
      </c>
      <c r="M49" s="309">
        <v>1154</v>
      </c>
    </row>
    <row r="50" spans="1:13" x14ac:dyDescent="0.2">
      <c r="C50" s="307" t="s">
        <v>1715</v>
      </c>
      <c r="D50" s="306" t="s">
        <v>153</v>
      </c>
      <c r="E50" s="305" t="s">
        <v>3798</v>
      </c>
      <c r="F50" s="335">
        <v>43076</v>
      </c>
      <c r="G50" s="309">
        <v>205</v>
      </c>
      <c r="H50" s="309">
        <v>0</v>
      </c>
      <c r="I50" s="317">
        <v>205</v>
      </c>
      <c r="J50" s="309">
        <v>647</v>
      </c>
      <c r="K50" s="309">
        <v>0</v>
      </c>
      <c r="L50" s="317">
        <v>647</v>
      </c>
      <c r="M50" s="309">
        <v>-442</v>
      </c>
    </row>
    <row r="51" spans="1:13" ht="33.75" x14ac:dyDescent="0.2">
      <c r="A51" s="305" t="s">
        <v>1602</v>
      </c>
      <c r="B51" s="306" t="s">
        <v>3940</v>
      </c>
      <c r="C51" s="307" t="s">
        <v>396</v>
      </c>
      <c r="D51" s="306" t="s">
        <v>153</v>
      </c>
      <c r="E51" s="305" t="s">
        <v>3798</v>
      </c>
      <c r="F51" s="335">
        <v>41788</v>
      </c>
      <c r="G51" s="309">
        <v>0</v>
      </c>
      <c r="H51" s="309">
        <v>30</v>
      </c>
      <c r="I51" s="317">
        <v>30</v>
      </c>
      <c r="J51" s="309">
        <v>0</v>
      </c>
      <c r="K51" s="309">
        <v>0</v>
      </c>
      <c r="L51" s="317">
        <v>0</v>
      </c>
      <c r="M51" s="309">
        <v>30</v>
      </c>
    </row>
    <row r="52" spans="1:13" ht="33.75" x14ac:dyDescent="0.2">
      <c r="A52" s="305" t="s">
        <v>1961</v>
      </c>
      <c r="B52" s="306" t="s">
        <v>3939</v>
      </c>
      <c r="C52" s="307" t="s">
        <v>239</v>
      </c>
      <c r="D52" s="306" t="s">
        <v>153</v>
      </c>
      <c r="E52" s="305" t="s">
        <v>3798</v>
      </c>
      <c r="F52" s="335">
        <v>41569</v>
      </c>
      <c r="G52" s="309">
        <v>0</v>
      </c>
      <c r="H52" s="309">
        <v>0</v>
      </c>
      <c r="I52" s="317">
        <v>0</v>
      </c>
      <c r="J52" s="309">
        <v>7657</v>
      </c>
      <c r="K52" s="309">
        <v>0</v>
      </c>
      <c r="L52" s="317">
        <v>7657</v>
      </c>
      <c r="M52" s="309">
        <v>-7657</v>
      </c>
    </row>
    <row r="53" spans="1:13" ht="45" x14ac:dyDescent="0.2">
      <c r="A53" s="305" t="s">
        <v>1525</v>
      </c>
      <c r="B53" s="306" t="s">
        <v>3947</v>
      </c>
      <c r="C53" s="307" t="s">
        <v>1528</v>
      </c>
      <c r="D53" s="306" t="s">
        <v>1530</v>
      </c>
      <c r="E53" s="305" t="s">
        <v>3798</v>
      </c>
      <c r="F53" s="335">
        <v>42426</v>
      </c>
      <c r="G53" s="309">
        <v>2031</v>
      </c>
      <c r="H53" s="309">
        <v>2031</v>
      </c>
      <c r="I53" s="317">
        <v>4062</v>
      </c>
      <c r="J53" s="309">
        <v>0</v>
      </c>
      <c r="K53" s="309">
        <v>0</v>
      </c>
      <c r="L53" s="317">
        <v>0</v>
      </c>
      <c r="M53" s="309">
        <v>4062</v>
      </c>
    </row>
    <row r="54" spans="1:13" ht="22.5" x14ac:dyDescent="0.2">
      <c r="D54" s="306" t="s">
        <v>1531</v>
      </c>
      <c r="E54" s="305" t="s">
        <v>3798</v>
      </c>
      <c r="F54" s="335">
        <v>42426</v>
      </c>
      <c r="G54" s="309">
        <v>2810</v>
      </c>
      <c r="H54" s="309">
        <v>2810</v>
      </c>
      <c r="I54" s="317">
        <v>5620</v>
      </c>
      <c r="J54" s="309">
        <v>0</v>
      </c>
      <c r="K54" s="309">
        <v>0</v>
      </c>
      <c r="L54" s="317">
        <v>0</v>
      </c>
      <c r="M54" s="309">
        <v>5620</v>
      </c>
    </row>
    <row r="55" spans="1:13" ht="33.75" x14ac:dyDescent="0.2">
      <c r="C55" s="307" t="s">
        <v>1287</v>
      </c>
      <c r="D55" s="306" t="s">
        <v>2819</v>
      </c>
      <c r="E55" s="305" t="s">
        <v>3798</v>
      </c>
      <c r="F55" s="335">
        <v>42873</v>
      </c>
      <c r="G55" s="309">
        <v>4453</v>
      </c>
      <c r="H55" s="309">
        <v>4454</v>
      </c>
      <c r="I55" s="317">
        <v>8907</v>
      </c>
      <c r="J55" s="309">
        <v>0</v>
      </c>
      <c r="K55" s="309">
        <v>0</v>
      </c>
      <c r="L55" s="317">
        <v>0</v>
      </c>
      <c r="M55" s="309">
        <v>8907</v>
      </c>
    </row>
    <row r="56" spans="1:13" ht="22.5" x14ac:dyDescent="0.2">
      <c r="A56" s="305" t="s">
        <v>1864</v>
      </c>
      <c r="B56" s="306" t="s">
        <v>3944</v>
      </c>
      <c r="C56" s="307" t="s">
        <v>323</v>
      </c>
      <c r="D56" s="306" t="s">
        <v>153</v>
      </c>
      <c r="E56" s="305" t="s">
        <v>3798</v>
      </c>
      <c r="F56" s="335">
        <v>42193</v>
      </c>
      <c r="G56" s="309">
        <v>1276</v>
      </c>
      <c r="H56" s="309">
        <v>0</v>
      </c>
      <c r="I56" s="317">
        <v>1276</v>
      </c>
      <c r="J56" s="309">
        <v>7439</v>
      </c>
      <c r="K56" s="309">
        <v>0</v>
      </c>
      <c r="L56" s="317">
        <v>7439</v>
      </c>
      <c r="M56" s="309">
        <v>-6163</v>
      </c>
    </row>
    <row r="57" spans="1:13" x14ac:dyDescent="0.2">
      <c r="C57" s="307" t="s">
        <v>865</v>
      </c>
      <c r="D57" s="306" t="s">
        <v>153</v>
      </c>
      <c r="E57" s="305" t="s">
        <v>3798</v>
      </c>
      <c r="F57" s="335">
        <v>42556</v>
      </c>
      <c r="G57" s="309">
        <v>130</v>
      </c>
      <c r="H57" s="309">
        <v>0</v>
      </c>
      <c r="I57" s="317">
        <v>130</v>
      </c>
      <c r="J57" s="309">
        <v>83</v>
      </c>
      <c r="K57" s="309">
        <v>0</v>
      </c>
      <c r="L57" s="317">
        <v>83</v>
      </c>
      <c r="M57" s="309">
        <v>47</v>
      </c>
    </row>
    <row r="58" spans="1:13" ht="22.5" x14ac:dyDescent="0.2">
      <c r="A58" s="305" t="s">
        <v>1546</v>
      </c>
      <c r="B58" s="306" t="s">
        <v>3953</v>
      </c>
      <c r="C58" s="307" t="s">
        <v>68</v>
      </c>
      <c r="D58" s="306" t="s">
        <v>153</v>
      </c>
      <c r="E58" s="305" t="s">
        <v>3798</v>
      </c>
      <c r="F58" s="335">
        <v>40587</v>
      </c>
      <c r="G58" s="309">
        <v>4098</v>
      </c>
      <c r="H58" s="309">
        <v>597</v>
      </c>
      <c r="I58" s="317">
        <v>4695</v>
      </c>
      <c r="J58" s="309">
        <v>1198</v>
      </c>
      <c r="K58" s="309">
        <v>472</v>
      </c>
      <c r="L58" s="317">
        <v>1670</v>
      </c>
      <c r="M58" s="309">
        <v>3025</v>
      </c>
    </row>
    <row r="59" spans="1:13" ht="22.5" x14ac:dyDescent="0.2">
      <c r="A59" s="305" t="s">
        <v>1848</v>
      </c>
      <c r="B59" s="306" t="s">
        <v>3946</v>
      </c>
      <c r="C59" s="307" t="s">
        <v>1054</v>
      </c>
      <c r="D59" s="306" t="s">
        <v>153</v>
      </c>
      <c r="E59" s="305" t="s">
        <v>3798</v>
      </c>
      <c r="F59" s="335">
        <v>42753</v>
      </c>
      <c r="G59" s="309">
        <v>119</v>
      </c>
      <c r="H59" s="309">
        <v>0</v>
      </c>
      <c r="I59" s="317">
        <v>119</v>
      </c>
      <c r="J59" s="309">
        <v>76</v>
      </c>
      <c r="K59" s="309">
        <v>0</v>
      </c>
      <c r="L59" s="317">
        <v>76</v>
      </c>
      <c r="M59" s="309">
        <v>43</v>
      </c>
    </row>
    <row r="60" spans="1:13" ht="33.75" x14ac:dyDescent="0.2">
      <c r="A60" s="305" t="s">
        <v>1766</v>
      </c>
      <c r="B60" s="306" t="s">
        <v>3948</v>
      </c>
      <c r="C60" s="307" t="s">
        <v>57</v>
      </c>
      <c r="D60" s="306" t="s">
        <v>153</v>
      </c>
      <c r="E60" s="305" t="s">
        <v>3798</v>
      </c>
      <c r="F60" s="335">
        <v>40921</v>
      </c>
      <c r="G60" s="309">
        <v>1250</v>
      </c>
      <c r="H60" s="309">
        <v>0</v>
      </c>
      <c r="I60" s="317">
        <v>1250</v>
      </c>
      <c r="J60" s="309">
        <v>494</v>
      </c>
      <c r="K60" s="309">
        <v>0</v>
      </c>
      <c r="L60" s="317">
        <v>494</v>
      </c>
      <c r="M60" s="309">
        <v>756</v>
      </c>
    </row>
    <row r="61" spans="1:13" x14ac:dyDescent="0.2">
      <c r="A61" s="305" t="s">
        <v>1928</v>
      </c>
      <c r="B61" s="306" t="s">
        <v>3946</v>
      </c>
      <c r="C61" s="307" t="s">
        <v>896</v>
      </c>
      <c r="D61" s="306" t="s">
        <v>153</v>
      </c>
      <c r="E61" s="305" t="s">
        <v>3798</v>
      </c>
      <c r="F61" s="335">
        <v>42628</v>
      </c>
      <c r="G61" s="309">
        <v>119</v>
      </c>
      <c r="H61" s="309">
        <v>0</v>
      </c>
      <c r="I61" s="317">
        <v>119</v>
      </c>
      <c r="J61" s="309">
        <v>80</v>
      </c>
      <c r="K61" s="309">
        <v>0</v>
      </c>
      <c r="L61" s="317">
        <v>80</v>
      </c>
      <c r="M61" s="309">
        <v>39</v>
      </c>
    </row>
    <row r="62" spans="1:13" s="320" customFormat="1" x14ac:dyDescent="0.2">
      <c r="A62" s="328" t="s">
        <v>95</v>
      </c>
      <c r="B62" s="329"/>
      <c r="C62" s="330"/>
      <c r="D62" s="329"/>
      <c r="E62" s="328"/>
      <c r="F62" s="349"/>
      <c r="G62" s="333">
        <v>61122</v>
      </c>
      <c r="H62" s="333">
        <v>17142</v>
      </c>
      <c r="I62" s="334">
        <v>78264</v>
      </c>
      <c r="J62" s="333">
        <v>38076</v>
      </c>
      <c r="K62" s="333">
        <v>1110</v>
      </c>
      <c r="L62" s="334">
        <v>39186</v>
      </c>
      <c r="M62" s="333">
        <v>39078</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18"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
  <sheetViews>
    <sheetView workbookViewId="0"/>
  </sheetViews>
  <sheetFormatPr defaultRowHeight="12" x14ac:dyDescent="0.2"/>
  <cols>
    <col min="1" max="1" width="19.5703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126</v>
      </c>
    </row>
    <row r="4" spans="1:12" x14ac:dyDescent="0.2">
      <c r="A4" s="446" t="s">
        <v>116</v>
      </c>
      <c r="B4" s="446" t="s">
        <v>117</v>
      </c>
      <c r="C4" s="446" t="s">
        <v>118</v>
      </c>
      <c r="D4" s="446" t="s">
        <v>119</v>
      </c>
      <c r="E4" s="446" t="s">
        <v>120</v>
      </c>
      <c r="F4" s="446" t="s">
        <v>121</v>
      </c>
      <c r="G4" s="446" t="s">
        <v>122</v>
      </c>
      <c r="H4" s="446" t="s">
        <v>123</v>
      </c>
      <c r="I4" s="446" t="s">
        <v>124</v>
      </c>
      <c r="J4" s="446" t="s">
        <v>125</v>
      </c>
      <c r="K4" s="446" t="s">
        <v>2923</v>
      </c>
      <c r="L4" s="446" t="s">
        <v>2925</v>
      </c>
    </row>
    <row r="5" spans="1:12" x14ac:dyDescent="0.2">
      <c r="A5" s="74">
        <v>9</v>
      </c>
      <c r="B5" s="74">
        <v>-8948</v>
      </c>
      <c r="C5" s="74">
        <v>0</v>
      </c>
      <c r="D5" s="74">
        <v>0</v>
      </c>
      <c r="E5" s="74">
        <v>2</v>
      </c>
      <c r="F5" s="74">
        <v>-10382</v>
      </c>
      <c r="G5" s="74">
        <v>0</v>
      </c>
      <c r="H5" s="74">
        <v>0</v>
      </c>
      <c r="I5" s="74">
        <v>1</v>
      </c>
      <c r="J5" s="74">
        <v>1685</v>
      </c>
      <c r="K5" s="74">
        <v>12</v>
      </c>
      <c r="L5" s="74">
        <v>-17645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M62"/>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2935</v>
      </c>
    </row>
    <row r="2" spans="1:13" x14ac:dyDescent="0.2">
      <c r="A2" s="77" t="s">
        <v>2940</v>
      </c>
      <c r="B2" s="446" t="s">
        <v>429</v>
      </c>
    </row>
    <row r="3" spans="1:13" x14ac:dyDescent="0.2">
      <c r="A3" s="77" t="s">
        <v>2941</v>
      </c>
      <c r="B3" s="446" t="s">
        <v>429</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2601</v>
      </c>
      <c r="B7" s="446" t="s">
        <v>3943</v>
      </c>
      <c r="C7" s="446" t="s">
        <v>2602</v>
      </c>
      <c r="D7" s="446" t="s">
        <v>153</v>
      </c>
      <c r="E7" s="446" t="s">
        <v>3798</v>
      </c>
      <c r="F7" s="298">
        <v>43185</v>
      </c>
      <c r="G7" s="74">
        <v>15759</v>
      </c>
      <c r="H7" s="74">
        <v>0</v>
      </c>
      <c r="I7" s="74">
        <v>15759</v>
      </c>
      <c r="J7" s="74">
        <v>2791</v>
      </c>
      <c r="K7" s="74">
        <v>0</v>
      </c>
      <c r="L7" s="74">
        <v>2791</v>
      </c>
      <c r="M7" s="74">
        <v>12968</v>
      </c>
    </row>
    <row r="8" spans="1:13" x14ac:dyDescent="0.2">
      <c r="A8" s="446" t="s">
        <v>1952</v>
      </c>
      <c r="B8" s="446" t="s">
        <v>3951</v>
      </c>
      <c r="C8" s="446" t="s">
        <v>1302</v>
      </c>
      <c r="D8" s="446" t="s">
        <v>153</v>
      </c>
      <c r="E8" s="446" t="s">
        <v>3798</v>
      </c>
      <c r="F8" s="298">
        <v>42599</v>
      </c>
      <c r="G8" s="74">
        <v>500</v>
      </c>
      <c r="H8" s="74">
        <v>0</v>
      </c>
      <c r="I8" s="74">
        <v>500</v>
      </c>
      <c r="J8" s="74">
        <v>0</v>
      </c>
      <c r="K8" s="74">
        <v>0</v>
      </c>
      <c r="L8" s="74">
        <v>0</v>
      </c>
      <c r="M8" s="74">
        <v>500</v>
      </c>
    </row>
    <row r="9" spans="1:13" x14ac:dyDescent="0.2">
      <c r="A9" s="446" t="s">
        <v>1587</v>
      </c>
      <c r="B9" s="446" t="s">
        <v>3951</v>
      </c>
      <c r="C9" s="446" t="s">
        <v>1032</v>
      </c>
      <c r="D9" s="446" t="s">
        <v>153</v>
      </c>
      <c r="E9" s="446" t="s">
        <v>3798</v>
      </c>
      <c r="F9" s="298">
        <v>42664</v>
      </c>
      <c r="G9" s="74">
        <v>81</v>
      </c>
      <c r="H9" s="74">
        <v>0</v>
      </c>
      <c r="I9" s="74">
        <v>81</v>
      </c>
      <c r="J9" s="74">
        <v>167</v>
      </c>
      <c r="K9" s="74">
        <v>0</v>
      </c>
      <c r="L9" s="74">
        <v>167</v>
      </c>
      <c r="M9" s="74">
        <v>-86</v>
      </c>
    </row>
    <row r="10" spans="1:13" x14ac:dyDescent="0.2">
      <c r="A10" s="446" t="s">
        <v>1892</v>
      </c>
      <c r="B10" s="446" t="s">
        <v>3941</v>
      </c>
      <c r="C10" s="446" t="s">
        <v>226</v>
      </c>
      <c r="D10" s="446" t="s">
        <v>153</v>
      </c>
      <c r="E10" s="446" t="s">
        <v>3798</v>
      </c>
      <c r="F10" s="298">
        <v>42114</v>
      </c>
      <c r="G10" s="74">
        <v>0</v>
      </c>
      <c r="H10" s="74">
        <v>1170</v>
      </c>
      <c r="I10" s="74">
        <v>1170</v>
      </c>
      <c r="J10" s="74">
        <v>0</v>
      </c>
      <c r="K10" s="74">
        <v>0</v>
      </c>
      <c r="L10" s="74">
        <v>0</v>
      </c>
      <c r="M10" s="74">
        <v>1170</v>
      </c>
    </row>
    <row r="11" spans="1:13" x14ac:dyDescent="0.2">
      <c r="A11" s="446" t="s">
        <v>1502</v>
      </c>
      <c r="B11" s="446" t="s">
        <v>3952</v>
      </c>
      <c r="C11" s="446" t="s">
        <v>569</v>
      </c>
      <c r="D11" s="446" t="s">
        <v>153</v>
      </c>
      <c r="E11" s="446" t="s">
        <v>3798</v>
      </c>
      <c r="F11" s="298">
        <v>42433</v>
      </c>
      <c r="G11" s="74">
        <v>0</v>
      </c>
      <c r="H11" s="74">
        <v>130</v>
      </c>
      <c r="I11" s="74">
        <v>130</v>
      </c>
      <c r="J11" s="74">
        <v>0</v>
      </c>
      <c r="K11" s="74">
        <v>0</v>
      </c>
      <c r="L11" s="74">
        <v>0</v>
      </c>
      <c r="M11" s="74">
        <v>130</v>
      </c>
    </row>
    <row r="12" spans="1:13" x14ac:dyDescent="0.2">
      <c r="A12" s="446" t="s">
        <v>1357</v>
      </c>
      <c r="B12" s="446" t="s">
        <v>3946</v>
      </c>
      <c r="C12" s="446" t="s">
        <v>181</v>
      </c>
      <c r="D12" s="446" t="s">
        <v>153</v>
      </c>
      <c r="E12" s="446" t="s">
        <v>3798</v>
      </c>
      <c r="F12" s="298">
        <v>41201</v>
      </c>
      <c r="G12" s="74">
        <v>86</v>
      </c>
      <c r="H12" s="74">
        <v>0</v>
      </c>
      <c r="I12" s="74">
        <v>86</v>
      </c>
      <c r="J12" s="74">
        <v>136</v>
      </c>
      <c r="K12" s="74">
        <v>0</v>
      </c>
      <c r="L12" s="74">
        <v>136</v>
      </c>
      <c r="M12" s="74">
        <v>-50</v>
      </c>
    </row>
    <row r="13" spans="1:13" x14ac:dyDescent="0.2">
      <c r="A13" s="446" t="s">
        <v>2657</v>
      </c>
      <c r="B13" s="446" t="s">
        <v>3946</v>
      </c>
      <c r="C13" s="446" t="s">
        <v>2658</v>
      </c>
      <c r="D13" s="446" t="s">
        <v>153</v>
      </c>
      <c r="E13" s="446" t="s">
        <v>3798</v>
      </c>
      <c r="F13" s="298">
        <v>43172</v>
      </c>
      <c r="G13" s="74">
        <v>118</v>
      </c>
      <c r="H13" s="74">
        <v>0</v>
      </c>
      <c r="I13" s="74">
        <v>118</v>
      </c>
      <c r="J13" s="74">
        <v>0</v>
      </c>
      <c r="K13" s="74">
        <v>0</v>
      </c>
      <c r="L13" s="74">
        <v>0</v>
      </c>
      <c r="M13" s="74">
        <v>118</v>
      </c>
    </row>
    <row r="14" spans="1:13" x14ac:dyDescent="0.2">
      <c r="A14" s="446" t="s">
        <v>2263</v>
      </c>
      <c r="B14" s="446" t="s">
        <v>3947</v>
      </c>
      <c r="C14" s="446" t="s">
        <v>913</v>
      </c>
      <c r="D14" s="446" t="s">
        <v>153</v>
      </c>
      <c r="E14" s="446" t="s">
        <v>3798</v>
      </c>
      <c r="F14" s="298">
        <v>42634</v>
      </c>
      <c r="G14" s="74">
        <v>303</v>
      </c>
      <c r="H14" s="74">
        <v>0</v>
      </c>
      <c r="I14" s="74">
        <v>303</v>
      </c>
      <c r="J14" s="74">
        <v>0</v>
      </c>
      <c r="K14" s="74">
        <v>0</v>
      </c>
      <c r="L14" s="74">
        <v>0</v>
      </c>
      <c r="M14" s="74">
        <v>303</v>
      </c>
    </row>
    <row r="15" spans="1:13" x14ac:dyDescent="0.2">
      <c r="A15" s="446" t="s">
        <v>2363</v>
      </c>
      <c r="B15" s="446" t="s">
        <v>149</v>
      </c>
      <c r="C15" s="446" t="s">
        <v>1224</v>
      </c>
      <c r="D15" s="446" t="s">
        <v>153</v>
      </c>
      <c r="E15" s="446" t="s">
        <v>3798</v>
      </c>
      <c r="F15" s="298">
        <v>42852</v>
      </c>
      <c r="G15" s="74">
        <v>0</v>
      </c>
      <c r="H15" s="74">
        <v>0</v>
      </c>
      <c r="I15" s="74">
        <v>0</v>
      </c>
      <c r="J15" s="74">
        <v>119</v>
      </c>
      <c r="K15" s="74">
        <v>0</v>
      </c>
      <c r="L15" s="74">
        <v>119</v>
      </c>
      <c r="M15" s="74">
        <v>-119</v>
      </c>
    </row>
    <row r="16" spans="1:13" x14ac:dyDescent="0.2">
      <c r="A16" s="446" t="s">
        <v>1985</v>
      </c>
      <c r="B16" s="446" t="s">
        <v>3948</v>
      </c>
      <c r="C16" s="446" t="s">
        <v>1194</v>
      </c>
      <c r="D16" s="446" t="s">
        <v>153</v>
      </c>
      <c r="E16" s="446" t="s">
        <v>3798</v>
      </c>
      <c r="F16" s="298">
        <v>42814</v>
      </c>
      <c r="G16" s="74">
        <v>0</v>
      </c>
      <c r="H16" s="74">
        <v>467</v>
      </c>
      <c r="I16" s="74">
        <v>467</v>
      </c>
      <c r="J16" s="74">
        <v>0</v>
      </c>
      <c r="K16" s="74">
        <v>0</v>
      </c>
      <c r="L16" s="74">
        <v>0</v>
      </c>
      <c r="M16" s="74">
        <v>467</v>
      </c>
    </row>
    <row r="17" spans="1:13" x14ac:dyDescent="0.2">
      <c r="A17" s="446" t="s">
        <v>2084</v>
      </c>
      <c r="B17" s="446" t="s">
        <v>3947</v>
      </c>
      <c r="C17" s="446" t="s">
        <v>515</v>
      </c>
      <c r="D17" s="446" t="s">
        <v>153</v>
      </c>
      <c r="E17" s="446" t="s">
        <v>3798</v>
      </c>
      <c r="F17" s="298">
        <v>42647</v>
      </c>
      <c r="G17" s="74">
        <v>123</v>
      </c>
      <c r="H17" s="74">
        <v>310</v>
      </c>
      <c r="I17" s="74">
        <v>433</v>
      </c>
      <c r="J17" s="74">
        <v>0</v>
      </c>
      <c r="K17" s="74">
        <v>0</v>
      </c>
      <c r="L17" s="74">
        <v>0</v>
      </c>
      <c r="M17" s="74">
        <v>433</v>
      </c>
    </row>
    <row r="18" spans="1:13" x14ac:dyDescent="0.2">
      <c r="A18" s="446" t="s">
        <v>1910</v>
      </c>
      <c r="B18" s="446" t="s">
        <v>3947</v>
      </c>
      <c r="C18" s="446" t="s">
        <v>373</v>
      </c>
      <c r="D18" s="446" t="s">
        <v>153</v>
      </c>
      <c r="E18" s="446" t="s">
        <v>3798</v>
      </c>
      <c r="F18" s="298">
        <v>41953</v>
      </c>
      <c r="G18" s="74">
        <v>0</v>
      </c>
      <c r="H18" s="74">
        <v>0</v>
      </c>
      <c r="I18" s="74">
        <v>0</v>
      </c>
      <c r="J18" s="74">
        <v>742</v>
      </c>
      <c r="K18" s="74">
        <v>0</v>
      </c>
      <c r="L18" s="74">
        <v>742</v>
      </c>
      <c r="M18" s="74">
        <v>-742</v>
      </c>
    </row>
    <row r="19" spans="1:13" x14ac:dyDescent="0.2">
      <c r="A19" s="446" t="s">
        <v>2132</v>
      </c>
      <c r="B19" s="446" t="s">
        <v>2904</v>
      </c>
      <c r="C19" s="446" t="s">
        <v>479</v>
      </c>
      <c r="D19" s="446" t="s">
        <v>153</v>
      </c>
      <c r="E19" s="446" t="s">
        <v>3798</v>
      </c>
      <c r="F19" s="298">
        <v>42270</v>
      </c>
      <c r="G19" s="74">
        <v>990</v>
      </c>
      <c r="H19" s="74">
        <v>0</v>
      </c>
      <c r="I19" s="74">
        <v>990</v>
      </c>
      <c r="J19" s="74">
        <v>280</v>
      </c>
      <c r="K19" s="74">
        <v>0</v>
      </c>
      <c r="L19" s="74">
        <v>280</v>
      </c>
      <c r="M19" s="74">
        <v>710</v>
      </c>
    </row>
    <row r="20" spans="1:13" x14ac:dyDescent="0.2">
      <c r="A20" s="446" t="s">
        <v>1663</v>
      </c>
      <c r="B20" s="446" t="s">
        <v>3942</v>
      </c>
      <c r="C20" s="446" t="s">
        <v>1664</v>
      </c>
      <c r="D20" s="446" t="s">
        <v>153</v>
      </c>
      <c r="E20" s="446" t="s">
        <v>3798</v>
      </c>
      <c r="F20" s="298">
        <v>43063</v>
      </c>
      <c r="G20" s="74">
        <v>0</v>
      </c>
      <c r="H20" s="74">
        <v>75</v>
      </c>
      <c r="I20" s="74">
        <v>75</v>
      </c>
      <c r="J20" s="74">
        <v>0</v>
      </c>
      <c r="K20" s="74">
        <v>0</v>
      </c>
      <c r="L20" s="74">
        <v>0</v>
      </c>
      <c r="M20" s="74">
        <v>75</v>
      </c>
    </row>
    <row r="21" spans="1:13" x14ac:dyDescent="0.2">
      <c r="A21" s="446" t="s">
        <v>2823</v>
      </c>
      <c r="B21" s="446" t="s">
        <v>3947</v>
      </c>
      <c r="C21" s="446" t="s">
        <v>2824</v>
      </c>
      <c r="D21" s="446" t="s">
        <v>2830</v>
      </c>
      <c r="E21" s="446" t="s">
        <v>3798</v>
      </c>
      <c r="F21" s="298">
        <v>42774</v>
      </c>
      <c r="G21" s="74">
        <v>149</v>
      </c>
      <c r="H21" s="74">
        <v>0</v>
      </c>
      <c r="I21" s="74">
        <v>149</v>
      </c>
      <c r="J21" s="74">
        <v>0</v>
      </c>
      <c r="K21" s="74">
        <v>0</v>
      </c>
      <c r="L21" s="74">
        <v>0</v>
      </c>
      <c r="M21" s="74">
        <v>149</v>
      </c>
    </row>
    <row r="22" spans="1:13" x14ac:dyDescent="0.2">
      <c r="D22" s="446" t="s">
        <v>2831</v>
      </c>
      <c r="E22" s="446" t="s">
        <v>3798</v>
      </c>
      <c r="F22" s="298">
        <v>42774</v>
      </c>
      <c r="G22" s="74">
        <v>0</v>
      </c>
      <c r="H22" s="74">
        <v>149</v>
      </c>
      <c r="I22" s="74">
        <v>149</v>
      </c>
      <c r="J22" s="74">
        <v>0</v>
      </c>
      <c r="K22" s="74">
        <v>0</v>
      </c>
      <c r="L22" s="74">
        <v>0</v>
      </c>
      <c r="M22" s="74">
        <v>149</v>
      </c>
    </row>
    <row r="23" spans="1:13" x14ac:dyDescent="0.2">
      <c r="D23" s="446" t="s">
        <v>2833</v>
      </c>
      <c r="E23" s="446" t="s">
        <v>3798</v>
      </c>
      <c r="F23" s="298">
        <v>42774</v>
      </c>
      <c r="G23" s="74">
        <v>0</v>
      </c>
      <c r="H23" s="74">
        <v>150</v>
      </c>
      <c r="I23" s="74">
        <v>150</v>
      </c>
      <c r="J23" s="74">
        <v>0</v>
      </c>
      <c r="K23" s="74">
        <v>0</v>
      </c>
      <c r="L23" s="74">
        <v>0</v>
      </c>
      <c r="M23" s="74">
        <v>150</v>
      </c>
    </row>
    <row r="24" spans="1:13" x14ac:dyDescent="0.2">
      <c r="D24" s="446" t="s">
        <v>2839</v>
      </c>
      <c r="E24" s="446" t="s">
        <v>3798</v>
      </c>
      <c r="F24" s="298">
        <v>42774</v>
      </c>
      <c r="G24" s="74">
        <v>233</v>
      </c>
      <c r="H24" s="74">
        <v>233</v>
      </c>
      <c r="I24" s="74">
        <v>466</v>
      </c>
      <c r="J24" s="74">
        <v>0</v>
      </c>
      <c r="K24" s="74">
        <v>0</v>
      </c>
      <c r="L24" s="74">
        <v>0</v>
      </c>
      <c r="M24" s="74">
        <v>466</v>
      </c>
    </row>
    <row r="25" spans="1:13" x14ac:dyDescent="0.2">
      <c r="A25" s="446" t="s">
        <v>1700</v>
      </c>
      <c r="B25" s="446" t="s">
        <v>3947</v>
      </c>
      <c r="C25" s="446" t="s">
        <v>1306</v>
      </c>
      <c r="D25" s="446" t="s">
        <v>153</v>
      </c>
      <c r="E25" s="446" t="s">
        <v>3798</v>
      </c>
      <c r="F25" s="298">
        <v>42265</v>
      </c>
      <c r="G25" s="74">
        <v>2780</v>
      </c>
      <c r="H25" s="74">
        <v>0</v>
      </c>
      <c r="I25" s="74">
        <v>2780</v>
      </c>
      <c r="J25" s="74">
        <v>0</v>
      </c>
      <c r="K25" s="74">
        <v>0</v>
      </c>
      <c r="L25" s="74">
        <v>0</v>
      </c>
      <c r="M25" s="74">
        <v>2780</v>
      </c>
    </row>
    <row r="26" spans="1:13" x14ac:dyDescent="0.2">
      <c r="C26" s="446" t="s">
        <v>821</v>
      </c>
      <c r="D26" s="446" t="s">
        <v>153</v>
      </c>
      <c r="E26" s="446" t="s">
        <v>3798</v>
      </c>
      <c r="F26" s="298">
        <v>42667</v>
      </c>
      <c r="G26" s="74">
        <v>0</v>
      </c>
      <c r="H26" s="74">
        <v>1548</v>
      </c>
      <c r="I26" s="74">
        <v>1548</v>
      </c>
      <c r="J26" s="74">
        <v>0</v>
      </c>
      <c r="K26" s="74">
        <v>0</v>
      </c>
      <c r="L26" s="74">
        <v>0</v>
      </c>
      <c r="M26" s="74">
        <v>1548</v>
      </c>
    </row>
    <row r="27" spans="1:13" x14ac:dyDescent="0.2">
      <c r="C27" s="446" t="s">
        <v>1126</v>
      </c>
      <c r="D27" s="446" t="s">
        <v>153</v>
      </c>
      <c r="E27" s="446" t="s">
        <v>3798</v>
      </c>
      <c r="F27" s="298">
        <v>42858</v>
      </c>
      <c r="G27" s="74">
        <v>473</v>
      </c>
      <c r="H27" s="74">
        <v>331</v>
      </c>
      <c r="I27" s="74">
        <v>804</v>
      </c>
      <c r="J27" s="74">
        <v>395</v>
      </c>
      <c r="K27" s="74">
        <v>0</v>
      </c>
      <c r="L27" s="74">
        <v>395</v>
      </c>
      <c r="M27" s="74">
        <v>409</v>
      </c>
    </row>
    <row r="28" spans="1:13" x14ac:dyDescent="0.2">
      <c r="A28" s="446" t="s">
        <v>2070</v>
      </c>
      <c r="B28" s="446" t="s">
        <v>3947</v>
      </c>
      <c r="C28" s="446" t="s">
        <v>380</v>
      </c>
      <c r="D28" s="446" t="s">
        <v>153</v>
      </c>
      <c r="E28" s="446" t="s">
        <v>3798</v>
      </c>
      <c r="F28" s="298">
        <v>42075</v>
      </c>
      <c r="G28" s="74">
        <v>4160</v>
      </c>
      <c r="H28" s="74">
        <v>0</v>
      </c>
      <c r="I28" s="74">
        <v>4160</v>
      </c>
      <c r="J28" s="74">
        <v>1780</v>
      </c>
      <c r="K28" s="74">
        <v>0</v>
      </c>
      <c r="L28" s="74">
        <v>1780</v>
      </c>
      <c r="M28" s="74">
        <v>2380</v>
      </c>
    </row>
    <row r="29" spans="1:13" x14ac:dyDescent="0.2">
      <c r="A29" s="446" t="s">
        <v>2156</v>
      </c>
      <c r="B29" s="446" t="s">
        <v>3941</v>
      </c>
      <c r="C29" s="446" t="s">
        <v>550</v>
      </c>
      <c r="D29" s="446" t="s">
        <v>153</v>
      </c>
      <c r="E29" s="446" t="s">
        <v>3798</v>
      </c>
      <c r="F29" s="298">
        <v>42354</v>
      </c>
      <c r="G29" s="74">
        <v>8446</v>
      </c>
      <c r="H29" s="74">
        <v>0</v>
      </c>
      <c r="I29" s="74">
        <v>8446</v>
      </c>
      <c r="J29" s="74">
        <v>11557</v>
      </c>
      <c r="K29" s="74">
        <v>0</v>
      </c>
      <c r="L29" s="74">
        <v>11557</v>
      </c>
      <c r="M29" s="74">
        <v>-3111</v>
      </c>
    </row>
    <row r="30" spans="1:13" x14ac:dyDescent="0.2">
      <c r="C30" s="446" t="s">
        <v>1100</v>
      </c>
      <c r="D30" s="446" t="s">
        <v>153</v>
      </c>
      <c r="E30" s="446" t="s">
        <v>3798</v>
      </c>
      <c r="F30" s="298">
        <v>42793</v>
      </c>
      <c r="G30" s="74">
        <v>248</v>
      </c>
      <c r="H30" s="74">
        <v>0</v>
      </c>
      <c r="I30" s="74">
        <v>248</v>
      </c>
      <c r="J30" s="74">
        <v>0</v>
      </c>
      <c r="K30" s="74">
        <v>0</v>
      </c>
      <c r="L30" s="74">
        <v>0</v>
      </c>
      <c r="M30" s="74">
        <v>248</v>
      </c>
    </row>
    <row r="31" spans="1:13" x14ac:dyDescent="0.2">
      <c r="A31" s="446" t="s">
        <v>1781</v>
      </c>
      <c r="B31" s="446" t="s">
        <v>3947</v>
      </c>
      <c r="C31" s="446" t="s">
        <v>1783</v>
      </c>
      <c r="D31" s="446" t="s">
        <v>153</v>
      </c>
      <c r="E31" s="446" t="s">
        <v>3798</v>
      </c>
      <c r="F31" s="298">
        <v>42810</v>
      </c>
      <c r="G31" s="74">
        <v>561</v>
      </c>
      <c r="H31" s="74">
        <v>561</v>
      </c>
      <c r="I31" s="74">
        <v>1122</v>
      </c>
      <c r="J31" s="74">
        <v>0</v>
      </c>
      <c r="K31" s="74">
        <v>0</v>
      </c>
      <c r="L31" s="74">
        <v>0</v>
      </c>
      <c r="M31" s="74">
        <v>1122</v>
      </c>
    </row>
    <row r="32" spans="1:13" x14ac:dyDescent="0.2">
      <c r="A32" s="446" t="s">
        <v>2008</v>
      </c>
      <c r="B32" s="446" t="s">
        <v>3948</v>
      </c>
      <c r="C32" s="446" t="s">
        <v>258</v>
      </c>
      <c r="D32" s="446" t="s">
        <v>153</v>
      </c>
      <c r="E32" s="446" t="s">
        <v>3798</v>
      </c>
      <c r="F32" s="298">
        <v>41711</v>
      </c>
      <c r="G32" s="74">
        <v>502</v>
      </c>
      <c r="H32" s="74">
        <v>0</v>
      </c>
      <c r="I32" s="74">
        <v>502</v>
      </c>
      <c r="J32" s="74">
        <v>497</v>
      </c>
      <c r="K32" s="74">
        <v>0</v>
      </c>
      <c r="L32" s="74">
        <v>497</v>
      </c>
      <c r="M32" s="74">
        <v>5</v>
      </c>
    </row>
    <row r="33" spans="1:13" x14ac:dyDescent="0.2">
      <c r="A33" s="446" t="s">
        <v>1517</v>
      </c>
      <c r="B33" s="446" t="s">
        <v>3943</v>
      </c>
      <c r="C33" s="446" t="s">
        <v>367</v>
      </c>
      <c r="D33" s="446" t="s">
        <v>153</v>
      </c>
      <c r="E33" s="446" t="s">
        <v>3798</v>
      </c>
      <c r="F33" s="298">
        <v>42185</v>
      </c>
      <c r="G33" s="74">
        <v>301</v>
      </c>
      <c r="H33" s="74">
        <v>0</v>
      </c>
      <c r="I33" s="74">
        <v>301</v>
      </c>
      <c r="J33" s="74">
        <v>362</v>
      </c>
      <c r="K33" s="74">
        <v>363</v>
      </c>
      <c r="L33" s="74">
        <v>725</v>
      </c>
      <c r="M33" s="74">
        <v>-424</v>
      </c>
    </row>
    <row r="34" spans="1:13" x14ac:dyDescent="0.2">
      <c r="A34" s="446" t="s">
        <v>2621</v>
      </c>
      <c r="B34" s="446" t="s">
        <v>2907</v>
      </c>
      <c r="C34" s="446" t="s">
        <v>2622</v>
      </c>
      <c r="D34" s="446" t="s">
        <v>153</v>
      </c>
      <c r="E34" s="446" t="s">
        <v>3798</v>
      </c>
      <c r="F34" s="298">
        <v>43153</v>
      </c>
      <c r="G34" s="74">
        <v>0</v>
      </c>
      <c r="H34" s="74">
        <v>0</v>
      </c>
      <c r="I34" s="74">
        <v>0</v>
      </c>
      <c r="J34" s="74">
        <v>45</v>
      </c>
      <c r="K34" s="74">
        <v>0</v>
      </c>
      <c r="L34" s="74">
        <v>45</v>
      </c>
      <c r="M34" s="74">
        <v>-45</v>
      </c>
    </row>
    <row r="35" spans="1:13" x14ac:dyDescent="0.2">
      <c r="A35" s="446" t="s">
        <v>2328</v>
      </c>
      <c r="B35" s="446" t="s">
        <v>3940</v>
      </c>
      <c r="C35" s="446" t="s">
        <v>1180</v>
      </c>
      <c r="D35" s="446" t="s">
        <v>153</v>
      </c>
      <c r="E35" s="446" t="s">
        <v>3798</v>
      </c>
      <c r="F35" s="298">
        <v>42818</v>
      </c>
      <c r="G35" s="74">
        <v>0</v>
      </c>
      <c r="H35" s="74">
        <v>0</v>
      </c>
      <c r="I35" s="74">
        <v>0</v>
      </c>
      <c r="J35" s="74">
        <v>85</v>
      </c>
      <c r="K35" s="74">
        <v>0</v>
      </c>
      <c r="L35" s="74">
        <v>85</v>
      </c>
      <c r="M35" s="74">
        <v>-85</v>
      </c>
    </row>
    <row r="36" spans="1:13" x14ac:dyDescent="0.2">
      <c r="A36" s="446" t="s">
        <v>1723</v>
      </c>
      <c r="B36" s="446" t="s">
        <v>3943</v>
      </c>
      <c r="C36" s="446" t="s">
        <v>1725</v>
      </c>
      <c r="D36" s="446" t="s">
        <v>153</v>
      </c>
      <c r="E36" s="446" t="s">
        <v>3798</v>
      </c>
      <c r="F36" s="298">
        <v>43160</v>
      </c>
      <c r="G36" s="74">
        <v>6423</v>
      </c>
      <c r="H36" s="74">
        <v>0</v>
      </c>
      <c r="I36" s="74">
        <v>6423</v>
      </c>
      <c r="J36" s="74">
        <v>0</v>
      </c>
      <c r="K36" s="74">
        <v>0</v>
      </c>
      <c r="L36" s="74">
        <v>0</v>
      </c>
      <c r="M36" s="74">
        <v>6423</v>
      </c>
    </row>
    <row r="37" spans="1:13" x14ac:dyDescent="0.2">
      <c r="A37" s="446" t="s">
        <v>1733</v>
      </c>
      <c r="B37" s="446" t="s">
        <v>3941</v>
      </c>
      <c r="C37" s="446" t="s">
        <v>1105</v>
      </c>
      <c r="D37" s="446" t="s">
        <v>153</v>
      </c>
      <c r="E37" s="446" t="s">
        <v>3798</v>
      </c>
      <c r="F37" s="298">
        <v>42723</v>
      </c>
      <c r="G37" s="74">
        <v>227</v>
      </c>
      <c r="H37" s="74">
        <v>0</v>
      </c>
      <c r="I37" s="74">
        <v>227</v>
      </c>
      <c r="J37" s="74">
        <v>0</v>
      </c>
      <c r="K37" s="74">
        <v>0</v>
      </c>
      <c r="L37" s="74">
        <v>0</v>
      </c>
      <c r="M37" s="74">
        <v>227</v>
      </c>
    </row>
    <row r="38" spans="1:13" x14ac:dyDescent="0.2">
      <c r="A38" s="446" t="s">
        <v>1837</v>
      </c>
      <c r="B38" s="446" t="s">
        <v>3946</v>
      </c>
      <c r="C38" s="446" t="s">
        <v>66</v>
      </c>
      <c r="D38" s="446" t="s">
        <v>153</v>
      </c>
      <c r="E38" s="446" t="s">
        <v>3798</v>
      </c>
      <c r="F38" s="298">
        <v>40882</v>
      </c>
      <c r="G38" s="74">
        <v>83</v>
      </c>
      <c r="H38" s="74">
        <v>0</v>
      </c>
      <c r="I38" s="74">
        <v>83</v>
      </c>
      <c r="J38" s="74">
        <v>0</v>
      </c>
      <c r="K38" s="74">
        <v>0</v>
      </c>
      <c r="L38" s="74">
        <v>0</v>
      </c>
      <c r="M38" s="74">
        <v>83</v>
      </c>
    </row>
    <row r="39" spans="1:13" x14ac:dyDescent="0.2">
      <c r="A39" s="446" t="s">
        <v>2377</v>
      </c>
      <c r="B39" s="446" t="s">
        <v>3946</v>
      </c>
      <c r="C39" s="446" t="s">
        <v>1210</v>
      </c>
      <c r="D39" s="446" t="s">
        <v>153</v>
      </c>
      <c r="E39" s="446" t="s">
        <v>3798</v>
      </c>
      <c r="F39" s="298">
        <v>43090</v>
      </c>
      <c r="G39" s="74">
        <v>0</v>
      </c>
      <c r="H39" s="74">
        <v>422</v>
      </c>
      <c r="I39" s="74">
        <v>422</v>
      </c>
      <c r="J39" s="74">
        <v>104</v>
      </c>
      <c r="K39" s="74">
        <v>275</v>
      </c>
      <c r="L39" s="74">
        <v>379</v>
      </c>
      <c r="M39" s="74">
        <v>43</v>
      </c>
    </row>
    <row r="40" spans="1:13" x14ac:dyDescent="0.2">
      <c r="A40" s="446" t="s">
        <v>1849</v>
      </c>
      <c r="B40" s="446" t="s">
        <v>3946</v>
      </c>
      <c r="C40" s="446" t="s">
        <v>1107</v>
      </c>
      <c r="D40" s="446" t="s">
        <v>153</v>
      </c>
      <c r="E40" s="446" t="s">
        <v>3798</v>
      </c>
      <c r="F40" s="298">
        <v>42985</v>
      </c>
      <c r="G40" s="74">
        <v>155</v>
      </c>
      <c r="H40" s="74">
        <v>155</v>
      </c>
      <c r="I40" s="74">
        <v>310</v>
      </c>
      <c r="J40" s="74">
        <v>0</v>
      </c>
      <c r="K40" s="74">
        <v>0</v>
      </c>
      <c r="L40" s="74">
        <v>0</v>
      </c>
      <c r="M40" s="74">
        <v>310</v>
      </c>
    </row>
    <row r="41" spans="1:13" x14ac:dyDescent="0.2">
      <c r="A41" s="446" t="s">
        <v>1572</v>
      </c>
      <c r="B41" s="446" t="s">
        <v>3946</v>
      </c>
      <c r="C41" s="446" t="s">
        <v>602</v>
      </c>
      <c r="D41" s="446" t="s">
        <v>153</v>
      </c>
      <c r="E41" s="446" t="s">
        <v>3798</v>
      </c>
      <c r="F41" s="298">
        <v>42481</v>
      </c>
      <c r="G41" s="74">
        <v>0</v>
      </c>
      <c r="H41" s="74">
        <v>106</v>
      </c>
      <c r="I41" s="74">
        <v>106</v>
      </c>
      <c r="J41" s="74">
        <v>0</v>
      </c>
      <c r="K41" s="74">
        <v>0</v>
      </c>
      <c r="L41" s="74">
        <v>0</v>
      </c>
      <c r="M41" s="74">
        <v>106</v>
      </c>
    </row>
    <row r="42" spans="1:13" x14ac:dyDescent="0.2">
      <c r="A42" s="446" t="s">
        <v>1867</v>
      </c>
      <c r="B42" s="446" t="s">
        <v>3947</v>
      </c>
      <c r="C42" s="446" t="s">
        <v>1871</v>
      </c>
      <c r="D42" s="446" t="s">
        <v>1875</v>
      </c>
      <c r="E42" s="446" t="s">
        <v>3798</v>
      </c>
      <c r="F42" s="298">
        <v>42880</v>
      </c>
      <c r="G42" s="74">
        <v>375</v>
      </c>
      <c r="H42" s="74">
        <v>376</v>
      </c>
      <c r="I42" s="74">
        <v>751</v>
      </c>
      <c r="J42" s="74">
        <v>0</v>
      </c>
      <c r="K42" s="74">
        <v>0</v>
      </c>
      <c r="L42" s="74">
        <v>0</v>
      </c>
      <c r="M42" s="74">
        <v>751</v>
      </c>
    </row>
    <row r="43" spans="1:13" x14ac:dyDescent="0.2">
      <c r="A43" s="446" t="s">
        <v>1498</v>
      </c>
      <c r="B43" s="446" t="s">
        <v>150</v>
      </c>
      <c r="C43" s="446" t="s">
        <v>391</v>
      </c>
      <c r="D43" s="446" t="s">
        <v>153</v>
      </c>
      <c r="E43" s="446" t="s">
        <v>3798</v>
      </c>
      <c r="F43" s="298">
        <v>41838</v>
      </c>
      <c r="G43" s="74">
        <v>0</v>
      </c>
      <c r="H43" s="74">
        <v>0</v>
      </c>
      <c r="I43" s="74">
        <v>0</v>
      </c>
      <c r="J43" s="74">
        <v>190</v>
      </c>
      <c r="K43" s="74">
        <v>0</v>
      </c>
      <c r="L43" s="74">
        <v>190</v>
      </c>
      <c r="M43" s="74">
        <v>-190</v>
      </c>
    </row>
    <row r="44" spans="1:13" x14ac:dyDescent="0.2">
      <c r="A44" s="446" t="s">
        <v>1813</v>
      </c>
      <c r="B44" s="446" t="s">
        <v>3941</v>
      </c>
      <c r="C44" s="446" t="s">
        <v>905</v>
      </c>
      <c r="D44" s="446" t="s">
        <v>153</v>
      </c>
      <c r="E44" s="446" t="s">
        <v>421</v>
      </c>
      <c r="F44" s="298">
        <v>42571</v>
      </c>
      <c r="G44" s="74">
        <v>75</v>
      </c>
      <c r="H44" s="74">
        <v>0</v>
      </c>
      <c r="I44" s="74">
        <v>75</v>
      </c>
      <c r="J44" s="74">
        <v>0</v>
      </c>
      <c r="K44" s="74">
        <v>0</v>
      </c>
      <c r="L44" s="74">
        <v>0</v>
      </c>
      <c r="M44" s="74">
        <v>75</v>
      </c>
    </row>
    <row r="45" spans="1:13" x14ac:dyDescent="0.2">
      <c r="A45" s="446" t="s">
        <v>2313</v>
      </c>
      <c r="B45" s="446" t="s">
        <v>149</v>
      </c>
      <c r="C45" s="446" t="s">
        <v>2314</v>
      </c>
      <c r="D45" s="446" t="s">
        <v>153</v>
      </c>
      <c r="E45" s="446" t="s">
        <v>3798</v>
      </c>
      <c r="F45" s="298">
        <v>42885</v>
      </c>
      <c r="G45" s="74">
        <v>40</v>
      </c>
      <c r="H45" s="74">
        <v>0</v>
      </c>
      <c r="I45" s="74">
        <v>40</v>
      </c>
      <c r="J45" s="74">
        <v>0</v>
      </c>
      <c r="K45" s="74">
        <v>0</v>
      </c>
      <c r="L45" s="74">
        <v>0</v>
      </c>
      <c r="M45" s="74">
        <v>40</v>
      </c>
    </row>
    <row r="46" spans="1:13" x14ac:dyDescent="0.2">
      <c r="A46" s="446" t="s">
        <v>1476</v>
      </c>
      <c r="B46" s="446" t="s">
        <v>3947</v>
      </c>
      <c r="C46" s="446" t="s">
        <v>251</v>
      </c>
      <c r="D46" s="446" t="s">
        <v>153</v>
      </c>
      <c r="E46" s="446" t="s">
        <v>3798</v>
      </c>
      <c r="F46" s="298">
        <v>41940</v>
      </c>
      <c r="G46" s="74">
        <v>793</v>
      </c>
      <c r="H46" s="74">
        <v>0</v>
      </c>
      <c r="I46" s="74">
        <v>793</v>
      </c>
      <c r="J46" s="74">
        <v>1036</v>
      </c>
      <c r="K46" s="74">
        <v>0</v>
      </c>
      <c r="L46" s="74">
        <v>1036</v>
      </c>
      <c r="M46" s="74">
        <v>-243</v>
      </c>
    </row>
    <row r="47" spans="1:13" x14ac:dyDescent="0.2">
      <c r="A47" s="446" t="s">
        <v>1809</v>
      </c>
      <c r="B47" s="446" t="s">
        <v>3940</v>
      </c>
      <c r="C47" s="446" t="s">
        <v>1214</v>
      </c>
      <c r="D47" s="446" t="s">
        <v>153</v>
      </c>
      <c r="E47" s="446" t="s">
        <v>3798</v>
      </c>
      <c r="F47" s="298">
        <v>42804</v>
      </c>
      <c r="G47" s="74">
        <v>0</v>
      </c>
      <c r="H47" s="74">
        <v>0</v>
      </c>
      <c r="I47" s="74">
        <v>0</v>
      </c>
      <c r="J47" s="74">
        <v>116</v>
      </c>
      <c r="K47" s="74">
        <v>0</v>
      </c>
      <c r="L47" s="74">
        <v>116</v>
      </c>
      <c r="M47" s="74">
        <v>-116</v>
      </c>
    </row>
    <row r="48" spans="1:13" x14ac:dyDescent="0.2">
      <c r="A48" s="446" t="s">
        <v>1719</v>
      </c>
      <c r="B48" s="446" t="s">
        <v>3942</v>
      </c>
      <c r="C48" s="446" t="s">
        <v>176</v>
      </c>
      <c r="D48" s="446" t="s">
        <v>153</v>
      </c>
      <c r="E48" s="446" t="s">
        <v>3798</v>
      </c>
      <c r="F48" s="298">
        <v>41200</v>
      </c>
      <c r="G48" s="74">
        <v>0</v>
      </c>
      <c r="H48" s="74">
        <v>530</v>
      </c>
      <c r="I48" s="74">
        <v>530</v>
      </c>
      <c r="J48" s="74">
        <v>0</v>
      </c>
      <c r="K48" s="74">
        <v>0</v>
      </c>
      <c r="L48" s="74">
        <v>0</v>
      </c>
      <c r="M48" s="74">
        <v>530</v>
      </c>
    </row>
    <row r="49" spans="1:13" x14ac:dyDescent="0.2">
      <c r="A49" s="446" t="s">
        <v>1713</v>
      </c>
      <c r="B49" s="446" t="s">
        <v>3944</v>
      </c>
      <c r="C49" s="446" t="s">
        <v>229</v>
      </c>
      <c r="D49" s="446" t="s">
        <v>153</v>
      </c>
      <c r="E49" s="446" t="s">
        <v>3798</v>
      </c>
      <c r="F49" s="298">
        <v>41614</v>
      </c>
      <c r="G49" s="74">
        <v>647</v>
      </c>
      <c r="H49" s="74">
        <v>507</v>
      </c>
      <c r="I49" s="74">
        <v>1154</v>
      </c>
      <c r="J49" s="74">
        <v>0</v>
      </c>
      <c r="K49" s="74">
        <v>0</v>
      </c>
      <c r="L49" s="74">
        <v>0</v>
      </c>
      <c r="M49" s="74">
        <v>1154</v>
      </c>
    </row>
    <row r="50" spans="1:13" x14ac:dyDescent="0.2">
      <c r="C50" s="446" t="s">
        <v>1715</v>
      </c>
      <c r="D50" s="446" t="s">
        <v>153</v>
      </c>
      <c r="E50" s="446" t="s">
        <v>3798</v>
      </c>
      <c r="F50" s="298">
        <v>43076</v>
      </c>
      <c r="G50" s="74">
        <v>205</v>
      </c>
      <c r="H50" s="74">
        <v>0</v>
      </c>
      <c r="I50" s="74">
        <v>205</v>
      </c>
      <c r="J50" s="74">
        <v>647</v>
      </c>
      <c r="K50" s="74">
        <v>0</v>
      </c>
      <c r="L50" s="74">
        <v>647</v>
      </c>
      <c r="M50" s="74">
        <v>-442</v>
      </c>
    </row>
    <row r="51" spans="1:13" x14ac:dyDescent="0.2">
      <c r="A51" s="446" t="s">
        <v>1602</v>
      </c>
      <c r="B51" s="446" t="s">
        <v>3940</v>
      </c>
      <c r="C51" s="446" t="s">
        <v>396</v>
      </c>
      <c r="D51" s="446" t="s">
        <v>153</v>
      </c>
      <c r="E51" s="446" t="s">
        <v>3798</v>
      </c>
      <c r="F51" s="298">
        <v>41788</v>
      </c>
      <c r="G51" s="74">
        <v>0</v>
      </c>
      <c r="H51" s="74">
        <v>30</v>
      </c>
      <c r="I51" s="74">
        <v>30</v>
      </c>
      <c r="J51" s="74">
        <v>0</v>
      </c>
      <c r="K51" s="74">
        <v>0</v>
      </c>
      <c r="L51" s="74">
        <v>0</v>
      </c>
      <c r="M51" s="74">
        <v>30</v>
      </c>
    </row>
    <row r="52" spans="1:13" x14ac:dyDescent="0.2">
      <c r="A52" s="446" t="s">
        <v>1961</v>
      </c>
      <c r="B52" s="446" t="s">
        <v>3939</v>
      </c>
      <c r="C52" s="446" t="s">
        <v>239</v>
      </c>
      <c r="D52" s="446" t="s">
        <v>153</v>
      </c>
      <c r="E52" s="446" t="s">
        <v>3798</v>
      </c>
      <c r="F52" s="298">
        <v>41569</v>
      </c>
      <c r="G52" s="74">
        <v>0</v>
      </c>
      <c r="H52" s="74">
        <v>0</v>
      </c>
      <c r="I52" s="74">
        <v>0</v>
      </c>
      <c r="J52" s="74">
        <v>7657</v>
      </c>
      <c r="K52" s="74">
        <v>0</v>
      </c>
      <c r="L52" s="74">
        <v>7657</v>
      </c>
      <c r="M52" s="74">
        <v>-7657</v>
      </c>
    </row>
    <row r="53" spans="1:13" x14ac:dyDescent="0.2">
      <c r="A53" s="446" t="s">
        <v>1525</v>
      </c>
      <c r="B53" s="446" t="s">
        <v>3947</v>
      </c>
      <c r="C53" s="446" t="s">
        <v>1528</v>
      </c>
      <c r="D53" s="446" t="s">
        <v>1530</v>
      </c>
      <c r="E53" s="446" t="s">
        <v>3798</v>
      </c>
      <c r="F53" s="298">
        <v>42426</v>
      </c>
      <c r="G53" s="74">
        <v>2031</v>
      </c>
      <c r="H53" s="74">
        <v>2031</v>
      </c>
      <c r="I53" s="74">
        <v>4062</v>
      </c>
      <c r="J53" s="74">
        <v>0</v>
      </c>
      <c r="K53" s="74">
        <v>0</v>
      </c>
      <c r="L53" s="74">
        <v>0</v>
      </c>
      <c r="M53" s="74">
        <v>4062</v>
      </c>
    </row>
    <row r="54" spans="1:13" x14ac:dyDescent="0.2">
      <c r="D54" s="446" t="s">
        <v>1531</v>
      </c>
      <c r="E54" s="446" t="s">
        <v>3798</v>
      </c>
      <c r="F54" s="298">
        <v>42426</v>
      </c>
      <c r="G54" s="74">
        <v>2810</v>
      </c>
      <c r="H54" s="74">
        <v>2810</v>
      </c>
      <c r="I54" s="74">
        <v>5620</v>
      </c>
      <c r="J54" s="74">
        <v>0</v>
      </c>
      <c r="K54" s="74">
        <v>0</v>
      </c>
      <c r="L54" s="74">
        <v>0</v>
      </c>
      <c r="M54" s="74">
        <v>5620</v>
      </c>
    </row>
    <row r="55" spans="1:13" x14ac:dyDescent="0.2">
      <c r="C55" s="446" t="s">
        <v>1287</v>
      </c>
      <c r="D55" s="446" t="s">
        <v>2819</v>
      </c>
      <c r="E55" s="446" t="s">
        <v>3798</v>
      </c>
      <c r="F55" s="298">
        <v>42873</v>
      </c>
      <c r="G55" s="74">
        <v>4453</v>
      </c>
      <c r="H55" s="74">
        <v>4454</v>
      </c>
      <c r="I55" s="74">
        <v>8907</v>
      </c>
      <c r="J55" s="74">
        <v>0</v>
      </c>
      <c r="K55" s="74">
        <v>0</v>
      </c>
      <c r="L55" s="74">
        <v>0</v>
      </c>
      <c r="M55" s="74">
        <v>8907</v>
      </c>
    </row>
    <row r="56" spans="1:13" x14ac:dyDescent="0.2">
      <c r="A56" s="446" t="s">
        <v>1864</v>
      </c>
      <c r="B56" s="446" t="s">
        <v>3944</v>
      </c>
      <c r="C56" s="446" t="s">
        <v>323</v>
      </c>
      <c r="D56" s="446" t="s">
        <v>153</v>
      </c>
      <c r="E56" s="446" t="s">
        <v>3798</v>
      </c>
      <c r="F56" s="298">
        <v>42193</v>
      </c>
      <c r="G56" s="74">
        <v>1276</v>
      </c>
      <c r="H56" s="74">
        <v>0</v>
      </c>
      <c r="I56" s="74">
        <v>1276</v>
      </c>
      <c r="J56" s="74">
        <v>7439</v>
      </c>
      <c r="K56" s="74">
        <v>0</v>
      </c>
      <c r="L56" s="74">
        <v>7439</v>
      </c>
      <c r="M56" s="74">
        <v>-6163</v>
      </c>
    </row>
    <row r="57" spans="1:13" x14ac:dyDescent="0.2">
      <c r="C57" s="446" t="s">
        <v>865</v>
      </c>
      <c r="D57" s="446" t="s">
        <v>153</v>
      </c>
      <c r="E57" s="446" t="s">
        <v>3798</v>
      </c>
      <c r="F57" s="298">
        <v>42556</v>
      </c>
      <c r="G57" s="74">
        <v>130</v>
      </c>
      <c r="H57" s="74">
        <v>0</v>
      </c>
      <c r="I57" s="74">
        <v>130</v>
      </c>
      <c r="J57" s="74">
        <v>83</v>
      </c>
      <c r="K57" s="74">
        <v>0</v>
      </c>
      <c r="L57" s="74">
        <v>83</v>
      </c>
      <c r="M57" s="74">
        <v>47</v>
      </c>
    </row>
    <row r="58" spans="1:13" x14ac:dyDescent="0.2">
      <c r="A58" s="446" t="s">
        <v>1546</v>
      </c>
      <c r="B58" s="446" t="s">
        <v>3953</v>
      </c>
      <c r="C58" s="446" t="s">
        <v>68</v>
      </c>
      <c r="D58" s="446" t="s">
        <v>153</v>
      </c>
      <c r="E58" s="446" t="s">
        <v>3798</v>
      </c>
      <c r="F58" s="298">
        <v>40587</v>
      </c>
      <c r="G58" s="74">
        <v>4098</v>
      </c>
      <c r="H58" s="74">
        <v>597</v>
      </c>
      <c r="I58" s="74">
        <v>4695</v>
      </c>
      <c r="J58" s="74">
        <v>1198</v>
      </c>
      <c r="K58" s="74">
        <v>472</v>
      </c>
      <c r="L58" s="74">
        <v>1670</v>
      </c>
      <c r="M58" s="74">
        <v>3025</v>
      </c>
    </row>
    <row r="59" spans="1:13" x14ac:dyDescent="0.2">
      <c r="A59" s="446" t="s">
        <v>1848</v>
      </c>
      <c r="B59" s="446" t="s">
        <v>3946</v>
      </c>
      <c r="C59" s="446" t="s">
        <v>1054</v>
      </c>
      <c r="D59" s="446" t="s">
        <v>153</v>
      </c>
      <c r="E59" s="446" t="s">
        <v>3798</v>
      </c>
      <c r="F59" s="298">
        <v>42753</v>
      </c>
      <c r="G59" s="74">
        <v>119</v>
      </c>
      <c r="H59" s="74">
        <v>0</v>
      </c>
      <c r="I59" s="74">
        <v>119</v>
      </c>
      <c r="J59" s="74">
        <v>76</v>
      </c>
      <c r="K59" s="74">
        <v>0</v>
      </c>
      <c r="L59" s="74">
        <v>76</v>
      </c>
      <c r="M59" s="74">
        <v>43</v>
      </c>
    </row>
    <row r="60" spans="1:13" x14ac:dyDescent="0.2">
      <c r="A60" s="446" t="s">
        <v>1766</v>
      </c>
      <c r="B60" s="446" t="s">
        <v>3948</v>
      </c>
      <c r="C60" s="446" t="s">
        <v>57</v>
      </c>
      <c r="D60" s="446" t="s">
        <v>153</v>
      </c>
      <c r="E60" s="446" t="s">
        <v>3798</v>
      </c>
      <c r="F60" s="298">
        <v>40921</v>
      </c>
      <c r="G60" s="74">
        <v>1250</v>
      </c>
      <c r="H60" s="74">
        <v>0</v>
      </c>
      <c r="I60" s="74">
        <v>1250</v>
      </c>
      <c r="J60" s="74">
        <v>494</v>
      </c>
      <c r="K60" s="74">
        <v>0</v>
      </c>
      <c r="L60" s="74">
        <v>494</v>
      </c>
      <c r="M60" s="74">
        <v>756</v>
      </c>
    </row>
    <row r="61" spans="1:13" x14ac:dyDescent="0.2">
      <c r="A61" s="446" t="s">
        <v>1928</v>
      </c>
      <c r="B61" s="446" t="s">
        <v>3946</v>
      </c>
      <c r="C61" s="446" t="s">
        <v>896</v>
      </c>
      <c r="D61" s="446" t="s">
        <v>153</v>
      </c>
      <c r="E61" s="446" t="s">
        <v>3798</v>
      </c>
      <c r="F61" s="298">
        <v>42628</v>
      </c>
      <c r="G61" s="74">
        <v>119</v>
      </c>
      <c r="H61" s="74">
        <v>0</v>
      </c>
      <c r="I61" s="74">
        <v>119</v>
      </c>
      <c r="J61" s="74">
        <v>80</v>
      </c>
      <c r="K61" s="74">
        <v>0</v>
      </c>
      <c r="L61" s="74">
        <v>80</v>
      </c>
      <c r="M61" s="74">
        <v>39</v>
      </c>
    </row>
    <row r="62" spans="1:13" x14ac:dyDescent="0.2">
      <c r="A62" s="446" t="s">
        <v>95</v>
      </c>
      <c r="G62" s="74">
        <v>61122</v>
      </c>
      <c r="H62" s="74">
        <v>17142</v>
      </c>
      <c r="I62" s="74">
        <v>78264</v>
      </c>
      <c r="J62" s="74">
        <v>38076</v>
      </c>
      <c r="K62" s="74">
        <v>1110</v>
      </c>
      <c r="L62" s="74">
        <v>39186</v>
      </c>
      <c r="M62" s="74">
        <v>39078</v>
      </c>
    </row>
  </sheetData>
  <conditionalFormatting sqref="D1:D1048576">
    <cfRule type="cellIs" dxfId="17"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M73"/>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3899</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x14ac:dyDescent="0.2">
      <c r="A7" s="344" t="s">
        <v>2390</v>
      </c>
      <c r="B7" s="342" t="s">
        <v>149</v>
      </c>
      <c r="C7" s="343" t="s">
        <v>1246</v>
      </c>
      <c r="D7" s="342" t="s">
        <v>153</v>
      </c>
      <c r="E7" s="344" t="s">
        <v>3798</v>
      </c>
      <c r="F7" s="345">
        <v>42835</v>
      </c>
      <c r="G7" s="346">
        <v>0</v>
      </c>
      <c r="H7" s="346">
        <v>164</v>
      </c>
      <c r="I7" s="347">
        <v>164</v>
      </c>
      <c r="J7" s="346">
        <v>0</v>
      </c>
      <c r="K7" s="346">
        <v>0</v>
      </c>
      <c r="L7" s="347">
        <v>0</v>
      </c>
      <c r="M7" s="346">
        <v>164</v>
      </c>
    </row>
    <row r="8" spans="1:13" s="319" customFormat="1" x14ac:dyDescent="0.2">
      <c r="A8" s="321" t="s">
        <v>1559</v>
      </c>
      <c r="B8" s="322" t="s">
        <v>3944</v>
      </c>
      <c r="C8" s="323" t="s">
        <v>1560</v>
      </c>
      <c r="D8" s="322" t="s">
        <v>153</v>
      </c>
      <c r="E8" s="321" t="s">
        <v>3798</v>
      </c>
      <c r="F8" s="352">
        <v>43182</v>
      </c>
      <c r="G8" s="326">
        <v>0</v>
      </c>
      <c r="H8" s="326">
        <v>14</v>
      </c>
      <c r="I8" s="327">
        <v>14</v>
      </c>
      <c r="J8" s="326">
        <v>0</v>
      </c>
      <c r="K8" s="326">
        <v>0</v>
      </c>
      <c r="L8" s="327">
        <v>0</v>
      </c>
      <c r="M8" s="326">
        <v>14</v>
      </c>
    </row>
    <row r="9" spans="1:13" x14ac:dyDescent="0.2">
      <c r="A9" s="305" t="s">
        <v>1960</v>
      </c>
      <c r="B9" s="306" t="s">
        <v>3946</v>
      </c>
      <c r="C9" s="307" t="s">
        <v>1170</v>
      </c>
      <c r="D9" s="306" t="s">
        <v>153</v>
      </c>
      <c r="E9" s="305" t="s">
        <v>3798</v>
      </c>
      <c r="F9" s="335">
        <v>42767</v>
      </c>
      <c r="G9" s="309">
        <v>85</v>
      </c>
      <c r="H9" s="309">
        <v>0</v>
      </c>
      <c r="I9" s="317">
        <v>85</v>
      </c>
      <c r="J9" s="309">
        <v>0</v>
      </c>
      <c r="K9" s="309">
        <v>0</v>
      </c>
      <c r="L9" s="317">
        <v>0</v>
      </c>
      <c r="M9" s="309">
        <v>85</v>
      </c>
    </row>
    <row r="10" spans="1:13" x14ac:dyDescent="0.2">
      <c r="A10" s="305" t="s">
        <v>2319</v>
      </c>
      <c r="B10" s="306" t="s">
        <v>3948</v>
      </c>
      <c r="C10" s="307" t="s">
        <v>1304</v>
      </c>
      <c r="D10" s="306" t="s">
        <v>153</v>
      </c>
      <c r="E10" s="305" t="s">
        <v>3798</v>
      </c>
      <c r="F10" s="335">
        <v>42790</v>
      </c>
      <c r="G10" s="309">
        <v>0</v>
      </c>
      <c r="H10" s="309">
        <v>434</v>
      </c>
      <c r="I10" s="317">
        <v>434</v>
      </c>
      <c r="J10" s="309">
        <v>0</v>
      </c>
      <c r="K10" s="309">
        <v>0</v>
      </c>
      <c r="L10" s="317">
        <v>0</v>
      </c>
      <c r="M10" s="309">
        <v>434</v>
      </c>
    </row>
    <row r="11" spans="1:13" ht="22.5" x14ac:dyDescent="0.2">
      <c r="A11" s="305" t="s">
        <v>2654</v>
      </c>
      <c r="B11" s="306" t="s">
        <v>3943</v>
      </c>
      <c r="C11" s="307" t="s">
        <v>2655</v>
      </c>
      <c r="D11" s="306" t="s">
        <v>153</v>
      </c>
      <c r="E11" s="305" t="s">
        <v>3798</v>
      </c>
      <c r="F11" s="335">
        <v>43147</v>
      </c>
      <c r="G11" s="309">
        <v>0</v>
      </c>
      <c r="H11" s="309">
        <v>65</v>
      </c>
      <c r="I11" s="317">
        <v>65</v>
      </c>
      <c r="J11" s="309">
        <v>0</v>
      </c>
      <c r="K11" s="309">
        <v>131</v>
      </c>
      <c r="L11" s="317">
        <v>131</v>
      </c>
      <c r="M11" s="309">
        <v>-66</v>
      </c>
    </row>
    <row r="12" spans="1:13" x14ac:dyDescent="0.2">
      <c r="A12" s="305" t="s">
        <v>1989</v>
      </c>
      <c r="B12" s="306" t="s">
        <v>3950</v>
      </c>
      <c r="C12" s="307" t="s">
        <v>664</v>
      </c>
      <c r="D12" s="306" t="s">
        <v>153</v>
      </c>
      <c r="E12" s="305" t="s">
        <v>3798</v>
      </c>
      <c r="F12" s="335">
        <v>42667</v>
      </c>
      <c r="G12" s="309">
        <v>35</v>
      </c>
      <c r="H12" s="309">
        <v>0</v>
      </c>
      <c r="I12" s="317">
        <v>35</v>
      </c>
      <c r="J12" s="309">
        <v>0</v>
      </c>
      <c r="K12" s="309">
        <v>0</v>
      </c>
      <c r="L12" s="317">
        <v>0</v>
      </c>
      <c r="M12" s="309">
        <v>35</v>
      </c>
    </row>
    <row r="13" spans="1:13" x14ac:dyDescent="0.2">
      <c r="A13" s="305" t="s">
        <v>1443</v>
      </c>
      <c r="B13" s="306" t="s">
        <v>3945</v>
      </c>
      <c r="C13" s="307" t="s">
        <v>519</v>
      </c>
      <c r="D13" s="306" t="s">
        <v>153</v>
      </c>
      <c r="E13" s="305" t="s">
        <v>3798</v>
      </c>
      <c r="F13" s="335">
        <v>42311</v>
      </c>
      <c r="G13" s="309">
        <v>65</v>
      </c>
      <c r="H13" s="309">
        <v>0</v>
      </c>
      <c r="I13" s="317">
        <v>65</v>
      </c>
      <c r="J13" s="309">
        <v>0</v>
      </c>
      <c r="K13" s="309">
        <v>0</v>
      </c>
      <c r="L13" s="317">
        <v>0</v>
      </c>
      <c r="M13" s="309">
        <v>65</v>
      </c>
    </row>
    <row r="14" spans="1:13" s="319" customFormat="1" ht="22.5" x14ac:dyDescent="0.2">
      <c r="A14" s="321" t="s">
        <v>1487</v>
      </c>
      <c r="B14" s="322" t="s">
        <v>3952</v>
      </c>
      <c r="C14" s="323" t="s">
        <v>859</v>
      </c>
      <c r="D14" s="322" t="s">
        <v>153</v>
      </c>
      <c r="E14" s="321" t="s">
        <v>3798</v>
      </c>
      <c r="F14" s="352">
        <v>42641</v>
      </c>
      <c r="G14" s="326">
        <v>62</v>
      </c>
      <c r="H14" s="326">
        <v>0</v>
      </c>
      <c r="I14" s="327">
        <v>62</v>
      </c>
      <c r="J14" s="326">
        <v>0</v>
      </c>
      <c r="K14" s="326">
        <v>0</v>
      </c>
      <c r="L14" s="327">
        <v>0</v>
      </c>
      <c r="M14" s="326">
        <v>62</v>
      </c>
    </row>
    <row r="15" spans="1:13" x14ac:dyDescent="0.2">
      <c r="A15" s="305" t="s">
        <v>2020</v>
      </c>
      <c r="B15" s="306" t="s">
        <v>3939</v>
      </c>
      <c r="C15" s="307" t="s">
        <v>252</v>
      </c>
      <c r="D15" s="306" t="s">
        <v>153</v>
      </c>
      <c r="E15" s="305" t="s">
        <v>3798</v>
      </c>
      <c r="F15" s="335">
        <v>41810</v>
      </c>
      <c r="G15" s="309">
        <v>142</v>
      </c>
      <c r="H15" s="309">
        <v>324</v>
      </c>
      <c r="I15" s="317">
        <v>466</v>
      </c>
      <c r="J15" s="309">
        <v>0</v>
      </c>
      <c r="K15" s="309">
        <v>233</v>
      </c>
      <c r="L15" s="317">
        <v>233</v>
      </c>
      <c r="M15" s="309">
        <v>233</v>
      </c>
    </row>
    <row r="16" spans="1:13" x14ac:dyDescent="0.2">
      <c r="A16" s="305" t="s">
        <v>2198</v>
      </c>
      <c r="B16" s="306" t="s">
        <v>3943</v>
      </c>
      <c r="C16" s="307" t="s">
        <v>589</v>
      </c>
      <c r="D16" s="306" t="s">
        <v>153</v>
      </c>
      <c r="E16" s="305" t="s">
        <v>3798</v>
      </c>
      <c r="F16" s="335">
        <v>42699</v>
      </c>
      <c r="G16" s="309">
        <v>0</v>
      </c>
      <c r="H16" s="309">
        <v>0</v>
      </c>
      <c r="I16" s="317">
        <v>0</v>
      </c>
      <c r="J16" s="309">
        <v>3328</v>
      </c>
      <c r="K16" s="309">
        <v>0</v>
      </c>
      <c r="L16" s="317">
        <v>3328</v>
      </c>
      <c r="M16" s="309">
        <v>-3328</v>
      </c>
    </row>
    <row r="17" spans="1:13" x14ac:dyDescent="0.2">
      <c r="A17" s="305" t="s">
        <v>2316</v>
      </c>
      <c r="B17" s="306" t="s">
        <v>2904</v>
      </c>
      <c r="C17" s="307" t="s">
        <v>2317</v>
      </c>
      <c r="D17" s="306" t="s">
        <v>153</v>
      </c>
      <c r="E17" s="305" t="s">
        <v>3798</v>
      </c>
      <c r="F17" s="335">
        <v>42964</v>
      </c>
      <c r="G17" s="309">
        <v>74</v>
      </c>
      <c r="H17" s="309">
        <v>0</v>
      </c>
      <c r="I17" s="317">
        <v>74</v>
      </c>
      <c r="J17" s="309">
        <v>0</v>
      </c>
      <c r="K17" s="309">
        <v>0</v>
      </c>
      <c r="L17" s="317">
        <v>0</v>
      </c>
      <c r="M17" s="309">
        <v>74</v>
      </c>
    </row>
    <row r="18" spans="1:13" x14ac:dyDescent="0.2">
      <c r="A18" s="305" t="s">
        <v>1374</v>
      </c>
      <c r="B18" s="306" t="s">
        <v>150</v>
      </c>
      <c r="C18" s="307" t="s">
        <v>1375</v>
      </c>
      <c r="D18" s="306" t="s">
        <v>153</v>
      </c>
      <c r="E18" s="305" t="s">
        <v>3798</v>
      </c>
      <c r="F18" s="335">
        <v>43087</v>
      </c>
      <c r="G18" s="309">
        <v>241</v>
      </c>
      <c r="H18" s="309">
        <v>0</v>
      </c>
      <c r="I18" s="317">
        <v>241</v>
      </c>
      <c r="J18" s="309">
        <v>237</v>
      </c>
      <c r="K18" s="309">
        <v>0</v>
      </c>
      <c r="L18" s="317">
        <v>237</v>
      </c>
      <c r="M18" s="309">
        <v>4</v>
      </c>
    </row>
    <row r="19" spans="1:13" x14ac:dyDescent="0.2">
      <c r="A19" s="305" t="s">
        <v>2332</v>
      </c>
      <c r="B19" s="306" t="s">
        <v>3944</v>
      </c>
      <c r="C19" s="307" t="s">
        <v>1090</v>
      </c>
      <c r="D19" s="306" t="s">
        <v>153</v>
      </c>
      <c r="E19" s="305" t="s">
        <v>3798</v>
      </c>
      <c r="F19" s="335">
        <v>42725</v>
      </c>
      <c r="G19" s="309">
        <v>68</v>
      </c>
      <c r="H19" s="309">
        <v>0</v>
      </c>
      <c r="I19" s="317">
        <v>68</v>
      </c>
      <c r="J19" s="309">
        <v>0</v>
      </c>
      <c r="K19" s="309">
        <v>0</v>
      </c>
      <c r="L19" s="317">
        <v>0</v>
      </c>
      <c r="M19" s="309">
        <v>68</v>
      </c>
    </row>
    <row r="20" spans="1:13" ht="22.5" x14ac:dyDescent="0.2">
      <c r="A20" s="305" t="s">
        <v>1704</v>
      </c>
      <c r="B20" s="306" t="s">
        <v>3946</v>
      </c>
      <c r="C20" s="307" t="s">
        <v>307</v>
      </c>
      <c r="D20" s="306" t="s">
        <v>153</v>
      </c>
      <c r="E20" s="305" t="s">
        <v>3798</v>
      </c>
      <c r="F20" s="335">
        <v>42489</v>
      </c>
      <c r="G20" s="309">
        <v>0</v>
      </c>
      <c r="H20" s="309">
        <v>447</v>
      </c>
      <c r="I20" s="317">
        <v>447</v>
      </c>
      <c r="J20" s="309">
        <v>0</v>
      </c>
      <c r="K20" s="309">
        <v>1245</v>
      </c>
      <c r="L20" s="317">
        <v>1245</v>
      </c>
      <c r="M20" s="309">
        <v>-798</v>
      </c>
    </row>
    <row r="21" spans="1:13" x14ac:dyDescent="0.2">
      <c r="A21" s="305" t="s">
        <v>1942</v>
      </c>
      <c r="B21" s="306" t="s">
        <v>149</v>
      </c>
      <c r="C21" s="307" t="s">
        <v>1943</v>
      </c>
      <c r="D21" s="306" t="s">
        <v>153</v>
      </c>
      <c r="E21" s="305" t="s">
        <v>3798</v>
      </c>
      <c r="F21" s="335">
        <v>43131</v>
      </c>
      <c r="G21" s="309">
        <v>0</v>
      </c>
      <c r="H21" s="309">
        <v>49</v>
      </c>
      <c r="I21" s="317">
        <v>49</v>
      </c>
      <c r="J21" s="309">
        <v>0</v>
      </c>
      <c r="K21" s="309">
        <v>0</v>
      </c>
      <c r="L21" s="317">
        <v>0</v>
      </c>
      <c r="M21" s="309">
        <v>49</v>
      </c>
    </row>
    <row r="22" spans="1:13" x14ac:dyDescent="0.2">
      <c r="A22" s="305" t="s">
        <v>2781</v>
      </c>
      <c r="B22" s="306" t="s">
        <v>2904</v>
      </c>
      <c r="C22" s="307" t="s">
        <v>2782</v>
      </c>
      <c r="D22" s="306" t="s">
        <v>153</v>
      </c>
      <c r="E22" s="305" t="s">
        <v>3798</v>
      </c>
      <c r="F22" s="335">
        <v>42913</v>
      </c>
      <c r="G22" s="309">
        <v>150</v>
      </c>
      <c r="H22" s="309">
        <v>0</v>
      </c>
      <c r="I22" s="317">
        <v>150</v>
      </c>
      <c r="J22" s="309">
        <v>0</v>
      </c>
      <c r="K22" s="309">
        <v>0</v>
      </c>
      <c r="L22" s="317">
        <v>0</v>
      </c>
      <c r="M22" s="309">
        <v>150</v>
      </c>
    </row>
    <row r="23" spans="1:13" x14ac:dyDescent="0.2">
      <c r="A23" s="305" t="s">
        <v>1480</v>
      </c>
      <c r="B23" s="306" t="s">
        <v>150</v>
      </c>
      <c r="C23" s="307" t="s">
        <v>1062</v>
      </c>
      <c r="D23" s="306" t="s">
        <v>153</v>
      </c>
      <c r="E23" s="305" t="s">
        <v>3798</v>
      </c>
      <c r="F23" s="335">
        <v>43089</v>
      </c>
      <c r="G23" s="309">
        <v>77</v>
      </c>
      <c r="H23" s="309">
        <v>0</v>
      </c>
      <c r="I23" s="317">
        <v>77</v>
      </c>
      <c r="J23" s="309">
        <v>0</v>
      </c>
      <c r="K23" s="309">
        <v>0</v>
      </c>
      <c r="L23" s="317">
        <v>0</v>
      </c>
      <c r="M23" s="309">
        <v>77</v>
      </c>
    </row>
    <row r="24" spans="1:13" x14ac:dyDescent="0.2">
      <c r="A24" s="305" t="s">
        <v>1743</v>
      </c>
      <c r="B24" s="306" t="s">
        <v>3943</v>
      </c>
      <c r="C24" s="307" t="s">
        <v>621</v>
      </c>
      <c r="D24" s="306" t="s">
        <v>153</v>
      </c>
      <c r="E24" s="305" t="s">
        <v>3798</v>
      </c>
      <c r="F24" s="335">
        <v>42517</v>
      </c>
      <c r="G24" s="309">
        <v>26</v>
      </c>
      <c r="H24" s="309">
        <v>0</v>
      </c>
      <c r="I24" s="317">
        <v>26</v>
      </c>
      <c r="J24" s="309">
        <v>0</v>
      </c>
      <c r="K24" s="309">
        <v>0</v>
      </c>
      <c r="L24" s="317">
        <v>0</v>
      </c>
      <c r="M24" s="309">
        <v>26</v>
      </c>
    </row>
    <row r="25" spans="1:13" x14ac:dyDescent="0.2">
      <c r="A25" s="305" t="s">
        <v>2627</v>
      </c>
      <c r="B25" s="306" t="s">
        <v>3942</v>
      </c>
      <c r="C25" s="307" t="s">
        <v>2628</v>
      </c>
      <c r="D25" s="306" t="s">
        <v>153</v>
      </c>
      <c r="E25" s="305" t="s">
        <v>3798</v>
      </c>
      <c r="F25" s="335">
        <v>43104</v>
      </c>
      <c r="G25" s="309">
        <v>0</v>
      </c>
      <c r="H25" s="309">
        <v>111</v>
      </c>
      <c r="I25" s="317">
        <v>111</v>
      </c>
      <c r="J25" s="309">
        <v>0</v>
      </c>
      <c r="K25" s="309">
        <v>0</v>
      </c>
      <c r="L25" s="317">
        <v>0</v>
      </c>
      <c r="M25" s="309">
        <v>111</v>
      </c>
    </row>
    <row r="26" spans="1:13" ht="22.5" x14ac:dyDescent="0.2">
      <c r="A26" s="305" t="s">
        <v>1369</v>
      </c>
      <c r="B26" s="306" t="s">
        <v>2907</v>
      </c>
      <c r="C26" s="307" t="s">
        <v>1370</v>
      </c>
      <c r="D26" s="306" t="s">
        <v>153</v>
      </c>
      <c r="E26" s="305" t="s">
        <v>3798</v>
      </c>
      <c r="F26" s="335">
        <v>43007</v>
      </c>
      <c r="G26" s="309">
        <v>0</v>
      </c>
      <c r="H26" s="309">
        <v>0</v>
      </c>
      <c r="I26" s="317">
        <v>0</v>
      </c>
      <c r="J26" s="309">
        <v>63</v>
      </c>
      <c r="K26" s="309">
        <v>0</v>
      </c>
      <c r="L26" s="317">
        <v>63</v>
      </c>
      <c r="M26" s="309">
        <v>-63</v>
      </c>
    </row>
    <row r="27" spans="1:13" ht="33.75" x14ac:dyDescent="0.2">
      <c r="A27" s="305" t="s">
        <v>1698</v>
      </c>
      <c r="B27" s="306" t="s">
        <v>3946</v>
      </c>
      <c r="C27" s="307" t="s">
        <v>1190</v>
      </c>
      <c r="D27" s="306" t="s">
        <v>153</v>
      </c>
      <c r="E27" s="305" t="s">
        <v>3798</v>
      </c>
      <c r="F27" s="335">
        <v>42790</v>
      </c>
      <c r="G27" s="309">
        <v>222</v>
      </c>
      <c r="H27" s="309">
        <v>223</v>
      </c>
      <c r="I27" s="317">
        <v>445</v>
      </c>
      <c r="J27" s="309">
        <v>940</v>
      </c>
      <c r="K27" s="309">
        <v>0</v>
      </c>
      <c r="L27" s="317">
        <v>940</v>
      </c>
      <c r="M27" s="309">
        <v>-495</v>
      </c>
    </row>
    <row r="28" spans="1:13" ht="22.5" x14ac:dyDescent="0.2">
      <c r="A28" s="305" t="s">
        <v>2290</v>
      </c>
      <c r="B28" s="306" t="s">
        <v>3945</v>
      </c>
      <c r="C28" s="307" t="s">
        <v>1019</v>
      </c>
      <c r="D28" s="306" t="s">
        <v>153</v>
      </c>
      <c r="E28" s="305" t="s">
        <v>3798</v>
      </c>
      <c r="F28" s="335">
        <v>42751</v>
      </c>
      <c r="G28" s="309">
        <v>20</v>
      </c>
      <c r="H28" s="309">
        <v>0</v>
      </c>
      <c r="I28" s="317">
        <v>20</v>
      </c>
      <c r="J28" s="309">
        <v>0</v>
      </c>
      <c r="K28" s="309">
        <v>0</v>
      </c>
      <c r="L28" s="317">
        <v>0</v>
      </c>
      <c r="M28" s="309">
        <v>20</v>
      </c>
    </row>
    <row r="29" spans="1:13" ht="45" x14ac:dyDescent="0.2">
      <c r="A29" s="305" t="s">
        <v>1335</v>
      </c>
      <c r="B29" s="306" t="s">
        <v>3948</v>
      </c>
      <c r="C29" s="307" t="s">
        <v>986</v>
      </c>
      <c r="D29" s="306" t="s">
        <v>153</v>
      </c>
      <c r="E29" s="305" t="s">
        <v>3798</v>
      </c>
      <c r="F29" s="335">
        <v>42989</v>
      </c>
      <c r="G29" s="309">
        <v>1402</v>
      </c>
      <c r="H29" s="309">
        <v>0</v>
      </c>
      <c r="I29" s="317">
        <v>1402</v>
      </c>
      <c r="J29" s="309">
        <v>0</v>
      </c>
      <c r="K29" s="309">
        <v>0</v>
      </c>
      <c r="L29" s="317">
        <v>0</v>
      </c>
      <c r="M29" s="309">
        <v>1402</v>
      </c>
    </row>
    <row r="30" spans="1:13" ht="33.75" x14ac:dyDescent="0.2">
      <c r="A30" s="305" t="s">
        <v>1770</v>
      </c>
      <c r="B30" s="306" t="s">
        <v>3947</v>
      </c>
      <c r="C30" s="307" t="s">
        <v>967</v>
      </c>
      <c r="D30" s="306" t="s">
        <v>153</v>
      </c>
      <c r="E30" s="305" t="s">
        <v>3798</v>
      </c>
      <c r="F30" s="335">
        <v>42695</v>
      </c>
      <c r="G30" s="309">
        <v>1924</v>
      </c>
      <c r="H30" s="309">
        <v>0</v>
      </c>
      <c r="I30" s="317">
        <v>1924</v>
      </c>
      <c r="J30" s="309">
        <v>0</v>
      </c>
      <c r="K30" s="309">
        <v>0</v>
      </c>
      <c r="L30" s="317">
        <v>0</v>
      </c>
      <c r="M30" s="309">
        <v>1924</v>
      </c>
    </row>
    <row r="31" spans="1:13" x14ac:dyDescent="0.2">
      <c r="A31" s="305" t="s">
        <v>2258</v>
      </c>
      <c r="B31" s="306" t="s">
        <v>2907</v>
      </c>
      <c r="C31" s="307" t="s">
        <v>952</v>
      </c>
      <c r="D31" s="306" t="s">
        <v>153</v>
      </c>
      <c r="E31" s="305" t="s">
        <v>3798</v>
      </c>
      <c r="F31" s="335">
        <v>42604</v>
      </c>
      <c r="G31" s="309">
        <v>133</v>
      </c>
      <c r="H31" s="309">
        <v>0</v>
      </c>
      <c r="I31" s="317">
        <v>133</v>
      </c>
      <c r="J31" s="309">
        <v>126</v>
      </c>
      <c r="K31" s="309">
        <v>0</v>
      </c>
      <c r="L31" s="317">
        <v>126</v>
      </c>
      <c r="M31" s="309">
        <v>7</v>
      </c>
    </row>
    <row r="32" spans="1:13" ht="22.5" x14ac:dyDescent="0.2">
      <c r="A32" s="305" t="s">
        <v>2004</v>
      </c>
      <c r="B32" s="306" t="s">
        <v>3946</v>
      </c>
      <c r="C32" s="307" t="s">
        <v>978</v>
      </c>
      <c r="D32" s="306" t="s">
        <v>153</v>
      </c>
      <c r="E32" s="305" t="s">
        <v>3798</v>
      </c>
      <c r="F32" s="335">
        <v>42628</v>
      </c>
      <c r="G32" s="309">
        <v>251</v>
      </c>
      <c r="H32" s="309">
        <v>0</v>
      </c>
      <c r="I32" s="317">
        <v>251</v>
      </c>
      <c r="J32" s="309">
        <v>0</v>
      </c>
      <c r="K32" s="309">
        <v>0</v>
      </c>
      <c r="L32" s="317">
        <v>0</v>
      </c>
      <c r="M32" s="309">
        <v>251</v>
      </c>
    </row>
    <row r="33" spans="1:13" x14ac:dyDescent="0.2">
      <c r="C33" s="307" t="s">
        <v>2005</v>
      </c>
      <c r="D33" s="306" t="s">
        <v>153</v>
      </c>
      <c r="E33" s="305" t="s">
        <v>3798</v>
      </c>
      <c r="F33" s="335">
        <v>42871</v>
      </c>
      <c r="G33" s="309">
        <v>0</v>
      </c>
      <c r="H33" s="309">
        <v>251</v>
      </c>
      <c r="I33" s="317">
        <v>251</v>
      </c>
      <c r="J33" s="309">
        <v>251</v>
      </c>
      <c r="K33" s="309">
        <v>0</v>
      </c>
      <c r="L33" s="317">
        <v>251</v>
      </c>
      <c r="M33" s="309">
        <v>0</v>
      </c>
    </row>
    <row r="34" spans="1:13" ht="22.5" x14ac:dyDescent="0.2">
      <c r="A34" s="305" t="s">
        <v>1991</v>
      </c>
      <c r="B34" s="306" t="s">
        <v>2907</v>
      </c>
      <c r="C34" s="307" t="s">
        <v>604</v>
      </c>
      <c r="D34" s="306" t="s">
        <v>153</v>
      </c>
      <c r="E34" s="305" t="s">
        <v>3798</v>
      </c>
      <c r="F34" s="335">
        <v>42450</v>
      </c>
      <c r="G34" s="309">
        <v>0</v>
      </c>
      <c r="H34" s="309">
        <v>110</v>
      </c>
      <c r="I34" s="317">
        <v>110</v>
      </c>
      <c r="J34" s="309">
        <v>0</v>
      </c>
      <c r="K34" s="309">
        <v>0</v>
      </c>
      <c r="L34" s="317">
        <v>0</v>
      </c>
      <c r="M34" s="309">
        <v>110</v>
      </c>
    </row>
    <row r="35" spans="1:13" ht="22.5" x14ac:dyDescent="0.2">
      <c r="A35" s="305" t="s">
        <v>1671</v>
      </c>
      <c r="B35" s="306" t="s">
        <v>2907</v>
      </c>
      <c r="C35" s="307" t="s">
        <v>290</v>
      </c>
      <c r="D35" s="306" t="s">
        <v>153</v>
      </c>
      <c r="E35" s="305" t="s">
        <v>3798</v>
      </c>
      <c r="F35" s="335">
        <v>42087</v>
      </c>
      <c r="G35" s="309">
        <v>252</v>
      </c>
      <c r="H35" s="309">
        <v>0</v>
      </c>
      <c r="I35" s="317">
        <v>252</v>
      </c>
      <c r="J35" s="309">
        <v>0</v>
      </c>
      <c r="K35" s="309">
        <v>0</v>
      </c>
      <c r="L35" s="317">
        <v>0</v>
      </c>
      <c r="M35" s="309">
        <v>252</v>
      </c>
    </row>
    <row r="36" spans="1:13" x14ac:dyDescent="0.2">
      <c r="A36" s="305" t="s">
        <v>1852</v>
      </c>
      <c r="B36" s="306" t="s">
        <v>3947</v>
      </c>
      <c r="C36" s="307" t="s">
        <v>1227</v>
      </c>
      <c r="D36" s="306" t="s">
        <v>153</v>
      </c>
      <c r="E36" s="305" t="s">
        <v>3798</v>
      </c>
      <c r="F36" s="335">
        <v>42900</v>
      </c>
      <c r="G36" s="309">
        <v>0</v>
      </c>
      <c r="H36" s="309">
        <v>1584</v>
      </c>
      <c r="I36" s="317">
        <v>1584</v>
      </c>
      <c r="J36" s="309">
        <v>0</v>
      </c>
      <c r="K36" s="309">
        <v>0</v>
      </c>
      <c r="L36" s="317">
        <v>0</v>
      </c>
      <c r="M36" s="309">
        <v>1584</v>
      </c>
    </row>
    <row r="37" spans="1:13" ht="22.5" x14ac:dyDescent="0.2">
      <c r="A37" s="305" t="s">
        <v>2311</v>
      </c>
      <c r="B37" s="306" t="s">
        <v>3951</v>
      </c>
      <c r="C37" s="307" t="s">
        <v>1172</v>
      </c>
      <c r="D37" s="306" t="s">
        <v>153</v>
      </c>
      <c r="E37" s="305" t="s">
        <v>3798</v>
      </c>
      <c r="F37" s="335">
        <v>42774</v>
      </c>
      <c r="G37" s="309">
        <v>270</v>
      </c>
      <c r="H37" s="309">
        <v>0</v>
      </c>
      <c r="I37" s="317">
        <v>270</v>
      </c>
      <c r="J37" s="309">
        <v>270</v>
      </c>
      <c r="K37" s="309">
        <v>0</v>
      </c>
      <c r="L37" s="317">
        <v>270</v>
      </c>
      <c r="M37" s="309">
        <v>0</v>
      </c>
    </row>
    <row r="38" spans="1:13" x14ac:dyDescent="0.2">
      <c r="A38" s="305" t="s">
        <v>1591</v>
      </c>
      <c r="B38" s="306" t="s">
        <v>3950</v>
      </c>
      <c r="C38" s="307" t="s">
        <v>1592</v>
      </c>
      <c r="D38" s="306" t="s">
        <v>153</v>
      </c>
      <c r="E38" s="305" t="s">
        <v>3798</v>
      </c>
      <c r="F38" s="335">
        <v>43066</v>
      </c>
      <c r="G38" s="309">
        <v>1185</v>
      </c>
      <c r="H38" s="309">
        <v>0</v>
      </c>
      <c r="I38" s="317">
        <v>1185</v>
      </c>
      <c r="J38" s="309">
        <v>0</v>
      </c>
      <c r="K38" s="309">
        <v>0</v>
      </c>
      <c r="L38" s="317">
        <v>0</v>
      </c>
      <c r="M38" s="309">
        <v>1185</v>
      </c>
    </row>
    <row r="39" spans="1:13" ht="33.75" x14ac:dyDescent="0.2">
      <c r="A39" s="305" t="s">
        <v>2477</v>
      </c>
      <c r="B39" s="306" t="s">
        <v>3940</v>
      </c>
      <c r="C39" s="307" t="s">
        <v>2478</v>
      </c>
      <c r="D39" s="306" t="s">
        <v>153</v>
      </c>
      <c r="E39" s="305" t="s">
        <v>3798</v>
      </c>
      <c r="F39" s="335">
        <v>42947</v>
      </c>
      <c r="G39" s="309">
        <v>0</v>
      </c>
      <c r="H39" s="309">
        <v>0</v>
      </c>
      <c r="I39" s="317">
        <v>0</v>
      </c>
      <c r="J39" s="309">
        <v>0</v>
      </c>
      <c r="K39" s="309">
        <v>263</v>
      </c>
      <c r="L39" s="317">
        <v>263</v>
      </c>
      <c r="M39" s="309">
        <v>-263</v>
      </c>
    </row>
    <row r="40" spans="1:13" ht="22.5" x14ac:dyDescent="0.2">
      <c r="A40" s="305" t="s">
        <v>2690</v>
      </c>
      <c r="B40" s="306" t="s">
        <v>3953</v>
      </c>
      <c r="C40" s="307" t="s">
        <v>2691</v>
      </c>
      <c r="D40" s="306" t="s">
        <v>153</v>
      </c>
      <c r="E40" s="305" t="s">
        <v>3798</v>
      </c>
      <c r="F40" s="335">
        <v>43172</v>
      </c>
      <c r="G40" s="309">
        <v>0</v>
      </c>
      <c r="H40" s="309">
        <v>0</v>
      </c>
      <c r="I40" s="317">
        <v>0</v>
      </c>
      <c r="J40" s="309">
        <v>55</v>
      </c>
      <c r="K40" s="309">
        <v>0</v>
      </c>
      <c r="L40" s="317">
        <v>55</v>
      </c>
      <c r="M40" s="309">
        <v>-55</v>
      </c>
    </row>
    <row r="41" spans="1:13" ht="22.5" x14ac:dyDescent="0.2">
      <c r="A41" s="305" t="s">
        <v>2372</v>
      </c>
      <c r="B41" s="306" t="s">
        <v>3944</v>
      </c>
      <c r="C41" s="307" t="s">
        <v>2373</v>
      </c>
      <c r="D41" s="306" t="s">
        <v>153</v>
      </c>
      <c r="E41" s="305" t="s">
        <v>3798</v>
      </c>
      <c r="F41" s="335">
        <v>42999</v>
      </c>
      <c r="G41" s="309">
        <v>1266</v>
      </c>
      <c r="H41" s="309">
        <v>0</v>
      </c>
      <c r="I41" s="317">
        <v>1266</v>
      </c>
      <c r="J41" s="309">
        <v>579</v>
      </c>
      <c r="K41" s="309">
        <v>0</v>
      </c>
      <c r="L41" s="317">
        <v>579</v>
      </c>
      <c r="M41" s="309">
        <v>687</v>
      </c>
    </row>
    <row r="42" spans="1:13" ht="22.5" x14ac:dyDescent="0.2">
      <c r="A42" s="305" t="s">
        <v>1422</v>
      </c>
      <c r="B42" s="306" t="s">
        <v>150</v>
      </c>
      <c r="C42" s="307" t="s">
        <v>1423</v>
      </c>
      <c r="D42" s="306" t="s">
        <v>153</v>
      </c>
      <c r="E42" s="305" t="s">
        <v>3798</v>
      </c>
      <c r="F42" s="335">
        <v>43124</v>
      </c>
      <c r="G42" s="309">
        <v>275</v>
      </c>
      <c r="H42" s="309">
        <v>0</v>
      </c>
      <c r="I42" s="317">
        <v>275</v>
      </c>
      <c r="J42" s="309">
        <v>0</v>
      </c>
      <c r="K42" s="309">
        <v>0</v>
      </c>
      <c r="L42" s="317">
        <v>0</v>
      </c>
      <c r="M42" s="309">
        <v>275</v>
      </c>
    </row>
    <row r="43" spans="1:13" ht="22.5" x14ac:dyDescent="0.2">
      <c r="A43" s="305" t="s">
        <v>2158</v>
      </c>
      <c r="B43" s="306" t="s">
        <v>3943</v>
      </c>
      <c r="C43" s="307" t="s">
        <v>767</v>
      </c>
      <c r="D43" s="306" t="s">
        <v>153</v>
      </c>
      <c r="E43" s="305" t="s">
        <v>3798</v>
      </c>
      <c r="F43" s="335">
        <v>42580</v>
      </c>
      <c r="G43" s="309">
        <v>0</v>
      </c>
      <c r="H43" s="309">
        <v>0</v>
      </c>
      <c r="I43" s="317">
        <v>0</v>
      </c>
      <c r="J43" s="309">
        <v>172</v>
      </c>
      <c r="K43" s="309">
        <v>0</v>
      </c>
      <c r="L43" s="317">
        <v>172</v>
      </c>
      <c r="M43" s="309">
        <v>-172</v>
      </c>
    </row>
    <row r="44" spans="1:13" ht="33.75" x14ac:dyDescent="0.2">
      <c r="A44" s="305" t="s">
        <v>1739</v>
      </c>
      <c r="B44" s="306" t="s">
        <v>2904</v>
      </c>
      <c r="C44" s="307" t="s">
        <v>265</v>
      </c>
      <c r="D44" s="306" t="s">
        <v>153</v>
      </c>
      <c r="E44" s="305" t="s">
        <v>3798</v>
      </c>
      <c r="F44" s="335">
        <v>42121</v>
      </c>
      <c r="G44" s="309">
        <v>38</v>
      </c>
      <c r="H44" s="309">
        <v>0</v>
      </c>
      <c r="I44" s="317">
        <v>38</v>
      </c>
      <c r="J44" s="309">
        <v>0</v>
      </c>
      <c r="K44" s="309">
        <v>0</v>
      </c>
      <c r="L44" s="317">
        <v>0</v>
      </c>
      <c r="M44" s="309">
        <v>38</v>
      </c>
    </row>
    <row r="45" spans="1:13" ht="22.5" x14ac:dyDescent="0.2">
      <c r="A45" s="305" t="s">
        <v>2046</v>
      </c>
      <c r="B45" s="306" t="s">
        <v>3953</v>
      </c>
      <c r="C45" s="307" t="s">
        <v>526</v>
      </c>
      <c r="D45" s="306" t="s">
        <v>153</v>
      </c>
      <c r="E45" s="305" t="s">
        <v>3798</v>
      </c>
      <c r="F45" s="335">
        <v>42424</v>
      </c>
      <c r="G45" s="309">
        <v>177</v>
      </c>
      <c r="H45" s="309">
        <v>0</v>
      </c>
      <c r="I45" s="317">
        <v>177</v>
      </c>
      <c r="J45" s="309">
        <v>0</v>
      </c>
      <c r="K45" s="309">
        <v>0</v>
      </c>
      <c r="L45" s="317">
        <v>0</v>
      </c>
      <c r="M45" s="309">
        <v>177</v>
      </c>
    </row>
    <row r="46" spans="1:13" ht="45" x14ac:dyDescent="0.2">
      <c r="A46" s="305" t="s">
        <v>1682</v>
      </c>
      <c r="B46" s="306" t="s">
        <v>3947</v>
      </c>
      <c r="C46" s="307" t="s">
        <v>354</v>
      </c>
      <c r="D46" s="306" t="s">
        <v>1684</v>
      </c>
      <c r="E46" s="305" t="s">
        <v>3971</v>
      </c>
      <c r="F46" s="335">
        <v>42046</v>
      </c>
      <c r="G46" s="309">
        <v>0</v>
      </c>
      <c r="H46" s="309">
        <v>1678</v>
      </c>
      <c r="I46" s="317">
        <v>1678</v>
      </c>
      <c r="J46" s="309">
        <v>0</v>
      </c>
      <c r="K46" s="309">
        <v>0</v>
      </c>
      <c r="L46" s="317">
        <v>0</v>
      </c>
      <c r="M46" s="309">
        <v>1678</v>
      </c>
    </row>
    <row r="47" spans="1:13" ht="33.75" x14ac:dyDescent="0.2">
      <c r="D47" s="306" t="s">
        <v>1689</v>
      </c>
      <c r="E47" s="305" t="s">
        <v>3971</v>
      </c>
      <c r="F47" s="335">
        <v>42046</v>
      </c>
      <c r="G47" s="309">
        <v>1511</v>
      </c>
      <c r="H47" s="309">
        <v>0</v>
      </c>
      <c r="I47" s="317">
        <v>1511</v>
      </c>
      <c r="J47" s="309">
        <v>0</v>
      </c>
      <c r="K47" s="309">
        <v>0</v>
      </c>
      <c r="L47" s="317">
        <v>0</v>
      </c>
      <c r="M47" s="309">
        <v>1511</v>
      </c>
    </row>
    <row r="48" spans="1:13" ht="33.75" x14ac:dyDescent="0.2">
      <c r="A48" s="305" t="s">
        <v>2138</v>
      </c>
      <c r="B48" s="306" t="s">
        <v>3953</v>
      </c>
      <c r="C48" s="307" t="s">
        <v>610</v>
      </c>
      <c r="D48" s="306" t="s">
        <v>153</v>
      </c>
      <c r="E48" s="305" t="s">
        <v>3798</v>
      </c>
      <c r="F48" s="335">
        <v>42453</v>
      </c>
      <c r="G48" s="309">
        <v>0</v>
      </c>
      <c r="H48" s="309">
        <v>239</v>
      </c>
      <c r="I48" s="317">
        <v>239</v>
      </c>
      <c r="J48" s="309">
        <v>0</v>
      </c>
      <c r="K48" s="309">
        <v>531</v>
      </c>
      <c r="L48" s="317">
        <v>531</v>
      </c>
      <c r="M48" s="309">
        <v>-292</v>
      </c>
    </row>
    <row r="49" spans="1:13" ht="22.5" x14ac:dyDescent="0.2">
      <c r="A49" s="305" t="s">
        <v>2518</v>
      </c>
      <c r="B49" s="306" t="s">
        <v>3946</v>
      </c>
      <c r="C49" s="307" t="s">
        <v>2519</v>
      </c>
      <c r="D49" s="306" t="s">
        <v>153</v>
      </c>
      <c r="E49" s="305" t="s">
        <v>3798</v>
      </c>
      <c r="F49" s="335">
        <v>42989</v>
      </c>
      <c r="G49" s="309">
        <v>45</v>
      </c>
      <c r="H49" s="309">
        <v>0</v>
      </c>
      <c r="I49" s="317">
        <v>45</v>
      </c>
      <c r="J49" s="309">
        <v>0</v>
      </c>
      <c r="K49" s="309">
        <v>0</v>
      </c>
      <c r="L49" s="317">
        <v>0</v>
      </c>
      <c r="M49" s="309">
        <v>45</v>
      </c>
    </row>
    <row r="50" spans="1:13" ht="33.75" x14ac:dyDescent="0.2">
      <c r="A50" s="305" t="s">
        <v>1602</v>
      </c>
      <c r="B50" s="306" t="s">
        <v>3940</v>
      </c>
      <c r="C50" s="307" t="s">
        <v>1603</v>
      </c>
      <c r="D50" s="306" t="s">
        <v>153</v>
      </c>
      <c r="E50" s="305" t="s">
        <v>3798</v>
      </c>
      <c r="F50" s="335">
        <v>43167</v>
      </c>
      <c r="G50" s="309">
        <v>0</v>
      </c>
      <c r="H50" s="309">
        <v>1973</v>
      </c>
      <c r="I50" s="317">
        <v>1973</v>
      </c>
      <c r="J50" s="309">
        <v>0</v>
      </c>
      <c r="K50" s="309">
        <v>1812</v>
      </c>
      <c r="L50" s="317">
        <v>1812</v>
      </c>
      <c r="M50" s="309">
        <v>161</v>
      </c>
    </row>
    <row r="51" spans="1:13" ht="22.5" x14ac:dyDescent="0.2">
      <c r="A51" s="305" t="s">
        <v>1612</v>
      </c>
      <c r="B51" s="306" t="s">
        <v>3939</v>
      </c>
      <c r="C51" s="307" t="s">
        <v>1613</v>
      </c>
      <c r="D51" s="306" t="s">
        <v>153</v>
      </c>
      <c r="E51" s="305" t="s">
        <v>3798</v>
      </c>
      <c r="F51" s="335">
        <v>42999</v>
      </c>
      <c r="G51" s="309">
        <v>50</v>
      </c>
      <c r="H51" s="309">
        <v>0</v>
      </c>
      <c r="I51" s="317">
        <v>50</v>
      </c>
      <c r="J51" s="309">
        <v>0</v>
      </c>
      <c r="K51" s="309">
        <v>0</v>
      </c>
      <c r="L51" s="317">
        <v>0</v>
      </c>
      <c r="M51" s="309">
        <v>50</v>
      </c>
    </row>
    <row r="52" spans="1:13" ht="22.5" x14ac:dyDescent="0.2">
      <c r="A52" s="305" t="s">
        <v>1773</v>
      </c>
      <c r="B52" s="306" t="s">
        <v>3947</v>
      </c>
      <c r="C52" s="307" t="s">
        <v>861</v>
      </c>
      <c r="D52" s="306" t="s">
        <v>1775</v>
      </c>
      <c r="E52" s="305" t="s">
        <v>3971</v>
      </c>
      <c r="F52" s="335">
        <v>42758</v>
      </c>
      <c r="G52" s="309">
        <v>44</v>
      </c>
      <c r="H52" s="309">
        <v>44</v>
      </c>
      <c r="I52" s="317">
        <v>88</v>
      </c>
      <c r="J52" s="309">
        <v>0</v>
      </c>
      <c r="K52" s="309">
        <v>0</v>
      </c>
      <c r="L52" s="317">
        <v>0</v>
      </c>
      <c r="M52" s="309">
        <v>88</v>
      </c>
    </row>
    <row r="53" spans="1:13" x14ac:dyDescent="0.2">
      <c r="D53" s="306" t="s">
        <v>1776</v>
      </c>
      <c r="E53" s="305" t="s">
        <v>3971</v>
      </c>
      <c r="F53" s="335">
        <v>42758</v>
      </c>
      <c r="G53" s="309">
        <v>218</v>
      </c>
      <c r="H53" s="309">
        <v>218</v>
      </c>
      <c r="I53" s="317">
        <v>436</v>
      </c>
      <c r="J53" s="309">
        <v>0</v>
      </c>
      <c r="K53" s="309">
        <v>0</v>
      </c>
      <c r="L53" s="317">
        <v>0</v>
      </c>
      <c r="M53" s="309">
        <v>436</v>
      </c>
    </row>
    <row r="54" spans="1:13" x14ac:dyDescent="0.2">
      <c r="D54" s="306" t="s">
        <v>1777</v>
      </c>
      <c r="E54" s="305" t="s">
        <v>3971</v>
      </c>
      <c r="F54" s="335">
        <v>42758</v>
      </c>
      <c r="G54" s="309">
        <v>903</v>
      </c>
      <c r="H54" s="309">
        <v>902</v>
      </c>
      <c r="I54" s="317">
        <v>1805</v>
      </c>
      <c r="J54" s="309">
        <v>0</v>
      </c>
      <c r="K54" s="309">
        <v>0</v>
      </c>
      <c r="L54" s="317">
        <v>0</v>
      </c>
      <c r="M54" s="309">
        <v>1805</v>
      </c>
    </row>
    <row r="55" spans="1:13" x14ac:dyDescent="0.2">
      <c r="D55" s="306" t="s">
        <v>1778</v>
      </c>
      <c r="E55" s="305" t="s">
        <v>3971</v>
      </c>
      <c r="F55" s="335">
        <v>42758</v>
      </c>
      <c r="G55" s="309">
        <v>169</v>
      </c>
      <c r="H55" s="309">
        <v>170</v>
      </c>
      <c r="I55" s="317">
        <v>339</v>
      </c>
      <c r="J55" s="309">
        <v>0</v>
      </c>
      <c r="K55" s="309">
        <v>0</v>
      </c>
      <c r="L55" s="317">
        <v>0</v>
      </c>
      <c r="M55" s="309">
        <v>339</v>
      </c>
    </row>
    <row r="56" spans="1:13" x14ac:dyDescent="0.2">
      <c r="D56" s="306" t="s">
        <v>1779</v>
      </c>
      <c r="E56" s="305" t="s">
        <v>3971</v>
      </c>
      <c r="F56" s="335">
        <v>42758</v>
      </c>
      <c r="G56" s="309">
        <v>43</v>
      </c>
      <c r="H56" s="309">
        <v>43</v>
      </c>
      <c r="I56" s="317">
        <v>86</v>
      </c>
      <c r="J56" s="309">
        <v>0</v>
      </c>
      <c r="K56" s="309">
        <v>0</v>
      </c>
      <c r="L56" s="317">
        <v>0</v>
      </c>
      <c r="M56" s="309">
        <v>86</v>
      </c>
    </row>
    <row r="57" spans="1:13" x14ac:dyDescent="0.2">
      <c r="D57" s="306" t="s">
        <v>1780</v>
      </c>
      <c r="E57" s="305" t="s">
        <v>3971</v>
      </c>
      <c r="F57" s="335">
        <v>42758</v>
      </c>
      <c r="G57" s="309">
        <v>66</v>
      </c>
      <c r="H57" s="309">
        <v>66</v>
      </c>
      <c r="I57" s="317">
        <v>132</v>
      </c>
      <c r="J57" s="309">
        <v>0</v>
      </c>
      <c r="K57" s="309">
        <v>0</v>
      </c>
      <c r="L57" s="317">
        <v>0</v>
      </c>
      <c r="M57" s="309">
        <v>132</v>
      </c>
    </row>
    <row r="58" spans="1:13" ht="45" x14ac:dyDescent="0.2">
      <c r="A58" s="305" t="s">
        <v>1525</v>
      </c>
      <c r="B58" s="306" t="s">
        <v>3947</v>
      </c>
      <c r="C58" s="307" t="s">
        <v>653</v>
      </c>
      <c r="D58" s="306" t="s">
        <v>1532</v>
      </c>
      <c r="E58" s="305" t="s">
        <v>3971</v>
      </c>
      <c r="F58" s="335">
        <v>42682</v>
      </c>
      <c r="G58" s="309">
        <v>1648</v>
      </c>
      <c r="H58" s="309">
        <v>1649</v>
      </c>
      <c r="I58" s="317">
        <v>3297</v>
      </c>
      <c r="J58" s="309">
        <v>0</v>
      </c>
      <c r="K58" s="309">
        <v>0</v>
      </c>
      <c r="L58" s="317">
        <v>0</v>
      </c>
      <c r="M58" s="309">
        <v>3297</v>
      </c>
    </row>
    <row r="59" spans="1:13" ht="22.5" x14ac:dyDescent="0.2">
      <c r="D59" s="306" t="s">
        <v>1533</v>
      </c>
      <c r="E59" s="305" t="s">
        <v>3971</v>
      </c>
      <c r="F59" s="335">
        <v>42682</v>
      </c>
      <c r="G59" s="309">
        <v>737</v>
      </c>
      <c r="H59" s="309">
        <v>738</v>
      </c>
      <c r="I59" s="317">
        <v>1475</v>
      </c>
      <c r="J59" s="309">
        <v>0</v>
      </c>
      <c r="K59" s="309">
        <v>0</v>
      </c>
      <c r="L59" s="317">
        <v>0</v>
      </c>
      <c r="M59" s="309">
        <v>1475</v>
      </c>
    </row>
    <row r="60" spans="1:13" ht="22.5" x14ac:dyDescent="0.2">
      <c r="D60" s="306" t="s">
        <v>1534</v>
      </c>
      <c r="E60" s="305" t="s">
        <v>3971</v>
      </c>
      <c r="F60" s="335">
        <v>42682</v>
      </c>
      <c r="G60" s="309">
        <v>1577</v>
      </c>
      <c r="H60" s="309">
        <v>1578</v>
      </c>
      <c r="I60" s="317">
        <v>3155</v>
      </c>
      <c r="J60" s="309">
        <v>0</v>
      </c>
      <c r="K60" s="309">
        <v>0</v>
      </c>
      <c r="L60" s="317">
        <v>0</v>
      </c>
      <c r="M60" s="309">
        <v>3155</v>
      </c>
    </row>
    <row r="61" spans="1:13" ht="22.5" x14ac:dyDescent="0.2">
      <c r="A61" s="305" t="s">
        <v>1463</v>
      </c>
      <c r="B61" s="306" t="s">
        <v>149</v>
      </c>
      <c r="C61" s="307" t="s">
        <v>1279</v>
      </c>
      <c r="D61" s="306" t="s">
        <v>153</v>
      </c>
      <c r="E61" s="305" t="s">
        <v>3798</v>
      </c>
      <c r="F61" s="335">
        <v>42879</v>
      </c>
      <c r="G61" s="309">
        <v>15</v>
      </c>
      <c r="H61" s="309">
        <v>0</v>
      </c>
      <c r="I61" s="317">
        <v>15</v>
      </c>
      <c r="J61" s="309">
        <v>0</v>
      </c>
      <c r="K61" s="309">
        <v>0</v>
      </c>
      <c r="L61" s="317">
        <v>0</v>
      </c>
      <c r="M61" s="309">
        <v>15</v>
      </c>
    </row>
    <row r="62" spans="1:13" s="319" customFormat="1" ht="22.5" x14ac:dyDescent="0.2">
      <c r="A62" s="321" t="s">
        <v>1827</v>
      </c>
      <c r="B62" s="322" t="s">
        <v>3949</v>
      </c>
      <c r="C62" s="323" t="s">
        <v>1828</v>
      </c>
      <c r="D62" s="322" t="s">
        <v>153</v>
      </c>
      <c r="E62" s="321" t="s">
        <v>3798</v>
      </c>
      <c r="F62" s="352">
        <v>43131</v>
      </c>
      <c r="G62" s="326">
        <v>116</v>
      </c>
      <c r="H62" s="326">
        <v>0</v>
      </c>
      <c r="I62" s="327">
        <v>116</v>
      </c>
      <c r="J62" s="326">
        <v>0</v>
      </c>
      <c r="K62" s="326">
        <v>0</v>
      </c>
      <c r="L62" s="327">
        <v>0</v>
      </c>
      <c r="M62" s="326">
        <v>116</v>
      </c>
    </row>
    <row r="63" spans="1:13" ht="33.75" x14ac:dyDescent="0.2">
      <c r="A63" s="305" t="s">
        <v>2333</v>
      </c>
      <c r="B63" s="306" t="s">
        <v>3940</v>
      </c>
      <c r="C63" s="307" t="s">
        <v>1092</v>
      </c>
      <c r="D63" s="306" t="s">
        <v>153</v>
      </c>
      <c r="E63" s="305" t="s">
        <v>3798</v>
      </c>
      <c r="F63" s="335">
        <v>42719</v>
      </c>
      <c r="G63" s="309">
        <v>0</v>
      </c>
      <c r="H63" s="309">
        <v>0</v>
      </c>
      <c r="I63" s="317">
        <v>0</v>
      </c>
      <c r="J63" s="309">
        <v>318</v>
      </c>
      <c r="K63" s="309">
        <v>0</v>
      </c>
      <c r="L63" s="317">
        <v>318</v>
      </c>
      <c r="M63" s="309">
        <v>-318</v>
      </c>
    </row>
    <row r="64" spans="1:13" ht="22.5" x14ac:dyDescent="0.2">
      <c r="A64" s="305" t="s">
        <v>1519</v>
      </c>
      <c r="B64" s="306" t="s">
        <v>3944</v>
      </c>
      <c r="C64" s="307" t="s">
        <v>630</v>
      </c>
      <c r="D64" s="306" t="s">
        <v>153</v>
      </c>
      <c r="E64" s="305" t="s">
        <v>3798</v>
      </c>
      <c r="F64" s="335">
        <v>42495</v>
      </c>
      <c r="G64" s="309">
        <v>0</v>
      </c>
      <c r="H64" s="309">
        <v>0</v>
      </c>
      <c r="I64" s="317">
        <v>0</v>
      </c>
      <c r="J64" s="309">
        <v>173</v>
      </c>
      <c r="K64" s="309">
        <v>0</v>
      </c>
      <c r="L64" s="317">
        <v>173</v>
      </c>
      <c r="M64" s="309">
        <v>-173</v>
      </c>
    </row>
    <row r="65" spans="1:13" ht="22.5" x14ac:dyDescent="0.2">
      <c r="A65" s="305" t="s">
        <v>2385</v>
      </c>
      <c r="B65" s="306" t="s">
        <v>3946</v>
      </c>
      <c r="C65" s="307" t="s">
        <v>1182</v>
      </c>
      <c r="D65" s="306" t="s">
        <v>153</v>
      </c>
      <c r="E65" s="305" t="s">
        <v>3798</v>
      </c>
      <c r="F65" s="335">
        <v>42909</v>
      </c>
      <c r="G65" s="309">
        <v>738</v>
      </c>
      <c r="H65" s="309">
        <v>0</v>
      </c>
      <c r="I65" s="317">
        <v>738</v>
      </c>
      <c r="J65" s="309">
        <v>231</v>
      </c>
      <c r="K65" s="309">
        <v>0</v>
      </c>
      <c r="L65" s="317">
        <v>231</v>
      </c>
      <c r="M65" s="309">
        <v>507</v>
      </c>
    </row>
    <row r="66" spans="1:13" ht="22.5" x14ac:dyDescent="0.2">
      <c r="A66" s="305" t="s">
        <v>2072</v>
      </c>
      <c r="B66" s="306" t="s">
        <v>3951</v>
      </c>
      <c r="C66" s="307" t="s">
        <v>1056</v>
      </c>
      <c r="D66" s="306" t="s">
        <v>153</v>
      </c>
      <c r="E66" s="305" t="s">
        <v>3798</v>
      </c>
      <c r="F66" s="335">
        <v>42824</v>
      </c>
      <c r="G66" s="309">
        <v>0</v>
      </c>
      <c r="H66" s="309">
        <v>893</v>
      </c>
      <c r="I66" s="317">
        <v>893</v>
      </c>
      <c r="J66" s="309">
        <v>0</v>
      </c>
      <c r="K66" s="309">
        <v>1157</v>
      </c>
      <c r="L66" s="317">
        <v>1157</v>
      </c>
      <c r="M66" s="309">
        <v>-264</v>
      </c>
    </row>
    <row r="67" spans="1:13" ht="22.5" x14ac:dyDescent="0.2">
      <c r="A67" s="305" t="s">
        <v>2506</v>
      </c>
      <c r="B67" s="306" t="s">
        <v>3943</v>
      </c>
      <c r="C67" s="307" t="s">
        <v>2507</v>
      </c>
      <c r="D67" s="306" t="s">
        <v>153</v>
      </c>
      <c r="E67" s="305" t="s">
        <v>3798</v>
      </c>
      <c r="F67" s="335">
        <v>42969</v>
      </c>
      <c r="G67" s="309">
        <v>0</v>
      </c>
      <c r="H67" s="309">
        <v>176</v>
      </c>
      <c r="I67" s="317">
        <v>176</v>
      </c>
      <c r="J67" s="309">
        <v>0</v>
      </c>
      <c r="K67" s="309">
        <v>0</v>
      </c>
      <c r="L67" s="317">
        <v>0</v>
      </c>
      <c r="M67" s="309">
        <v>176</v>
      </c>
    </row>
    <row r="68" spans="1:13" ht="22.5" x14ac:dyDescent="0.2">
      <c r="A68" s="305" t="s">
        <v>2160</v>
      </c>
      <c r="B68" s="306" t="s">
        <v>3943</v>
      </c>
      <c r="C68" s="307" t="s">
        <v>521</v>
      </c>
      <c r="D68" s="306" t="s">
        <v>153</v>
      </c>
      <c r="E68" s="305" t="s">
        <v>3798</v>
      </c>
      <c r="F68" s="335">
        <v>42320</v>
      </c>
      <c r="G68" s="309">
        <v>0</v>
      </c>
      <c r="H68" s="309">
        <v>90</v>
      </c>
      <c r="I68" s="317">
        <v>90</v>
      </c>
      <c r="J68" s="309">
        <v>0</v>
      </c>
      <c r="K68" s="309">
        <v>0</v>
      </c>
      <c r="L68" s="317">
        <v>0</v>
      </c>
      <c r="M68" s="309">
        <v>90</v>
      </c>
    </row>
    <row r="69" spans="1:13" ht="22.5" x14ac:dyDescent="0.2">
      <c r="A69" s="305" t="s">
        <v>2430</v>
      </c>
      <c r="B69" s="306" t="s">
        <v>3943</v>
      </c>
      <c r="C69" s="307" t="s">
        <v>2431</v>
      </c>
      <c r="D69" s="306" t="s">
        <v>153</v>
      </c>
      <c r="E69" s="305" t="s">
        <v>3798</v>
      </c>
      <c r="F69" s="335">
        <v>42879</v>
      </c>
      <c r="G69" s="309">
        <v>0</v>
      </c>
      <c r="H69" s="309">
        <v>348</v>
      </c>
      <c r="I69" s="317">
        <v>348</v>
      </c>
      <c r="J69" s="309">
        <v>0</v>
      </c>
      <c r="K69" s="309">
        <v>0</v>
      </c>
      <c r="L69" s="317">
        <v>0</v>
      </c>
      <c r="M69" s="309">
        <v>348</v>
      </c>
    </row>
    <row r="70" spans="1:13" x14ac:dyDescent="0.2">
      <c r="A70" s="305" t="s">
        <v>2243</v>
      </c>
      <c r="B70" s="306" t="s">
        <v>3946</v>
      </c>
      <c r="C70" s="307" t="s">
        <v>894</v>
      </c>
      <c r="D70" s="306" t="s">
        <v>153</v>
      </c>
      <c r="E70" s="305" t="s">
        <v>3798</v>
      </c>
      <c r="F70" s="335">
        <v>42573</v>
      </c>
      <c r="G70" s="309">
        <v>92</v>
      </c>
      <c r="H70" s="309">
        <v>0</v>
      </c>
      <c r="I70" s="317">
        <v>92</v>
      </c>
      <c r="J70" s="309">
        <v>0</v>
      </c>
      <c r="K70" s="309">
        <v>0</v>
      </c>
      <c r="L70" s="317">
        <v>0</v>
      </c>
      <c r="M70" s="309">
        <v>92</v>
      </c>
    </row>
    <row r="71" spans="1:13" x14ac:dyDescent="0.2">
      <c r="A71" s="305" t="s">
        <v>1711</v>
      </c>
      <c r="B71" s="306" t="s">
        <v>3943</v>
      </c>
      <c r="C71" s="307" t="s">
        <v>633</v>
      </c>
      <c r="D71" s="306" t="s">
        <v>153</v>
      </c>
      <c r="E71" s="305" t="s">
        <v>3798</v>
      </c>
      <c r="F71" s="335">
        <v>42478</v>
      </c>
      <c r="G71" s="309">
        <v>0</v>
      </c>
      <c r="H71" s="309">
        <v>82</v>
      </c>
      <c r="I71" s="317">
        <v>82</v>
      </c>
      <c r="J71" s="309">
        <v>0</v>
      </c>
      <c r="K71" s="309">
        <v>0</v>
      </c>
      <c r="L71" s="317">
        <v>0</v>
      </c>
      <c r="M71" s="309">
        <v>82</v>
      </c>
    </row>
    <row r="72" spans="1:13" ht="22.5" x14ac:dyDescent="0.2">
      <c r="A72" s="305" t="s">
        <v>1556</v>
      </c>
      <c r="B72" s="306" t="s">
        <v>3942</v>
      </c>
      <c r="C72" s="307" t="s">
        <v>1557</v>
      </c>
      <c r="D72" s="306" t="s">
        <v>153</v>
      </c>
      <c r="E72" s="305" t="s">
        <v>3798</v>
      </c>
      <c r="F72" s="335">
        <v>43147</v>
      </c>
      <c r="G72" s="309">
        <v>161</v>
      </c>
      <c r="H72" s="309">
        <v>0</v>
      </c>
      <c r="I72" s="317">
        <v>161</v>
      </c>
      <c r="J72" s="309">
        <v>0</v>
      </c>
      <c r="K72" s="309">
        <v>0</v>
      </c>
      <c r="L72" s="317">
        <v>0</v>
      </c>
      <c r="M72" s="309">
        <v>161</v>
      </c>
    </row>
    <row r="73" spans="1:13" s="320" customFormat="1" x14ac:dyDescent="0.2">
      <c r="A73" s="328" t="s">
        <v>95</v>
      </c>
      <c r="B73" s="329"/>
      <c r="C73" s="330"/>
      <c r="D73" s="329"/>
      <c r="E73" s="328"/>
      <c r="F73" s="349"/>
      <c r="G73" s="333">
        <v>16573</v>
      </c>
      <c r="H73" s="333">
        <v>14663</v>
      </c>
      <c r="I73" s="334">
        <v>31236</v>
      </c>
      <c r="J73" s="333">
        <v>6743</v>
      </c>
      <c r="K73" s="333">
        <v>5372</v>
      </c>
      <c r="L73" s="334">
        <v>12115</v>
      </c>
      <c r="M73" s="333">
        <v>19121</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15"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M73"/>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2937</v>
      </c>
    </row>
    <row r="2" spans="1:13" x14ac:dyDescent="0.2">
      <c r="A2" s="77" t="s">
        <v>2940</v>
      </c>
      <c r="B2" s="446" t="s">
        <v>3972</v>
      </c>
    </row>
    <row r="3" spans="1:13" x14ac:dyDescent="0.2">
      <c r="A3" s="77" t="s">
        <v>2941</v>
      </c>
      <c r="B3" s="446" t="s">
        <v>429</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2390</v>
      </c>
      <c r="B7" s="446" t="s">
        <v>149</v>
      </c>
      <c r="C7" s="446" t="s">
        <v>1246</v>
      </c>
      <c r="D7" s="446" t="s">
        <v>153</v>
      </c>
      <c r="E7" s="446" t="s">
        <v>3798</v>
      </c>
      <c r="F7" s="298">
        <v>42835</v>
      </c>
      <c r="G7" s="74">
        <v>0</v>
      </c>
      <c r="H7" s="74">
        <v>164</v>
      </c>
      <c r="I7" s="74">
        <v>164</v>
      </c>
      <c r="J7" s="74">
        <v>0</v>
      </c>
      <c r="K7" s="74">
        <v>0</v>
      </c>
      <c r="L7" s="74">
        <v>0</v>
      </c>
      <c r="M7" s="74">
        <v>164</v>
      </c>
    </row>
    <row r="8" spans="1:13" x14ac:dyDescent="0.2">
      <c r="A8" s="446" t="s">
        <v>1559</v>
      </c>
      <c r="B8" s="446" t="s">
        <v>3944</v>
      </c>
      <c r="C8" s="446" t="s">
        <v>1560</v>
      </c>
      <c r="D8" s="446" t="s">
        <v>153</v>
      </c>
      <c r="E8" s="446" t="s">
        <v>3798</v>
      </c>
      <c r="F8" s="298">
        <v>43182</v>
      </c>
      <c r="G8" s="74">
        <v>0</v>
      </c>
      <c r="H8" s="74">
        <v>14</v>
      </c>
      <c r="I8" s="74">
        <v>14</v>
      </c>
      <c r="J8" s="74">
        <v>0</v>
      </c>
      <c r="K8" s="74">
        <v>0</v>
      </c>
      <c r="L8" s="74">
        <v>0</v>
      </c>
      <c r="M8" s="74">
        <v>14</v>
      </c>
    </row>
    <row r="9" spans="1:13" x14ac:dyDescent="0.2">
      <c r="A9" s="446" t="s">
        <v>1960</v>
      </c>
      <c r="B9" s="446" t="s">
        <v>3946</v>
      </c>
      <c r="C9" s="446" t="s">
        <v>1170</v>
      </c>
      <c r="D9" s="446" t="s">
        <v>153</v>
      </c>
      <c r="E9" s="446" t="s">
        <v>3798</v>
      </c>
      <c r="F9" s="298">
        <v>42767</v>
      </c>
      <c r="G9" s="74">
        <v>85</v>
      </c>
      <c r="H9" s="74">
        <v>0</v>
      </c>
      <c r="I9" s="74">
        <v>85</v>
      </c>
      <c r="J9" s="74">
        <v>0</v>
      </c>
      <c r="K9" s="74">
        <v>0</v>
      </c>
      <c r="L9" s="74">
        <v>0</v>
      </c>
      <c r="M9" s="74">
        <v>85</v>
      </c>
    </row>
    <row r="10" spans="1:13" x14ac:dyDescent="0.2">
      <c r="A10" s="446" t="s">
        <v>2319</v>
      </c>
      <c r="B10" s="446" t="s">
        <v>3948</v>
      </c>
      <c r="C10" s="446" t="s">
        <v>1304</v>
      </c>
      <c r="D10" s="446" t="s">
        <v>153</v>
      </c>
      <c r="E10" s="446" t="s">
        <v>3798</v>
      </c>
      <c r="F10" s="298">
        <v>42790</v>
      </c>
      <c r="G10" s="74">
        <v>0</v>
      </c>
      <c r="H10" s="74">
        <v>434</v>
      </c>
      <c r="I10" s="74">
        <v>434</v>
      </c>
      <c r="J10" s="74">
        <v>0</v>
      </c>
      <c r="K10" s="74">
        <v>0</v>
      </c>
      <c r="L10" s="74">
        <v>0</v>
      </c>
      <c r="M10" s="74">
        <v>434</v>
      </c>
    </row>
    <row r="11" spans="1:13" x14ac:dyDescent="0.2">
      <c r="A11" s="446" t="s">
        <v>2654</v>
      </c>
      <c r="B11" s="446" t="s">
        <v>3943</v>
      </c>
      <c r="C11" s="446" t="s">
        <v>2655</v>
      </c>
      <c r="D11" s="446" t="s">
        <v>153</v>
      </c>
      <c r="E11" s="446" t="s">
        <v>3798</v>
      </c>
      <c r="F11" s="298">
        <v>43147</v>
      </c>
      <c r="G11" s="74">
        <v>0</v>
      </c>
      <c r="H11" s="74">
        <v>65</v>
      </c>
      <c r="I11" s="74">
        <v>65</v>
      </c>
      <c r="J11" s="74">
        <v>0</v>
      </c>
      <c r="K11" s="74">
        <v>131</v>
      </c>
      <c r="L11" s="74">
        <v>131</v>
      </c>
      <c r="M11" s="74">
        <v>-66</v>
      </c>
    </row>
    <row r="12" spans="1:13" x14ac:dyDescent="0.2">
      <c r="A12" s="446" t="s">
        <v>1989</v>
      </c>
      <c r="B12" s="446" t="s">
        <v>3950</v>
      </c>
      <c r="C12" s="446" t="s">
        <v>664</v>
      </c>
      <c r="D12" s="446" t="s">
        <v>153</v>
      </c>
      <c r="E12" s="446" t="s">
        <v>3798</v>
      </c>
      <c r="F12" s="298">
        <v>42667</v>
      </c>
      <c r="G12" s="74">
        <v>35</v>
      </c>
      <c r="H12" s="74">
        <v>0</v>
      </c>
      <c r="I12" s="74">
        <v>35</v>
      </c>
      <c r="J12" s="74">
        <v>0</v>
      </c>
      <c r="K12" s="74">
        <v>0</v>
      </c>
      <c r="L12" s="74">
        <v>0</v>
      </c>
      <c r="M12" s="74">
        <v>35</v>
      </c>
    </row>
    <row r="13" spans="1:13" x14ac:dyDescent="0.2">
      <c r="A13" s="446" t="s">
        <v>1443</v>
      </c>
      <c r="B13" s="446" t="s">
        <v>3945</v>
      </c>
      <c r="C13" s="446" t="s">
        <v>519</v>
      </c>
      <c r="D13" s="446" t="s">
        <v>153</v>
      </c>
      <c r="E13" s="446" t="s">
        <v>3798</v>
      </c>
      <c r="F13" s="298">
        <v>42311</v>
      </c>
      <c r="G13" s="74">
        <v>65</v>
      </c>
      <c r="H13" s="74">
        <v>0</v>
      </c>
      <c r="I13" s="74">
        <v>65</v>
      </c>
      <c r="J13" s="74">
        <v>0</v>
      </c>
      <c r="K13" s="74">
        <v>0</v>
      </c>
      <c r="L13" s="74">
        <v>0</v>
      </c>
      <c r="M13" s="74">
        <v>65</v>
      </c>
    </row>
    <row r="14" spans="1:13" x14ac:dyDescent="0.2">
      <c r="A14" s="446" t="s">
        <v>1487</v>
      </c>
      <c r="B14" s="446" t="s">
        <v>3952</v>
      </c>
      <c r="C14" s="446" t="s">
        <v>859</v>
      </c>
      <c r="D14" s="446" t="s">
        <v>153</v>
      </c>
      <c r="E14" s="446" t="s">
        <v>3798</v>
      </c>
      <c r="F14" s="298">
        <v>42641</v>
      </c>
      <c r="G14" s="74">
        <v>62</v>
      </c>
      <c r="H14" s="74">
        <v>0</v>
      </c>
      <c r="I14" s="74">
        <v>62</v>
      </c>
      <c r="J14" s="74">
        <v>0</v>
      </c>
      <c r="K14" s="74">
        <v>0</v>
      </c>
      <c r="L14" s="74">
        <v>0</v>
      </c>
      <c r="M14" s="74">
        <v>62</v>
      </c>
    </row>
    <row r="15" spans="1:13" x14ac:dyDescent="0.2">
      <c r="A15" s="446" t="s">
        <v>2020</v>
      </c>
      <c r="B15" s="446" t="s">
        <v>3939</v>
      </c>
      <c r="C15" s="446" t="s">
        <v>252</v>
      </c>
      <c r="D15" s="446" t="s">
        <v>153</v>
      </c>
      <c r="E15" s="446" t="s">
        <v>3798</v>
      </c>
      <c r="F15" s="298">
        <v>41810</v>
      </c>
      <c r="G15" s="74">
        <v>142</v>
      </c>
      <c r="H15" s="74">
        <v>324</v>
      </c>
      <c r="I15" s="74">
        <v>466</v>
      </c>
      <c r="J15" s="74">
        <v>0</v>
      </c>
      <c r="K15" s="74">
        <v>233</v>
      </c>
      <c r="L15" s="74">
        <v>233</v>
      </c>
      <c r="M15" s="74">
        <v>233</v>
      </c>
    </row>
    <row r="16" spans="1:13" x14ac:dyDescent="0.2">
      <c r="A16" s="446" t="s">
        <v>2198</v>
      </c>
      <c r="B16" s="446" t="s">
        <v>3943</v>
      </c>
      <c r="C16" s="446" t="s">
        <v>589</v>
      </c>
      <c r="D16" s="446" t="s">
        <v>153</v>
      </c>
      <c r="E16" s="446" t="s">
        <v>3798</v>
      </c>
      <c r="F16" s="298">
        <v>42699</v>
      </c>
      <c r="G16" s="74">
        <v>0</v>
      </c>
      <c r="H16" s="74">
        <v>0</v>
      </c>
      <c r="I16" s="74">
        <v>0</v>
      </c>
      <c r="J16" s="74">
        <v>3328</v>
      </c>
      <c r="K16" s="74">
        <v>0</v>
      </c>
      <c r="L16" s="74">
        <v>3328</v>
      </c>
      <c r="M16" s="74">
        <v>-3328</v>
      </c>
    </row>
    <row r="17" spans="1:13" x14ac:dyDescent="0.2">
      <c r="A17" s="446" t="s">
        <v>2316</v>
      </c>
      <c r="B17" s="446" t="s">
        <v>2904</v>
      </c>
      <c r="C17" s="446" t="s">
        <v>2317</v>
      </c>
      <c r="D17" s="446" t="s">
        <v>153</v>
      </c>
      <c r="E17" s="446" t="s">
        <v>3798</v>
      </c>
      <c r="F17" s="298">
        <v>42964</v>
      </c>
      <c r="G17" s="74">
        <v>74</v>
      </c>
      <c r="H17" s="74">
        <v>0</v>
      </c>
      <c r="I17" s="74">
        <v>74</v>
      </c>
      <c r="J17" s="74">
        <v>0</v>
      </c>
      <c r="K17" s="74">
        <v>0</v>
      </c>
      <c r="L17" s="74">
        <v>0</v>
      </c>
      <c r="M17" s="74">
        <v>74</v>
      </c>
    </row>
    <row r="18" spans="1:13" x14ac:dyDescent="0.2">
      <c r="A18" s="446" t="s">
        <v>1374</v>
      </c>
      <c r="B18" s="446" t="s">
        <v>150</v>
      </c>
      <c r="C18" s="446" t="s">
        <v>1375</v>
      </c>
      <c r="D18" s="446" t="s">
        <v>153</v>
      </c>
      <c r="E18" s="446" t="s">
        <v>3798</v>
      </c>
      <c r="F18" s="298">
        <v>43087</v>
      </c>
      <c r="G18" s="74">
        <v>241</v>
      </c>
      <c r="H18" s="74">
        <v>0</v>
      </c>
      <c r="I18" s="74">
        <v>241</v>
      </c>
      <c r="J18" s="74">
        <v>237</v>
      </c>
      <c r="K18" s="74">
        <v>0</v>
      </c>
      <c r="L18" s="74">
        <v>237</v>
      </c>
      <c r="M18" s="74">
        <v>4</v>
      </c>
    </row>
    <row r="19" spans="1:13" x14ac:dyDescent="0.2">
      <c r="A19" s="446" t="s">
        <v>2332</v>
      </c>
      <c r="B19" s="446" t="s">
        <v>3944</v>
      </c>
      <c r="C19" s="446" t="s">
        <v>1090</v>
      </c>
      <c r="D19" s="446" t="s">
        <v>153</v>
      </c>
      <c r="E19" s="446" t="s">
        <v>3798</v>
      </c>
      <c r="F19" s="298">
        <v>42725</v>
      </c>
      <c r="G19" s="74">
        <v>68</v>
      </c>
      <c r="H19" s="74">
        <v>0</v>
      </c>
      <c r="I19" s="74">
        <v>68</v>
      </c>
      <c r="J19" s="74">
        <v>0</v>
      </c>
      <c r="K19" s="74">
        <v>0</v>
      </c>
      <c r="L19" s="74">
        <v>0</v>
      </c>
      <c r="M19" s="74">
        <v>68</v>
      </c>
    </row>
    <row r="20" spans="1:13" x14ac:dyDescent="0.2">
      <c r="A20" s="446" t="s">
        <v>1704</v>
      </c>
      <c r="B20" s="446" t="s">
        <v>3946</v>
      </c>
      <c r="C20" s="446" t="s">
        <v>307</v>
      </c>
      <c r="D20" s="446" t="s">
        <v>153</v>
      </c>
      <c r="E20" s="446" t="s">
        <v>3798</v>
      </c>
      <c r="F20" s="298">
        <v>42489</v>
      </c>
      <c r="G20" s="74">
        <v>0</v>
      </c>
      <c r="H20" s="74">
        <v>447</v>
      </c>
      <c r="I20" s="74">
        <v>447</v>
      </c>
      <c r="J20" s="74">
        <v>0</v>
      </c>
      <c r="K20" s="74">
        <v>1245</v>
      </c>
      <c r="L20" s="74">
        <v>1245</v>
      </c>
      <c r="M20" s="74">
        <v>-798</v>
      </c>
    </row>
    <row r="21" spans="1:13" x14ac:dyDescent="0.2">
      <c r="A21" s="446" t="s">
        <v>1942</v>
      </c>
      <c r="B21" s="446" t="s">
        <v>149</v>
      </c>
      <c r="C21" s="446" t="s">
        <v>1943</v>
      </c>
      <c r="D21" s="446" t="s">
        <v>153</v>
      </c>
      <c r="E21" s="446" t="s">
        <v>3798</v>
      </c>
      <c r="F21" s="298">
        <v>43131</v>
      </c>
      <c r="G21" s="74">
        <v>0</v>
      </c>
      <c r="H21" s="74">
        <v>49</v>
      </c>
      <c r="I21" s="74">
        <v>49</v>
      </c>
      <c r="J21" s="74">
        <v>0</v>
      </c>
      <c r="K21" s="74">
        <v>0</v>
      </c>
      <c r="L21" s="74">
        <v>0</v>
      </c>
      <c r="M21" s="74">
        <v>49</v>
      </c>
    </row>
    <row r="22" spans="1:13" x14ac:dyDescent="0.2">
      <c r="A22" s="446" t="s">
        <v>2781</v>
      </c>
      <c r="B22" s="446" t="s">
        <v>2904</v>
      </c>
      <c r="C22" s="446" t="s">
        <v>2782</v>
      </c>
      <c r="D22" s="446" t="s">
        <v>153</v>
      </c>
      <c r="E22" s="446" t="s">
        <v>3798</v>
      </c>
      <c r="F22" s="298">
        <v>42913</v>
      </c>
      <c r="G22" s="74">
        <v>150</v>
      </c>
      <c r="H22" s="74">
        <v>0</v>
      </c>
      <c r="I22" s="74">
        <v>150</v>
      </c>
      <c r="J22" s="74">
        <v>0</v>
      </c>
      <c r="K22" s="74">
        <v>0</v>
      </c>
      <c r="L22" s="74">
        <v>0</v>
      </c>
      <c r="M22" s="74">
        <v>150</v>
      </c>
    </row>
    <row r="23" spans="1:13" x14ac:dyDescent="0.2">
      <c r="A23" s="446" t="s">
        <v>1480</v>
      </c>
      <c r="B23" s="446" t="s">
        <v>150</v>
      </c>
      <c r="C23" s="446" t="s">
        <v>1062</v>
      </c>
      <c r="D23" s="446" t="s">
        <v>153</v>
      </c>
      <c r="E23" s="446" t="s">
        <v>3798</v>
      </c>
      <c r="F23" s="298">
        <v>43089</v>
      </c>
      <c r="G23" s="74">
        <v>77</v>
      </c>
      <c r="H23" s="74">
        <v>0</v>
      </c>
      <c r="I23" s="74">
        <v>77</v>
      </c>
      <c r="J23" s="74">
        <v>0</v>
      </c>
      <c r="K23" s="74">
        <v>0</v>
      </c>
      <c r="L23" s="74">
        <v>0</v>
      </c>
      <c r="M23" s="74">
        <v>77</v>
      </c>
    </row>
    <row r="24" spans="1:13" x14ac:dyDescent="0.2">
      <c r="A24" s="446" t="s">
        <v>1743</v>
      </c>
      <c r="B24" s="446" t="s">
        <v>3943</v>
      </c>
      <c r="C24" s="446" t="s">
        <v>621</v>
      </c>
      <c r="D24" s="446" t="s">
        <v>153</v>
      </c>
      <c r="E24" s="446" t="s">
        <v>3798</v>
      </c>
      <c r="F24" s="298">
        <v>42517</v>
      </c>
      <c r="G24" s="74">
        <v>26</v>
      </c>
      <c r="H24" s="74">
        <v>0</v>
      </c>
      <c r="I24" s="74">
        <v>26</v>
      </c>
      <c r="J24" s="74">
        <v>0</v>
      </c>
      <c r="K24" s="74">
        <v>0</v>
      </c>
      <c r="L24" s="74">
        <v>0</v>
      </c>
      <c r="M24" s="74">
        <v>26</v>
      </c>
    </row>
    <row r="25" spans="1:13" x14ac:dyDescent="0.2">
      <c r="A25" s="446" t="s">
        <v>2627</v>
      </c>
      <c r="B25" s="446" t="s">
        <v>3942</v>
      </c>
      <c r="C25" s="446" t="s">
        <v>2628</v>
      </c>
      <c r="D25" s="446" t="s">
        <v>153</v>
      </c>
      <c r="E25" s="446" t="s">
        <v>3798</v>
      </c>
      <c r="F25" s="298">
        <v>43104</v>
      </c>
      <c r="G25" s="74">
        <v>0</v>
      </c>
      <c r="H25" s="74">
        <v>111</v>
      </c>
      <c r="I25" s="74">
        <v>111</v>
      </c>
      <c r="J25" s="74">
        <v>0</v>
      </c>
      <c r="K25" s="74">
        <v>0</v>
      </c>
      <c r="L25" s="74">
        <v>0</v>
      </c>
      <c r="M25" s="74">
        <v>111</v>
      </c>
    </row>
    <row r="26" spans="1:13" x14ac:dyDescent="0.2">
      <c r="A26" s="446" t="s">
        <v>1369</v>
      </c>
      <c r="B26" s="446" t="s">
        <v>2907</v>
      </c>
      <c r="C26" s="446" t="s">
        <v>1370</v>
      </c>
      <c r="D26" s="446" t="s">
        <v>153</v>
      </c>
      <c r="E26" s="446" t="s">
        <v>3798</v>
      </c>
      <c r="F26" s="298">
        <v>43007</v>
      </c>
      <c r="G26" s="74">
        <v>0</v>
      </c>
      <c r="H26" s="74">
        <v>0</v>
      </c>
      <c r="I26" s="74">
        <v>0</v>
      </c>
      <c r="J26" s="74">
        <v>63</v>
      </c>
      <c r="K26" s="74">
        <v>0</v>
      </c>
      <c r="L26" s="74">
        <v>63</v>
      </c>
      <c r="M26" s="74">
        <v>-63</v>
      </c>
    </row>
    <row r="27" spans="1:13" x14ac:dyDescent="0.2">
      <c r="A27" s="446" t="s">
        <v>1698</v>
      </c>
      <c r="B27" s="446" t="s">
        <v>3946</v>
      </c>
      <c r="C27" s="446" t="s">
        <v>1190</v>
      </c>
      <c r="D27" s="446" t="s">
        <v>153</v>
      </c>
      <c r="E27" s="446" t="s">
        <v>3798</v>
      </c>
      <c r="F27" s="298">
        <v>42790</v>
      </c>
      <c r="G27" s="74">
        <v>222</v>
      </c>
      <c r="H27" s="74">
        <v>223</v>
      </c>
      <c r="I27" s="74">
        <v>445</v>
      </c>
      <c r="J27" s="74">
        <v>940</v>
      </c>
      <c r="K27" s="74">
        <v>0</v>
      </c>
      <c r="L27" s="74">
        <v>940</v>
      </c>
      <c r="M27" s="74">
        <v>-495</v>
      </c>
    </row>
    <row r="28" spans="1:13" x14ac:dyDescent="0.2">
      <c r="A28" s="446" t="s">
        <v>2290</v>
      </c>
      <c r="B28" s="446" t="s">
        <v>3945</v>
      </c>
      <c r="C28" s="446" t="s">
        <v>1019</v>
      </c>
      <c r="D28" s="446" t="s">
        <v>153</v>
      </c>
      <c r="E28" s="446" t="s">
        <v>3798</v>
      </c>
      <c r="F28" s="298">
        <v>42751</v>
      </c>
      <c r="G28" s="74">
        <v>20</v>
      </c>
      <c r="H28" s="74">
        <v>0</v>
      </c>
      <c r="I28" s="74">
        <v>20</v>
      </c>
      <c r="J28" s="74">
        <v>0</v>
      </c>
      <c r="K28" s="74">
        <v>0</v>
      </c>
      <c r="L28" s="74">
        <v>0</v>
      </c>
      <c r="M28" s="74">
        <v>20</v>
      </c>
    </row>
    <row r="29" spans="1:13" x14ac:dyDescent="0.2">
      <c r="A29" s="446" t="s">
        <v>1335</v>
      </c>
      <c r="B29" s="446" t="s">
        <v>3948</v>
      </c>
      <c r="C29" s="446" t="s">
        <v>986</v>
      </c>
      <c r="D29" s="446" t="s">
        <v>153</v>
      </c>
      <c r="E29" s="446" t="s">
        <v>3798</v>
      </c>
      <c r="F29" s="298">
        <v>42989</v>
      </c>
      <c r="G29" s="74">
        <v>1402</v>
      </c>
      <c r="H29" s="74">
        <v>0</v>
      </c>
      <c r="I29" s="74">
        <v>1402</v>
      </c>
      <c r="J29" s="74">
        <v>0</v>
      </c>
      <c r="K29" s="74">
        <v>0</v>
      </c>
      <c r="L29" s="74">
        <v>0</v>
      </c>
      <c r="M29" s="74">
        <v>1402</v>
      </c>
    </row>
    <row r="30" spans="1:13" x14ac:dyDescent="0.2">
      <c r="A30" s="446" t="s">
        <v>1770</v>
      </c>
      <c r="B30" s="446" t="s">
        <v>3947</v>
      </c>
      <c r="C30" s="446" t="s">
        <v>967</v>
      </c>
      <c r="D30" s="446" t="s">
        <v>153</v>
      </c>
      <c r="E30" s="446" t="s">
        <v>3798</v>
      </c>
      <c r="F30" s="298">
        <v>42695</v>
      </c>
      <c r="G30" s="74">
        <v>1924</v>
      </c>
      <c r="H30" s="74">
        <v>0</v>
      </c>
      <c r="I30" s="74">
        <v>1924</v>
      </c>
      <c r="J30" s="74">
        <v>0</v>
      </c>
      <c r="K30" s="74">
        <v>0</v>
      </c>
      <c r="L30" s="74">
        <v>0</v>
      </c>
      <c r="M30" s="74">
        <v>1924</v>
      </c>
    </row>
    <row r="31" spans="1:13" x14ac:dyDescent="0.2">
      <c r="A31" s="446" t="s">
        <v>2258</v>
      </c>
      <c r="B31" s="446" t="s">
        <v>2907</v>
      </c>
      <c r="C31" s="446" t="s">
        <v>952</v>
      </c>
      <c r="D31" s="446" t="s">
        <v>153</v>
      </c>
      <c r="E31" s="446" t="s">
        <v>3798</v>
      </c>
      <c r="F31" s="298">
        <v>42604</v>
      </c>
      <c r="G31" s="74">
        <v>133</v>
      </c>
      <c r="H31" s="74">
        <v>0</v>
      </c>
      <c r="I31" s="74">
        <v>133</v>
      </c>
      <c r="J31" s="74">
        <v>126</v>
      </c>
      <c r="K31" s="74">
        <v>0</v>
      </c>
      <c r="L31" s="74">
        <v>126</v>
      </c>
      <c r="M31" s="74">
        <v>7</v>
      </c>
    </row>
    <row r="32" spans="1:13" x14ac:dyDescent="0.2">
      <c r="A32" s="446" t="s">
        <v>2004</v>
      </c>
      <c r="B32" s="446" t="s">
        <v>3946</v>
      </c>
      <c r="C32" s="446" t="s">
        <v>978</v>
      </c>
      <c r="D32" s="446" t="s">
        <v>153</v>
      </c>
      <c r="E32" s="446" t="s">
        <v>3798</v>
      </c>
      <c r="F32" s="298">
        <v>42628</v>
      </c>
      <c r="G32" s="74">
        <v>251</v>
      </c>
      <c r="H32" s="74">
        <v>0</v>
      </c>
      <c r="I32" s="74">
        <v>251</v>
      </c>
      <c r="J32" s="74">
        <v>0</v>
      </c>
      <c r="K32" s="74">
        <v>0</v>
      </c>
      <c r="L32" s="74">
        <v>0</v>
      </c>
      <c r="M32" s="74">
        <v>251</v>
      </c>
    </row>
    <row r="33" spans="1:13" x14ac:dyDescent="0.2">
      <c r="C33" s="446" t="s">
        <v>2005</v>
      </c>
      <c r="D33" s="446" t="s">
        <v>153</v>
      </c>
      <c r="E33" s="446" t="s">
        <v>3798</v>
      </c>
      <c r="F33" s="298">
        <v>42871</v>
      </c>
      <c r="G33" s="74">
        <v>0</v>
      </c>
      <c r="H33" s="74">
        <v>251</v>
      </c>
      <c r="I33" s="74">
        <v>251</v>
      </c>
      <c r="J33" s="74">
        <v>251</v>
      </c>
      <c r="K33" s="74">
        <v>0</v>
      </c>
      <c r="L33" s="74">
        <v>251</v>
      </c>
      <c r="M33" s="74">
        <v>0</v>
      </c>
    </row>
    <row r="34" spans="1:13" x14ac:dyDescent="0.2">
      <c r="A34" s="446" t="s">
        <v>1991</v>
      </c>
      <c r="B34" s="446" t="s">
        <v>2907</v>
      </c>
      <c r="C34" s="446" t="s">
        <v>604</v>
      </c>
      <c r="D34" s="446" t="s">
        <v>153</v>
      </c>
      <c r="E34" s="446" t="s">
        <v>3798</v>
      </c>
      <c r="F34" s="298">
        <v>42450</v>
      </c>
      <c r="G34" s="74">
        <v>0</v>
      </c>
      <c r="H34" s="74">
        <v>110</v>
      </c>
      <c r="I34" s="74">
        <v>110</v>
      </c>
      <c r="J34" s="74">
        <v>0</v>
      </c>
      <c r="K34" s="74">
        <v>0</v>
      </c>
      <c r="L34" s="74">
        <v>0</v>
      </c>
      <c r="M34" s="74">
        <v>110</v>
      </c>
    </row>
    <row r="35" spans="1:13" x14ac:dyDescent="0.2">
      <c r="A35" s="446" t="s">
        <v>1671</v>
      </c>
      <c r="B35" s="446" t="s">
        <v>2907</v>
      </c>
      <c r="C35" s="446" t="s">
        <v>290</v>
      </c>
      <c r="D35" s="446" t="s">
        <v>153</v>
      </c>
      <c r="E35" s="446" t="s">
        <v>3798</v>
      </c>
      <c r="F35" s="298">
        <v>42087</v>
      </c>
      <c r="G35" s="74">
        <v>252</v>
      </c>
      <c r="H35" s="74">
        <v>0</v>
      </c>
      <c r="I35" s="74">
        <v>252</v>
      </c>
      <c r="J35" s="74">
        <v>0</v>
      </c>
      <c r="K35" s="74">
        <v>0</v>
      </c>
      <c r="L35" s="74">
        <v>0</v>
      </c>
      <c r="M35" s="74">
        <v>252</v>
      </c>
    </row>
    <row r="36" spans="1:13" x14ac:dyDescent="0.2">
      <c r="A36" s="446" t="s">
        <v>1852</v>
      </c>
      <c r="B36" s="446" t="s">
        <v>3947</v>
      </c>
      <c r="C36" s="446" t="s">
        <v>1227</v>
      </c>
      <c r="D36" s="446" t="s">
        <v>153</v>
      </c>
      <c r="E36" s="446" t="s">
        <v>3798</v>
      </c>
      <c r="F36" s="298">
        <v>42900</v>
      </c>
      <c r="G36" s="74">
        <v>0</v>
      </c>
      <c r="H36" s="74">
        <v>1584</v>
      </c>
      <c r="I36" s="74">
        <v>1584</v>
      </c>
      <c r="J36" s="74">
        <v>0</v>
      </c>
      <c r="K36" s="74">
        <v>0</v>
      </c>
      <c r="L36" s="74">
        <v>0</v>
      </c>
      <c r="M36" s="74">
        <v>1584</v>
      </c>
    </row>
    <row r="37" spans="1:13" x14ac:dyDescent="0.2">
      <c r="A37" s="446" t="s">
        <v>2311</v>
      </c>
      <c r="B37" s="446" t="s">
        <v>3951</v>
      </c>
      <c r="C37" s="446" t="s">
        <v>1172</v>
      </c>
      <c r="D37" s="446" t="s">
        <v>153</v>
      </c>
      <c r="E37" s="446" t="s">
        <v>3798</v>
      </c>
      <c r="F37" s="298">
        <v>42774</v>
      </c>
      <c r="G37" s="74">
        <v>270</v>
      </c>
      <c r="H37" s="74">
        <v>0</v>
      </c>
      <c r="I37" s="74">
        <v>270</v>
      </c>
      <c r="J37" s="74">
        <v>270</v>
      </c>
      <c r="K37" s="74">
        <v>0</v>
      </c>
      <c r="L37" s="74">
        <v>270</v>
      </c>
      <c r="M37" s="74">
        <v>0</v>
      </c>
    </row>
    <row r="38" spans="1:13" x14ac:dyDescent="0.2">
      <c r="A38" s="446" t="s">
        <v>1591</v>
      </c>
      <c r="B38" s="446" t="s">
        <v>3950</v>
      </c>
      <c r="C38" s="446" t="s">
        <v>1592</v>
      </c>
      <c r="D38" s="446" t="s">
        <v>153</v>
      </c>
      <c r="E38" s="446" t="s">
        <v>3798</v>
      </c>
      <c r="F38" s="298">
        <v>43066</v>
      </c>
      <c r="G38" s="74">
        <v>1185</v>
      </c>
      <c r="H38" s="74">
        <v>0</v>
      </c>
      <c r="I38" s="74">
        <v>1185</v>
      </c>
      <c r="J38" s="74">
        <v>0</v>
      </c>
      <c r="K38" s="74">
        <v>0</v>
      </c>
      <c r="L38" s="74">
        <v>0</v>
      </c>
      <c r="M38" s="74">
        <v>1185</v>
      </c>
    </row>
    <row r="39" spans="1:13" x14ac:dyDescent="0.2">
      <c r="A39" s="446" t="s">
        <v>2477</v>
      </c>
      <c r="B39" s="446" t="s">
        <v>3940</v>
      </c>
      <c r="C39" s="446" t="s">
        <v>2478</v>
      </c>
      <c r="D39" s="446" t="s">
        <v>153</v>
      </c>
      <c r="E39" s="446" t="s">
        <v>3798</v>
      </c>
      <c r="F39" s="298">
        <v>42947</v>
      </c>
      <c r="G39" s="74">
        <v>0</v>
      </c>
      <c r="H39" s="74">
        <v>0</v>
      </c>
      <c r="I39" s="74">
        <v>0</v>
      </c>
      <c r="J39" s="74">
        <v>0</v>
      </c>
      <c r="K39" s="74">
        <v>263</v>
      </c>
      <c r="L39" s="74">
        <v>263</v>
      </c>
      <c r="M39" s="74">
        <v>-263</v>
      </c>
    </row>
    <row r="40" spans="1:13" x14ac:dyDescent="0.2">
      <c r="A40" s="446" t="s">
        <v>2690</v>
      </c>
      <c r="B40" s="446" t="s">
        <v>3953</v>
      </c>
      <c r="C40" s="446" t="s">
        <v>2691</v>
      </c>
      <c r="D40" s="446" t="s">
        <v>153</v>
      </c>
      <c r="E40" s="446" t="s">
        <v>3798</v>
      </c>
      <c r="F40" s="298">
        <v>43172</v>
      </c>
      <c r="G40" s="74">
        <v>0</v>
      </c>
      <c r="H40" s="74">
        <v>0</v>
      </c>
      <c r="I40" s="74">
        <v>0</v>
      </c>
      <c r="J40" s="74">
        <v>55</v>
      </c>
      <c r="K40" s="74">
        <v>0</v>
      </c>
      <c r="L40" s="74">
        <v>55</v>
      </c>
      <c r="M40" s="74">
        <v>-55</v>
      </c>
    </row>
    <row r="41" spans="1:13" x14ac:dyDescent="0.2">
      <c r="A41" s="446" t="s">
        <v>2372</v>
      </c>
      <c r="B41" s="446" t="s">
        <v>3944</v>
      </c>
      <c r="C41" s="446" t="s">
        <v>2373</v>
      </c>
      <c r="D41" s="446" t="s">
        <v>153</v>
      </c>
      <c r="E41" s="446" t="s">
        <v>3798</v>
      </c>
      <c r="F41" s="298">
        <v>42999</v>
      </c>
      <c r="G41" s="74">
        <v>1266</v>
      </c>
      <c r="H41" s="74">
        <v>0</v>
      </c>
      <c r="I41" s="74">
        <v>1266</v>
      </c>
      <c r="J41" s="74">
        <v>579</v>
      </c>
      <c r="K41" s="74">
        <v>0</v>
      </c>
      <c r="L41" s="74">
        <v>579</v>
      </c>
      <c r="M41" s="74">
        <v>687</v>
      </c>
    </row>
    <row r="42" spans="1:13" x14ac:dyDescent="0.2">
      <c r="A42" s="446" t="s">
        <v>1422</v>
      </c>
      <c r="B42" s="446" t="s">
        <v>150</v>
      </c>
      <c r="C42" s="446" t="s">
        <v>1423</v>
      </c>
      <c r="D42" s="446" t="s">
        <v>153</v>
      </c>
      <c r="E42" s="446" t="s">
        <v>3798</v>
      </c>
      <c r="F42" s="298">
        <v>43124</v>
      </c>
      <c r="G42" s="74">
        <v>275</v>
      </c>
      <c r="H42" s="74">
        <v>0</v>
      </c>
      <c r="I42" s="74">
        <v>275</v>
      </c>
      <c r="J42" s="74">
        <v>0</v>
      </c>
      <c r="K42" s="74">
        <v>0</v>
      </c>
      <c r="L42" s="74">
        <v>0</v>
      </c>
      <c r="M42" s="74">
        <v>275</v>
      </c>
    </row>
    <row r="43" spans="1:13" x14ac:dyDescent="0.2">
      <c r="A43" s="446" t="s">
        <v>2158</v>
      </c>
      <c r="B43" s="446" t="s">
        <v>3943</v>
      </c>
      <c r="C43" s="446" t="s">
        <v>767</v>
      </c>
      <c r="D43" s="446" t="s">
        <v>153</v>
      </c>
      <c r="E43" s="446" t="s">
        <v>3798</v>
      </c>
      <c r="F43" s="298">
        <v>42580</v>
      </c>
      <c r="G43" s="74">
        <v>0</v>
      </c>
      <c r="H43" s="74">
        <v>0</v>
      </c>
      <c r="I43" s="74">
        <v>0</v>
      </c>
      <c r="J43" s="74">
        <v>172</v>
      </c>
      <c r="K43" s="74">
        <v>0</v>
      </c>
      <c r="L43" s="74">
        <v>172</v>
      </c>
      <c r="M43" s="74">
        <v>-172</v>
      </c>
    </row>
    <row r="44" spans="1:13" x14ac:dyDescent="0.2">
      <c r="A44" s="446" t="s">
        <v>1739</v>
      </c>
      <c r="B44" s="446" t="s">
        <v>2904</v>
      </c>
      <c r="C44" s="446" t="s">
        <v>265</v>
      </c>
      <c r="D44" s="446" t="s">
        <v>153</v>
      </c>
      <c r="E44" s="446" t="s">
        <v>3798</v>
      </c>
      <c r="F44" s="298">
        <v>42121</v>
      </c>
      <c r="G44" s="74">
        <v>38</v>
      </c>
      <c r="H44" s="74">
        <v>0</v>
      </c>
      <c r="I44" s="74">
        <v>38</v>
      </c>
      <c r="J44" s="74">
        <v>0</v>
      </c>
      <c r="K44" s="74">
        <v>0</v>
      </c>
      <c r="L44" s="74">
        <v>0</v>
      </c>
      <c r="M44" s="74">
        <v>38</v>
      </c>
    </row>
    <row r="45" spans="1:13" x14ac:dyDescent="0.2">
      <c r="A45" s="446" t="s">
        <v>2046</v>
      </c>
      <c r="B45" s="446" t="s">
        <v>3953</v>
      </c>
      <c r="C45" s="446" t="s">
        <v>526</v>
      </c>
      <c r="D45" s="446" t="s">
        <v>153</v>
      </c>
      <c r="E45" s="446" t="s">
        <v>3798</v>
      </c>
      <c r="F45" s="298">
        <v>42424</v>
      </c>
      <c r="G45" s="74">
        <v>177</v>
      </c>
      <c r="H45" s="74">
        <v>0</v>
      </c>
      <c r="I45" s="74">
        <v>177</v>
      </c>
      <c r="J45" s="74">
        <v>0</v>
      </c>
      <c r="K45" s="74">
        <v>0</v>
      </c>
      <c r="L45" s="74">
        <v>0</v>
      </c>
      <c r="M45" s="74">
        <v>177</v>
      </c>
    </row>
    <row r="46" spans="1:13" x14ac:dyDescent="0.2">
      <c r="A46" s="446" t="s">
        <v>1682</v>
      </c>
      <c r="B46" s="446" t="s">
        <v>3947</v>
      </c>
      <c r="C46" s="446" t="s">
        <v>354</v>
      </c>
      <c r="D46" s="446" t="s">
        <v>1684</v>
      </c>
      <c r="E46" s="446" t="s">
        <v>3971</v>
      </c>
      <c r="F46" s="298">
        <v>42046</v>
      </c>
      <c r="G46" s="74">
        <v>0</v>
      </c>
      <c r="H46" s="74">
        <v>1678</v>
      </c>
      <c r="I46" s="74">
        <v>1678</v>
      </c>
      <c r="J46" s="74">
        <v>0</v>
      </c>
      <c r="K46" s="74">
        <v>0</v>
      </c>
      <c r="L46" s="74">
        <v>0</v>
      </c>
      <c r="M46" s="74">
        <v>1678</v>
      </c>
    </row>
    <row r="47" spans="1:13" x14ac:dyDescent="0.2">
      <c r="D47" s="446" t="s">
        <v>1689</v>
      </c>
      <c r="E47" s="446" t="s">
        <v>3971</v>
      </c>
      <c r="F47" s="298">
        <v>42046</v>
      </c>
      <c r="G47" s="74">
        <v>1511</v>
      </c>
      <c r="H47" s="74">
        <v>0</v>
      </c>
      <c r="I47" s="74">
        <v>1511</v>
      </c>
      <c r="J47" s="74">
        <v>0</v>
      </c>
      <c r="K47" s="74">
        <v>0</v>
      </c>
      <c r="L47" s="74">
        <v>0</v>
      </c>
      <c r="M47" s="74">
        <v>1511</v>
      </c>
    </row>
    <row r="48" spans="1:13" x14ac:dyDescent="0.2">
      <c r="A48" s="446" t="s">
        <v>2138</v>
      </c>
      <c r="B48" s="446" t="s">
        <v>3953</v>
      </c>
      <c r="C48" s="446" t="s">
        <v>610</v>
      </c>
      <c r="D48" s="446" t="s">
        <v>153</v>
      </c>
      <c r="E48" s="446" t="s">
        <v>3798</v>
      </c>
      <c r="F48" s="298">
        <v>42453</v>
      </c>
      <c r="G48" s="74">
        <v>0</v>
      </c>
      <c r="H48" s="74">
        <v>239</v>
      </c>
      <c r="I48" s="74">
        <v>239</v>
      </c>
      <c r="J48" s="74">
        <v>0</v>
      </c>
      <c r="K48" s="74">
        <v>531</v>
      </c>
      <c r="L48" s="74">
        <v>531</v>
      </c>
      <c r="M48" s="74">
        <v>-292</v>
      </c>
    </row>
    <row r="49" spans="1:13" x14ac:dyDescent="0.2">
      <c r="A49" s="446" t="s">
        <v>2518</v>
      </c>
      <c r="B49" s="446" t="s">
        <v>3946</v>
      </c>
      <c r="C49" s="446" t="s">
        <v>2519</v>
      </c>
      <c r="D49" s="446" t="s">
        <v>153</v>
      </c>
      <c r="E49" s="446" t="s">
        <v>3798</v>
      </c>
      <c r="F49" s="298">
        <v>42989</v>
      </c>
      <c r="G49" s="74">
        <v>45</v>
      </c>
      <c r="H49" s="74">
        <v>0</v>
      </c>
      <c r="I49" s="74">
        <v>45</v>
      </c>
      <c r="J49" s="74">
        <v>0</v>
      </c>
      <c r="K49" s="74">
        <v>0</v>
      </c>
      <c r="L49" s="74">
        <v>0</v>
      </c>
      <c r="M49" s="74">
        <v>45</v>
      </c>
    </row>
    <row r="50" spans="1:13" x14ac:dyDescent="0.2">
      <c r="A50" s="446" t="s">
        <v>1602</v>
      </c>
      <c r="B50" s="446" t="s">
        <v>3940</v>
      </c>
      <c r="C50" s="446" t="s">
        <v>1603</v>
      </c>
      <c r="D50" s="446" t="s">
        <v>153</v>
      </c>
      <c r="E50" s="446" t="s">
        <v>3798</v>
      </c>
      <c r="F50" s="298">
        <v>43167</v>
      </c>
      <c r="G50" s="74">
        <v>0</v>
      </c>
      <c r="H50" s="74">
        <v>1973</v>
      </c>
      <c r="I50" s="74">
        <v>1973</v>
      </c>
      <c r="J50" s="74">
        <v>0</v>
      </c>
      <c r="K50" s="74">
        <v>1812</v>
      </c>
      <c r="L50" s="74">
        <v>1812</v>
      </c>
      <c r="M50" s="74">
        <v>161</v>
      </c>
    </row>
    <row r="51" spans="1:13" x14ac:dyDescent="0.2">
      <c r="A51" s="446" t="s">
        <v>1612</v>
      </c>
      <c r="B51" s="446" t="s">
        <v>3939</v>
      </c>
      <c r="C51" s="446" t="s">
        <v>1613</v>
      </c>
      <c r="D51" s="446" t="s">
        <v>153</v>
      </c>
      <c r="E51" s="446" t="s">
        <v>3798</v>
      </c>
      <c r="F51" s="298">
        <v>42999</v>
      </c>
      <c r="G51" s="74">
        <v>50</v>
      </c>
      <c r="H51" s="74">
        <v>0</v>
      </c>
      <c r="I51" s="74">
        <v>50</v>
      </c>
      <c r="J51" s="74">
        <v>0</v>
      </c>
      <c r="K51" s="74">
        <v>0</v>
      </c>
      <c r="L51" s="74">
        <v>0</v>
      </c>
      <c r="M51" s="74">
        <v>50</v>
      </c>
    </row>
    <row r="52" spans="1:13" x14ac:dyDescent="0.2">
      <c r="A52" s="446" t="s">
        <v>1773</v>
      </c>
      <c r="B52" s="446" t="s">
        <v>3947</v>
      </c>
      <c r="C52" s="446" t="s">
        <v>861</v>
      </c>
      <c r="D52" s="446" t="s">
        <v>1775</v>
      </c>
      <c r="E52" s="446" t="s">
        <v>3971</v>
      </c>
      <c r="F52" s="298">
        <v>42758</v>
      </c>
      <c r="G52" s="74">
        <v>44</v>
      </c>
      <c r="H52" s="74">
        <v>44</v>
      </c>
      <c r="I52" s="74">
        <v>88</v>
      </c>
      <c r="J52" s="74">
        <v>0</v>
      </c>
      <c r="K52" s="74">
        <v>0</v>
      </c>
      <c r="L52" s="74">
        <v>0</v>
      </c>
      <c r="M52" s="74">
        <v>88</v>
      </c>
    </row>
    <row r="53" spans="1:13" x14ac:dyDescent="0.2">
      <c r="D53" s="446" t="s">
        <v>1776</v>
      </c>
      <c r="E53" s="446" t="s">
        <v>3971</v>
      </c>
      <c r="F53" s="298">
        <v>42758</v>
      </c>
      <c r="G53" s="74">
        <v>218</v>
      </c>
      <c r="H53" s="74">
        <v>218</v>
      </c>
      <c r="I53" s="74">
        <v>436</v>
      </c>
      <c r="J53" s="74">
        <v>0</v>
      </c>
      <c r="K53" s="74">
        <v>0</v>
      </c>
      <c r="L53" s="74">
        <v>0</v>
      </c>
      <c r="M53" s="74">
        <v>436</v>
      </c>
    </row>
    <row r="54" spans="1:13" x14ac:dyDescent="0.2">
      <c r="D54" s="446" t="s">
        <v>1777</v>
      </c>
      <c r="E54" s="446" t="s">
        <v>3971</v>
      </c>
      <c r="F54" s="298">
        <v>42758</v>
      </c>
      <c r="G54" s="74">
        <v>903</v>
      </c>
      <c r="H54" s="74">
        <v>902</v>
      </c>
      <c r="I54" s="74">
        <v>1805</v>
      </c>
      <c r="J54" s="74">
        <v>0</v>
      </c>
      <c r="K54" s="74">
        <v>0</v>
      </c>
      <c r="L54" s="74">
        <v>0</v>
      </c>
      <c r="M54" s="74">
        <v>1805</v>
      </c>
    </row>
    <row r="55" spans="1:13" x14ac:dyDescent="0.2">
      <c r="D55" s="446" t="s">
        <v>1778</v>
      </c>
      <c r="E55" s="446" t="s">
        <v>3971</v>
      </c>
      <c r="F55" s="298">
        <v>42758</v>
      </c>
      <c r="G55" s="74">
        <v>169</v>
      </c>
      <c r="H55" s="74">
        <v>170</v>
      </c>
      <c r="I55" s="74">
        <v>339</v>
      </c>
      <c r="J55" s="74">
        <v>0</v>
      </c>
      <c r="K55" s="74">
        <v>0</v>
      </c>
      <c r="L55" s="74">
        <v>0</v>
      </c>
      <c r="M55" s="74">
        <v>339</v>
      </c>
    </row>
    <row r="56" spans="1:13" x14ac:dyDescent="0.2">
      <c r="D56" s="446" t="s">
        <v>1779</v>
      </c>
      <c r="E56" s="446" t="s">
        <v>3971</v>
      </c>
      <c r="F56" s="298">
        <v>42758</v>
      </c>
      <c r="G56" s="74">
        <v>43</v>
      </c>
      <c r="H56" s="74">
        <v>43</v>
      </c>
      <c r="I56" s="74">
        <v>86</v>
      </c>
      <c r="J56" s="74">
        <v>0</v>
      </c>
      <c r="K56" s="74">
        <v>0</v>
      </c>
      <c r="L56" s="74">
        <v>0</v>
      </c>
      <c r="M56" s="74">
        <v>86</v>
      </c>
    </row>
    <row r="57" spans="1:13" x14ac:dyDescent="0.2">
      <c r="D57" s="446" t="s">
        <v>1780</v>
      </c>
      <c r="E57" s="446" t="s">
        <v>3971</v>
      </c>
      <c r="F57" s="298">
        <v>42758</v>
      </c>
      <c r="G57" s="74">
        <v>66</v>
      </c>
      <c r="H57" s="74">
        <v>66</v>
      </c>
      <c r="I57" s="74">
        <v>132</v>
      </c>
      <c r="J57" s="74">
        <v>0</v>
      </c>
      <c r="K57" s="74">
        <v>0</v>
      </c>
      <c r="L57" s="74">
        <v>0</v>
      </c>
      <c r="M57" s="74">
        <v>132</v>
      </c>
    </row>
    <row r="58" spans="1:13" x14ac:dyDescent="0.2">
      <c r="A58" s="446" t="s">
        <v>1525</v>
      </c>
      <c r="B58" s="446" t="s">
        <v>3947</v>
      </c>
      <c r="C58" s="446" t="s">
        <v>653</v>
      </c>
      <c r="D58" s="446" t="s">
        <v>1532</v>
      </c>
      <c r="E58" s="446" t="s">
        <v>3971</v>
      </c>
      <c r="F58" s="298">
        <v>42682</v>
      </c>
      <c r="G58" s="74">
        <v>1648</v>
      </c>
      <c r="H58" s="74">
        <v>1649</v>
      </c>
      <c r="I58" s="74">
        <v>3297</v>
      </c>
      <c r="J58" s="74">
        <v>0</v>
      </c>
      <c r="K58" s="74">
        <v>0</v>
      </c>
      <c r="L58" s="74">
        <v>0</v>
      </c>
      <c r="M58" s="74">
        <v>3297</v>
      </c>
    </row>
    <row r="59" spans="1:13" x14ac:dyDescent="0.2">
      <c r="D59" s="446" t="s">
        <v>1533</v>
      </c>
      <c r="E59" s="446" t="s">
        <v>3971</v>
      </c>
      <c r="F59" s="298">
        <v>42682</v>
      </c>
      <c r="G59" s="74">
        <v>737</v>
      </c>
      <c r="H59" s="74">
        <v>738</v>
      </c>
      <c r="I59" s="74">
        <v>1475</v>
      </c>
      <c r="J59" s="74">
        <v>0</v>
      </c>
      <c r="K59" s="74">
        <v>0</v>
      </c>
      <c r="L59" s="74">
        <v>0</v>
      </c>
      <c r="M59" s="74">
        <v>1475</v>
      </c>
    </row>
    <row r="60" spans="1:13" x14ac:dyDescent="0.2">
      <c r="D60" s="446" t="s">
        <v>1534</v>
      </c>
      <c r="E60" s="446" t="s">
        <v>3971</v>
      </c>
      <c r="F60" s="298">
        <v>42682</v>
      </c>
      <c r="G60" s="74">
        <v>1577</v>
      </c>
      <c r="H60" s="74">
        <v>1578</v>
      </c>
      <c r="I60" s="74">
        <v>3155</v>
      </c>
      <c r="J60" s="74">
        <v>0</v>
      </c>
      <c r="K60" s="74">
        <v>0</v>
      </c>
      <c r="L60" s="74">
        <v>0</v>
      </c>
      <c r="M60" s="74">
        <v>3155</v>
      </c>
    </row>
    <row r="61" spans="1:13" x14ac:dyDescent="0.2">
      <c r="A61" s="446" t="s">
        <v>1463</v>
      </c>
      <c r="B61" s="446" t="s">
        <v>149</v>
      </c>
      <c r="C61" s="446" t="s">
        <v>1279</v>
      </c>
      <c r="D61" s="446" t="s">
        <v>153</v>
      </c>
      <c r="E61" s="446" t="s">
        <v>3798</v>
      </c>
      <c r="F61" s="298">
        <v>42879</v>
      </c>
      <c r="G61" s="74">
        <v>15</v>
      </c>
      <c r="H61" s="74">
        <v>0</v>
      </c>
      <c r="I61" s="74">
        <v>15</v>
      </c>
      <c r="J61" s="74">
        <v>0</v>
      </c>
      <c r="K61" s="74">
        <v>0</v>
      </c>
      <c r="L61" s="74">
        <v>0</v>
      </c>
      <c r="M61" s="74">
        <v>15</v>
      </c>
    </row>
    <row r="62" spans="1:13" x14ac:dyDescent="0.2">
      <c r="A62" s="446" t="s">
        <v>1827</v>
      </c>
      <c r="B62" s="446" t="s">
        <v>3949</v>
      </c>
      <c r="C62" s="446" t="s">
        <v>1828</v>
      </c>
      <c r="D62" s="446" t="s">
        <v>153</v>
      </c>
      <c r="E62" s="446" t="s">
        <v>3798</v>
      </c>
      <c r="F62" s="298">
        <v>43131</v>
      </c>
      <c r="G62" s="74">
        <v>116</v>
      </c>
      <c r="H62" s="74">
        <v>0</v>
      </c>
      <c r="I62" s="74">
        <v>116</v>
      </c>
      <c r="J62" s="74">
        <v>0</v>
      </c>
      <c r="K62" s="74">
        <v>0</v>
      </c>
      <c r="L62" s="74">
        <v>0</v>
      </c>
      <c r="M62" s="74">
        <v>116</v>
      </c>
    </row>
    <row r="63" spans="1:13" x14ac:dyDescent="0.2">
      <c r="A63" s="446" t="s">
        <v>2333</v>
      </c>
      <c r="B63" s="446" t="s">
        <v>3940</v>
      </c>
      <c r="C63" s="446" t="s">
        <v>1092</v>
      </c>
      <c r="D63" s="446" t="s">
        <v>153</v>
      </c>
      <c r="E63" s="446" t="s">
        <v>3798</v>
      </c>
      <c r="F63" s="298">
        <v>42719</v>
      </c>
      <c r="G63" s="74">
        <v>0</v>
      </c>
      <c r="H63" s="74">
        <v>0</v>
      </c>
      <c r="I63" s="74">
        <v>0</v>
      </c>
      <c r="J63" s="74">
        <v>318</v>
      </c>
      <c r="K63" s="74">
        <v>0</v>
      </c>
      <c r="L63" s="74">
        <v>318</v>
      </c>
      <c r="M63" s="74">
        <v>-318</v>
      </c>
    </row>
    <row r="64" spans="1:13" x14ac:dyDescent="0.2">
      <c r="A64" s="446" t="s">
        <v>1519</v>
      </c>
      <c r="B64" s="446" t="s">
        <v>3944</v>
      </c>
      <c r="C64" s="446" t="s">
        <v>630</v>
      </c>
      <c r="D64" s="446" t="s">
        <v>153</v>
      </c>
      <c r="E64" s="446" t="s">
        <v>3798</v>
      </c>
      <c r="F64" s="298">
        <v>42495</v>
      </c>
      <c r="G64" s="74">
        <v>0</v>
      </c>
      <c r="H64" s="74">
        <v>0</v>
      </c>
      <c r="I64" s="74">
        <v>0</v>
      </c>
      <c r="J64" s="74">
        <v>173</v>
      </c>
      <c r="K64" s="74">
        <v>0</v>
      </c>
      <c r="L64" s="74">
        <v>173</v>
      </c>
      <c r="M64" s="74">
        <v>-173</v>
      </c>
    </row>
    <row r="65" spans="1:13" x14ac:dyDescent="0.2">
      <c r="A65" s="446" t="s">
        <v>2385</v>
      </c>
      <c r="B65" s="446" t="s">
        <v>3946</v>
      </c>
      <c r="C65" s="446" t="s">
        <v>1182</v>
      </c>
      <c r="D65" s="446" t="s">
        <v>153</v>
      </c>
      <c r="E65" s="446" t="s">
        <v>3798</v>
      </c>
      <c r="F65" s="298">
        <v>42909</v>
      </c>
      <c r="G65" s="74">
        <v>738</v>
      </c>
      <c r="H65" s="74">
        <v>0</v>
      </c>
      <c r="I65" s="74">
        <v>738</v>
      </c>
      <c r="J65" s="74">
        <v>231</v>
      </c>
      <c r="K65" s="74">
        <v>0</v>
      </c>
      <c r="L65" s="74">
        <v>231</v>
      </c>
      <c r="M65" s="74">
        <v>507</v>
      </c>
    </row>
    <row r="66" spans="1:13" x14ac:dyDescent="0.2">
      <c r="A66" s="446" t="s">
        <v>2072</v>
      </c>
      <c r="B66" s="446" t="s">
        <v>3951</v>
      </c>
      <c r="C66" s="446" t="s">
        <v>1056</v>
      </c>
      <c r="D66" s="446" t="s">
        <v>153</v>
      </c>
      <c r="E66" s="446" t="s">
        <v>3798</v>
      </c>
      <c r="F66" s="298">
        <v>42824</v>
      </c>
      <c r="G66" s="74">
        <v>0</v>
      </c>
      <c r="H66" s="74">
        <v>893</v>
      </c>
      <c r="I66" s="74">
        <v>893</v>
      </c>
      <c r="J66" s="74">
        <v>0</v>
      </c>
      <c r="K66" s="74">
        <v>1157</v>
      </c>
      <c r="L66" s="74">
        <v>1157</v>
      </c>
      <c r="M66" s="74">
        <v>-264</v>
      </c>
    </row>
    <row r="67" spans="1:13" x14ac:dyDescent="0.2">
      <c r="A67" s="446" t="s">
        <v>2506</v>
      </c>
      <c r="B67" s="446" t="s">
        <v>3943</v>
      </c>
      <c r="C67" s="446" t="s">
        <v>2507</v>
      </c>
      <c r="D67" s="446" t="s">
        <v>153</v>
      </c>
      <c r="E67" s="446" t="s">
        <v>3798</v>
      </c>
      <c r="F67" s="298">
        <v>42969</v>
      </c>
      <c r="G67" s="74">
        <v>0</v>
      </c>
      <c r="H67" s="74">
        <v>176</v>
      </c>
      <c r="I67" s="74">
        <v>176</v>
      </c>
      <c r="J67" s="74">
        <v>0</v>
      </c>
      <c r="K67" s="74">
        <v>0</v>
      </c>
      <c r="L67" s="74">
        <v>0</v>
      </c>
      <c r="M67" s="74">
        <v>176</v>
      </c>
    </row>
    <row r="68" spans="1:13" x14ac:dyDescent="0.2">
      <c r="A68" s="446" t="s">
        <v>2160</v>
      </c>
      <c r="B68" s="446" t="s">
        <v>3943</v>
      </c>
      <c r="C68" s="446" t="s">
        <v>521</v>
      </c>
      <c r="D68" s="446" t="s">
        <v>153</v>
      </c>
      <c r="E68" s="446" t="s">
        <v>3798</v>
      </c>
      <c r="F68" s="298">
        <v>42320</v>
      </c>
      <c r="G68" s="74">
        <v>0</v>
      </c>
      <c r="H68" s="74">
        <v>90</v>
      </c>
      <c r="I68" s="74">
        <v>90</v>
      </c>
      <c r="J68" s="74">
        <v>0</v>
      </c>
      <c r="K68" s="74">
        <v>0</v>
      </c>
      <c r="L68" s="74">
        <v>0</v>
      </c>
      <c r="M68" s="74">
        <v>90</v>
      </c>
    </row>
    <row r="69" spans="1:13" x14ac:dyDescent="0.2">
      <c r="A69" s="446" t="s">
        <v>2430</v>
      </c>
      <c r="B69" s="446" t="s">
        <v>3943</v>
      </c>
      <c r="C69" s="446" t="s">
        <v>2431</v>
      </c>
      <c r="D69" s="446" t="s">
        <v>153</v>
      </c>
      <c r="E69" s="446" t="s">
        <v>3798</v>
      </c>
      <c r="F69" s="298">
        <v>42879</v>
      </c>
      <c r="G69" s="74">
        <v>0</v>
      </c>
      <c r="H69" s="74">
        <v>348</v>
      </c>
      <c r="I69" s="74">
        <v>348</v>
      </c>
      <c r="J69" s="74">
        <v>0</v>
      </c>
      <c r="K69" s="74">
        <v>0</v>
      </c>
      <c r="L69" s="74">
        <v>0</v>
      </c>
      <c r="M69" s="74">
        <v>348</v>
      </c>
    </row>
    <row r="70" spans="1:13" x14ac:dyDescent="0.2">
      <c r="A70" s="446" t="s">
        <v>2243</v>
      </c>
      <c r="B70" s="446" t="s">
        <v>3946</v>
      </c>
      <c r="C70" s="446" t="s">
        <v>894</v>
      </c>
      <c r="D70" s="446" t="s">
        <v>153</v>
      </c>
      <c r="E70" s="446" t="s">
        <v>3798</v>
      </c>
      <c r="F70" s="298">
        <v>42573</v>
      </c>
      <c r="G70" s="74">
        <v>92</v>
      </c>
      <c r="H70" s="74">
        <v>0</v>
      </c>
      <c r="I70" s="74">
        <v>92</v>
      </c>
      <c r="J70" s="74">
        <v>0</v>
      </c>
      <c r="K70" s="74">
        <v>0</v>
      </c>
      <c r="L70" s="74">
        <v>0</v>
      </c>
      <c r="M70" s="74">
        <v>92</v>
      </c>
    </row>
    <row r="71" spans="1:13" x14ac:dyDescent="0.2">
      <c r="A71" s="446" t="s">
        <v>1711</v>
      </c>
      <c r="B71" s="446" t="s">
        <v>3943</v>
      </c>
      <c r="C71" s="446" t="s">
        <v>633</v>
      </c>
      <c r="D71" s="446" t="s">
        <v>153</v>
      </c>
      <c r="E71" s="446" t="s">
        <v>3798</v>
      </c>
      <c r="F71" s="298">
        <v>42478</v>
      </c>
      <c r="G71" s="74">
        <v>0</v>
      </c>
      <c r="H71" s="74">
        <v>82</v>
      </c>
      <c r="I71" s="74">
        <v>82</v>
      </c>
      <c r="J71" s="74">
        <v>0</v>
      </c>
      <c r="K71" s="74">
        <v>0</v>
      </c>
      <c r="L71" s="74">
        <v>0</v>
      </c>
      <c r="M71" s="74">
        <v>82</v>
      </c>
    </row>
    <row r="72" spans="1:13" x14ac:dyDescent="0.2">
      <c r="A72" s="446" t="s">
        <v>1556</v>
      </c>
      <c r="B72" s="446" t="s">
        <v>3942</v>
      </c>
      <c r="C72" s="446" t="s">
        <v>1557</v>
      </c>
      <c r="D72" s="446" t="s">
        <v>153</v>
      </c>
      <c r="E72" s="446" t="s">
        <v>3798</v>
      </c>
      <c r="F72" s="298">
        <v>43147</v>
      </c>
      <c r="G72" s="74">
        <v>161</v>
      </c>
      <c r="H72" s="74">
        <v>0</v>
      </c>
      <c r="I72" s="74">
        <v>161</v>
      </c>
      <c r="J72" s="74">
        <v>0</v>
      </c>
      <c r="K72" s="74">
        <v>0</v>
      </c>
      <c r="L72" s="74">
        <v>0</v>
      </c>
      <c r="M72" s="74">
        <v>161</v>
      </c>
    </row>
    <row r="73" spans="1:13" x14ac:dyDescent="0.2">
      <c r="A73" s="446" t="s">
        <v>95</v>
      </c>
      <c r="G73" s="74">
        <v>16573</v>
      </c>
      <c r="H73" s="74">
        <v>14663</v>
      </c>
      <c r="I73" s="74">
        <v>31236</v>
      </c>
      <c r="J73" s="74">
        <v>6743</v>
      </c>
      <c r="K73" s="74">
        <v>5372</v>
      </c>
      <c r="L73" s="74">
        <v>12115</v>
      </c>
      <c r="M73" s="74">
        <v>19121</v>
      </c>
    </row>
  </sheetData>
  <conditionalFormatting sqref="D1:D1048576">
    <cfRule type="cellIs" dxfId="14"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M7"/>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4008</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x14ac:dyDescent="0.2">
      <c r="A7" s="530" t="s">
        <v>95</v>
      </c>
      <c r="B7" s="531"/>
      <c r="C7" s="532"/>
      <c r="D7" s="531"/>
      <c r="E7" s="530"/>
      <c r="F7" s="533"/>
      <c r="G7" s="534">
        <v>0</v>
      </c>
      <c r="H7" s="534">
        <v>0</v>
      </c>
      <c r="I7" s="535">
        <v>0</v>
      </c>
      <c r="J7" s="534">
        <v>0</v>
      </c>
      <c r="K7" s="534">
        <v>0</v>
      </c>
      <c r="L7" s="535">
        <v>0</v>
      </c>
      <c r="M7" s="534">
        <v>0</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12"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M7"/>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2937</v>
      </c>
    </row>
    <row r="2" spans="1:13" x14ac:dyDescent="0.2">
      <c r="A2" s="77" t="s">
        <v>2940</v>
      </c>
      <c r="B2" s="446" t="s">
        <v>3972</v>
      </c>
    </row>
    <row r="3" spans="1:13" x14ac:dyDescent="0.2">
      <c r="A3" s="77" t="s">
        <v>2941</v>
      </c>
      <c r="B3" s="446" t="s">
        <v>429</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95</v>
      </c>
      <c r="G7" s="74">
        <v>0</v>
      </c>
      <c r="H7" s="74">
        <v>0</v>
      </c>
      <c r="I7" s="74">
        <v>0</v>
      </c>
      <c r="J7" s="74">
        <v>0</v>
      </c>
      <c r="K7" s="74">
        <v>0</v>
      </c>
      <c r="L7" s="74">
        <v>0</v>
      </c>
      <c r="M7" s="74">
        <v>0</v>
      </c>
    </row>
  </sheetData>
  <conditionalFormatting sqref="D1:D1048576">
    <cfRule type="cellIs" dxfId="11"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M11"/>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3900</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ht="22.5" x14ac:dyDescent="0.2">
      <c r="A7" s="524" t="s">
        <v>1721</v>
      </c>
      <c r="B7" s="525" t="s">
        <v>3944</v>
      </c>
      <c r="C7" s="526" t="s">
        <v>1198</v>
      </c>
      <c r="D7" s="525" t="s">
        <v>153</v>
      </c>
      <c r="E7" s="524" t="s">
        <v>3974</v>
      </c>
      <c r="F7" s="527" t="s">
        <v>153</v>
      </c>
      <c r="G7" s="528">
        <v>164</v>
      </c>
      <c r="H7" s="528">
        <v>0</v>
      </c>
      <c r="I7" s="529">
        <v>164</v>
      </c>
      <c r="J7" s="528">
        <v>0</v>
      </c>
      <c r="K7" s="528">
        <v>0</v>
      </c>
      <c r="L7" s="529">
        <v>0</v>
      </c>
      <c r="M7" s="528">
        <v>164</v>
      </c>
    </row>
    <row r="8" spans="1:13" ht="33.75" x14ac:dyDescent="0.2">
      <c r="A8" s="305" t="s">
        <v>2666</v>
      </c>
      <c r="B8" s="306" t="s">
        <v>3948</v>
      </c>
      <c r="C8" s="307" t="s">
        <v>2667</v>
      </c>
      <c r="D8" s="306" t="s">
        <v>153</v>
      </c>
      <c r="E8" s="305" t="s">
        <v>3974</v>
      </c>
      <c r="F8" s="335" t="s">
        <v>153</v>
      </c>
      <c r="G8" s="309">
        <v>5175</v>
      </c>
      <c r="H8" s="309">
        <v>54</v>
      </c>
      <c r="I8" s="317">
        <v>5229</v>
      </c>
      <c r="J8" s="309">
        <v>0</v>
      </c>
      <c r="K8" s="309">
        <v>0</v>
      </c>
      <c r="L8" s="317">
        <v>0</v>
      </c>
      <c r="M8" s="309">
        <v>5229</v>
      </c>
    </row>
    <row r="9" spans="1:13" ht="33.75" x14ac:dyDescent="0.2">
      <c r="A9" s="305" t="s">
        <v>2368</v>
      </c>
      <c r="B9" s="306" t="s">
        <v>3943</v>
      </c>
      <c r="C9" s="307" t="s">
        <v>1070</v>
      </c>
      <c r="D9" s="306" t="s">
        <v>153</v>
      </c>
      <c r="E9" s="305" t="s">
        <v>3974</v>
      </c>
      <c r="F9" s="335" t="s">
        <v>153</v>
      </c>
      <c r="G9" s="309">
        <v>189</v>
      </c>
      <c r="H9" s="309">
        <v>187</v>
      </c>
      <c r="I9" s="317">
        <v>376</v>
      </c>
      <c r="J9" s="309">
        <v>0</v>
      </c>
      <c r="K9" s="309">
        <v>0</v>
      </c>
      <c r="L9" s="317">
        <v>0</v>
      </c>
      <c r="M9" s="309">
        <v>376</v>
      </c>
    </row>
    <row r="10" spans="1:13" ht="22.5" x14ac:dyDescent="0.2">
      <c r="A10" s="305" t="s">
        <v>1856</v>
      </c>
      <c r="B10" s="306" t="s">
        <v>3949</v>
      </c>
      <c r="C10" s="307" t="s">
        <v>575</v>
      </c>
      <c r="D10" s="306" t="s">
        <v>153</v>
      </c>
      <c r="E10" s="305" t="s">
        <v>3974</v>
      </c>
      <c r="F10" s="335" t="s">
        <v>153</v>
      </c>
      <c r="G10" s="309">
        <v>1231</v>
      </c>
      <c r="H10" s="309">
        <v>0</v>
      </c>
      <c r="I10" s="317">
        <v>1231</v>
      </c>
      <c r="J10" s="309">
        <v>954</v>
      </c>
      <c r="K10" s="309">
        <v>0</v>
      </c>
      <c r="L10" s="317">
        <v>954</v>
      </c>
      <c r="M10" s="309">
        <v>277</v>
      </c>
    </row>
    <row r="11" spans="1:13" x14ac:dyDescent="0.2">
      <c r="A11" s="328" t="s">
        <v>95</v>
      </c>
      <c r="B11" s="329"/>
      <c r="C11" s="330"/>
      <c r="D11" s="329"/>
      <c r="E11" s="328"/>
      <c r="F11" s="349"/>
      <c r="G11" s="333">
        <v>6759</v>
      </c>
      <c r="H11" s="333">
        <v>241</v>
      </c>
      <c r="I11" s="334">
        <v>7000</v>
      </c>
      <c r="J11" s="333">
        <v>954</v>
      </c>
      <c r="K11" s="333">
        <v>0</v>
      </c>
      <c r="L11" s="334">
        <v>954</v>
      </c>
      <c r="M11" s="333">
        <v>6046</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9"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M11"/>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2938</v>
      </c>
    </row>
    <row r="2" spans="1:13" x14ac:dyDescent="0.2">
      <c r="A2" s="77" t="s">
        <v>2940</v>
      </c>
      <c r="B2" s="446" t="s">
        <v>2945</v>
      </c>
    </row>
    <row r="3" spans="1:13" x14ac:dyDescent="0.2">
      <c r="A3" s="77" t="s">
        <v>2941</v>
      </c>
      <c r="B3" s="446" t="s">
        <v>429</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1721</v>
      </c>
      <c r="B7" s="446" t="s">
        <v>3944</v>
      </c>
      <c r="C7" s="446" t="s">
        <v>1198</v>
      </c>
      <c r="D7" s="446" t="s">
        <v>153</v>
      </c>
      <c r="E7" s="446" t="s">
        <v>3974</v>
      </c>
      <c r="F7" s="446" t="s">
        <v>153</v>
      </c>
      <c r="G7" s="74">
        <v>164</v>
      </c>
      <c r="H7" s="74">
        <v>0</v>
      </c>
      <c r="I7" s="74">
        <v>164</v>
      </c>
      <c r="J7" s="74">
        <v>0</v>
      </c>
      <c r="K7" s="74">
        <v>0</v>
      </c>
      <c r="L7" s="74">
        <v>0</v>
      </c>
      <c r="M7" s="74">
        <v>164</v>
      </c>
    </row>
    <row r="8" spans="1:13" x14ac:dyDescent="0.2">
      <c r="A8" s="446" t="s">
        <v>2666</v>
      </c>
      <c r="B8" s="446" t="s">
        <v>3948</v>
      </c>
      <c r="C8" s="446" t="s">
        <v>2667</v>
      </c>
      <c r="D8" s="446" t="s">
        <v>153</v>
      </c>
      <c r="E8" s="446" t="s">
        <v>3974</v>
      </c>
      <c r="F8" s="446" t="s">
        <v>153</v>
      </c>
      <c r="G8" s="74">
        <v>5175</v>
      </c>
      <c r="H8" s="74">
        <v>54</v>
      </c>
      <c r="I8" s="74">
        <v>5229</v>
      </c>
      <c r="J8" s="74">
        <v>0</v>
      </c>
      <c r="K8" s="74">
        <v>0</v>
      </c>
      <c r="L8" s="74">
        <v>0</v>
      </c>
      <c r="M8" s="74">
        <v>5229</v>
      </c>
    </row>
    <row r="9" spans="1:13" x14ac:dyDescent="0.2">
      <c r="A9" s="446" t="s">
        <v>2368</v>
      </c>
      <c r="B9" s="446" t="s">
        <v>3943</v>
      </c>
      <c r="C9" s="446" t="s">
        <v>1070</v>
      </c>
      <c r="D9" s="446" t="s">
        <v>153</v>
      </c>
      <c r="E9" s="446" t="s">
        <v>3974</v>
      </c>
      <c r="F9" s="446" t="s">
        <v>153</v>
      </c>
      <c r="G9" s="74">
        <v>189</v>
      </c>
      <c r="H9" s="74">
        <v>187</v>
      </c>
      <c r="I9" s="74">
        <v>376</v>
      </c>
      <c r="J9" s="74">
        <v>0</v>
      </c>
      <c r="K9" s="74">
        <v>0</v>
      </c>
      <c r="L9" s="74">
        <v>0</v>
      </c>
      <c r="M9" s="74">
        <v>376</v>
      </c>
    </row>
    <row r="10" spans="1:13" x14ac:dyDescent="0.2">
      <c r="A10" s="446" t="s">
        <v>1856</v>
      </c>
      <c r="B10" s="446" t="s">
        <v>3949</v>
      </c>
      <c r="C10" s="446" t="s">
        <v>575</v>
      </c>
      <c r="D10" s="446" t="s">
        <v>153</v>
      </c>
      <c r="E10" s="446" t="s">
        <v>3974</v>
      </c>
      <c r="F10" s="446" t="s">
        <v>153</v>
      </c>
      <c r="G10" s="74">
        <v>1231</v>
      </c>
      <c r="H10" s="74">
        <v>0</v>
      </c>
      <c r="I10" s="74">
        <v>1231</v>
      </c>
      <c r="J10" s="74">
        <v>954</v>
      </c>
      <c r="K10" s="74">
        <v>0</v>
      </c>
      <c r="L10" s="74">
        <v>954</v>
      </c>
      <c r="M10" s="74">
        <v>277</v>
      </c>
    </row>
    <row r="11" spans="1:13" x14ac:dyDescent="0.2">
      <c r="A11" s="446" t="s">
        <v>95</v>
      </c>
      <c r="G11" s="74">
        <v>6759</v>
      </c>
      <c r="H11" s="74">
        <v>241</v>
      </c>
      <c r="I11" s="74">
        <v>7000</v>
      </c>
      <c r="J11" s="74">
        <v>954</v>
      </c>
      <c r="K11" s="74">
        <v>0</v>
      </c>
      <c r="L11" s="74">
        <v>954</v>
      </c>
      <c r="M11" s="74">
        <v>6046</v>
      </c>
    </row>
  </sheetData>
  <conditionalFormatting sqref="D1:D1048576">
    <cfRule type="cellIs" dxfId="8"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M9"/>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3995</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x14ac:dyDescent="0.2">
      <c r="A7" s="524" t="s">
        <v>1893</v>
      </c>
      <c r="B7" s="525" t="s">
        <v>3952</v>
      </c>
      <c r="C7" s="526" t="s">
        <v>1894</v>
      </c>
      <c r="D7" s="525" t="s">
        <v>153</v>
      </c>
      <c r="E7" s="524" t="s">
        <v>3985</v>
      </c>
      <c r="F7" s="527">
        <v>43019</v>
      </c>
      <c r="G7" s="528">
        <v>0</v>
      </c>
      <c r="H7" s="528">
        <v>44</v>
      </c>
      <c r="I7" s="529">
        <v>44</v>
      </c>
      <c r="J7" s="528">
        <v>0</v>
      </c>
      <c r="K7" s="528">
        <v>0</v>
      </c>
      <c r="L7" s="529">
        <v>0</v>
      </c>
      <c r="M7" s="528">
        <v>44</v>
      </c>
    </row>
    <row r="8" spans="1:13" ht="22.5" x14ac:dyDescent="0.2">
      <c r="A8" s="305" t="s">
        <v>2460</v>
      </c>
      <c r="B8" s="306" t="s">
        <v>3946</v>
      </c>
      <c r="C8" s="307" t="s">
        <v>2461</v>
      </c>
      <c r="D8" s="306" t="s">
        <v>153</v>
      </c>
      <c r="E8" s="305" t="s">
        <v>3985</v>
      </c>
      <c r="F8" s="335">
        <v>42965</v>
      </c>
      <c r="G8" s="309">
        <v>0</v>
      </c>
      <c r="H8" s="309">
        <v>0</v>
      </c>
      <c r="I8" s="317">
        <v>0</v>
      </c>
      <c r="J8" s="309">
        <v>0</v>
      </c>
      <c r="K8" s="309">
        <v>176</v>
      </c>
      <c r="L8" s="317">
        <v>176</v>
      </c>
      <c r="M8" s="309">
        <v>-176</v>
      </c>
    </row>
    <row r="9" spans="1:13" x14ac:dyDescent="0.2">
      <c r="A9" s="328" t="s">
        <v>95</v>
      </c>
      <c r="B9" s="329"/>
      <c r="C9" s="330"/>
      <c r="D9" s="329"/>
      <c r="E9" s="328"/>
      <c r="F9" s="349"/>
      <c r="G9" s="333">
        <v>0</v>
      </c>
      <c r="H9" s="333">
        <v>44</v>
      </c>
      <c r="I9" s="334">
        <v>44</v>
      </c>
      <c r="J9" s="333">
        <v>0</v>
      </c>
      <c r="K9" s="333">
        <v>176</v>
      </c>
      <c r="L9" s="334">
        <v>176</v>
      </c>
      <c r="M9" s="333">
        <v>-132</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6"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M9"/>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2938</v>
      </c>
    </row>
    <row r="2" spans="1:13" x14ac:dyDescent="0.2">
      <c r="A2" s="77" t="s">
        <v>2940</v>
      </c>
      <c r="B2" s="446" t="s">
        <v>2959</v>
      </c>
    </row>
    <row r="3" spans="1:13" x14ac:dyDescent="0.2">
      <c r="A3" s="77" t="s">
        <v>2941</v>
      </c>
      <c r="B3" s="446" t="s">
        <v>429</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1893</v>
      </c>
      <c r="B7" s="446" t="s">
        <v>3952</v>
      </c>
      <c r="C7" s="446" t="s">
        <v>1894</v>
      </c>
      <c r="D7" s="446" t="s">
        <v>153</v>
      </c>
      <c r="E7" s="446" t="s">
        <v>3985</v>
      </c>
      <c r="F7" s="298">
        <v>43019</v>
      </c>
      <c r="G7" s="74">
        <v>0</v>
      </c>
      <c r="H7" s="74">
        <v>44</v>
      </c>
      <c r="I7" s="74">
        <v>44</v>
      </c>
      <c r="J7" s="74">
        <v>0</v>
      </c>
      <c r="K7" s="74">
        <v>0</v>
      </c>
      <c r="L7" s="74">
        <v>0</v>
      </c>
      <c r="M7" s="74">
        <v>44</v>
      </c>
    </row>
    <row r="8" spans="1:13" x14ac:dyDescent="0.2">
      <c r="A8" s="446" t="s">
        <v>2460</v>
      </c>
      <c r="B8" s="446" t="s">
        <v>3946</v>
      </c>
      <c r="C8" s="446" t="s">
        <v>2461</v>
      </c>
      <c r="D8" s="446" t="s">
        <v>153</v>
      </c>
      <c r="E8" s="446" t="s">
        <v>3985</v>
      </c>
      <c r="F8" s="298">
        <v>42965</v>
      </c>
      <c r="G8" s="74">
        <v>0</v>
      </c>
      <c r="H8" s="74">
        <v>0</v>
      </c>
      <c r="I8" s="74">
        <v>0</v>
      </c>
      <c r="J8" s="74">
        <v>0</v>
      </c>
      <c r="K8" s="74">
        <v>176</v>
      </c>
      <c r="L8" s="74">
        <v>176</v>
      </c>
      <c r="M8" s="74">
        <v>-176</v>
      </c>
    </row>
    <row r="9" spans="1:13" x14ac:dyDescent="0.2">
      <c r="A9" s="446" t="s">
        <v>95</v>
      </c>
      <c r="G9" s="74">
        <v>0</v>
      </c>
      <c r="H9" s="74">
        <v>44</v>
      </c>
      <c r="I9" s="74">
        <v>44</v>
      </c>
      <c r="J9" s="74">
        <v>0</v>
      </c>
      <c r="K9" s="74">
        <v>176</v>
      </c>
      <c r="L9" s="74">
        <v>176</v>
      </c>
      <c r="M9" s="74">
        <v>-132</v>
      </c>
    </row>
  </sheetData>
  <conditionalFormatting sqref="D1:D1048576">
    <cfRule type="cellIs" dxfId="5"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M29"/>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37"/>
      <c r="C1" s="338"/>
      <c r="D1" s="337"/>
      <c r="E1" s="339"/>
      <c r="F1" s="348"/>
      <c r="G1" s="340"/>
      <c r="H1" s="340"/>
      <c r="I1" s="340"/>
      <c r="J1" s="340"/>
      <c r="K1" s="340"/>
      <c r="L1" s="340"/>
      <c r="M1" s="340"/>
    </row>
    <row r="2" spans="1:13" ht="12.75" x14ac:dyDescent="0.2">
      <c r="A2" s="341" t="s">
        <v>3996</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x14ac:dyDescent="0.2">
      <c r="A7" s="524" t="s">
        <v>2011</v>
      </c>
      <c r="B7" s="525" t="s">
        <v>2904</v>
      </c>
      <c r="C7" s="526" t="s">
        <v>2014</v>
      </c>
      <c r="D7" s="525" t="s">
        <v>153</v>
      </c>
      <c r="E7" s="524" t="s">
        <v>3798</v>
      </c>
      <c r="F7" s="527" t="s">
        <v>153</v>
      </c>
      <c r="G7" s="528">
        <v>0</v>
      </c>
      <c r="H7" s="528">
        <v>0</v>
      </c>
      <c r="I7" s="529">
        <v>0</v>
      </c>
      <c r="J7" s="528">
        <v>92</v>
      </c>
      <c r="K7" s="528">
        <v>0</v>
      </c>
      <c r="L7" s="529">
        <v>92</v>
      </c>
      <c r="M7" s="528">
        <v>-92</v>
      </c>
    </row>
    <row r="8" spans="1:13" x14ac:dyDescent="0.2">
      <c r="A8" s="305" t="s">
        <v>1957</v>
      </c>
      <c r="B8" s="306" t="s">
        <v>3946</v>
      </c>
      <c r="C8" s="307" t="s">
        <v>1958</v>
      </c>
      <c r="D8" s="306" t="s">
        <v>153</v>
      </c>
      <c r="E8" s="305" t="s">
        <v>3798</v>
      </c>
      <c r="F8" s="335" t="s">
        <v>153</v>
      </c>
      <c r="G8" s="309">
        <v>178</v>
      </c>
      <c r="H8" s="309">
        <v>0</v>
      </c>
      <c r="I8" s="317">
        <v>178</v>
      </c>
      <c r="J8" s="309">
        <v>0</v>
      </c>
      <c r="K8" s="309">
        <v>0</v>
      </c>
      <c r="L8" s="317">
        <v>0</v>
      </c>
      <c r="M8" s="309">
        <v>178</v>
      </c>
    </row>
    <row r="9" spans="1:13" s="319" customFormat="1" ht="22.5" x14ac:dyDescent="0.2">
      <c r="A9" s="321" t="s">
        <v>1425</v>
      </c>
      <c r="B9" s="322" t="s">
        <v>3949</v>
      </c>
      <c r="C9" s="323" t="s">
        <v>1426</v>
      </c>
      <c r="D9" s="322" t="s">
        <v>153</v>
      </c>
      <c r="E9" s="321" t="s">
        <v>3798</v>
      </c>
      <c r="F9" s="352" t="s">
        <v>153</v>
      </c>
      <c r="G9" s="326">
        <v>22</v>
      </c>
      <c r="H9" s="326">
        <v>23</v>
      </c>
      <c r="I9" s="327">
        <v>45</v>
      </c>
      <c r="J9" s="326">
        <v>0</v>
      </c>
      <c r="K9" s="326">
        <v>0</v>
      </c>
      <c r="L9" s="327">
        <v>0</v>
      </c>
      <c r="M9" s="326">
        <v>45</v>
      </c>
    </row>
    <row r="10" spans="1:13" x14ac:dyDescent="0.2">
      <c r="A10" s="305" t="s">
        <v>2750</v>
      </c>
      <c r="B10" s="306" t="s">
        <v>3943</v>
      </c>
      <c r="C10" s="307" t="s">
        <v>2751</v>
      </c>
      <c r="D10" s="306" t="s">
        <v>153</v>
      </c>
      <c r="E10" s="305" t="s">
        <v>3798</v>
      </c>
      <c r="F10" s="335" t="s">
        <v>153</v>
      </c>
      <c r="G10" s="309">
        <v>0</v>
      </c>
      <c r="H10" s="309">
        <v>345</v>
      </c>
      <c r="I10" s="317">
        <v>345</v>
      </c>
      <c r="J10" s="309">
        <v>0</v>
      </c>
      <c r="K10" s="309">
        <v>0</v>
      </c>
      <c r="L10" s="317">
        <v>0</v>
      </c>
      <c r="M10" s="309">
        <v>345</v>
      </c>
    </row>
    <row r="11" spans="1:13" x14ac:dyDescent="0.2">
      <c r="A11" s="305" t="s">
        <v>1511</v>
      </c>
      <c r="B11" s="306" t="s">
        <v>3951</v>
      </c>
      <c r="C11" s="307" t="s">
        <v>1512</v>
      </c>
      <c r="D11" s="306" t="s">
        <v>153</v>
      </c>
      <c r="E11" s="305" t="s">
        <v>3798</v>
      </c>
      <c r="F11" s="335" t="s">
        <v>153</v>
      </c>
      <c r="G11" s="309">
        <v>0</v>
      </c>
      <c r="H11" s="309">
        <v>65</v>
      </c>
      <c r="I11" s="317">
        <v>65</v>
      </c>
      <c r="J11" s="309">
        <v>0</v>
      </c>
      <c r="K11" s="309">
        <v>0</v>
      </c>
      <c r="L11" s="317">
        <v>0</v>
      </c>
      <c r="M11" s="309">
        <v>65</v>
      </c>
    </row>
    <row r="12" spans="1:13" x14ac:dyDescent="0.2">
      <c r="A12" s="305" t="s">
        <v>2805</v>
      </c>
      <c r="B12" s="306" t="s">
        <v>3942</v>
      </c>
      <c r="C12" s="307" t="s">
        <v>2806</v>
      </c>
      <c r="D12" s="306" t="s">
        <v>153</v>
      </c>
      <c r="E12" s="305" t="s">
        <v>3798</v>
      </c>
      <c r="F12" s="335" t="s">
        <v>153</v>
      </c>
      <c r="G12" s="309">
        <v>71</v>
      </c>
      <c r="H12" s="309">
        <v>0</v>
      </c>
      <c r="I12" s="317">
        <v>71</v>
      </c>
      <c r="J12" s="309">
        <v>0</v>
      </c>
      <c r="K12" s="309">
        <v>0</v>
      </c>
      <c r="L12" s="317">
        <v>0</v>
      </c>
      <c r="M12" s="309">
        <v>71</v>
      </c>
    </row>
    <row r="13" spans="1:13" x14ac:dyDescent="0.2">
      <c r="A13" s="305" t="s">
        <v>1818</v>
      </c>
      <c r="B13" s="306" t="s">
        <v>3944</v>
      </c>
      <c r="C13" s="307" t="s">
        <v>1819</v>
      </c>
      <c r="D13" s="306" t="s">
        <v>153</v>
      </c>
      <c r="E13" s="305" t="s">
        <v>3798</v>
      </c>
      <c r="F13" s="335" t="s">
        <v>153</v>
      </c>
      <c r="G13" s="309">
        <v>22</v>
      </c>
      <c r="H13" s="309">
        <v>0</v>
      </c>
      <c r="I13" s="317">
        <v>22</v>
      </c>
      <c r="J13" s="309">
        <v>0</v>
      </c>
      <c r="K13" s="309">
        <v>0</v>
      </c>
      <c r="L13" s="317">
        <v>0</v>
      </c>
      <c r="M13" s="309">
        <v>22</v>
      </c>
    </row>
    <row r="14" spans="1:13" x14ac:dyDescent="0.2">
      <c r="A14" s="305" t="s">
        <v>2645</v>
      </c>
      <c r="B14" s="306" t="s">
        <v>3944</v>
      </c>
      <c r="C14" s="307" t="s">
        <v>2646</v>
      </c>
      <c r="D14" s="306" t="s">
        <v>153</v>
      </c>
      <c r="E14" s="305" t="s">
        <v>3798</v>
      </c>
      <c r="F14" s="335" t="s">
        <v>153</v>
      </c>
      <c r="G14" s="309">
        <v>78</v>
      </c>
      <c r="H14" s="309">
        <v>0</v>
      </c>
      <c r="I14" s="317">
        <v>78</v>
      </c>
      <c r="J14" s="309">
        <v>0</v>
      </c>
      <c r="K14" s="309">
        <v>0</v>
      </c>
      <c r="L14" s="317">
        <v>0</v>
      </c>
      <c r="M14" s="309">
        <v>78</v>
      </c>
    </row>
    <row r="15" spans="1:13" ht="22.5" x14ac:dyDescent="0.2">
      <c r="A15" s="305" t="s">
        <v>2711</v>
      </c>
      <c r="B15" s="306" t="s">
        <v>3946</v>
      </c>
      <c r="C15" s="307" t="s">
        <v>2712</v>
      </c>
      <c r="D15" s="306" t="s">
        <v>153</v>
      </c>
      <c r="E15" s="305" t="s">
        <v>3798</v>
      </c>
      <c r="F15" s="335" t="s">
        <v>153</v>
      </c>
      <c r="G15" s="309">
        <v>138</v>
      </c>
      <c r="H15" s="309">
        <v>0</v>
      </c>
      <c r="I15" s="317">
        <v>138</v>
      </c>
      <c r="J15" s="309">
        <v>0</v>
      </c>
      <c r="K15" s="309">
        <v>0</v>
      </c>
      <c r="L15" s="317">
        <v>0</v>
      </c>
      <c r="M15" s="309">
        <v>138</v>
      </c>
    </row>
    <row r="16" spans="1:13" ht="22.5" x14ac:dyDescent="0.2">
      <c r="A16" s="305" t="s">
        <v>2574</v>
      </c>
      <c r="B16" s="306" t="s">
        <v>3946</v>
      </c>
      <c r="C16" s="307" t="s">
        <v>2575</v>
      </c>
      <c r="D16" s="306" t="s">
        <v>153</v>
      </c>
      <c r="E16" s="305" t="s">
        <v>3798</v>
      </c>
      <c r="F16" s="335" t="s">
        <v>153</v>
      </c>
      <c r="G16" s="309">
        <v>115</v>
      </c>
      <c r="H16" s="309">
        <v>0</v>
      </c>
      <c r="I16" s="317">
        <v>115</v>
      </c>
      <c r="J16" s="309">
        <v>0</v>
      </c>
      <c r="K16" s="309">
        <v>0</v>
      </c>
      <c r="L16" s="317">
        <v>0</v>
      </c>
      <c r="M16" s="309">
        <v>115</v>
      </c>
    </row>
    <row r="17" spans="1:13" ht="22.5" x14ac:dyDescent="0.2">
      <c r="A17" s="305" t="s">
        <v>2696</v>
      </c>
      <c r="B17" s="306" t="s">
        <v>3943</v>
      </c>
      <c r="C17" s="307" t="s">
        <v>2697</v>
      </c>
      <c r="D17" s="306" t="s">
        <v>153</v>
      </c>
      <c r="E17" s="305" t="s">
        <v>3798</v>
      </c>
      <c r="F17" s="335" t="s">
        <v>153</v>
      </c>
      <c r="G17" s="309">
        <v>0</v>
      </c>
      <c r="H17" s="309">
        <v>57</v>
      </c>
      <c r="I17" s="317">
        <v>57</v>
      </c>
      <c r="J17" s="309">
        <v>0</v>
      </c>
      <c r="K17" s="309">
        <v>0</v>
      </c>
      <c r="L17" s="317">
        <v>0</v>
      </c>
      <c r="M17" s="309">
        <v>57</v>
      </c>
    </row>
    <row r="18" spans="1:13" ht="45" x14ac:dyDescent="0.2">
      <c r="A18" s="305" t="s">
        <v>2512</v>
      </c>
      <c r="B18" s="306" t="s">
        <v>2904</v>
      </c>
      <c r="C18" s="307" t="s">
        <v>2513</v>
      </c>
      <c r="D18" s="306" t="s">
        <v>153</v>
      </c>
      <c r="E18" s="305" t="s">
        <v>3798</v>
      </c>
      <c r="F18" s="335" t="s">
        <v>153</v>
      </c>
      <c r="G18" s="309">
        <v>1873</v>
      </c>
      <c r="H18" s="309">
        <v>0</v>
      </c>
      <c r="I18" s="317">
        <v>1873</v>
      </c>
      <c r="J18" s="309">
        <v>4313</v>
      </c>
      <c r="K18" s="309">
        <v>0</v>
      </c>
      <c r="L18" s="317">
        <v>4313</v>
      </c>
      <c r="M18" s="309">
        <v>-2440</v>
      </c>
    </row>
    <row r="19" spans="1:13" ht="22.5" x14ac:dyDescent="0.2">
      <c r="A19" s="305" t="s">
        <v>1785</v>
      </c>
      <c r="B19" s="306" t="s">
        <v>150</v>
      </c>
      <c r="C19" s="307" t="s">
        <v>1787</v>
      </c>
      <c r="D19" s="306" t="s">
        <v>153</v>
      </c>
      <c r="E19" s="305" t="s">
        <v>3798</v>
      </c>
      <c r="F19" s="335" t="s">
        <v>153</v>
      </c>
      <c r="G19" s="309">
        <v>87</v>
      </c>
      <c r="H19" s="309">
        <v>86</v>
      </c>
      <c r="I19" s="317">
        <v>173</v>
      </c>
      <c r="J19" s="309">
        <v>0</v>
      </c>
      <c r="K19" s="309">
        <v>0</v>
      </c>
      <c r="L19" s="317">
        <v>0</v>
      </c>
      <c r="M19" s="309">
        <v>173</v>
      </c>
    </row>
    <row r="20" spans="1:13" ht="33.75" x14ac:dyDescent="0.2">
      <c r="A20" s="305" t="s">
        <v>2787</v>
      </c>
      <c r="B20" s="306" t="s">
        <v>3940</v>
      </c>
      <c r="C20" s="307" t="s">
        <v>2788</v>
      </c>
      <c r="D20" s="306" t="s">
        <v>153</v>
      </c>
      <c r="E20" s="305" t="s">
        <v>3798</v>
      </c>
      <c r="F20" s="335" t="s">
        <v>153</v>
      </c>
      <c r="G20" s="309">
        <v>160</v>
      </c>
      <c r="H20" s="309">
        <v>0</v>
      </c>
      <c r="I20" s="317">
        <v>160</v>
      </c>
      <c r="J20" s="309">
        <v>0</v>
      </c>
      <c r="K20" s="309">
        <v>0</v>
      </c>
      <c r="L20" s="317">
        <v>0</v>
      </c>
      <c r="M20" s="309">
        <v>160</v>
      </c>
    </row>
    <row r="21" spans="1:13" ht="22.5" x14ac:dyDescent="0.2">
      <c r="A21" s="305" t="s">
        <v>1867</v>
      </c>
      <c r="B21" s="306" t="s">
        <v>3947</v>
      </c>
      <c r="C21" s="307" t="s">
        <v>1890</v>
      </c>
      <c r="D21" s="306" t="s">
        <v>153</v>
      </c>
      <c r="E21" s="305" t="s">
        <v>3798</v>
      </c>
      <c r="F21" s="335" t="s">
        <v>153</v>
      </c>
      <c r="G21" s="309">
        <v>0</v>
      </c>
      <c r="H21" s="309">
        <v>301</v>
      </c>
      <c r="I21" s="317">
        <v>301</v>
      </c>
      <c r="J21" s="309">
        <v>0</v>
      </c>
      <c r="K21" s="309">
        <v>0</v>
      </c>
      <c r="L21" s="317">
        <v>0</v>
      </c>
      <c r="M21" s="309">
        <v>301</v>
      </c>
    </row>
    <row r="22" spans="1:13" ht="33.75" x14ac:dyDescent="0.2">
      <c r="A22" s="305" t="s">
        <v>1706</v>
      </c>
      <c r="B22" s="306" t="s">
        <v>3947</v>
      </c>
      <c r="C22" s="307" t="s">
        <v>1709</v>
      </c>
      <c r="D22" s="306" t="s">
        <v>153</v>
      </c>
      <c r="E22" s="305" t="s">
        <v>3798</v>
      </c>
      <c r="F22" s="335" t="s">
        <v>153</v>
      </c>
      <c r="G22" s="309">
        <v>0</v>
      </c>
      <c r="H22" s="309">
        <v>278</v>
      </c>
      <c r="I22" s="317">
        <v>278</v>
      </c>
      <c r="J22" s="309">
        <v>0</v>
      </c>
      <c r="K22" s="309">
        <v>0</v>
      </c>
      <c r="L22" s="317">
        <v>0</v>
      </c>
      <c r="M22" s="309">
        <v>278</v>
      </c>
    </row>
    <row r="23" spans="1:13" ht="22.5" x14ac:dyDescent="0.2">
      <c r="A23" s="305" t="s">
        <v>1621</v>
      </c>
      <c r="B23" s="306" t="s">
        <v>3946</v>
      </c>
      <c r="C23" s="307" t="s">
        <v>1622</v>
      </c>
      <c r="D23" s="306" t="s">
        <v>153</v>
      </c>
      <c r="E23" s="305" t="s">
        <v>3798</v>
      </c>
      <c r="F23" s="335" t="s">
        <v>153</v>
      </c>
      <c r="G23" s="309">
        <v>0</v>
      </c>
      <c r="H23" s="309">
        <v>0</v>
      </c>
      <c r="I23" s="317">
        <v>0</v>
      </c>
      <c r="J23" s="309">
        <v>127</v>
      </c>
      <c r="K23" s="309">
        <v>0</v>
      </c>
      <c r="L23" s="317">
        <v>127</v>
      </c>
      <c r="M23" s="309">
        <v>-127</v>
      </c>
    </row>
    <row r="24" spans="1:13" x14ac:dyDescent="0.2">
      <c r="A24" s="305" t="s">
        <v>2571</v>
      </c>
      <c r="B24" s="306" t="s">
        <v>3943</v>
      </c>
      <c r="C24" s="307" t="s">
        <v>2572</v>
      </c>
      <c r="D24" s="306" t="s">
        <v>153</v>
      </c>
      <c r="E24" s="305" t="s">
        <v>3798</v>
      </c>
      <c r="F24" s="335" t="s">
        <v>153</v>
      </c>
      <c r="G24" s="309">
        <v>0</v>
      </c>
      <c r="H24" s="309">
        <v>104</v>
      </c>
      <c r="I24" s="317">
        <v>104</v>
      </c>
      <c r="J24" s="309">
        <v>0</v>
      </c>
      <c r="K24" s="309">
        <v>0</v>
      </c>
      <c r="L24" s="317">
        <v>0</v>
      </c>
      <c r="M24" s="309">
        <v>104</v>
      </c>
    </row>
    <row r="25" spans="1:13" ht="22.5" x14ac:dyDescent="0.2">
      <c r="A25" s="305" t="s">
        <v>2648</v>
      </c>
      <c r="B25" s="306" t="s">
        <v>3951</v>
      </c>
      <c r="C25" s="307" t="s">
        <v>2649</v>
      </c>
      <c r="D25" s="306" t="s">
        <v>153</v>
      </c>
      <c r="E25" s="305" t="s">
        <v>3798</v>
      </c>
      <c r="F25" s="335" t="s">
        <v>153</v>
      </c>
      <c r="G25" s="309">
        <v>0</v>
      </c>
      <c r="H25" s="309">
        <v>555</v>
      </c>
      <c r="I25" s="317">
        <v>555</v>
      </c>
      <c r="J25" s="309">
        <v>530</v>
      </c>
      <c r="K25" s="309">
        <v>0</v>
      </c>
      <c r="L25" s="317">
        <v>530</v>
      </c>
      <c r="M25" s="309">
        <v>25</v>
      </c>
    </row>
    <row r="26" spans="1:13" x14ac:dyDescent="0.2">
      <c r="A26" s="305" t="s">
        <v>1752</v>
      </c>
      <c r="B26" s="306" t="s">
        <v>3944</v>
      </c>
      <c r="C26" s="307" t="s">
        <v>1753</v>
      </c>
      <c r="D26" s="306" t="s">
        <v>153</v>
      </c>
      <c r="E26" s="305" t="s">
        <v>3798</v>
      </c>
      <c r="F26" s="335" t="s">
        <v>153</v>
      </c>
      <c r="G26" s="309">
        <v>785</v>
      </c>
      <c r="H26" s="309">
        <v>0</v>
      </c>
      <c r="I26" s="317">
        <v>785</v>
      </c>
      <c r="J26" s="309">
        <v>1273</v>
      </c>
      <c r="K26" s="309">
        <v>0</v>
      </c>
      <c r="L26" s="317">
        <v>1273</v>
      </c>
      <c r="M26" s="309">
        <v>-488</v>
      </c>
    </row>
    <row r="27" spans="1:13" x14ac:dyDescent="0.2">
      <c r="A27" s="305" t="s">
        <v>2717</v>
      </c>
      <c r="B27" s="306" t="s">
        <v>3939</v>
      </c>
      <c r="C27" s="307" t="s">
        <v>2718</v>
      </c>
      <c r="D27" s="306" t="s">
        <v>153</v>
      </c>
      <c r="E27" s="305" t="s">
        <v>3798</v>
      </c>
      <c r="F27" s="335" t="s">
        <v>153</v>
      </c>
      <c r="G27" s="309">
        <v>0</v>
      </c>
      <c r="H27" s="309">
        <v>0</v>
      </c>
      <c r="I27" s="317">
        <v>0</v>
      </c>
      <c r="J27" s="309">
        <v>39</v>
      </c>
      <c r="K27" s="309">
        <v>0</v>
      </c>
      <c r="L27" s="317">
        <v>39</v>
      </c>
      <c r="M27" s="309">
        <v>-39</v>
      </c>
    </row>
    <row r="28" spans="1:13" x14ac:dyDescent="0.2">
      <c r="A28" s="305" t="s">
        <v>1430</v>
      </c>
      <c r="B28" s="306" t="s">
        <v>2904</v>
      </c>
      <c r="C28" s="307" t="s">
        <v>1431</v>
      </c>
      <c r="D28" s="306" t="s">
        <v>153</v>
      </c>
      <c r="E28" s="305" t="s">
        <v>3798</v>
      </c>
      <c r="F28" s="335" t="s">
        <v>153</v>
      </c>
      <c r="G28" s="309">
        <v>147</v>
      </c>
      <c r="H28" s="309">
        <v>0</v>
      </c>
      <c r="I28" s="317">
        <v>147</v>
      </c>
      <c r="J28" s="309">
        <v>0</v>
      </c>
      <c r="K28" s="309">
        <v>0</v>
      </c>
      <c r="L28" s="317">
        <v>0</v>
      </c>
      <c r="M28" s="309">
        <v>147</v>
      </c>
    </row>
    <row r="29" spans="1:13" s="320" customFormat="1" x14ac:dyDescent="0.2">
      <c r="A29" s="328" t="s">
        <v>95</v>
      </c>
      <c r="B29" s="329"/>
      <c r="C29" s="330"/>
      <c r="D29" s="329"/>
      <c r="E29" s="328"/>
      <c r="F29" s="349"/>
      <c r="G29" s="333">
        <v>3676</v>
      </c>
      <c r="H29" s="333">
        <v>1814</v>
      </c>
      <c r="I29" s="334">
        <v>5490</v>
      </c>
      <c r="J29" s="333">
        <v>6374</v>
      </c>
      <c r="K29" s="333">
        <v>0</v>
      </c>
      <c r="L29" s="334">
        <v>6374</v>
      </c>
      <c r="M29" s="333">
        <v>-884</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3"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0"/>
  <sheetViews>
    <sheetView workbookViewId="0"/>
  </sheetViews>
  <sheetFormatPr defaultRowHeight="12" x14ac:dyDescent="0.2"/>
  <cols>
    <col min="1" max="1" width="39.42578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429</v>
      </c>
    </row>
    <row r="3" spans="1:12" x14ac:dyDescent="0.2">
      <c r="A3" s="77" t="s">
        <v>2894</v>
      </c>
      <c r="B3" s="446" t="s">
        <v>126</v>
      </c>
    </row>
    <row r="4" spans="1:12" x14ac:dyDescent="0.2">
      <c r="A4" s="77" t="s">
        <v>2896</v>
      </c>
      <c r="B4" s="446" t="s">
        <v>429</v>
      </c>
    </row>
    <row r="5" spans="1:12" x14ac:dyDescent="0.2">
      <c r="A5" s="77" t="s">
        <v>2898</v>
      </c>
      <c r="B5" s="446" t="s">
        <v>429</v>
      </c>
    </row>
    <row r="6" spans="1:12" x14ac:dyDescent="0.2">
      <c r="A6" s="77" t="s">
        <v>2900</v>
      </c>
      <c r="B6" s="446" t="s">
        <v>429</v>
      </c>
    </row>
    <row r="7" spans="1:12" x14ac:dyDescent="0.2">
      <c r="A7" s="77" t="s">
        <v>111</v>
      </c>
      <c r="B7" s="446" t="s">
        <v>429</v>
      </c>
    </row>
    <row r="9" spans="1:12" x14ac:dyDescent="0.2">
      <c r="A9" s="446" t="s">
        <v>116</v>
      </c>
      <c r="B9" s="446" t="s">
        <v>117</v>
      </c>
      <c r="C9" s="446" t="s">
        <v>118</v>
      </c>
      <c r="D9" s="446" t="s">
        <v>119</v>
      </c>
      <c r="E9" s="446" t="s">
        <v>120</v>
      </c>
      <c r="F9" s="446" t="s">
        <v>121</v>
      </c>
      <c r="G9" s="446" t="s">
        <v>122</v>
      </c>
      <c r="H9" s="446" t="s">
        <v>123</v>
      </c>
      <c r="I9" s="446" t="s">
        <v>124</v>
      </c>
      <c r="J9" s="446" t="s">
        <v>125</v>
      </c>
      <c r="K9" s="446" t="s">
        <v>2923</v>
      </c>
      <c r="L9" s="446" t="s">
        <v>2925</v>
      </c>
    </row>
    <row r="10" spans="1:12" x14ac:dyDescent="0.2">
      <c r="A10" s="74">
        <v>1</v>
      </c>
      <c r="B10" s="74">
        <v>894</v>
      </c>
      <c r="C10" s="74">
        <v>0</v>
      </c>
      <c r="D10" s="74">
        <v>0</v>
      </c>
      <c r="E10" s="74">
        <v>1</v>
      </c>
      <c r="F10" s="74">
        <v>-894</v>
      </c>
      <c r="G10" s="74">
        <v>0</v>
      </c>
      <c r="H10" s="74">
        <v>0</v>
      </c>
      <c r="I10" s="74">
        <v>0</v>
      </c>
      <c r="J10" s="74">
        <v>0</v>
      </c>
      <c r="K10" s="74">
        <v>0</v>
      </c>
      <c r="L10"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M29"/>
  <sheetViews>
    <sheetView workbookViewId="0"/>
  </sheetViews>
  <sheetFormatPr defaultRowHeight="12" x14ac:dyDescent="0.2"/>
  <cols>
    <col min="1" max="1" width="25.85546875" customWidth="1"/>
    <col min="2" max="2" width="15" customWidth="1"/>
    <col min="3" max="3" width="12.28515625" bestFit="1" customWidth="1"/>
    <col min="4" max="4" width="32.42578125" customWidth="1"/>
    <col min="5" max="6" width="14.42578125" bestFit="1" customWidth="1"/>
    <col min="7" max="8" width="13.42578125" customWidth="1"/>
    <col min="9" max="9" width="16.85546875" customWidth="1"/>
    <col min="10" max="11" width="13.85546875" customWidth="1"/>
    <col min="12" max="12" width="17.42578125" customWidth="1"/>
    <col min="13" max="13" width="16" bestFit="1" customWidth="1"/>
    <col min="14" max="19" width="16" customWidth="1"/>
    <col min="20" max="74" width="9.42578125" customWidth="1"/>
    <col min="75" max="75" width="10.28515625" customWidth="1"/>
    <col min="76" max="76" width="19" bestFit="1" customWidth="1"/>
  </cols>
  <sheetData>
    <row r="1" spans="1:13" x14ac:dyDescent="0.2">
      <c r="A1" s="77" t="s">
        <v>2939</v>
      </c>
      <c r="B1" s="446" t="s">
        <v>2938</v>
      </c>
    </row>
    <row r="2" spans="1:13" x14ac:dyDescent="0.2">
      <c r="A2" s="77" t="s">
        <v>2940</v>
      </c>
      <c r="B2" s="446" t="s">
        <v>3972</v>
      </c>
    </row>
    <row r="3" spans="1:13" x14ac:dyDescent="0.2">
      <c r="A3" s="77" t="s">
        <v>2941</v>
      </c>
      <c r="B3" s="446" t="s">
        <v>429</v>
      </c>
    </row>
    <row r="4" spans="1:13" x14ac:dyDescent="0.2">
      <c r="A4" s="77" t="s">
        <v>3969</v>
      </c>
      <c r="B4" s="446" t="s">
        <v>126</v>
      </c>
    </row>
    <row r="6" spans="1:13" x14ac:dyDescent="0.2">
      <c r="A6" s="77" t="s">
        <v>185</v>
      </c>
      <c r="B6" s="77" t="s">
        <v>3938</v>
      </c>
      <c r="C6" s="77" t="s">
        <v>2848</v>
      </c>
      <c r="D6" s="77" t="s">
        <v>2844</v>
      </c>
      <c r="E6" s="77" t="s">
        <v>3966</v>
      </c>
      <c r="F6" s="77" t="s">
        <v>13</v>
      </c>
      <c r="G6" s="446" t="s">
        <v>3989</v>
      </c>
      <c r="H6" s="446" t="s">
        <v>3841</v>
      </c>
      <c r="I6" s="446" t="s">
        <v>3990</v>
      </c>
      <c r="J6" s="446" t="s">
        <v>3991</v>
      </c>
      <c r="K6" s="446" t="s">
        <v>3992</v>
      </c>
      <c r="L6" s="446" t="s">
        <v>3993</v>
      </c>
      <c r="M6" s="446" t="s">
        <v>3994</v>
      </c>
    </row>
    <row r="7" spans="1:13" x14ac:dyDescent="0.2">
      <c r="A7" s="446" t="s">
        <v>2011</v>
      </c>
      <c r="B7" s="446" t="s">
        <v>2904</v>
      </c>
      <c r="C7" s="446" t="s">
        <v>2014</v>
      </c>
      <c r="D7" s="446" t="s">
        <v>153</v>
      </c>
      <c r="E7" s="446" t="s">
        <v>3798</v>
      </c>
      <c r="F7" s="446" t="s">
        <v>153</v>
      </c>
      <c r="G7" s="74">
        <v>0</v>
      </c>
      <c r="H7" s="74">
        <v>0</v>
      </c>
      <c r="I7" s="74">
        <v>0</v>
      </c>
      <c r="J7" s="74">
        <v>92</v>
      </c>
      <c r="K7" s="74">
        <v>0</v>
      </c>
      <c r="L7" s="74">
        <v>92</v>
      </c>
      <c r="M7" s="74">
        <v>-92</v>
      </c>
    </row>
    <row r="8" spans="1:13" x14ac:dyDescent="0.2">
      <c r="A8" s="446" t="s">
        <v>1957</v>
      </c>
      <c r="B8" s="446" t="s">
        <v>3946</v>
      </c>
      <c r="C8" s="446" t="s">
        <v>1958</v>
      </c>
      <c r="D8" s="446" t="s">
        <v>153</v>
      </c>
      <c r="E8" s="446" t="s">
        <v>3798</v>
      </c>
      <c r="F8" s="446" t="s">
        <v>153</v>
      </c>
      <c r="G8" s="74">
        <v>178</v>
      </c>
      <c r="H8" s="74">
        <v>0</v>
      </c>
      <c r="I8" s="74">
        <v>178</v>
      </c>
      <c r="J8" s="74">
        <v>0</v>
      </c>
      <c r="K8" s="74">
        <v>0</v>
      </c>
      <c r="L8" s="74">
        <v>0</v>
      </c>
      <c r="M8" s="74">
        <v>178</v>
      </c>
    </row>
    <row r="9" spans="1:13" x14ac:dyDescent="0.2">
      <c r="A9" s="446" t="s">
        <v>1425</v>
      </c>
      <c r="B9" s="446" t="s">
        <v>3949</v>
      </c>
      <c r="C9" s="446" t="s">
        <v>1426</v>
      </c>
      <c r="D9" s="446" t="s">
        <v>153</v>
      </c>
      <c r="E9" s="446" t="s">
        <v>3798</v>
      </c>
      <c r="F9" s="446" t="s">
        <v>153</v>
      </c>
      <c r="G9" s="74">
        <v>22</v>
      </c>
      <c r="H9" s="74">
        <v>23</v>
      </c>
      <c r="I9" s="74">
        <v>45</v>
      </c>
      <c r="J9" s="74">
        <v>0</v>
      </c>
      <c r="K9" s="74">
        <v>0</v>
      </c>
      <c r="L9" s="74">
        <v>0</v>
      </c>
      <c r="M9" s="74">
        <v>45</v>
      </c>
    </row>
    <row r="10" spans="1:13" x14ac:dyDescent="0.2">
      <c r="A10" s="446" t="s">
        <v>2750</v>
      </c>
      <c r="B10" s="446" t="s">
        <v>3943</v>
      </c>
      <c r="C10" s="446" t="s">
        <v>2751</v>
      </c>
      <c r="D10" s="446" t="s">
        <v>153</v>
      </c>
      <c r="E10" s="446" t="s">
        <v>3798</v>
      </c>
      <c r="F10" s="446" t="s">
        <v>153</v>
      </c>
      <c r="G10" s="74">
        <v>0</v>
      </c>
      <c r="H10" s="74">
        <v>345</v>
      </c>
      <c r="I10" s="74">
        <v>345</v>
      </c>
      <c r="J10" s="74">
        <v>0</v>
      </c>
      <c r="K10" s="74">
        <v>0</v>
      </c>
      <c r="L10" s="74">
        <v>0</v>
      </c>
      <c r="M10" s="74">
        <v>345</v>
      </c>
    </row>
    <row r="11" spans="1:13" x14ac:dyDescent="0.2">
      <c r="A11" s="446" t="s">
        <v>1511</v>
      </c>
      <c r="B11" s="446" t="s">
        <v>3951</v>
      </c>
      <c r="C11" s="446" t="s">
        <v>1512</v>
      </c>
      <c r="D11" s="446" t="s">
        <v>153</v>
      </c>
      <c r="E11" s="446" t="s">
        <v>3798</v>
      </c>
      <c r="F11" s="446" t="s">
        <v>153</v>
      </c>
      <c r="G11" s="74">
        <v>0</v>
      </c>
      <c r="H11" s="74">
        <v>65</v>
      </c>
      <c r="I11" s="74">
        <v>65</v>
      </c>
      <c r="J11" s="74">
        <v>0</v>
      </c>
      <c r="K11" s="74">
        <v>0</v>
      </c>
      <c r="L11" s="74">
        <v>0</v>
      </c>
      <c r="M11" s="74">
        <v>65</v>
      </c>
    </row>
    <row r="12" spans="1:13" x14ac:dyDescent="0.2">
      <c r="A12" s="446" t="s">
        <v>2805</v>
      </c>
      <c r="B12" s="446" t="s">
        <v>3942</v>
      </c>
      <c r="C12" s="446" t="s">
        <v>2806</v>
      </c>
      <c r="D12" s="446" t="s">
        <v>153</v>
      </c>
      <c r="E12" s="446" t="s">
        <v>3798</v>
      </c>
      <c r="F12" s="446" t="s">
        <v>153</v>
      </c>
      <c r="G12" s="74">
        <v>71</v>
      </c>
      <c r="H12" s="74">
        <v>0</v>
      </c>
      <c r="I12" s="74">
        <v>71</v>
      </c>
      <c r="J12" s="74">
        <v>0</v>
      </c>
      <c r="K12" s="74">
        <v>0</v>
      </c>
      <c r="L12" s="74">
        <v>0</v>
      </c>
      <c r="M12" s="74">
        <v>71</v>
      </c>
    </row>
    <row r="13" spans="1:13" x14ac:dyDescent="0.2">
      <c r="A13" s="446" t="s">
        <v>1818</v>
      </c>
      <c r="B13" s="446" t="s">
        <v>3944</v>
      </c>
      <c r="C13" s="446" t="s">
        <v>1819</v>
      </c>
      <c r="D13" s="446" t="s">
        <v>153</v>
      </c>
      <c r="E13" s="446" t="s">
        <v>3798</v>
      </c>
      <c r="F13" s="446" t="s">
        <v>153</v>
      </c>
      <c r="G13" s="74">
        <v>22</v>
      </c>
      <c r="H13" s="74">
        <v>0</v>
      </c>
      <c r="I13" s="74">
        <v>22</v>
      </c>
      <c r="J13" s="74">
        <v>0</v>
      </c>
      <c r="K13" s="74">
        <v>0</v>
      </c>
      <c r="L13" s="74">
        <v>0</v>
      </c>
      <c r="M13" s="74">
        <v>22</v>
      </c>
    </row>
    <row r="14" spans="1:13" x14ac:dyDescent="0.2">
      <c r="A14" s="446" t="s">
        <v>2645</v>
      </c>
      <c r="B14" s="446" t="s">
        <v>3944</v>
      </c>
      <c r="C14" s="446" t="s">
        <v>2646</v>
      </c>
      <c r="D14" s="446" t="s">
        <v>153</v>
      </c>
      <c r="E14" s="446" t="s">
        <v>3798</v>
      </c>
      <c r="F14" s="446" t="s">
        <v>153</v>
      </c>
      <c r="G14" s="74">
        <v>78</v>
      </c>
      <c r="H14" s="74">
        <v>0</v>
      </c>
      <c r="I14" s="74">
        <v>78</v>
      </c>
      <c r="J14" s="74">
        <v>0</v>
      </c>
      <c r="K14" s="74">
        <v>0</v>
      </c>
      <c r="L14" s="74">
        <v>0</v>
      </c>
      <c r="M14" s="74">
        <v>78</v>
      </c>
    </row>
    <row r="15" spans="1:13" x14ac:dyDescent="0.2">
      <c r="A15" s="446" t="s">
        <v>2711</v>
      </c>
      <c r="B15" s="446" t="s">
        <v>3946</v>
      </c>
      <c r="C15" s="446" t="s">
        <v>2712</v>
      </c>
      <c r="D15" s="446" t="s">
        <v>153</v>
      </c>
      <c r="E15" s="446" t="s">
        <v>3798</v>
      </c>
      <c r="F15" s="446" t="s">
        <v>153</v>
      </c>
      <c r="G15" s="74">
        <v>138</v>
      </c>
      <c r="H15" s="74">
        <v>0</v>
      </c>
      <c r="I15" s="74">
        <v>138</v>
      </c>
      <c r="J15" s="74">
        <v>0</v>
      </c>
      <c r="K15" s="74">
        <v>0</v>
      </c>
      <c r="L15" s="74">
        <v>0</v>
      </c>
      <c r="M15" s="74">
        <v>138</v>
      </c>
    </row>
    <row r="16" spans="1:13" x14ac:dyDescent="0.2">
      <c r="A16" s="446" t="s">
        <v>2574</v>
      </c>
      <c r="B16" s="446" t="s">
        <v>3946</v>
      </c>
      <c r="C16" s="446" t="s">
        <v>2575</v>
      </c>
      <c r="D16" s="446" t="s">
        <v>153</v>
      </c>
      <c r="E16" s="446" t="s">
        <v>3798</v>
      </c>
      <c r="F16" s="446" t="s">
        <v>153</v>
      </c>
      <c r="G16" s="74">
        <v>115</v>
      </c>
      <c r="H16" s="74">
        <v>0</v>
      </c>
      <c r="I16" s="74">
        <v>115</v>
      </c>
      <c r="J16" s="74">
        <v>0</v>
      </c>
      <c r="K16" s="74">
        <v>0</v>
      </c>
      <c r="L16" s="74">
        <v>0</v>
      </c>
      <c r="M16" s="74">
        <v>115</v>
      </c>
    </row>
    <row r="17" spans="1:13" x14ac:dyDescent="0.2">
      <c r="A17" s="446" t="s">
        <v>2696</v>
      </c>
      <c r="B17" s="446" t="s">
        <v>3943</v>
      </c>
      <c r="C17" s="446" t="s">
        <v>2697</v>
      </c>
      <c r="D17" s="446" t="s">
        <v>153</v>
      </c>
      <c r="E17" s="446" t="s">
        <v>3798</v>
      </c>
      <c r="F17" s="446" t="s">
        <v>153</v>
      </c>
      <c r="G17" s="74">
        <v>0</v>
      </c>
      <c r="H17" s="74">
        <v>57</v>
      </c>
      <c r="I17" s="74">
        <v>57</v>
      </c>
      <c r="J17" s="74">
        <v>0</v>
      </c>
      <c r="K17" s="74">
        <v>0</v>
      </c>
      <c r="L17" s="74">
        <v>0</v>
      </c>
      <c r="M17" s="74">
        <v>57</v>
      </c>
    </row>
    <row r="18" spans="1:13" x14ac:dyDescent="0.2">
      <c r="A18" s="446" t="s">
        <v>2512</v>
      </c>
      <c r="B18" s="446" t="s">
        <v>2904</v>
      </c>
      <c r="C18" s="446" t="s">
        <v>2513</v>
      </c>
      <c r="D18" s="446" t="s">
        <v>153</v>
      </c>
      <c r="E18" s="446" t="s">
        <v>3798</v>
      </c>
      <c r="F18" s="446" t="s">
        <v>153</v>
      </c>
      <c r="G18" s="74">
        <v>1873</v>
      </c>
      <c r="H18" s="74">
        <v>0</v>
      </c>
      <c r="I18" s="74">
        <v>1873</v>
      </c>
      <c r="J18" s="74">
        <v>4313</v>
      </c>
      <c r="K18" s="74">
        <v>0</v>
      </c>
      <c r="L18" s="74">
        <v>4313</v>
      </c>
      <c r="M18" s="74">
        <v>-2440</v>
      </c>
    </row>
    <row r="19" spans="1:13" x14ac:dyDescent="0.2">
      <c r="A19" s="446" t="s">
        <v>1785</v>
      </c>
      <c r="B19" s="446" t="s">
        <v>150</v>
      </c>
      <c r="C19" s="446" t="s">
        <v>1787</v>
      </c>
      <c r="D19" s="446" t="s">
        <v>153</v>
      </c>
      <c r="E19" s="446" t="s">
        <v>3798</v>
      </c>
      <c r="F19" s="446" t="s">
        <v>153</v>
      </c>
      <c r="G19" s="74">
        <v>87</v>
      </c>
      <c r="H19" s="74">
        <v>86</v>
      </c>
      <c r="I19" s="74">
        <v>173</v>
      </c>
      <c r="J19" s="74">
        <v>0</v>
      </c>
      <c r="K19" s="74">
        <v>0</v>
      </c>
      <c r="L19" s="74">
        <v>0</v>
      </c>
      <c r="M19" s="74">
        <v>173</v>
      </c>
    </row>
    <row r="20" spans="1:13" x14ac:dyDescent="0.2">
      <c r="A20" s="446" t="s">
        <v>2787</v>
      </c>
      <c r="B20" s="446" t="s">
        <v>3940</v>
      </c>
      <c r="C20" s="446" t="s">
        <v>2788</v>
      </c>
      <c r="D20" s="446" t="s">
        <v>153</v>
      </c>
      <c r="E20" s="446" t="s">
        <v>3798</v>
      </c>
      <c r="F20" s="446" t="s">
        <v>153</v>
      </c>
      <c r="G20" s="74">
        <v>160</v>
      </c>
      <c r="H20" s="74">
        <v>0</v>
      </c>
      <c r="I20" s="74">
        <v>160</v>
      </c>
      <c r="J20" s="74">
        <v>0</v>
      </c>
      <c r="K20" s="74">
        <v>0</v>
      </c>
      <c r="L20" s="74">
        <v>0</v>
      </c>
      <c r="M20" s="74">
        <v>160</v>
      </c>
    </row>
    <row r="21" spans="1:13" x14ac:dyDescent="0.2">
      <c r="A21" s="446" t="s">
        <v>1867</v>
      </c>
      <c r="B21" s="446" t="s">
        <v>3947</v>
      </c>
      <c r="C21" s="446" t="s">
        <v>1890</v>
      </c>
      <c r="D21" s="446" t="s">
        <v>153</v>
      </c>
      <c r="E21" s="446" t="s">
        <v>3798</v>
      </c>
      <c r="F21" s="446" t="s">
        <v>153</v>
      </c>
      <c r="G21" s="74">
        <v>0</v>
      </c>
      <c r="H21" s="74">
        <v>301</v>
      </c>
      <c r="I21" s="74">
        <v>301</v>
      </c>
      <c r="J21" s="74">
        <v>0</v>
      </c>
      <c r="K21" s="74">
        <v>0</v>
      </c>
      <c r="L21" s="74">
        <v>0</v>
      </c>
      <c r="M21" s="74">
        <v>301</v>
      </c>
    </row>
    <row r="22" spans="1:13" x14ac:dyDescent="0.2">
      <c r="A22" s="446" t="s">
        <v>1706</v>
      </c>
      <c r="B22" s="446" t="s">
        <v>3947</v>
      </c>
      <c r="C22" s="446" t="s">
        <v>1709</v>
      </c>
      <c r="D22" s="446" t="s">
        <v>153</v>
      </c>
      <c r="E22" s="446" t="s">
        <v>3798</v>
      </c>
      <c r="F22" s="446" t="s">
        <v>153</v>
      </c>
      <c r="G22" s="74">
        <v>0</v>
      </c>
      <c r="H22" s="74">
        <v>278</v>
      </c>
      <c r="I22" s="74">
        <v>278</v>
      </c>
      <c r="J22" s="74">
        <v>0</v>
      </c>
      <c r="K22" s="74">
        <v>0</v>
      </c>
      <c r="L22" s="74">
        <v>0</v>
      </c>
      <c r="M22" s="74">
        <v>278</v>
      </c>
    </row>
    <row r="23" spans="1:13" x14ac:dyDescent="0.2">
      <c r="A23" s="446" t="s">
        <v>1621</v>
      </c>
      <c r="B23" s="446" t="s">
        <v>3946</v>
      </c>
      <c r="C23" s="446" t="s">
        <v>1622</v>
      </c>
      <c r="D23" s="446" t="s">
        <v>153</v>
      </c>
      <c r="E23" s="446" t="s">
        <v>3798</v>
      </c>
      <c r="F23" s="446" t="s">
        <v>153</v>
      </c>
      <c r="G23" s="74">
        <v>0</v>
      </c>
      <c r="H23" s="74">
        <v>0</v>
      </c>
      <c r="I23" s="74">
        <v>0</v>
      </c>
      <c r="J23" s="74">
        <v>127</v>
      </c>
      <c r="K23" s="74">
        <v>0</v>
      </c>
      <c r="L23" s="74">
        <v>127</v>
      </c>
      <c r="M23" s="74">
        <v>-127</v>
      </c>
    </row>
    <row r="24" spans="1:13" x14ac:dyDescent="0.2">
      <c r="A24" s="446" t="s">
        <v>2571</v>
      </c>
      <c r="B24" s="446" t="s">
        <v>3943</v>
      </c>
      <c r="C24" s="446" t="s">
        <v>2572</v>
      </c>
      <c r="D24" s="446" t="s">
        <v>153</v>
      </c>
      <c r="E24" s="446" t="s">
        <v>3798</v>
      </c>
      <c r="F24" s="446" t="s">
        <v>153</v>
      </c>
      <c r="G24" s="74">
        <v>0</v>
      </c>
      <c r="H24" s="74">
        <v>104</v>
      </c>
      <c r="I24" s="74">
        <v>104</v>
      </c>
      <c r="J24" s="74">
        <v>0</v>
      </c>
      <c r="K24" s="74">
        <v>0</v>
      </c>
      <c r="L24" s="74">
        <v>0</v>
      </c>
      <c r="M24" s="74">
        <v>104</v>
      </c>
    </row>
    <row r="25" spans="1:13" x14ac:dyDescent="0.2">
      <c r="A25" s="446" t="s">
        <v>2648</v>
      </c>
      <c r="B25" s="446" t="s">
        <v>3951</v>
      </c>
      <c r="C25" s="446" t="s">
        <v>2649</v>
      </c>
      <c r="D25" s="446" t="s">
        <v>153</v>
      </c>
      <c r="E25" s="446" t="s">
        <v>3798</v>
      </c>
      <c r="F25" s="446" t="s">
        <v>153</v>
      </c>
      <c r="G25" s="74">
        <v>0</v>
      </c>
      <c r="H25" s="74">
        <v>555</v>
      </c>
      <c r="I25" s="74">
        <v>555</v>
      </c>
      <c r="J25" s="74">
        <v>530</v>
      </c>
      <c r="K25" s="74">
        <v>0</v>
      </c>
      <c r="L25" s="74">
        <v>530</v>
      </c>
      <c r="M25" s="74">
        <v>25</v>
      </c>
    </row>
    <row r="26" spans="1:13" x14ac:dyDescent="0.2">
      <c r="A26" s="446" t="s">
        <v>1752</v>
      </c>
      <c r="B26" s="446" t="s">
        <v>3944</v>
      </c>
      <c r="C26" s="446" t="s">
        <v>1753</v>
      </c>
      <c r="D26" s="446" t="s">
        <v>153</v>
      </c>
      <c r="E26" s="446" t="s">
        <v>3798</v>
      </c>
      <c r="F26" s="446" t="s">
        <v>153</v>
      </c>
      <c r="G26" s="74">
        <v>785</v>
      </c>
      <c r="H26" s="74">
        <v>0</v>
      </c>
      <c r="I26" s="74">
        <v>785</v>
      </c>
      <c r="J26" s="74">
        <v>1273</v>
      </c>
      <c r="K26" s="74">
        <v>0</v>
      </c>
      <c r="L26" s="74">
        <v>1273</v>
      </c>
      <c r="M26" s="74">
        <v>-488</v>
      </c>
    </row>
    <row r="27" spans="1:13" x14ac:dyDescent="0.2">
      <c r="A27" s="446" t="s">
        <v>2717</v>
      </c>
      <c r="B27" s="446" t="s">
        <v>3939</v>
      </c>
      <c r="C27" s="446" t="s">
        <v>2718</v>
      </c>
      <c r="D27" s="446" t="s">
        <v>153</v>
      </c>
      <c r="E27" s="446" t="s">
        <v>3798</v>
      </c>
      <c r="F27" s="446" t="s">
        <v>153</v>
      </c>
      <c r="G27" s="74">
        <v>0</v>
      </c>
      <c r="H27" s="74">
        <v>0</v>
      </c>
      <c r="I27" s="74">
        <v>0</v>
      </c>
      <c r="J27" s="74">
        <v>39</v>
      </c>
      <c r="K27" s="74">
        <v>0</v>
      </c>
      <c r="L27" s="74">
        <v>39</v>
      </c>
      <c r="M27" s="74">
        <v>-39</v>
      </c>
    </row>
    <row r="28" spans="1:13" x14ac:dyDescent="0.2">
      <c r="A28" s="446" t="s">
        <v>1430</v>
      </c>
      <c r="B28" s="446" t="s">
        <v>2904</v>
      </c>
      <c r="C28" s="446" t="s">
        <v>1431</v>
      </c>
      <c r="D28" s="446" t="s">
        <v>153</v>
      </c>
      <c r="E28" s="446" t="s">
        <v>3798</v>
      </c>
      <c r="F28" s="446" t="s">
        <v>153</v>
      </c>
      <c r="G28" s="74">
        <v>147</v>
      </c>
      <c r="H28" s="74">
        <v>0</v>
      </c>
      <c r="I28" s="74">
        <v>147</v>
      </c>
      <c r="J28" s="74">
        <v>0</v>
      </c>
      <c r="K28" s="74">
        <v>0</v>
      </c>
      <c r="L28" s="74">
        <v>0</v>
      </c>
      <c r="M28" s="74">
        <v>147</v>
      </c>
    </row>
    <row r="29" spans="1:13" x14ac:dyDescent="0.2">
      <c r="A29" s="446" t="s">
        <v>95</v>
      </c>
      <c r="G29" s="74">
        <v>3676</v>
      </c>
      <c r="H29" s="74">
        <v>1814</v>
      </c>
      <c r="I29" s="74">
        <v>5490</v>
      </c>
      <c r="J29" s="74">
        <v>6374</v>
      </c>
      <c r="K29" s="74">
        <v>0</v>
      </c>
      <c r="L29" s="74">
        <v>6374</v>
      </c>
      <c r="M29" s="74">
        <v>-884</v>
      </c>
    </row>
  </sheetData>
  <conditionalFormatting sqref="D1:D1048576">
    <cfRule type="cellIs" dxfId="2" priority="1" operator="equal">
      <formula>"(blank)"</formula>
    </cfRule>
  </conditionalFormatting>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M15"/>
  <sheetViews>
    <sheetView workbookViewId="0"/>
  </sheetViews>
  <sheetFormatPr defaultRowHeight="11.25" x14ac:dyDescent="0.2"/>
  <cols>
    <col min="1" max="1" width="24.7109375" style="305" customWidth="1"/>
    <col min="2" max="2" width="10.85546875" style="306" customWidth="1"/>
    <col min="3" max="3" width="9.42578125" style="307" customWidth="1"/>
    <col min="4" max="4" width="8.85546875" style="306" customWidth="1"/>
    <col min="5" max="5" width="11" style="305" customWidth="1"/>
    <col min="6" max="6" width="8.85546875" style="335" customWidth="1"/>
    <col min="7" max="8" width="6.28515625" style="309" customWidth="1"/>
    <col min="9" max="9" width="6.28515625" style="317" customWidth="1"/>
    <col min="10" max="11" width="6.28515625" style="309" customWidth="1"/>
    <col min="12" max="12" width="6.28515625" style="317" customWidth="1"/>
    <col min="13" max="13" width="6.28515625" style="309" customWidth="1"/>
    <col min="14" max="16384" width="9.140625" style="301"/>
  </cols>
  <sheetData>
    <row r="1" spans="1:13" ht="15.75" x14ac:dyDescent="0.2">
      <c r="A1" s="336" t="s">
        <v>3988</v>
      </c>
      <c r="B1" s="353"/>
      <c r="C1" s="354"/>
      <c r="D1" s="353"/>
      <c r="E1" s="355"/>
      <c r="F1" s="356"/>
      <c r="G1" s="357"/>
      <c r="H1" s="357"/>
      <c r="I1" s="357"/>
      <c r="J1" s="357"/>
      <c r="K1" s="340"/>
      <c r="L1" s="340"/>
      <c r="M1" s="340"/>
    </row>
    <row r="2" spans="1:13" ht="12.75" x14ac:dyDescent="0.2">
      <c r="A2" s="341" t="s">
        <v>3999</v>
      </c>
      <c r="B2" s="337"/>
      <c r="C2" s="338"/>
      <c r="D2" s="337"/>
      <c r="E2" s="339"/>
      <c r="F2" s="348"/>
      <c r="G2" s="340"/>
      <c r="H2" s="340"/>
      <c r="I2" s="340"/>
      <c r="J2" s="340"/>
      <c r="K2" s="340"/>
      <c r="L2" s="340"/>
      <c r="M2" s="340"/>
    </row>
    <row r="3" spans="1:13" ht="12.75" x14ac:dyDescent="0.2">
      <c r="A3" s="341"/>
      <c r="B3" s="337"/>
      <c r="C3" s="338"/>
      <c r="D3" s="337"/>
      <c r="E3" s="339"/>
      <c r="F3" s="348"/>
      <c r="G3" s="340"/>
      <c r="H3" s="340"/>
      <c r="I3" s="340"/>
      <c r="J3" s="340"/>
      <c r="K3" s="340"/>
      <c r="L3" s="340"/>
      <c r="M3" s="340"/>
    </row>
    <row r="4" spans="1:13" s="310" customFormat="1" ht="12.75" customHeight="1" x14ac:dyDescent="0.2">
      <c r="A4" s="850" t="s">
        <v>185</v>
      </c>
      <c r="B4" s="851" t="s">
        <v>3938</v>
      </c>
      <c r="C4" s="852" t="s">
        <v>2848</v>
      </c>
      <c r="D4" s="851" t="s">
        <v>3973</v>
      </c>
      <c r="E4" s="850" t="s">
        <v>3970</v>
      </c>
      <c r="F4" s="853" t="s">
        <v>13</v>
      </c>
      <c r="G4" s="846" t="s">
        <v>168</v>
      </c>
      <c r="H4" s="847"/>
      <c r="I4" s="847"/>
      <c r="J4" s="847"/>
      <c r="K4" s="847"/>
      <c r="L4" s="847"/>
      <c r="M4" s="847"/>
    </row>
    <row r="5" spans="1:13" s="339" customFormat="1" ht="12" customHeight="1" x14ac:dyDescent="0.2">
      <c r="A5" s="850"/>
      <c r="B5" s="851"/>
      <c r="C5" s="852"/>
      <c r="D5" s="851"/>
      <c r="E5" s="850"/>
      <c r="F5" s="853"/>
      <c r="G5" s="846" t="s">
        <v>90</v>
      </c>
      <c r="H5" s="847"/>
      <c r="I5" s="847"/>
      <c r="J5" s="846" t="s">
        <v>91</v>
      </c>
      <c r="K5" s="847"/>
      <c r="L5" s="848"/>
      <c r="M5" s="849" t="s">
        <v>93</v>
      </c>
    </row>
    <row r="6" spans="1:13" s="344" customFormat="1" ht="12.75" customHeight="1" x14ac:dyDescent="0.2">
      <c r="A6" s="850"/>
      <c r="B6" s="851"/>
      <c r="C6" s="852"/>
      <c r="D6" s="851"/>
      <c r="E6" s="850"/>
      <c r="F6" s="853"/>
      <c r="G6" s="351" t="s">
        <v>166</v>
      </c>
      <c r="H6" s="351" t="s">
        <v>167</v>
      </c>
      <c r="I6" s="538" t="s">
        <v>95</v>
      </c>
      <c r="J6" s="351" t="s">
        <v>166</v>
      </c>
      <c r="K6" s="351" t="s">
        <v>167</v>
      </c>
      <c r="L6" s="538" t="s">
        <v>95</v>
      </c>
      <c r="M6" s="849"/>
    </row>
    <row r="7" spans="1:13" ht="22.5" x14ac:dyDescent="0.2">
      <c r="A7" s="344" t="s">
        <v>1904</v>
      </c>
      <c r="B7" s="342" t="s">
        <v>3947</v>
      </c>
      <c r="C7" s="343" t="s">
        <v>1268</v>
      </c>
      <c r="D7" s="342" t="s">
        <v>153</v>
      </c>
      <c r="E7" s="344" t="s">
        <v>3798</v>
      </c>
      <c r="F7" s="345">
        <v>42852</v>
      </c>
      <c r="G7" s="346">
        <v>0</v>
      </c>
      <c r="H7" s="346">
        <v>6730</v>
      </c>
      <c r="I7" s="347">
        <v>6730</v>
      </c>
      <c r="J7" s="346">
        <v>0</v>
      </c>
      <c r="K7" s="346">
        <v>0</v>
      </c>
      <c r="L7" s="347">
        <v>0</v>
      </c>
      <c r="M7" s="346">
        <v>6730</v>
      </c>
    </row>
    <row r="8" spans="1:13" ht="22.5" x14ac:dyDescent="0.2">
      <c r="A8" s="305" t="s">
        <v>2808</v>
      </c>
      <c r="B8" s="306" t="s">
        <v>3943</v>
      </c>
      <c r="C8" s="307" t="s">
        <v>2809</v>
      </c>
      <c r="D8" s="306" t="s">
        <v>2814</v>
      </c>
      <c r="E8" s="305" t="s">
        <v>3798</v>
      </c>
      <c r="F8" s="335">
        <v>42681</v>
      </c>
      <c r="G8" s="309">
        <v>0</v>
      </c>
      <c r="H8" s="309">
        <v>28</v>
      </c>
      <c r="I8" s="317">
        <v>28</v>
      </c>
      <c r="J8" s="309">
        <v>0</v>
      </c>
      <c r="K8" s="309">
        <v>0</v>
      </c>
      <c r="L8" s="317">
        <v>0</v>
      </c>
      <c r="M8" s="309">
        <v>28</v>
      </c>
    </row>
    <row r="9" spans="1:13" x14ac:dyDescent="0.2">
      <c r="C9" s="307" t="s">
        <v>2816</v>
      </c>
      <c r="D9" s="306" t="s">
        <v>2818</v>
      </c>
      <c r="E9" s="305" t="s">
        <v>3798</v>
      </c>
      <c r="F9" s="335">
        <v>42997</v>
      </c>
      <c r="G9" s="309">
        <v>0</v>
      </c>
      <c r="H9" s="309">
        <v>25</v>
      </c>
      <c r="I9" s="317">
        <v>25</v>
      </c>
      <c r="J9" s="309">
        <v>0</v>
      </c>
      <c r="K9" s="309">
        <v>0</v>
      </c>
      <c r="L9" s="317">
        <v>0</v>
      </c>
      <c r="M9" s="309">
        <v>25</v>
      </c>
    </row>
    <row r="10" spans="1:13" ht="22.5" x14ac:dyDescent="0.2">
      <c r="A10" s="305" t="s">
        <v>1733</v>
      </c>
      <c r="B10" s="306" t="s">
        <v>3941</v>
      </c>
      <c r="C10" s="307" t="s">
        <v>1734</v>
      </c>
      <c r="D10" s="306" t="s">
        <v>153</v>
      </c>
      <c r="E10" s="305" t="s">
        <v>3798</v>
      </c>
      <c r="F10" s="335">
        <v>42969</v>
      </c>
      <c r="G10" s="309">
        <v>116</v>
      </c>
      <c r="H10" s="309">
        <v>0</v>
      </c>
      <c r="I10" s="317">
        <v>116</v>
      </c>
      <c r="J10" s="309">
        <v>0</v>
      </c>
      <c r="K10" s="309">
        <v>0</v>
      </c>
      <c r="L10" s="317">
        <v>0</v>
      </c>
      <c r="M10" s="309">
        <v>116</v>
      </c>
    </row>
    <row r="11" spans="1:13" ht="33.75" x14ac:dyDescent="0.2">
      <c r="A11" s="305" t="s">
        <v>1566</v>
      </c>
      <c r="B11" s="306" t="s">
        <v>3940</v>
      </c>
      <c r="C11" s="307" t="s">
        <v>1567</v>
      </c>
      <c r="D11" s="306" t="s">
        <v>153</v>
      </c>
      <c r="E11" s="305" t="s">
        <v>3798</v>
      </c>
      <c r="F11" s="335">
        <v>42843</v>
      </c>
      <c r="G11" s="309">
        <v>2143</v>
      </c>
      <c r="H11" s="309">
        <v>0</v>
      </c>
      <c r="I11" s="317">
        <v>2143</v>
      </c>
      <c r="J11" s="309">
        <v>630</v>
      </c>
      <c r="K11" s="309">
        <v>0</v>
      </c>
      <c r="L11" s="317">
        <v>630</v>
      </c>
      <c r="M11" s="309">
        <v>1513</v>
      </c>
    </row>
    <row r="12" spans="1:13" ht="22.5" x14ac:dyDescent="0.2">
      <c r="A12" s="305" t="s">
        <v>1599</v>
      </c>
      <c r="B12" s="306" t="s">
        <v>3949</v>
      </c>
      <c r="C12" s="307" t="s">
        <v>1600</v>
      </c>
      <c r="D12" s="306" t="s">
        <v>153</v>
      </c>
      <c r="E12" s="305" t="s">
        <v>3798</v>
      </c>
      <c r="F12" s="335">
        <v>43066</v>
      </c>
      <c r="G12" s="309">
        <v>1350</v>
      </c>
      <c r="H12" s="309">
        <v>0</v>
      </c>
      <c r="I12" s="317">
        <v>1350</v>
      </c>
      <c r="J12" s="309">
        <v>0</v>
      </c>
      <c r="K12" s="309">
        <v>0</v>
      </c>
      <c r="L12" s="317">
        <v>0</v>
      </c>
      <c r="M12" s="309">
        <v>1350</v>
      </c>
    </row>
    <row r="13" spans="1:13" ht="33.75" x14ac:dyDescent="0.2">
      <c r="A13" s="305" t="s">
        <v>1634</v>
      </c>
      <c r="B13" s="306" t="s">
        <v>3940</v>
      </c>
      <c r="C13" s="307" t="s">
        <v>1635</v>
      </c>
      <c r="D13" s="306" t="s">
        <v>153</v>
      </c>
      <c r="E13" s="305" t="s">
        <v>3798</v>
      </c>
      <c r="F13" s="335" t="s">
        <v>153</v>
      </c>
      <c r="G13" s="309">
        <v>0</v>
      </c>
      <c r="H13" s="309">
        <v>0</v>
      </c>
      <c r="I13" s="317">
        <v>0</v>
      </c>
      <c r="J13" s="309">
        <v>504</v>
      </c>
      <c r="K13" s="309">
        <v>0</v>
      </c>
      <c r="L13" s="317">
        <v>504</v>
      </c>
      <c r="M13" s="309">
        <v>-504</v>
      </c>
    </row>
    <row r="14" spans="1:13" ht="22.5" x14ac:dyDescent="0.2">
      <c r="A14" s="305" t="s">
        <v>1546</v>
      </c>
      <c r="B14" s="306" t="s">
        <v>3953</v>
      </c>
      <c r="C14" s="307" t="s">
        <v>1548</v>
      </c>
      <c r="D14" s="306" t="s">
        <v>153</v>
      </c>
      <c r="E14" s="305" t="s">
        <v>3798</v>
      </c>
      <c r="F14" s="335" t="s">
        <v>153</v>
      </c>
      <c r="G14" s="309">
        <v>1246</v>
      </c>
      <c r="H14" s="309">
        <v>0</v>
      </c>
      <c r="I14" s="317">
        <v>1246</v>
      </c>
      <c r="J14" s="309">
        <v>0</v>
      </c>
      <c r="K14" s="309">
        <v>0</v>
      </c>
      <c r="L14" s="317">
        <v>0</v>
      </c>
      <c r="M14" s="309">
        <v>1246</v>
      </c>
    </row>
    <row r="15" spans="1:13" x14ac:dyDescent="0.2">
      <c r="A15" s="328" t="s">
        <v>95</v>
      </c>
      <c r="B15" s="329"/>
      <c r="C15" s="330"/>
      <c r="D15" s="329"/>
      <c r="E15" s="328"/>
      <c r="F15" s="349"/>
      <c r="G15" s="333">
        <v>4855</v>
      </c>
      <c r="H15" s="333">
        <v>6783</v>
      </c>
      <c r="I15" s="334">
        <v>11638</v>
      </c>
      <c r="J15" s="333">
        <v>1134</v>
      </c>
      <c r="K15" s="333">
        <v>0</v>
      </c>
      <c r="L15" s="334">
        <v>1134</v>
      </c>
      <c r="M15" s="333">
        <v>10504</v>
      </c>
    </row>
  </sheetData>
  <mergeCells count="10">
    <mergeCell ref="G4:M4"/>
    <mergeCell ref="G5:I5"/>
    <mergeCell ref="J5:L5"/>
    <mergeCell ref="M5:M6"/>
    <mergeCell ref="A4:A6"/>
    <mergeCell ref="B4:B6"/>
    <mergeCell ref="C4:C6"/>
    <mergeCell ref="D4:D6"/>
    <mergeCell ref="E4:E6"/>
    <mergeCell ref="F4:F6"/>
  </mergeCells>
  <conditionalFormatting sqref="D1:D1048576 F1:F1048576">
    <cfRule type="cellIs" dxfId="0"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M14"/>
  <sheetViews>
    <sheetView workbookViewId="0"/>
  </sheetViews>
  <sheetFormatPr defaultRowHeight="12" x14ac:dyDescent="0.2"/>
  <cols>
    <col min="1" max="1" width="107.42578125" bestFit="1" customWidth="1"/>
    <col min="2" max="4" width="14.42578125" bestFit="1" customWidth="1"/>
    <col min="5" max="5" width="13.42578125" bestFit="1" customWidth="1"/>
    <col min="6" max="6" width="14.42578125" bestFit="1" customWidth="1"/>
    <col min="7" max="8" width="13.42578125" customWidth="1"/>
    <col min="9" max="9" width="16.85546875" customWidth="1"/>
    <col min="10" max="11" width="13.85546875" customWidth="1"/>
    <col min="12" max="12" width="17.42578125" customWidth="1"/>
    <col min="13" max="18" width="16" customWidth="1"/>
    <col min="19" max="19" width="16" bestFit="1" customWidth="1"/>
  </cols>
  <sheetData>
    <row r="1" spans="1:13" x14ac:dyDescent="0.2">
      <c r="A1" s="77" t="s">
        <v>2939</v>
      </c>
      <c r="B1" s="446" t="s">
        <v>429</v>
      </c>
    </row>
    <row r="2" spans="1:13" x14ac:dyDescent="0.2">
      <c r="A2" s="77" t="s">
        <v>2940</v>
      </c>
      <c r="B2" s="446" t="s">
        <v>429</v>
      </c>
    </row>
    <row r="3" spans="1:13" x14ac:dyDescent="0.2">
      <c r="A3" s="77" t="s">
        <v>3969</v>
      </c>
      <c r="B3" s="446" t="s">
        <v>126</v>
      </c>
    </row>
    <row r="5" spans="1:13" x14ac:dyDescent="0.2">
      <c r="A5" s="77" t="s">
        <v>185</v>
      </c>
      <c r="B5" s="77" t="s">
        <v>3938</v>
      </c>
      <c r="C5" s="77" t="s">
        <v>2848</v>
      </c>
      <c r="D5" s="77" t="s">
        <v>2844</v>
      </c>
      <c r="E5" s="77" t="s">
        <v>3966</v>
      </c>
      <c r="F5" s="77" t="s">
        <v>13</v>
      </c>
      <c r="G5" s="446" t="s">
        <v>3989</v>
      </c>
      <c r="H5" s="446" t="s">
        <v>3841</v>
      </c>
      <c r="I5" s="446" t="s">
        <v>3990</v>
      </c>
      <c r="J5" s="446" t="s">
        <v>3991</v>
      </c>
      <c r="K5" s="446" t="s">
        <v>3992</v>
      </c>
      <c r="L5" s="446" t="s">
        <v>3993</v>
      </c>
      <c r="M5" s="446" t="s">
        <v>3994</v>
      </c>
    </row>
    <row r="6" spans="1:13" x14ac:dyDescent="0.2">
      <c r="A6" s="446" t="s">
        <v>1904</v>
      </c>
      <c r="B6" s="446" t="s">
        <v>3947</v>
      </c>
      <c r="C6" s="446" t="s">
        <v>1268</v>
      </c>
      <c r="D6" s="446" t="s">
        <v>153</v>
      </c>
      <c r="E6" s="446" t="s">
        <v>3798</v>
      </c>
      <c r="F6" s="298">
        <v>42852</v>
      </c>
      <c r="G6" s="297">
        <v>0</v>
      </c>
      <c r="H6" s="297">
        <v>6730</v>
      </c>
      <c r="I6" s="297">
        <v>6730</v>
      </c>
      <c r="J6" s="297">
        <v>0</v>
      </c>
      <c r="K6" s="297">
        <v>0</v>
      </c>
      <c r="L6" s="297">
        <v>0</v>
      </c>
      <c r="M6" s="297">
        <v>6730</v>
      </c>
    </row>
    <row r="7" spans="1:13" x14ac:dyDescent="0.2">
      <c r="A7" s="446" t="s">
        <v>2808</v>
      </c>
      <c r="B7" s="446" t="s">
        <v>3943</v>
      </c>
      <c r="C7" s="446" t="s">
        <v>2809</v>
      </c>
      <c r="D7" s="446" t="s">
        <v>2814</v>
      </c>
      <c r="E7" s="446" t="s">
        <v>3798</v>
      </c>
      <c r="F7" s="298">
        <v>42681</v>
      </c>
      <c r="G7" s="297">
        <v>0</v>
      </c>
      <c r="H7" s="297">
        <v>28</v>
      </c>
      <c r="I7" s="297">
        <v>28</v>
      </c>
      <c r="J7" s="297">
        <v>0</v>
      </c>
      <c r="K7" s="297">
        <v>0</v>
      </c>
      <c r="L7" s="297">
        <v>0</v>
      </c>
      <c r="M7" s="297">
        <v>28</v>
      </c>
    </row>
    <row r="8" spans="1:13" x14ac:dyDescent="0.2">
      <c r="C8" s="446" t="s">
        <v>2816</v>
      </c>
      <c r="D8" s="446" t="s">
        <v>2818</v>
      </c>
      <c r="E8" s="446" t="s">
        <v>3798</v>
      </c>
      <c r="F8" s="298">
        <v>42997</v>
      </c>
      <c r="G8" s="297">
        <v>0</v>
      </c>
      <c r="H8" s="297">
        <v>25</v>
      </c>
      <c r="I8" s="297">
        <v>25</v>
      </c>
      <c r="J8" s="297">
        <v>0</v>
      </c>
      <c r="K8" s="297">
        <v>0</v>
      </c>
      <c r="L8" s="297">
        <v>0</v>
      </c>
      <c r="M8" s="297">
        <v>25</v>
      </c>
    </row>
    <row r="9" spans="1:13" x14ac:dyDescent="0.2">
      <c r="A9" s="446" t="s">
        <v>1733</v>
      </c>
      <c r="B9" s="446" t="s">
        <v>3941</v>
      </c>
      <c r="C9" s="446" t="s">
        <v>1734</v>
      </c>
      <c r="D9" s="446" t="s">
        <v>153</v>
      </c>
      <c r="E9" s="446" t="s">
        <v>3798</v>
      </c>
      <c r="F9" s="298">
        <v>42969</v>
      </c>
      <c r="G9" s="297">
        <v>116</v>
      </c>
      <c r="H9" s="297">
        <v>0</v>
      </c>
      <c r="I9" s="297">
        <v>116</v>
      </c>
      <c r="J9" s="297">
        <v>0</v>
      </c>
      <c r="K9" s="297">
        <v>0</v>
      </c>
      <c r="L9" s="297">
        <v>0</v>
      </c>
      <c r="M9" s="297">
        <v>116</v>
      </c>
    </row>
    <row r="10" spans="1:13" x14ac:dyDescent="0.2">
      <c r="A10" s="446" t="s">
        <v>1566</v>
      </c>
      <c r="B10" s="446" t="s">
        <v>3940</v>
      </c>
      <c r="C10" s="446" t="s">
        <v>1567</v>
      </c>
      <c r="D10" s="446" t="s">
        <v>153</v>
      </c>
      <c r="E10" s="446" t="s">
        <v>3798</v>
      </c>
      <c r="F10" s="298">
        <v>42843</v>
      </c>
      <c r="G10" s="297">
        <v>2143</v>
      </c>
      <c r="H10" s="297">
        <v>0</v>
      </c>
      <c r="I10" s="297">
        <v>2143</v>
      </c>
      <c r="J10" s="297">
        <v>630</v>
      </c>
      <c r="K10" s="297">
        <v>0</v>
      </c>
      <c r="L10" s="297">
        <v>630</v>
      </c>
      <c r="M10" s="297">
        <v>1513</v>
      </c>
    </row>
    <row r="11" spans="1:13" x14ac:dyDescent="0.2">
      <c r="A11" s="446" t="s">
        <v>1599</v>
      </c>
      <c r="B11" s="446" t="s">
        <v>3949</v>
      </c>
      <c r="C11" s="446" t="s">
        <v>1600</v>
      </c>
      <c r="D11" s="446" t="s">
        <v>153</v>
      </c>
      <c r="E11" s="446" t="s">
        <v>3798</v>
      </c>
      <c r="F11" s="298">
        <v>43066</v>
      </c>
      <c r="G11" s="297">
        <v>1350</v>
      </c>
      <c r="H11" s="297">
        <v>0</v>
      </c>
      <c r="I11" s="297">
        <v>1350</v>
      </c>
      <c r="J11" s="297">
        <v>0</v>
      </c>
      <c r="K11" s="297">
        <v>0</v>
      </c>
      <c r="L11" s="297">
        <v>0</v>
      </c>
      <c r="M11" s="297">
        <v>1350</v>
      </c>
    </row>
    <row r="12" spans="1:13" x14ac:dyDescent="0.2">
      <c r="A12" s="446" t="s">
        <v>1634</v>
      </c>
      <c r="B12" s="446" t="s">
        <v>3940</v>
      </c>
      <c r="C12" s="446" t="s">
        <v>1635</v>
      </c>
      <c r="D12" s="446" t="s">
        <v>153</v>
      </c>
      <c r="E12" s="446" t="s">
        <v>3798</v>
      </c>
      <c r="F12" s="446" t="s">
        <v>153</v>
      </c>
      <c r="G12" s="297">
        <v>0</v>
      </c>
      <c r="H12" s="297">
        <v>0</v>
      </c>
      <c r="I12" s="297">
        <v>0</v>
      </c>
      <c r="J12" s="297">
        <v>504</v>
      </c>
      <c r="K12" s="297">
        <v>0</v>
      </c>
      <c r="L12" s="297">
        <v>504</v>
      </c>
      <c r="M12" s="297">
        <v>-504</v>
      </c>
    </row>
    <row r="13" spans="1:13" x14ac:dyDescent="0.2">
      <c r="A13" s="446" t="s">
        <v>1546</v>
      </c>
      <c r="B13" s="446" t="s">
        <v>3953</v>
      </c>
      <c r="C13" s="446" t="s">
        <v>1548</v>
      </c>
      <c r="D13" s="446" t="s">
        <v>153</v>
      </c>
      <c r="E13" s="446" t="s">
        <v>3798</v>
      </c>
      <c r="F13" s="446" t="s">
        <v>153</v>
      </c>
      <c r="G13" s="297">
        <v>1246</v>
      </c>
      <c r="H13" s="297">
        <v>0</v>
      </c>
      <c r="I13" s="297">
        <v>1246</v>
      </c>
      <c r="J13" s="297">
        <v>0</v>
      </c>
      <c r="K13" s="297">
        <v>0</v>
      </c>
      <c r="L13" s="297">
        <v>0</v>
      </c>
      <c r="M13" s="297">
        <v>1246</v>
      </c>
    </row>
    <row r="14" spans="1:13" x14ac:dyDescent="0.2">
      <c r="A14" s="446" t="s">
        <v>95</v>
      </c>
      <c r="G14" s="297">
        <v>4855</v>
      </c>
      <c r="H14" s="297">
        <v>6783</v>
      </c>
      <c r="I14" s="297">
        <v>11638</v>
      </c>
      <c r="J14" s="297">
        <v>1134</v>
      </c>
      <c r="K14" s="297">
        <v>0</v>
      </c>
      <c r="L14" s="297">
        <v>1134</v>
      </c>
      <c r="M14" s="297">
        <v>10504</v>
      </c>
    </row>
  </sheetData>
  <pageMargins left="0.39370078740157483" right="0.39370078740157483" top="0.39370078740157483" bottom="0.39370078740157483" header="0.19685039370078741" footer="0.19685039370078741"/>
  <pageSetup paperSize="9" orientation="landscape" verticalDpi="0" r:id="rId2"/>
  <headerFooter>
    <oddFooter>&amp;C&amp;8&amp;P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0"/>
  <sheetViews>
    <sheetView workbookViewId="0"/>
  </sheetViews>
  <sheetFormatPr defaultRowHeight="12" x14ac:dyDescent="0.2"/>
  <cols>
    <col min="1" max="1" width="39.42578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429</v>
      </c>
    </row>
    <row r="3" spans="1:12" x14ac:dyDescent="0.2">
      <c r="A3" s="77" t="s">
        <v>2894</v>
      </c>
      <c r="B3" s="446" t="s">
        <v>429</v>
      </c>
    </row>
    <row r="4" spans="1:12" x14ac:dyDescent="0.2">
      <c r="A4" s="77" t="s">
        <v>2896</v>
      </c>
      <c r="B4" s="446" t="s">
        <v>126</v>
      </c>
    </row>
    <row r="5" spans="1:12" x14ac:dyDescent="0.2">
      <c r="A5" s="77" t="s">
        <v>2898</v>
      </c>
      <c r="B5" s="446" t="s">
        <v>429</v>
      </c>
    </row>
    <row r="6" spans="1:12" x14ac:dyDescent="0.2">
      <c r="A6" s="77" t="s">
        <v>2900</v>
      </c>
      <c r="B6" s="446" t="s">
        <v>429</v>
      </c>
    </row>
    <row r="7" spans="1:12" x14ac:dyDescent="0.2">
      <c r="A7" s="77" t="s">
        <v>111</v>
      </c>
      <c r="B7" s="446" t="s">
        <v>429</v>
      </c>
    </row>
    <row r="9" spans="1:12" x14ac:dyDescent="0.2">
      <c r="A9" s="446" t="s">
        <v>116</v>
      </c>
      <c r="B9" s="446" t="s">
        <v>117</v>
      </c>
      <c r="C9" s="446" t="s">
        <v>118</v>
      </c>
      <c r="D9" s="446" t="s">
        <v>119</v>
      </c>
      <c r="E9" s="446" t="s">
        <v>120</v>
      </c>
      <c r="F9" s="446" t="s">
        <v>121</v>
      </c>
      <c r="G9" s="446" t="s">
        <v>122</v>
      </c>
      <c r="H9" s="446" t="s">
        <v>123</v>
      </c>
      <c r="I9" s="446" t="s">
        <v>124</v>
      </c>
      <c r="J9" s="446" t="s">
        <v>125</v>
      </c>
      <c r="K9" s="446" t="s">
        <v>2923</v>
      </c>
      <c r="L9" s="446" t="s">
        <v>2925</v>
      </c>
    </row>
    <row r="10" spans="1:12" x14ac:dyDescent="0.2">
      <c r="A10" s="74">
        <v>6</v>
      </c>
      <c r="B10" s="74">
        <v>244</v>
      </c>
      <c r="C10" s="74">
        <v>0</v>
      </c>
      <c r="D10" s="74">
        <v>0</v>
      </c>
      <c r="E10" s="74">
        <v>2</v>
      </c>
      <c r="F10" s="74">
        <v>269</v>
      </c>
      <c r="G10" s="74">
        <v>1</v>
      </c>
      <c r="H10" s="74">
        <v>43</v>
      </c>
      <c r="I10" s="74">
        <v>4</v>
      </c>
      <c r="J10" s="74">
        <v>769</v>
      </c>
      <c r="K10" s="74">
        <v>8</v>
      </c>
      <c r="L10" s="74">
        <v>1325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0"/>
  <sheetViews>
    <sheetView workbookViewId="0"/>
  </sheetViews>
  <sheetFormatPr defaultRowHeight="12" x14ac:dyDescent="0.2"/>
  <cols>
    <col min="1" max="1" width="39.42578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429</v>
      </c>
    </row>
    <row r="3" spans="1:12" x14ac:dyDescent="0.2">
      <c r="A3" s="77" t="s">
        <v>2894</v>
      </c>
      <c r="B3" s="446" t="s">
        <v>429</v>
      </c>
    </row>
    <row r="4" spans="1:12" x14ac:dyDescent="0.2">
      <c r="A4" s="77" t="s">
        <v>2896</v>
      </c>
      <c r="B4" s="446" t="s">
        <v>429</v>
      </c>
    </row>
    <row r="5" spans="1:12" x14ac:dyDescent="0.2">
      <c r="A5" s="77" t="s">
        <v>2898</v>
      </c>
      <c r="B5" s="446" t="s">
        <v>126</v>
      </c>
    </row>
    <row r="6" spans="1:12" x14ac:dyDescent="0.2">
      <c r="A6" s="77" t="s">
        <v>2900</v>
      </c>
      <c r="B6" s="446" t="s">
        <v>429</v>
      </c>
    </row>
    <row r="7" spans="1:12" x14ac:dyDescent="0.2">
      <c r="A7" s="77" t="s">
        <v>111</v>
      </c>
      <c r="B7" s="446" t="s">
        <v>429</v>
      </c>
    </row>
    <row r="9" spans="1:12" x14ac:dyDescent="0.2">
      <c r="A9" s="446" t="s">
        <v>116</v>
      </c>
      <c r="B9" s="446" t="s">
        <v>117</v>
      </c>
      <c r="C9" s="446" t="s">
        <v>118</v>
      </c>
      <c r="D9" s="446" t="s">
        <v>119</v>
      </c>
      <c r="E9" s="446" t="s">
        <v>120</v>
      </c>
      <c r="F9" s="446" t="s">
        <v>121</v>
      </c>
      <c r="G9" s="446" t="s">
        <v>122</v>
      </c>
      <c r="H9" s="446" t="s">
        <v>123</v>
      </c>
      <c r="I9" s="446" t="s">
        <v>124</v>
      </c>
      <c r="J9" s="446" t="s">
        <v>125</v>
      </c>
      <c r="K9" s="446" t="s">
        <v>2923</v>
      </c>
      <c r="L9" s="446" t="s">
        <v>2925</v>
      </c>
    </row>
    <row r="10" spans="1:12" x14ac:dyDescent="0.2">
      <c r="A10" s="74">
        <v>1</v>
      </c>
      <c r="B10" s="74">
        <v>2245</v>
      </c>
      <c r="C10" s="74">
        <v>0</v>
      </c>
      <c r="D10" s="74">
        <v>0</v>
      </c>
      <c r="E10" s="74">
        <v>1</v>
      </c>
      <c r="F10" s="74">
        <v>-235</v>
      </c>
      <c r="G10" s="74">
        <v>0</v>
      </c>
      <c r="H10" s="74">
        <v>0</v>
      </c>
      <c r="I10" s="74">
        <v>0</v>
      </c>
      <c r="J10" s="74">
        <v>0</v>
      </c>
      <c r="K10" s="74">
        <v>2</v>
      </c>
      <c r="L10" s="74">
        <v>2010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0"/>
  <sheetViews>
    <sheetView workbookViewId="0"/>
  </sheetViews>
  <sheetFormatPr defaultRowHeight="12" x14ac:dyDescent="0.2"/>
  <cols>
    <col min="1" max="1" width="39.42578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429</v>
      </c>
    </row>
    <row r="3" spans="1:12" x14ac:dyDescent="0.2">
      <c r="A3" s="77" t="s">
        <v>2894</v>
      </c>
      <c r="B3" s="446" t="s">
        <v>429</v>
      </c>
    </row>
    <row r="4" spans="1:12" x14ac:dyDescent="0.2">
      <c r="A4" s="77" t="s">
        <v>2896</v>
      </c>
      <c r="B4" s="446" t="s">
        <v>429</v>
      </c>
    </row>
    <row r="5" spans="1:12" x14ac:dyDescent="0.2">
      <c r="A5" s="77" t="s">
        <v>2898</v>
      </c>
      <c r="B5" s="446" t="s">
        <v>429</v>
      </c>
    </row>
    <row r="6" spans="1:12" x14ac:dyDescent="0.2">
      <c r="A6" s="77" t="s">
        <v>2900</v>
      </c>
      <c r="B6" s="446" t="s">
        <v>126</v>
      </c>
    </row>
    <row r="7" spans="1:12" x14ac:dyDescent="0.2">
      <c r="A7" s="77" t="s">
        <v>111</v>
      </c>
      <c r="B7" s="446" t="s">
        <v>429</v>
      </c>
    </row>
    <row r="9" spans="1:12" x14ac:dyDescent="0.2">
      <c r="A9" s="446" t="s">
        <v>116</v>
      </c>
      <c r="B9" s="446" t="s">
        <v>117</v>
      </c>
      <c r="C9" s="446" t="s">
        <v>118</v>
      </c>
      <c r="D9" s="446" t="s">
        <v>119</v>
      </c>
      <c r="E9" s="446" t="s">
        <v>120</v>
      </c>
      <c r="F9" s="446" t="s">
        <v>121</v>
      </c>
      <c r="G9" s="446" t="s">
        <v>122</v>
      </c>
      <c r="H9" s="446" t="s">
        <v>123</v>
      </c>
      <c r="I9" s="446" t="s">
        <v>124</v>
      </c>
      <c r="J9" s="446" t="s">
        <v>125</v>
      </c>
      <c r="K9" s="446" t="s">
        <v>2923</v>
      </c>
      <c r="L9" s="446" t="s">
        <v>2925</v>
      </c>
    </row>
    <row r="10" spans="1:12" x14ac:dyDescent="0.2">
      <c r="A10" s="74">
        <v>6</v>
      </c>
      <c r="B10" s="74">
        <v>-17495</v>
      </c>
      <c r="C10" s="74">
        <v>1</v>
      </c>
      <c r="D10" s="74">
        <v>-4728</v>
      </c>
      <c r="E10" s="74">
        <v>3</v>
      </c>
      <c r="F10" s="74">
        <v>-15769</v>
      </c>
      <c r="G10" s="74">
        <v>1</v>
      </c>
      <c r="H10" s="74">
        <v>-4728</v>
      </c>
      <c r="I10" s="74">
        <v>2</v>
      </c>
      <c r="J10" s="74">
        <v>-3044</v>
      </c>
      <c r="K10" s="74">
        <v>7</v>
      </c>
      <c r="L10" s="74">
        <v>-45764</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0"/>
  <sheetViews>
    <sheetView workbookViewId="0"/>
  </sheetViews>
  <sheetFormatPr defaultRowHeight="12" x14ac:dyDescent="0.2"/>
  <cols>
    <col min="1" max="1" width="39.42578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429</v>
      </c>
    </row>
    <row r="3" spans="1:12" x14ac:dyDescent="0.2">
      <c r="A3" s="77" t="s">
        <v>2894</v>
      </c>
      <c r="B3" s="446" t="s">
        <v>429</v>
      </c>
    </row>
    <row r="4" spans="1:12" x14ac:dyDescent="0.2">
      <c r="A4" s="77" t="s">
        <v>2896</v>
      </c>
      <c r="B4" s="446" t="s">
        <v>429</v>
      </c>
    </row>
    <row r="5" spans="1:12" x14ac:dyDescent="0.2">
      <c r="A5" s="77" t="s">
        <v>2898</v>
      </c>
      <c r="B5" s="446" t="s">
        <v>429</v>
      </c>
    </row>
    <row r="6" spans="1:12" x14ac:dyDescent="0.2">
      <c r="A6" s="77" t="s">
        <v>2900</v>
      </c>
      <c r="B6" s="446" t="s">
        <v>429</v>
      </c>
    </row>
    <row r="7" spans="1:12" x14ac:dyDescent="0.2">
      <c r="A7" s="77" t="s">
        <v>111</v>
      </c>
      <c r="B7" s="446" t="s">
        <v>126</v>
      </c>
    </row>
    <row r="9" spans="1:12" x14ac:dyDescent="0.2">
      <c r="A9" s="446" t="s">
        <v>116</v>
      </c>
      <c r="B9" s="446" t="s">
        <v>117</v>
      </c>
      <c r="C9" s="446" t="s">
        <v>118</v>
      </c>
      <c r="D9" s="446" t="s">
        <v>119</v>
      </c>
      <c r="E9" s="446" t="s">
        <v>120</v>
      </c>
      <c r="F9" s="446" t="s">
        <v>121</v>
      </c>
      <c r="G9" s="446" t="s">
        <v>122</v>
      </c>
      <c r="H9" s="446" t="s">
        <v>123</v>
      </c>
      <c r="I9" s="446" t="s">
        <v>124</v>
      </c>
      <c r="J9" s="446" t="s">
        <v>125</v>
      </c>
      <c r="K9" s="446" t="s">
        <v>2923</v>
      </c>
      <c r="L9" s="446" t="s">
        <v>2925</v>
      </c>
    </row>
    <row r="10" spans="1:12" x14ac:dyDescent="0.2">
      <c r="A10" s="74">
        <v>17</v>
      </c>
      <c r="B10" s="74">
        <v>2904</v>
      </c>
      <c r="C10" s="74">
        <v>0</v>
      </c>
      <c r="D10" s="74">
        <v>0</v>
      </c>
      <c r="E10" s="74">
        <v>1</v>
      </c>
      <c r="F10" s="74">
        <v>-309</v>
      </c>
      <c r="G10" s="74">
        <v>0</v>
      </c>
      <c r="H10" s="74">
        <v>0</v>
      </c>
      <c r="I10" s="74">
        <v>1</v>
      </c>
      <c r="J10" s="74">
        <v>-42</v>
      </c>
      <c r="K10" s="74">
        <v>18</v>
      </c>
      <c r="L10" s="74">
        <v>2553</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86"/>
  <sheetViews>
    <sheetView zoomScaleNormal="100" zoomScaleSheetLayoutView="100" workbookViewId="0">
      <selection activeCell="C11" sqref="C11"/>
    </sheetView>
  </sheetViews>
  <sheetFormatPr defaultRowHeight="12" x14ac:dyDescent="0.2"/>
  <cols>
    <col min="1" max="1" width="2.42578125" style="572" bestFit="1" customWidth="1"/>
    <col min="2" max="2" width="86.42578125" style="448" customWidth="1"/>
    <col min="3" max="3" width="9.140625" style="448" customWidth="1"/>
    <col min="4" max="16384" width="9.140625" style="448"/>
  </cols>
  <sheetData>
    <row r="1" spans="1:5" ht="15.75" x14ac:dyDescent="0.2">
      <c r="A1" s="577" t="str">
        <f>Contents!A6</f>
        <v>Notes</v>
      </c>
      <c r="B1" s="577"/>
      <c r="C1" s="437"/>
      <c r="D1" s="283"/>
      <c r="E1" s="283"/>
    </row>
    <row r="2" spans="1:5" ht="12.75" x14ac:dyDescent="0.2">
      <c r="B2" s="565"/>
      <c r="C2" s="437"/>
      <c r="D2" s="283"/>
      <c r="E2" s="283"/>
    </row>
    <row r="3" spans="1:5" ht="12.75" x14ac:dyDescent="0.2">
      <c r="A3" s="573" t="s">
        <v>4014</v>
      </c>
      <c r="B3" s="565" t="s">
        <v>4011</v>
      </c>
      <c r="C3" s="437"/>
      <c r="D3" s="283"/>
      <c r="E3" s="283"/>
    </row>
    <row r="4" spans="1:5" ht="12.75" x14ac:dyDescent="0.2">
      <c r="B4" s="565"/>
      <c r="C4" s="437"/>
      <c r="D4" s="283"/>
      <c r="E4" s="283"/>
    </row>
    <row r="5" spans="1:5" ht="25.5" x14ac:dyDescent="0.2">
      <c r="A5" s="573" t="s">
        <v>4015</v>
      </c>
      <c r="B5" s="561" t="s">
        <v>3936</v>
      </c>
      <c r="C5" s="437"/>
      <c r="D5" s="283"/>
      <c r="E5" s="283"/>
    </row>
    <row r="6" spans="1:5" ht="12.75" x14ac:dyDescent="0.2">
      <c r="B6" s="561"/>
      <c r="C6" s="437"/>
      <c r="D6" s="283"/>
      <c r="E6" s="283"/>
    </row>
    <row r="7" spans="1:5" ht="38.25" x14ac:dyDescent="0.2">
      <c r="A7" s="573" t="s">
        <v>4016</v>
      </c>
      <c r="B7" s="561" t="s">
        <v>4023</v>
      </c>
      <c r="C7" s="437"/>
      <c r="D7" s="283"/>
      <c r="E7" s="283"/>
    </row>
    <row r="8" spans="1:5" ht="12.75" x14ac:dyDescent="0.2">
      <c r="B8" s="561"/>
      <c r="C8" s="437"/>
      <c r="D8" s="283"/>
      <c r="E8" s="283"/>
    </row>
    <row r="9" spans="1:5" ht="38.25" customHeight="1" x14ac:dyDescent="0.2">
      <c r="A9" s="573" t="s">
        <v>4017</v>
      </c>
      <c r="B9" s="571" t="s">
        <v>4024</v>
      </c>
      <c r="C9" s="437"/>
      <c r="D9" s="283"/>
      <c r="E9" s="283"/>
    </row>
    <row r="10" spans="1:5" ht="12.75" customHeight="1" x14ac:dyDescent="0.2">
      <c r="B10" s="561"/>
      <c r="C10" s="437"/>
      <c r="D10" s="283"/>
      <c r="E10" s="283"/>
    </row>
    <row r="11" spans="1:5" ht="25.5" customHeight="1" x14ac:dyDescent="0.2">
      <c r="A11" s="573" t="s">
        <v>4018</v>
      </c>
      <c r="B11" s="561" t="s">
        <v>4012</v>
      </c>
      <c r="C11" s="437"/>
      <c r="D11" s="283"/>
      <c r="E11" s="283"/>
    </row>
    <row r="12" spans="1:5" ht="12.75" x14ac:dyDescent="0.2">
      <c r="B12" s="564"/>
      <c r="C12" s="283"/>
      <c r="D12" s="283"/>
      <c r="E12" s="283"/>
    </row>
    <row r="13" spans="1:5" ht="25.5" x14ac:dyDescent="0.2">
      <c r="A13" s="573" t="s">
        <v>4019</v>
      </c>
      <c r="B13" s="561" t="s">
        <v>3878</v>
      </c>
      <c r="C13" s="437"/>
      <c r="D13" s="437"/>
    </row>
    <row r="14" spans="1:5" ht="25.5" customHeight="1" x14ac:dyDescent="0.2">
      <c r="B14" s="574" t="s">
        <v>3879</v>
      </c>
      <c r="C14" s="437"/>
      <c r="D14" s="437"/>
    </row>
    <row r="15" spans="1:5" ht="12.75" x14ac:dyDescent="0.2">
      <c r="B15" s="562"/>
      <c r="C15" s="437"/>
      <c r="D15" s="437"/>
    </row>
    <row r="16" spans="1:5" ht="12.75" x14ac:dyDescent="0.2">
      <c r="A16" s="573" t="s">
        <v>4020</v>
      </c>
      <c r="B16" s="563" t="s">
        <v>3880</v>
      </c>
    </row>
    <row r="17" spans="1:2" ht="12.75" x14ac:dyDescent="0.2">
      <c r="B17" s="562" t="s">
        <v>3881</v>
      </c>
    </row>
    <row r="18" spans="1:2" ht="12.75" x14ac:dyDescent="0.2">
      <c r="B18" s="562" t="s">
        <v>3882</v>
      </c>
    </row>
    <row r="19" spans="1:2" ht="12.75" x14ac:dyDescent="0.2">
      <c r="B19" s="562"/>
    </row>
    <row r="20" spans="1:2" ht="12.75" x14ac:dyDescent="0.2">
      <c r="A20" s="573" t="s">
        <v>4021</v>
      </c>
      <c r="B20" s="563" t="s">
        <v>4022</v>
      </c>
    </row>
    <row r="21" spans="1:2" ht="12.75" x14ac:dyDescent="0.2">
      <c r="B21" s="563"/>
    </row>
    <row r="22" spans="1:2" ht="12.75" x14ac:dyDescent="0.2">
      <c r="B22" s="563"/>
    </row>
    <row r="23" spans="1:2" ht="12.75" x14ac:dyDescent="0.2">
      <c r="B23" s="563"/>
    </row>
    <row r="24" spans="1:2" ht="12.75" x14ac:dyDescent="0.2">
      <c r="B24" s="563"/>
    </row>
    <row r="25" spans="1:2" ht="12.75" x14ac:dyDescent="0.2">
      <c r="B25" s="563"/>
    </row>
    <row r="26" spans="1:2" ht="12.75" x14ac:dyDescent="0.2">
      <c r="B26" s="563"/>
    </row>
    <row r="27" spans="1:2" ht="12.75" x14ac:dyDescent="0.2">
      <c r="B27" s="563"/>
    </row>
    <row r="28" spans="1:2" ht="12.75" x14ac:dyDescent="0.2">
      <c r="B28" s="563"/>
    </row>
    <row r="30" spans="1:2" ht="12.75" x14ac:dyDescent="0.2">
      <c r="B30" s="557"/>
    </row>
    <row r="31" spans="1:2" ht="12.75" x14ac:dyDescent="0.2">
      <c r="B31" s="563"/>
    </row>
    <row r="32" spans="1:2" ht="12.75" x14ac:dyDescent="0.2">
      <c r="B32" s="563"/>
    </row>
    <row r="33" spans="2:2" ht="12.75" x14ac:dyDescent="0.2">
      <c r="B33" s="563"/>
    </row>
    <row r="34" spans="2:2" ht="12.75" x14ac:dyDescent="0.2">
      <c r="B34" s="563"/>
    </row>
    <row r="35" spans="2:2" ht="12.75" x14ac:dyDescent="0.2">
      <c r="B35" s="563"/>
    </row>
    <row r="36" spans="2:2" ht="12.75" x14ac:dyDescent="0.2">
      <c r="B36" s="563"/>
    </row>
    <row r="38" spans="2:2" ht="12.75" x14ac:dyDescent="0.2">
      <c r="B38" s="557"/>
    </row>
    <row r="39" spans="2:2" ht="12.75" x14ac:dyDescent="0.2">
      <c r="B39" s="563"/>
    </row>
    <row r="40" spans="2:2" ht="12.75" x14ac:dyDescent="0.2">
      <c r="B40" s="563"/>
    </row>
    <row r="41" spans="2:2" ht="12.75" x14ac:dyDescent="0.2">
      <c r="B41" s="563"/>
    </row>
    <row r="42" spans="2:2" ht="12.75" x14ac:dyDescent="0.2">
      <c r="B42" s="563"/>
    </row>
    <row r="43" spans="2:2" ht="12.75" x14ac:dyDescent="0.2">
      <c r="B43" s="563"/>
    </row>
    <row r="44" spans="2:2" ht="12.75" x14ac:dyDescent="0.2">
      <c r="B44" s="563"/>
    </row>
    <row r="45" spans="2:2" ht="12.75" x14ac:dyDescent="0.2">
      <c r="B45" s="563"/>
    </row>
    <row r="46" spans="2:2" ht="12.75" x14ac:dyDescent="0.2">
      <c r="B46" s="563"/>
    </row>
    <row r="47" spans="2:2" ht="12.75" x14ac:dyDescent="0.2">
      <c r="B47" s="563"/>
    </row>
    <row r="48" spans="2:2" ht="12.75" x14ac:dyDescent="0.2">
      <c r="B48" s="563"/>
    </row>
    <row r="50" spans="2:2" ht="12.75" x14ac:dyDescent="0.2">
      <c r="B50" s="557"/>
    </row>
    <row r="51" spans="2:2" ht="12.75" x14ac:dyDescent="0.2">
      <c r="B51" s="563"/>
    </row>
    <row r="53" spans="2:2" ht="15" x14ac:dyDescent="0.2">
      <c r="B53" s="556"/>
    </row>
    <row r="55" spans="2:2" ht="12.75" x14ac:dyDescent="0.2">
      <c r="B55" s="557"/>
    </row>
    <row r="56" spans="2:2" ht="12.75" x14ac:dyDescent="0.2">
      <c r="B56" s="563"/>
    </row>
    <row r="57" spans="2:2" ht="12.75" x14ac:dyDescent="0.2">
      <c r="B57" s="563"/>
    </row>
    <row r="58" spans="2:2" ht="12.75" x14ac:dyDescent="0.2">
      <c r="B58" s="563"/>
    </row>
    <row r="59" spans="2:2" ht="12.75" x14ac:dyDescent="0.2">
      <c r="B59" s="563"/>
    </row>
    <row r="60" spans="2:2" ht="12.75" x14ac:dyDescent="0.2">
      <c r="B60" s="563"/>
    </row>
    <row r="61" spans="2:2" ht="12.75" x14ac:dyDescent="0.2">
      <c r="B61" s="563"/>
    </row>
    <row r="62" spans="2:2" ht="12.75" x14ac:dyDescent="0.2">
      <c r="B62" s="563"/>
    </row>
    <row r="63" spans="2:2" ht="12.75" x14ac:dyDescent="0.2">
      <c r="B63" s="563"/>
    </row>
    <row r="64" spans="2:2" ht="12.75" x14ac:dyDescent="0.2">
      <c r="B64" s="563"/>
    </row>
    <row r="66" spans="2:2" ht="12.75" x14ac:dyDescent="0.2">
      <c r="B66" s="557"/>
    </row>
    <row r="67" spans="2:2" ht="12.75" x14ac:dyDescent="0.2">
      <c r="B67" s="563"/>
    </row>
    <row r="68" spans="2:2" ht="12.75" x14ac:dyDescent="0.2">
      <c r="B68" s="563"/>
    </row>
    <row r="69" spans="2:2" ht="12.75" x14ac:dyDescent="0.2">
      <c r="B69" s="563"/>
    </row>
    <row r="70" spans="2:2" ht="12.75" x14ac:dyDescent="0.2">
      <c r="B70" s="563"/>
    </row>
    <row r="71" spans="2:2" ht="12.75" x14ac:dyDescent="0.2">
      <c r="B71" s="563"/>
    </row>
    <row r="72" spans="2:2" ht="12.75" x14ac:dyDescent="0.2">
      <c r="B72" s="563"/>
    </row>
    <row r="73" spans="2:2" ht="12.75" x14ac:dyDescent="0.2">
      <c r="B73" s="563"/>
    </row>
    <row r="74" spans="2:2" ht="12.75" x14ac:dyDescent="0.2">
      <c r="B74" s="563"/>
    </row>
    <row r="75" spans="2:2" ht="12.75" x14ac:dyDescent="0.2">
      <c r="B75" s="563"/>
    </row>
    <row r="77" spans="2:2" ht="12.75" x14ac:dyDescent="0.2">
      <c r="B77" s="557"/>
    </row>
    <row r="78" spans="2:2" ht="12.75" x14ac:dyDescent="0.2">
      <c r="B78" s="563"/>
    </row>
    <row r="79" spans="2:2" ht="12.75" x14ac:dyDescent="0.2">
      <c r="B79" s="563"/>
    </row>
    <row r="80" spans="2:2" ht="12.75" x14ac:dyDescent="0.2">
      <c r="B80" s="563"/>
    </row>
    <row r="81" spans="2:2" ht="12.75" x14ac:dyDescent="0.2">
      <c r="B81" s="563"/>
    </row>
    <row r="82" spans="2:2" ht="12.75" x14ac:dyDescent="0.2">
      <c r="B82" s="563"/>
    </row>
    <row r="83" spans="2:2" ht="12.75" x14ac:dyDescent="0.2">
      <c r="B83" s="563"/>
    </row>
    <row r="84" spans="2:2" ht="12.75" x14ac:dyDescent="0.2">
      <c r="B84" s="563"/>
    </row>
    <row r="85" spans="2:2" ht="12.75" x14ac:dyDescent="0.2">
      <c r="B85" s="563"/>
    </row>
    <row r="86" spans="2:2" ht="12.75" x14ac:dyDescent="0.2">
      <c r="B86" s="563"/>
    </row>
  </sheetData>
  <mergeCells count="1">
    <mergeCell ref="A1:B1"/>
  </mergeCells>
  <hyperlinks>
    <hyperlink ref="B14" r:id="rId1" xr:uid="{00000000-0004-0000-0100-000000000000}"/>
    <hyperlink ref="B17" r:id="rId2" xr:uid="{00000000-0004-0000-0100-000001000000}"/>
  </hyperlinks>
  <pageMargins left="0.98425196850393704" right="0.98425196850393704" top="0.98425196850393704" bottom="0.98425196850393704" header="0.51181102362204722" footer="0.51181102362204722"/>
  <pageSetup paperSize="9" fitToHeight="0" orientation="portrait" r:id="rId3"/>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0"/>
  <sheetViews>
    <sheetView workbookViewId="0"/>
  </sheetViews>
  <sheetFormatPr defaultRowHeight="12" x14ac:dyDescent="0.2"/>
  <cols>
    <col min="1" max="1" width="39.42578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107</v>
      </c>
      <c r="B2" s="446" t="s">
        <v>153</v>
      </c>
    </row>
    <row r="3" spans="1:12" x14ac:dyDescent="0.2">
      <c r="A3" s="77" t="s">
        <v>2894</v>
      </c>
      <c r="B3" s="446" t="s">
        <v>153</v>
      </c>
    </row>
    <row r="4" spans="1:12" x14ac:dyDescent="0.2">
      <c r="A4" s="77" t="s">
        <v>2896</v>
      </c>
      <c r="B4" s="446" t="s">
        <v>153</v>
      </c>
    </row>
    <row r="5" spans="1:12" x14ac:dyDescent="0.2">
      <c r="A5" s="77" t="s">
        <v>2898</v>
      </c>
      <c r="B5" s="446" t="s">
        <v>153</v>
      </c>
    </row>
    <row r="6" spans="1:12" x14ac:dyDescent="0.2">
      <c r="A6" s="77" t="s">
        <v>2900</v>
      </c>
      <c r="B6" s="446" t="s">
        <v>153</v>
      </c>
    </row>
    <row r="7" spans="1:12" x14ac:dyDescent="0.2">
      <c r="A7" s="77" t="s">
        <v>111</v>
      </c>
      <c r="B7" s="446" t="s">
        <v>153</v>
      </c>
    </row>
    <row r="9" spans="1:12" x14ac:dyDescent="0.2">
      <c r="A9" s="446" t="s">
        <v>116</v>
      </c>
      <c r="B9" s="446" t="s">
        <v>117</v>
      </c>
      <c r="C9" s="446" t="s">
        <v>118</v>
      </c>
      <c r="D9" s="446" t="s">
        <v>119</v>
      </c>
      <c r="E9" s="446" t="s">
        <v>120</v>
      </c>
      <c r="F9" s="446" t="s">
        <v>121</v>
      </c>
      <c r="G9" s="446" t="s">
        <v>122</v>
      </c>
      <c r="H9" s="446" t="s">
        <v>123</v>
      </c>
      <c r="I9" s="446" t="s">
        <v>124</v>
      </c>
      <c r="J9" s="446" t="s">
        <v>125</v>
      </c>
      <c r="K9" s="446" t="s">
        <v>2923</v>
      </c>
      <c r="L9" s="446" t="s">
        <v>2925</v>
      </c>
    </row>
    <row r="10" spans="1:12" x14ac:dyDescent="0.2">
      <c r="A10" s="74">
        <v>22</v>
      </c>
      <c r="B10" s="74">
        <v>-3968</v>
      </c>
      <c r="C10" s="74">
        <v>2</v>
      </c>
      <c r="D10" s="74">
        <v>-247</v>
      </c>
      <c r="E10" s="74">
        <v>3</v>
      </c>
      <c r="F10" s="74">
        <v>-645</v>
      </c>
      <c r="G10" s="74">
        <v>0</v>
      </c>
      <c r="H10" s="74">
        <v>0</v>
      </c>
      <c r="I10" s="74">
        <v>12</v>
      </c>
      <c r="J10" s="74">
        <v>-839</v>
      </c>
      <c r="K10" s="74">
        <v>37</v>
      </c>
      <c r="L10" s="74">
        <v>-5499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4"/>
  <sheetViews>
    <sheetView workbookViewId="0"/>
  </sheetViews>
  <sheetFormatPr defaultRowHeight="12" x14ac:dyDescent="0.2"/>
  <cols>
    <col min="1" max="1" width="19.5703125" customWidth="1"/>
    <col min="2" max="6" width="14.5703125" customWidth="1"/>
    <col min="7" max="10" width="13.5703125" customWidth="1"/>
    <col min="11"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3" spans="1:12" x14ac:dyDescent="0.2">
      <c r="A3" s="446" t="s">
        <v>116</v>
      </c>
      <c r="B3" s="446" t="s">
        <v>117</v>
      </c>
      <c r="C3" s="446" t="s">
        <v>118</v>
      </c>
      <c r="D3" s="446" t="s">
        <v>119</v>
      </c>
      <c r="E3" s="446" t="s">
        <v>120</v>
      </c>
      <c r="F3" s="446" t="s">
        <v>121</v>
      </c>
      <c r="G3" s="446" t="s">
        <v>122</v>
      </c>
      <c r="H3" s="446" t="s">
        <v>123</v>
      </c>
      <c r="I3" s="446" t="s">
        <v>124</v>
      </c>
      <c r="J3" s="446" t="s">
        <v>125</v>
      </c>
      <c r="K3" s="446" t="s">
        <v>2923</v>
      </c>
      <c r="L3" s="446" t="s">
        <v>2925</v>
      </c>
    </row>
    <row r="4" spans="1:12" x14ac:dyDescent="0.2">
      <c r="A4" s="74">
        <v>55</v>
      </c>
      <c r="B4" s="74">
        <v>-16515</v>
      </c>
      <c r="C4" s="74">
        <v>3</v>
      </c>
      <c r="D4" s="74">
        <v>-4975</v>
      </c>
      <c r="E4" s="74">
        <v>10</v>
      </c>
      <c r="F4" s="74">
        <v>-16689</v>
      </c>
      <c r="G4" s="74">
        <v>2</v>
      </c>
      <c r="H4" s="74">
        <v>-4685</v>
      </c>
      <c r="I4" s="74">
        <v>19</v>
      </c>
      <c r="J4" s="74">
        <v>-3156</v>
      </c>
      <c r="K4" s="74">
        <v>75</v>
      </c>
      <c r="L4" s="74">
        <v>-45820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AI48"/>
  <sheetViews>
    <sheetView workbookViewId="0">
      <selection sqref="A1:H1"/>
    </sheetView>
  </sheetViews>
  <sheetFormatPr defaultRowHeight="12" x14ac:dyDescent="0.2"/>
  <cols>
    <col min="1" max="1" width="23.7109375" style="12" customWidth="1"/>
    <col min="2" max="2" width="13.85546875" style="4" customWidth="1"/>
    <col min="3" max="6" width="12.7109375" style="179" customWidth="1"/>
    <col min="7" max="7" width="12.7109375" style="180" customWidth="1"/>
    <col min="8" max="8" width="12.7109375" style="181" customWidth="1"/>
    <col min="9" max="9" width="8" style="14" customWidth="1"/>
    <col min="10" max="16384" width="9.140625" style="4"/>
  </cols>
  <sheetData>
    <row r="1" spans="1:35" ht="15.75" customHeight="1" x14ac:dyDescent="0.25">
      <c r="A1" s="606" t="s">
        <v>423</v>
      </c>
      <c r="B1" s="606"/>
      <c r="C1" s="606"/>
      <c r="D1" s="606"/>
      <c r="E1" s="606"/>
      <c r="F1" s="606"/>
      <c r="G1" s="606"/>
      <c r="H1" s="606"/>
      <c r="AI1" s="10"/>
    </row>
    <row r="2" spans="1:35" s="16" customFormat="1" ht="14.25" customHeight="1" x14ac:dyDescent="0.2">
      <c r="A2" s="640" t="s">
        <v>3902</v>
      </c>
      <c r="B2" s="640"/>
      <c r="C2" s="640"/>
      <c r="D2" s="640"/>
      <c r="E2" s="640"/>
      <c r="F2" s="640"/>
      <c r="G2" s="640"/>
      <c r="H2" s="640"/>
      <c r="I2" s="32"/>
    </row>
    <row r="3" spans="1:35" s="16" customFormat="1" x14ac:dyDescent="0.2">
      <c r="A3" s="419"/>
      <c r="C3" s="162"/>
      <c r="D3" s="162"/>
      <c r="E3" s="162"/>
      <c r="F3" s="162"/>
      <c r="G3" s="163"/>
      <c r="H3" s="176"/>
      <c r="I3" s="32"/>
    </row>
    <row r="4" spans="1:35" s="16" customFormat="1" x14ac:dyDescent="0.2">
      <c r="A4" s="652" t="s">
        <v>105</v>
      </c>
      <c r="B4" s="611"/>
      <c r="C4" s="164" t="s">
        <v>97</v>
      </c>
      <c r="D4" s="165" t="s">
        <v>98</v>
      </c>
      <c r="E4" s="164" t="s">
        <v>99</v>
      </c>
      <c r="F4" s="165" t="s">
        <v>100</v>
      </c>
      <c r="G4" s="164" t="s">
        <v>101</v>
      </c>
      <c r="H4" s="650" t="s">
        <v>95</v>
      </c>
      <c r="I4" s="32"/>
    </row>
    <row r="5" spans="1:35" s="16" customFormat="1" ht="24" x14ac:dyDescent="0.2">
      <c r="A5" s="653"/>
      <c r="B5" s="614"/>
      <c r="C5" s="166" t="s">
        <v>416</v>
      </c>
      <c r="D5" s="166" t="s">
        <v>55</v>
      </c>
      <c r="E5" s="166" t="s">
        <v>51</v>
      </c>
      <c r="F5" s="166" t="s">
        <v>2986</v>
      </c>
      <c r="G5" s="166" t="s">
        <v>2987</v>
      </c>
      <c r="H5" s="651"/>
      <c r="I5" s="32"/>
    </row>
    <row r="6" spans="1:35" s="16" customFormat="1" ht="12" customHeight="1" x14ac:dyDescent="0.2">
      <c r="A6" s="655" t="s">
        <v>107</v>
      </c>
      <c r="B6" s="160" t="s">
        <v>2970</v>
      </c>
      <c r="C6" s="167">
        <f>GETPIVOTDATA("Count of B1a Net",'1.6a Pivot A'!$A$11)</f>
        <v>3</v>
      </c>
      <c r="D6" s="167">
        <f>GETPIVOTDATA("Count of B1b Net",'1.6a Pivot A'!$A$11)</f>
        <v>0</v>
      </c>
      <c r="E6" s="167">
        <f>GETPIVOTDATA("Count of B1c Net",'1.6a Pivot A'!$A$11)</f>
        <v>1</v>
      </c>
      <c r="F6" s="167">
        <f>GETPIVOTDATA("Count of B2 Net",'1.6a Pivot A'!$A$11)</f>
        <v>0</v>
      </c>
      <c r="G6" s="167">
        <f>GETPIVOTDATA("Count of B8 Net",'1.6a Pivot A'!$A$11)</f>
        <v>0</v>
      </c>
      <c r="H6" s="462">
        <f>GETPIVOTDATA("Count of B Total Net",'1.6a Pivot A'!$A$11)</f>
        <v>4</v>
      </c>
      <c r="I6" s="32"/>
    </row>
    <row r="7" spans="1:35" s="16" customFormat="1" ht="12" customHeight="1" x14ac:dyDescent="0.2">
      <c r="A7" s="656"/>
      <c r="B7" s="83" t="s">
        <v>168</v>
      </c>
      <c r="C7" s="172">
        <f>GETPIVOTDATA("Sum of B1a Net2",'1.6a Pivot A'!$A$11)</f>
        <v>-18628</v>
      </c>
      <c r="D7" s="172">
        <f>GETPIVOTDATA("Sum of B1b Net2",'1.6a Pivot A'!$A$11)</f>
        <v>0</v>
      </c>
      <c r="E7" s="172">
        <f>GETPIVOTDATA("Sum of B1c Net2",'1.6a Pivot A'!$A$11)</f>
        <v>-10147</v>
      </c>
      <c r="F7" s="172">
        <f>GETPIVOTDATA("Sum of B2 Net2",'1.6a Pivot A'!$A$11)</f>
        <v>0</v>
      </c>
      <c r="G7" s="172">
        <f>GETPIVOTDATA("Sum of B8 Net2",'1.6a Pivot A'!$A$11)</f>
        <v>0</v>
      </c>
      <c r="H7" s="463">
        <f>GETPIVOTDATA("Sum of B Total Net2",'1.6a Pivot A'!$A$11)</f>
        <v>-28775</v>
      </c>
      <c r="I7" s="32"/>
    </row>
    <row r="8" spans="1:35" s="16" customFormat="1" ht="12" customHeight="1" x14ac:dyDescent="0.2">
      <c r="A8" s="655" t="s">
        <v>108</v>
      </c>
      <c r="B8" s="160" t="s">
        <v>2970</v>
      </c>
      <c r="C8" s="167">
        <f>GETPIVOTDATA("Count of B1a Net",'1.6a Pivot B'!$A$11)</f>
        <v>0</v>
      </c>
      <c r="D8" s="167">
        <f>GETPIVOTDATA("Count of B1b Net",'1.6a Pivot B'!$A$11)</f>
        <v>0</v>
      </c>
      <c r="E8" s="167">
        <f>GETPIVOTDATA("Count of B1c Net",'1.6a Pivot B'!$A$11)</f>
        <v>0</v>
      </c>
      <c r="F8" s="167">
        <f>GETPIVOTDATA("Count of B2 Net",'1.6a Pivot B'!$A$11)</f>
        <v>0</v>
      </c>
      <c r="G8" s="167">
        <f>GETPIVOTDATA("Count of B8 Net",'1.6a Pivot B'!$A$11)</f>
        <v>0</v>
      </c>
      <c r="H8" s="462">
        <f>GETPIVOTDATA("Count of B Total Net",'1.6a Pivot B'!$A$11)</f>
        <v>0</v>
      </c>
      <c r="I8" s="32"/>
    </row>
    <row r="9" spans="1:35" s="16" customFormat="1" ht="12" customHeight="1" x14ac:dyDescent="0.2">
      <c r="A9" s="656"/>
      <c r="B9" s="83" t="s">
        <v>168</v>
      </c>
      <c r="C9" s="172">
        <f>GETPIVOTDATA("Sum of B1a Net2",'1.6a Pivot B'!$A$11)</f>
        <v>0</v>
      </c>
      <c r="D9" s="172">
        <f>GETPIVOTDATA("Sum of B1b Net2",'1.6a Pivot B'!$A$11)</f>
        <v>0</v>
      </c>
      <c r="E9" s="172">
        <f>GETPIVOTDATA("Sum of B1c Net2",'1.6a Pivot B'!$A$11)</f>
        <v>0</v>
      </c>
      <c r="F9" s="172">
        <f>GETPIVOTDATA("Sum of B2 Net2",'1.6a Pivot B'!$A$11)</f>
        <v>0</v>
      </c>
      <c r="G9" s="172">
        <f>GETPIVOTDATA("Sum of B8 Net2",'1.6a Pivot B'!$A$11)</f>
        <v>0</v>
      </c>
      <c r="H9" s="463">
        <f>GETPIVOTDATA("Sum of B Total Net2",'1.6a Pivot B'!$A$11)</f>
        <v>0</v>
      </c>
      <c r="I9" s="32"/>
    </row>
    <row r="10" spans="1:35" s="16" customFormat="1" ht="12" customHeight="1" x14ac:dyDescent="0.2">
      <c r="A10" s="655" t="s">
        <v>109</v>
      </c>
      <c r="B10" s="160" t="s">
        <v>2970</v>
      </c>
      <c r="C10" s="167">
        <f>GETPIVOTDATA("Count of B1a Net",'1.6a Pivot C'!$A$11)</f>
        <v>0</v>
      </c>
      <c r="D10" s="167">
        <f>GETPIVOTDATA("Count of B1b Net",'1.6a Pivot C'!$A$11)</f>
        <v>0</v>
      </c>
      <c r="E10" s="167">
        <f>GETPIVOTDATA("Count of B1c Net",'1.6a Pivot C'!$A$11)</f>
        <v>0</v>
      </c>
      <c r="F10" s="167">
        <f>GETPIVOTDATA("Count of B2 Net",'1.6a Pivot C'!$A$11)</f>
        <v>0</v>
      </c>
      <c r="G10" s="167">
        <f>GETPIVOTDATA("Count of B8 Net",'1.6a Pivot C'!$A$11)</f>
        <v>0</v>
      </c>
      <c r="H10" s="462">
        <f>GETPIVOTDATA("Count of B Total Net",'1.6a Pivot C'!$A$11)</f>
        <v>0</v>
      </c>
      <c r="I10" s="32"/>
    </row>
    <row r="11" spans="1:35" s="16" customFormat="1" ht="12" customHeight="1" x14ac:dyDescent="0.2">
      <c r="A11" s="656"/>
      <c r="B11" s="83" t="s">
        <v>168</v>
      </c>
      <c r="C11" s="172">
        <f>GETPIVOTDATA("Sum of B1a Net2",'1.6a Pivot C'!$A$11)</f>
        <v>0</v>
      </c>
      <c r="D11" s="172">
        <f>GETPIVOTDATA("Sum of B1b Net2",'1.6a Pivot C'!$A$11)</f>
        <v>0</v>
      </c>
      <c r="E11" s="172">
        <f>GETPIVOTDATA("Sum of B1c Net2",'1.6a Pivot C'!$A$11)</f>
        <v>0</v>
      </c>
      <c r="F11" s="172">
        <f>GETPIVOTDATA("Sum of B2 Net2",'1.6a Pivot C'!$A$11)</f>
        <v>0</v>
      </c>
      <c r="G11" s="172">
        <f>GETPIVOTDATA("Sum of B8 Net2",'1.6a Pivot C'!$A$11)</f>
        <v>0</v>
      </c>
      <c r="H11" s="463">
        <f>GETPIVOTDATA("Sum of B Total Net2",'1.6a Pivot C'!$A$11)</f>
        <v>0</v>
      </c>
      <c r="I11" s="32"/>
    </row>
    <row r="12" spans="1:35" s="16" customFormat="1" ht="12" customHeight="1" x14ac:dyDescent="0.2">
      <c r="A12" s="655" t="s">
        <v>110</v>
      </c>
      <c r="B12" s="160" t="s">
        <v>2970</v>
      </c>
      <c r="C12" s="167">
        <f>GETPIVOTDATA("Count of B1a Net",'1.6a Pivot D'!$A$11)</f>
        <v>0</v>
      </c>
      <c r="D12" s="167">
        <f>GETPIVOTDATA("Count of B1b Net",'1.6a Pivot D'!$A$11)</f>
        <v>0</v>
      </c>
      <c r="E12" s="167">
        <f>GETPIVOTDATA("Count of B1c Net",'1.6a Pivot D'!$A$11)</f>
        <v>0</v>
      </c>
      <c r="F12" s="167">
        <f>GETPIVOTDATA("Count of B2 Net",'1.6a Pivot D'!$A$11)</f>
        <v>0</v>
      </c>
      <c r="G12" s="167">
        <f>GETPIVOTDATA("Count of B8 Net",'1.6a Pivot D'!$A$11)</f>
        <v>0</v>
      </c>
      <c r="H12" s="462">
        <f>GETPIVOTDATA("Count of B Total Net",'1.6a Pivot D'!$A$11)</f>
        <v>0</v>
      </c>
      <c r="I12" s="32"/>
    </row>
    <row r="13" spans="1:35" s="16" customFormat="1" ht="12" customHeight="1" x14ac:dyDescent="0.2">
      <c r="A13" s="656"/>
      <c r="B13" s="83" t="s">
        <v>168</v>
      </c>
      <c r="C13" s="172">
        <f>GETPIVOTDATA("Sum of B1a Net2",'1.6a Pivot D'!$A$11)</f>
        <v>0</v>
      </c>
      <c r="D13" s="172">
        <f>GETPIVOTDATA("Sum of B1b Net2",'1.6a Pivot D'!$A$11)</f>
        <v>0</v>
      </c>
      <c r="E13" s="172">
        <f>GETPIVOTDATA("Sum of B1c Net2",'1.6a Pivot D'!$A$11)</f>
        <v>0</v>
      </c>
      <c r="F13" s="172">
        <f>GETPIVOTDATA("Sum of B2 Net2",'1.6a Pivot D'!$A$11)</f>
        <v>0</v>
      </c>
      <c r="G13" s="172">
        <f>GETPIVOTDATA("Sum of B8 Net2",'1.6a Pivot D'!$A$11)</f>
        <v>0</v>
      </c>
      <c r="H13" s="463">
        <f>GETPIVOTDATA("Sum of B Total Net2",'1.6a Pivot D'!$A$11)</f>
        <v>0</v>
      </c>
      <c r="I13" s="32"/>
    </row>
    <row r="14" spans="1:35" s="16" customFormat="1" ht="12" customHeight="1" x14ac:dyDescent="0.2">
      <c r="A14" s="655" t="s">
        <v>2900</v>
      </c>
      <c r="B14" s="160" t="s">
        <v>2970</v>
      </c>
      <c r="C14" s="167">
        <f>GETPIVOTDATA("Count of B1a Net",'1.6a Pivot E'!$A$11)</f>
        <v>1</v>
      </c>
      <c r="D14" s="167">
        <f>GETPIVOTDATA("Count of B1b Net",'1.6a Pivot E'!$A$11)</f>
        <v>0</v>
      </c>
      <c r="E14" s="167">
        <f>GETPIVOTDATA("Count of B1c Net",'1.6a Pivot E'!$A$11)</f>
        <v>1</v>
      </c>
      <c r="F14" s="167">
        <f>GETPIVOTDATA("Count of B2 Net",'1.6a Pivot E'!$A$11)</f>
        <v>0</v>
      </c>
      <c r="G14" s="167">
        <f>GETPIVOTDATA("Count of B8 Net",'1.6a Pivot E'!$A$11)</f>
        <v>0</v>
      </c>
      <c r="H14" s="462">
        <f>GETPIVOTDATA("Count of B Total Net",'1.6a Pivot E'!$A$11)</f>
        <v>2</v>
      </c>
      <c r="I14" s="32"/>
    </row>
    <row r="15" spans="1:35" s="16" customFormat="1" ht="12" customHeight="1" x14ac:dyDescent="0.2">
      <c r="A15" s="656"/>
      <c r="B15" s="83" t="s">
        <v>168</v>
      </c>
      <c r="C15" s="172">
        <f>GETPIVOTDATA("Sum of B1a Net2",'1.6a Pivot E'!$A$11)</f>
        <v>-16582</v>
      </c>
      <c r="D15" s="172">
        <f>GETPIVOTDATA("Sum of B1b Net2",'1.6a Pivot E'!$A$11)</f>
        <v>0</v>
      </c>
      <c r="E15" s="172">
        <f>GETPIVOTDATA("Sum of B1c Net2",'1.6a Pivot E'!$A$11)</f>
        <v>-10147</v>
      </c>
      <c r="F15" s="172">
        <f>GETPIVOTDATA("Sum of B2 Net2",'1.6a Pivot E'!$A$11)</f>
        <v>0</v>
      </c>
      <c r="G15" s="172">
        <f>GETPIVOTDATA("Sum of B8 Net2",'1.6a Pivot E'!$A$11)</f>
        <v>0</v>
      </c>
      <c r="H15" s="463">
        <f>GETPIVOTDATA("Sum of B Total Net2",'1.6a Pivot E'!$A$11)</f>
        <v>-26729</v>
      </c>
      <c r="I15" s="32"/>
    </row>
    <row r="16" spans="1:35" s="16" customFormat="1" ht="12" customHeight="1" x14ac:dyDescent="0.2">
      <c r="A16" s="655" t="s">
        <v>2991</v>
      </c>
      <c r="B16" s="160" t="s">
        <v>2970</v>
      </c>
      <c r="C16" s="167">
        <f>GETPIVOTDATA("Count of B1a Net",'1.6a Pivot F'!$A$11)</f>
        <v>7</v>
      </c>
      <c r="D16" s="167">
        <f>GETPIVOTDATA("Count of B1b Net",'1.6a Pivot F'!$A$11)</f>
        <v>0</v>
      </c>
      <c r="E16" s="167">
        <f>GETPIVOTDATA("Count of B1c Net",'1.6a Pivot F'!$A$11)</f>
        <v>0</v>
      </c>
      <c r="F16" s="167">
        <f>GETPIVOTDATA("Count of B2 Net",'1.6a Pivot F'!$A$11)</f>
        <v>0</v>
      </c>
      <c r="G16" s="167">
        <f>GETPIVOTDATA("Count of B8 Net",'1.6a Pivot F'!$A$11)</f>
        <v>1</v>
      </c>
      <c r="H16" s="462">
        <f>GETPIVOTDATA("Count of B Total Net",'1.6a Pivot F'!$A$11)</f>
        <v>8</v>
      </c>
      <c r="I16" s="32"/>
    </row>
    <row r="17" spans="1:9" s="16" customFormat="1" ht="12" customHeight="1" x14ac:dyDescent="0.2">
      <c r="A17" s="656"/>
      <c r="B17" s="83" t="s">
        <v>168</v>
      </c>
      <c r="C17" s="172">
        <f>GETPIVOTDATA("Sum of B1a Net2",'1.6a Pivot F'!$A$11)</f>
        <v>-2769</v>
      </c>
      <c r="D17" s="172">
        <f>GETPIVOTDATA("Sum of B1b Net2",'1.6a Pivot F'!$A$11)</f>
        <v>0</v>
      </c>
      <c r="E17" s="172">
        <f>GETPIVOTDATA("Sum of B1c Net2",'1.6a Pivot F'!$A$11)</f>
        <v>0</v>
      </c>
      <c r="F17" s="172">
        <f>GETPIVOTDATA("Sum of B2 Net2",'1.6a Pivot F'!$A$11)</f>
        <v>0</v>
      </c>
      <c r="G17" s="172">
        <f>GETPIVOTDATA("Sum of B8 Net2",'1.6a Pivot F'!$A$11)</f>
        <v>-42</v>
      </c>
      <c r="H17" s="463">
        <f>GETPIVOTDATA("Sum of B Total Net2",'1.6a Pivot F'!$A$11)</f>
        <v>-2811</v>
      </c>
      <c r="I17" s="32"/>
    </row>
    <row r="18" spans="1:9" s="16" customFormat="1" ht="12" customHeight="1" x14ac:dyDescent="0.2">
      <c r="A18" s="655" t="s">
        <v>426</v>
      </c>
      <c r="B18" s="160" t="s">
        <v>2970</v>
      </c>
      <c r="C18" s="167">
        <f>GETPIVOTDATA("Count of B1a Net",'1.6a Pivot G'!$A$11)</f>
        <v>16</v>
      </c>
      <c r="D18" s="167">
        <f>GETPIVOTDATA("Count of B1b Net",'1.6a Pivot G'!$A$11)</f>
        <v>1</v>
      </c>
      <c r="E18" s="167">
        <f>GETPIVOTDATA("Count of B1c Net",'1.6a Pivot G'!$A$11)</f>
        <v>2</v>
      </c>
      <c r="F18" s="167">
        <f>GETPIVOTDATA("Count of B2 Net",'1.6a Pivot G'!$A$11)</f>
        <v>0</v>
      </c>
      <c r="G18" s="167">
        <f>GETPIVOTDATA("Count of B8 Net",'1.6a Pivot G'!$A$11)</f>
        <v>7</v>
      </c>
      <c r="H18" s="462">
        <f>GETPIVOTDATA("Count of B Total Net",'1.6a Pivot G'!$A$11)</f>
        <v>25</v>
      </c>
      <c r="I18" s="32"/>
    </row>
    <row r="19" spans="1:9" s="16" customFormat="1" ht="12" customHeight="1" x14ac:dyDescent="0.2">
      <c r="A19" s="657"/>
      <c r="B19" s="161" t="s">
        <v>168</v>
      </c>
      <c r="C19" s="168">
        <f>GETPIVOTDATA("Sum of B1a Net2",'1.6a Pivot G'!$A$11)</f>
        <v>-3538</v>
      </c>
      <c r="D19" s="168">
        <f>GETPIVOTDATA("Sum of B1b Net2",'1.6a Pivot G'!$A$11)</f>
        <v>-47</v>
      </c>
      <c r="E19" s="168">
        <f>GETPIVOTDATA("Sum of B1c Net2",'1.6a Pivot G'!$A$11)</f>
        <v>-837</v>
      </c>
      <c r="F19" s="168">
        <f>GETPIVOTDATA("Sum of B2 Net2",'1.6a Pivot G'!$A$11)</f>
        <v>0</v>
      </c>
      <c r="G19" s="168">
        <f>GETPIVOTDATA("Sum of B8 Net2",'1.6a Pivot G'!$A$11)</f>
        <v>-713</v>
      </c>
      <c r="H19" s="464">
        <f>GETPIVOTDATA("Sum of B Total Net2",'1.6a Pivot G'!$A$11)</f>
        <v>-5135</v>
      </c>
      <c r="I19" s="32"/>
    </row>
    <row r="20" spans="1:9" s="16" customFormat="1" ht="12" customHeight="1" x14ac:dyDescent="0.2">
      <c r="A20" s="611" t="s">
        <v>95</v>
      </c>
      <c r="B20" s="160" t="s">
        <v>2970</v>
      </c>
      <c r="C20" s="164">
        <f>GETPIVOTDATA("Count of B1a Net",'1.6a Pivot H'!$A$11)</f>
        <v>26</v>
      </c>
      <c r="D20" s="164">
        <f>GETPIVOTDATA("Count of B1b Net",'1.6a Pivot H'!$A$11)</f>
        <v>1</v>
      </c>
      <c r="E20" s="164">
        <f>GETPIVOTDATA("Count of B1c Net",'1.6a Pivot H'!$A$11)</f>
        <v>3</v>
      </c>
      <c r="F20" s="164">
        <f>GETPIVOTDATA("Count of B2 Net",'1.6a Pivot H'!$A$11)</f>
        <v>0</v>
      </c>
      <c r="G20" s="164">
        <f>GETPIVOTDATA("Count of B8 Net",'1.6a Pivot H'!$A$11)</f>
        <v>8</v>
      </c>
      <c r="H20" s="465">
        <f>GETPIVOTDATA("Count of B Total Net",'1.6a Pivot H'!$A$11)</f>
        <v>37</v>
      </c>
      <c r="I20" s="32"/>
    </row>
    <row r="21" spans="1:9" s="16" customFormat="1" ht="12" customHeight="1" x14ac:dyDescent="0.2">
      <c r="A21" s="614"/>
      <c r="B21" s="161" t="s">
        <v>168</v>
      </c>
      <c r="C21" s="170">
        <f>GETPIVOTDATA("Sum of B1a Net2",'1.6a Pivot H'!$A$11)</f>
        <v>-24935</v>
      </c>
      <c r="D21" s="170">
        <f>GETPIVOTDATA("Sum of B1b Net2",'1.6a Pivot H'!$A$11)</f>
        <v>-47</v>
      </c>
      <c r="E21" s="170">
        <f>GETPIVOTDATA("Sum of B1c Net2",'1.6a Pivot H'!$A$11)</f>
        <v>-10984</v>
      </c>
      <c r="F21" s="170">
        <f>GETPIVOTDATA("Sum of B2 Net2",'1.6a Pivot H'!$A$11)</f>
        <v>0</v>
      </c>
      <c r="G21" s="170">
        <f>GETPIVOTDATA("Sum of B8 Net2",'1.6a Pivot H'!$A$11)</f>
        <v>-755</v>
      </c>
      <c r="H21" s="170">
        <f>GETPIVOTDATA("Sum of B Total Net2",'1.6a Pivot H'!$A$11)</f>
        <v>-36721</v>
      </c>
      <c r="I21" s="32"/>
    </row>
    <row r="22" spans="1:9" s="32" customFormat="1" ht="12.75" customHeight="1" x14ac:dyDescent="0.2">
      <c r="B22" s="240"/>
      <c r="C22" s="240"/>
      <c r="D22" s="240"/>
      <c r="E22" s="240"/>
      <c r="F22" s="240"/>
      <c r="G22" s="240"/>
      <c r="H22" s="178"/>
      <c r="I22" s="35"/>
    </row>
    <row r="23" spans="1:9" ht="13.5" x14ac:dyDescent="0.2">
      <c r="A23" s="287" t="s">
        <v>4007</v>
      </c>
    </row>
    <row r="48" spans="1:9" x14ac:dyDescent="0.2">
      <c r="A48" s="403"/>
      <c r="B48" s="15"/>
      <c r="I48" s="38"/>
    </row>
  </sheetData>
  <mergeCells count="13">
    <mergeCell ref="A10:A11"/>
    <mergeCell ref="A8:A9"/>
    <mergeCell ref="A6:A7"/>
    <mergeCell ref="A1:H1"/>
    <mergeCell ref="A2:H2"/>
    <mergeCell ref="A4:A5"/>
    <mergeCell ref="H4:H5"/>
    <mergeCell ref="B4:B5"/>
    <mergeCell ref="A20:A21"/>
    <mergeCell ref="A18:A19"/>
    <mergeCell ref="A16:A17"/>
    <mergeCell ref="A14:A15"/>
    <mergeCell ref="A12:A13"/>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126</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3</v>
      </c>
      <c r="B12" s="74">
        <v>-18628</v>
      </c>
      <c r="C12" s="74">
        <v>0</v>
      </c>
      <c r="D12" s="74">
        <v>0</v>
      </c>
      <c r="E12" s="74">
        <v>1</v>
      </c>
      <c r="F12" s="74">
        <v>-10147</v>
      </c>
      <c r="G12" s="74">
        <v>0</v>
      </c>
      <c r="H12" s="74">
        <v>0</v>
      </c>
      <c r="I12" s="74">
        <v>0</v>
      </c>
      <c r="J12" s="74">
        <v>0</v>
      </c>
      <c r="K12" s="74">
        <v>4</v>
      </c>
      <c r="L12" s="74">
        <v>-28775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126</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0</v>
      </c>
      <c r="B12" s="74">
        <v>0</v>
      </c>
      <c r="C12" s="74">
        <v>0</v>
      </c>
      <c r="D12" s="74">
        <v>0</v>
      </c>
      <c r="E12" s="74">
        <v>0</v>
      </c>
      <c r="F12" s="74">
        <v>0</v>
      </c>
      <c r="G12" s="74">
        <v>0</v>
      </c>
      <c r="H12" s="74">
        <v>0</v>
      </c>
      <c r="I12" s="74">
        <v>0</v>
      </c>
      <c r="J12" s="74">
        <v>0</v>
      </c>
      <c r="K12" s="74">
        <v>0</v>
      </c>
      <c r="L12"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126</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0</v>
      </c>
      <c r="B12" s="74">
        <v>0</v>
      </c>
      <c r="C12" s="74">
        <v>0</v>
      </c>
      <c r="D12" s="74">
        <v>0</v>
      </c>
      <c r="E12" s="74">
        <v>0</v>
      </c>
      <c r="F12" s="74">
        <v>0</v>
      </c>
      <c r="G12" s="74">
        <v>0</v>
      </c>
      <c r="H12" s="74">
        <v>0</v>
      </c>
      <c r="I12" s="74">
        <v>0</v>
      </c>
      <c r="J12" s="74">
        <v>0</v>
      </c>
      <c r="K12" s="74">
        <v>0</v>
      </c>
      <c r="L12"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126</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0</v>
      </c>
      <c r="B12" s="74">
        <v>0</v>
      </c>
      <c r="C12" s="74">
        <v>0</v>
      </c>
      <c r="D12" s="74">
        <v>0</v>
      </c>
      <c r="E12" s="74">
        <v>0</v>
      </c>
      <c r="F12" s="74">
        <v>0</v>
      </c>
      <c r="G12" s="74">
        <v>0</v>
      </c>
      <c r="H12" s="74">
        <v>0</v>
      </c>
      <c r="I12" s="74">
        <v>0</v>
      </c>
      <c r="J12" s="74">
        <v>0</v>
      </c>
      <c r="K12" s="74">
        <v>0</v>
      </c>
      <c r="L12"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126</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1</v>
      </c>
      <c r="B12" s="74">
        <v>-16582</v>
      </c>
      <c r="C12" s="74">
        <v>0</v>
      </c>
      <c r="D12" s="74">
        <v>0</v>
      </c>
      <c r="E12" s="74">
        <v>1</v>
      </c>
      <c r="F12" s="74">
        <v>-10147</v>
      </c>
      <c r="G12" s="74">
        <v>0</v>
      </c>
      <c r="H12" s="74">
        <v>0</v>
      </c>
      <c r="I12" s="74">
        <v>0</v>
      </c>
      <c r="J12" s="74">
        <v>0</v>
      </c>
      <c r="K12" s="74">
        <v>2</v>
      </c>
      <c r="L12" s="74">
        <v>-26729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126</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7</v>
      </c>
      <c r="B12" s="74">
        <v>-2769</v>
      </c>
      <c r="C12" s="74">
        <v>0</v>
      </c>
      <c r="D12" s="74">
        <v>0</v>
      </c>
      <c r="E12" s="74">
        <v>0</v>
      </c>
      <c r="F12" s="74">
        <v>0</v>
      </c>
      <c r="G12" s="74">
        <v>0</v>
      </c>
      <c r="H12" s="74">
        <v>0</v>
      </c>
      <c r="I12" s="74">
        <v>1</v>
      </c>
      <c r="J12" s="74">
        <v>-42</v>
      </c>
      <c r="K12" s="74">
        <v>8</v>
      </c>
      <c r="L12" s="74">
        <v>-2811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153</v>
      </c>
    </row>
    <row r="5" spans="1:12" x14ac:dyDescent="0.2">
      <c r="A5" s="77" t="s">
        <v>2894</v>
      </c>
      <c r="B5" s="446" t="s">
        <v>153</v>
      </c>
    </row>
    <row r="6" spans="1:12" x14ac:dyDescent="0.2">
      <c r="A6" s="77" t="s">
        <v>111</v>
      </c>
      <c r="B6" s="446" t="s">
        <v>153</v>
      </c>
    </row>
    <row r="7" spans="1:12" x14ac:dyDescent="0.2">
      <c r="A7" s="77" t="s">
        <v>2896</v>
      </c>
      <c r="B7" s="446" t="s">
        <v>153</v>
      </c>
    </row>
    <row r="8" spans="1:12" x14ac:dyDescent="0.2">
      <c r="A8" s="77" t="s">
        <v>2900</v>
      </c>
      <c r="B8" s="446" t="s">
        <v>153</v>
      </c>
    </row>
    <row r="9" spans="1:12" x14ac:dyDescent="0.2">
      <c r="A9" s="77" t="s">
        <v>2898</v>
      </c>
      <c r="B9" s="446" t="s">
        <v>153</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16</v>
      </c>
      <c r="B12" s="74">
        <v>-3538</v>
      </c>
      <c r="C12" s="74">
        <v>1</v>
      </c>
      <c r="D12" s="74">
        <v>-47</v>
      </c>
      <c r="E12" s="74">
        <v>2</v>
      </c>
      <c r="F12" s="74">
        <v>-837</v>
      </c>
      <c r="G12" s="74">
        <v>0</v>
      </c>
      <c r="H12" s="74">
        <v>0</v>
      </c>
      <c r="I12" s="74">
        <v>7</v>
      </c>
      <c r="J12" s="74">
        <v>-713</v>
      </c>
      <c r="K12" s="74">
        <v>25</v>
      </c>
      <c r="L12" s="74">
        <v>-5135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6">
    <pageSetUpPr autoPageBreaks="0"/>
  </sheetPr>
  <dimension ref="A1:ED927"/>
  <sheetViews>
    <sheetView workbookViewId="0">
      <selection activeCell="AL14" sqref="AL14"/>
    </sheetView>
  </sheetViews>
  <sheetFormatPr defaultRowHeight="12" x14ac:dyDescent="0.2"/>
  <cols>
    <col min="1" max="1" width="22.28515625" bestFit="1" customWidth="1"/>
    <col min="2" max="2" width="30.28515625" customWidth="1"/>
    <col min="3" max="3" width="27.7109375" customWidth="1"/>
    <col min="4" max="4" width="20.85546875" customWidth="1"/>
    <col min="5" max="5" width="5" style="65" bestFit="1" customWidth="1"/>
    <col min="6" max="6" width="27" customWidth="1"/>
    <col min="7" max="7" width="12.5703125" style="71" customWidth="1"/>
    <col min="8" max="8" width="9.5703125" style="67" customWidth="1"/>
    <col min="9" max="9" width="7" style="65" customWidth="1"/>
    <col min="10" max="10" width="7.85546875" style="65" customWidth="1"/>
    <col min="11" max="11" width="9" style="65" customWidth="1"/>
    <col min="12" max="13" width="10" style="65" bestFit="1" customWidth="1"/>
    <col min="14" max="14" width="10" style="69" bestFit="1" customWidth="1"/>
    <col min="15" max="15" width="9.85546875" style="69" bestFit="1" customWidth="1"/>
    <col min="16" max="16" width="9" style="65" customWidth="1"/>
    <col min="17" max="17" width="10" style="69" customWidth="1"/>
    <col min="18" max="18" width="6.5703125" style="65" customWidth="1"/>
    <col min="19" max="20" width="9.85546875" style="69" customWidth="1"/>
    <col min="21" max="22" width="21.85546875" customWidth="1"/>
    <col min="23" max="23" width="11.5703125" style="65" customWidth="1"/>
    <col min="24" max="24" width="11.28515625" style="65" customWidth="1"/>
    <col min="25" max="25" width="11.5703125" style="65" customWidth="1"/>
    <col min="26" max="26" width="9.85546875" style="69" bestFit="1" customWidth="1"/>
    <col min="27" max="27" width="11.42578125" style="69" bestFit="1" customWidth="1"/>
    <col min="28" max="28" width="10.140625" style="69" customWidth="1"/>
    <col min="29" max="29" width="9.85546875" style="69" customWidth="1"/>
    <col min="30" max="30" width="8.42578125" style="65" customWidth="1"/>
    <col min="31" max="31" width="5" style="65" customWidth="1"/>
    <col min="32" max="32" width="29" style="71" bestFit="1" customWidth="1"/>
    <col min="33" max="33" width="8.42578125" style="65" bestFit="1" customWidth="1"/>
    <col min="34" max="34" width="11.85546875" style="69" customWidth="1"/>
    <col min="35" max="35" width="10.140625" style="69" customWidth="1"/>
    <col min="36" max="40" width="7.140625" style="73" customWidth="1"/>
    <col min="41" max="41" width="10.5703125" style="73" customWidth="1"/>
    <col min="42" max="45" width="8.140625" style="73" customWidth="1"/>
    <col min="46" max="47" width="7.140625" style="73" customWidth="1"/>
    <col min="48" max="48" width="10.5703125" style="73" customWidth="1"/>
    <col min="49" max="50" width="7.140625" style="73" customWidth="1"/>
    <col min="51" max="51" width="10.5703125" style="73" customWidth="1"/>
    <col min="52" max="56" width="7.5703125" style="73" customWidth="1"/>
    <col min="57" max="57" width="11" style="73" customWidth="1"/>
    <col min="58" max="60" width="8.5703125" style="73" customWidth="1"/>
    <col min="61" max="62" width="7.5703125" style="73" customWidth="1"/>
    <col min="63" max="63" width="11" style="73" customWidth="1"/>
    <col min="64" max="65" width="7.5703125" style="73" customWidth="1"/>
    <col min="66" max="66" width="11" style="73" customWidth="1"/>
    <col min="67" max="67" width="11" style="185" customWidth="1"/>
    <col min="68" max="69" width="11" style="73" customWidth="1"/>
    <col min="70" max="71" width="6.42578125" style="73" customWidth="1"/>
    <col min="72" max="74" width="6.28515625" style="73" customWidth="1"/>
    <col min="75" max="75" width="9.7109375" style="570" customWidth="1"/>
    <col min="76" max="76" width="7.28515625" style="73" customWidth="1"/>
    <col min="77" max="77" width="5" style="185" customWidth="1"/>
    <col min="78" max="79" width="7.28515625" style="73" customWidth="1"/>
    <col min="80" max="80" width="6.28515625" style="73" customWidth="1"/>
    <col min="81" max="81" width="7" style="73" customWidth="1"/>
    <col min="82" max="82" width="9.7109375" style="73" customWidth="1"/>
    <col min="83" max="83" width="5.140625" style="65" customWidth="1"/>
    <col min="84" max="85" width="6.42578125" style="73" customWidth="1"/>
    <col min="86" max="86" width="6.28515625" style="73" customWidth="1"/>
    <col min="87" max="87" width="9.7109375" style="73" customWidth="1"/>
    <col min="88" max="92" width="19.5703125" customWidth="1"/>
    <col min="93" max="93" width="28.28515625" customWidth="1"/>
    <col min="94" max="95" width="20.5703125" customWidth="1"/>
    <col min="96" max="97" width="19.5703125" customWidth="1"/>
    <col min="98" max="98" width="28.28515625" customWidth="1"/>
    <col min="99" max="100" width="19.5703125" customWidth="1"/>
    <col min="101" max="105" width="20" customWidth="1"/>
    <col min="106" max="106" width="28.28515625" customWidth="1"/>
    <col min="107" max="107" width="23.42578125" customWidth="1"/>
    <col min="108" max="108" width="21" customWidth="1"/>
    <col min="109" max="112" width="20" customWidth="1"/>
    <col min="113" max="113" width="20.140625" customWidth="1"/>
    <col min="114" max="114" width="12" style="76" customWidth="1"/>
    <col min="115" max="115" width="10.28515625" style="73" customWidth="1"/>
    <col min="116" max="116" width="10" style="73" customWidth="1"/>
    <col min="117" max="117" width="9.42578125" style="73" customWidth="1"/>
    <col min="118" max="118" width="7.5703125" style="65" customWidth="1"/>
    <col min="119" max="119" width="8.5703125" style="65" customWidth="1"/>
    <col min="120" max="120" width="15.7109375" customWidth="1"/>
    <col min="121" max="121" width="12.85546875" style="65" customWidth="1"/>
    <col min="122" max="122" width="16.85546875" customWidth="1"/>
    <col min="123" max="123" width="15.85546875" style="65" customWidth="1"/>
    <col min="124" max="124" width="19.7109375" customWidth="1"/>
    <col min="125" max="125" width="14.85546875" style="65" customWidth="1"/>
    <col min="126" max="126" width="6.42578125" style="65" customWidth="1"/>
    <col min="127" max="127" width="25.5703125" customWidth="1"/>
    <col min="128" max="128" width="6.42578125" style="65" customWidth="1"/>
    <col min="129" max="129" width="16.5703125" customWidth="1"/>
    <col min="130" max="130" width="7.42578125" style="73" customWidth="1"/>
    <col min="131" max="131" width="7.7109375" style="73" customWidth="1"/>
    <col min="132" max="132" width="7.42578125" style="73" customWidth="1"/>
    <col min="133" max="133" width="10" style="65" customWidth="1"/>
    <col min="134" max="134" width="10.28515625" style="65" customWidth="1"/>
  </cols>
  <sheetData>
    <row r="1" spans="1:134" s="63" customFormat="1" ht="39" customHeight="1" x14ac:dyDescent="0.2">
      <c r="A1" s="63" t="s">
        <v>2939</v>
      </c>
      <c r="B1" s="63" t="s">
        <v>2940</v>
      </c>
      <c r="C1" s="63" t="s">
        <v>3966</v>
      </c>
      <c r="D1" s="63" t="s">
        <v>2941</v>
      </c>
      <c r="E1" s="64" t="s">
        <v>2846</v>
      </c>
      <c r="F1" s="63" t="s">
        <v>185</v>
      </c>
      <c r="G1" s="70" t="s">
        <v>3938</v>
      </c>
      <c r="H1" s="66" t="s">
        <v>418</v>
      </c>
      <c r="I1" s="64" t="s">
        <v>186</v>
      </c>
      <c r="J1" s="64" t="s">
        <v>187</v>
      </c>
      <c r="K1" s="64" t="s">
        <v>2847</v>
      </c>
      <c r="L1" s="64" t="s">
        <v>2848</v>
      </c>
      <c r="M1" s="64" t="s">
        <v>188</v>
      </c>
      <c r="N1" s="68" t="s">
        <v>2849</v>
      </c>
      <c r="O1" s="68" t="s">
        <v>13</v>
      </c>
      <c r="P1" s="64" t="s">
        <v>2850</v>
      </c>
      <c r="Q1" s="68" t="s">
        <v>189</v>
      </c>
      <c r="R1" s="64" t="s">
        <v>190</v>
      </c>
      <c r="S1" s="68" t="s">
        <v>191</v>
      </c>
      <c r="T1" s="68" t="s">
        <v>192</v>
      </c>
      <c r="U1" s="63" t="s">
        <v>2993</v>
      </c>
      <c r="V1" s="63" t="s">
        <v>2994</v>
      </c>
      <c r="W1" s="64" t="s">
        <v>2918</v>
      </c>
      <c r="X1" s="64" t="s">
        <v>2919</v>
      </c>
      <c r="Y1" s="64" t="s">
        <v>194</v>
      </c>
      <c r="Z1" s="68" t="s">
        <v>2851</v>
      </c>
      <c r="AA1" s="68" t="s">
        <v>2852</v>
      </c>
      <c r="AB1" s="68" t="s">
        <v>2853</v>
      </c>
      <c r="AC1" s="68" t="s">
        <v>2854</v>
      </c>
      <c r="AD1" s="64" t="s">
        <v>195</v>
      </c>
      <c r="AE1" s="64" t="s">
        <v>196</v>
      </c>
      <c r="AF1" s="70" t="s">
        <v>2844</v>
      </c>
      <c r="AG1" s="64" t="s">
        <v>2845</v>
      </c>
      <c r="AH1" s="68" t="s">
        <v>2855</v>
      </c>
      <c r="AI1" s="68" t="s">
        <v>2856</v>
      </c>
      <c r="AJ1" s="72" t="s">
        <v>2858</v>
      </c>
      <c r="AK1" s="72" t="s">
        <v>2859</v>
      </c>
      <c r="AL1" s="72" t="s">
        <v>2860</v>
      </c>
      <c r="AM1" s="72" t="s">
        <v>2861</v>
      </c>
      <c r="AN1" s="72" t="s">
        <v>2862</v>
      </c>
      <c r="AO1" s="72" t="s">
        <v>2863</v>
      </c>
      <c r="AP1" s="72" t="s">
        <v>2864</v>
      </c>
      <c r="AQ1" s="72" t="s">
        <v>2865</v>
      </c>
      <c r="AR1" s="72" t="s">
        <v>2866</v>
      </c>
      <c r="AS1" s="72" t="s">
        <v>2975</v>
      </c>
      <c r="AT1" s="72" t="s">
        <v>2867</v>
      </c>
      <c r="AU1" s="72" t="s">
        <v>2868</v>
      </c>
      <c r="AV1" s="72" t="s">
        <v>2869</v>
      </c>
      <c r="AW1" s="72" t="s">
        <v>2871</v>
      </c>
      <c r="AX1" s="72" t="s">
        <v>2872</v>
      </c>
      <c r="AY1" s="72" t="s">
        <v>2873</v>
      </c>
      <c r="AZ1" s="72" t="s">
        <v>2874</v>
      </c>
      <c r="BA1" s="72" t="s">
        <v>2875</v>
      </c>
      <c r="BB1" s="72" t="s">
        <v>2876</v>
      </c>
      <c r="BC1" s="72" t="s">
        <v>2877</v>
      </c>
      <c r="BD1" s="72" t="s">
        <v>2878</v>
      </c>
      <c r="BE1" s="72" t="s">
        <v>2879</v>
      </c>
      <c r="BF1" s="72" t="s">
        <v>2880</v>
      </c>
      <c r="BG1" s="72" t="s">
        <v>2881</v>
      </c>
      <c r="BH1" s="72" t="s">
        <v>2882</v>
      </c>
      <c r="BI1" s="72" t="s">
        <v>2883</v>
      </c>
      <c r="BJ1" s="72" t="s">
        <v>2884</v>
      </c>
      <c r="BK1" s="72" t="s">
        <v>2885</v>
      </c>
      <c r="BL1" s="72" t="s">
        <v>2887</v>
      </c>
      <c r="BM1" s="72" t="s">
        <v>2888</v>
      </c>
      <c r="BN1" s="72" t="s">
        <v>2889</v>
      </c>
      <c r="BO1" s="184" t="s">
        <v>3967</v>
      </c>
      <c r="BP1" s="72" t="s">
        <v>3968</v>
      </c>
      <c r="BQ1" s="72" t="s">
        <v>3969</v>
      </c>
      <c r="BR1" s="72" t="s">
        <v>75</v>
      </c>
      <c r="BS1" s="72" t="s">
        <v>76</v>
      </c>
      <c r="BT1" s="72" t="s">
        <v>77</v>
      </c>
      <c r="BU1" s="72" t="s">
        <v>78</v>
      </c>
      <c r="BV1" s="72" t="s">
        <v>79</v>
      </c>
      <c r="BW1" s="569" t="s">
        <v>2890</v>
      </c>
      <c r="BX1" s="72" t="s">
        <v>80</v>
      </c>
      <c r="BY1" s="184" t="s">
        <v>3793</v>
      </c>
      <c r="BZ1" s="72" t="s">
        <v>81</v>
      </c>
      <c r="CA1" s="72" t="s">
        <v>82</v>
      </c>
      <c r="CB1" s="72" t="s">
        <v>83</v>
      </c>
      <c r="CC1" s="72" t="s">
        <v>84</v>
      </c>
      <c r="CD1" s="72" t="s">
        <v>2891</v>
      </c>
      <c r="CE1" s="64" t="s">
        <v>2892</v>
      </c>
      <c r="CF1" s="72" t="s">
        <v>85</v>
      </c>
      <c r="CG1" s="72" t="s">
        <v>86</v>
      </c>
      <c r="CH1" s="72" t="s">
        <v>87</v>
      </c>
      <c r="CI1" s="72" t="s">
        <v>2893</v>
      </c>
      <c r="CJ1" s="63" t="s">
        <v>197</v>
      </c>
      <c r="CK1" s="63" t="s">
        <v>198</v>
      </c>
      <c r="CL1" s="63" t="s">
        <v>199</v>
      </c>
      <c r="CM1" s="63" t="s">
        <v>200</v>
      </c>
      <c r="CN1" s="63" t="s">
        <v>201</v>
      </c>
      <c r="CO1" s="63" t="s">
        <v>202</v>
      </c>
      <c r="CP1" s="63" t="s">
        <v>203</v>
      </c>
      <c r="CQ1" s="63" t="s">
        <v>204</v>
      </c>
      <c r="CR1" s="63" t="s">
        <v>205</v>
      </c>
      <c r="CS1" s="63" t="s">
        <v>206</v>
      </c>
      <c r="CT1" s="63" t="s">
        <v>207</v>
      </c>
      <c r="CU1" s="63" t="s">
        <v>208</v>
      </c>
      <c r="CV1" s="63" t="s">
        <v>209</v>
      </c>
      <c r="CW1" s="63" t="s">
        <v>210</v>
      </c>
      <c r="CX1" s="63" t="s">
        <v>211</v>
      </c>
      <c r="CY1" s="63" t="s">
        <v>212</v>
      </c>
      <c r="CZ1" s="63" t="s">
        <v>213</v>
      </c>
      <c r="DA1" s="63" t="s">
        <v>214</v>
      </c>
      <c r="DB1" s="63" t="s">
        <v>215</v>
      </c>
      <c r="DC1" s="63" t="s">
        <v>216</v>
      </c>
      <c r="DD1" s="63" t="s">
        <v>217</v>
      </c>
      <c r="DE1" s="63" t="s">
        <v>218</v>
      </c>
      <c r="DF1" s="63" t="s">
        <v>219</v>
      </c>
      <c r="DG1" s="63" t="s">
        <v>220</v>
      </c>
      <c r="DH1" s="63" t="s">
        <v>221</v>
      </c>
      <c r="DI1" s="63" t="s">
        <v>222</v>
      </c>
      <c r="DJ1" s="75" t="s">
        <v>1301</v>
      </c>
      <c r="DK1" s="72" t="s">
        <v>223</v>
      </c>
      <c r="DL1" s="72" t="s">
        <v>224</v>
      </c>
      <c r="DM1" s="72" t="s">
        <v>225</v>
      </c>
      <c r="DN1" s="64" t="s">
        <v>107</v>
      </c>
      <c r="DO1" s="64" t="s">
        <v>2894</v>
      </c>
      <c r="DP1" s="63" t="s">
        <v>2895</v>
      </c>
      <c r="DQ1" s="64" t="s">
        <v>2896</v>
      </c>
      <c r="DR1" s="63" t="s">
        <v>2897</v>
      </c>
      <c r="DS1" s="64" t="s">
        <v>2898</v>
      </c>
      <c r="DT1" s="63" t="s">
        <v>2899</v>
      </c>
      <c r="DU1" s="64" t="s">
        <v>2900</v>
      </c>
      <c r="DV1" s="64" t="s">
        <v>111</v>
      </c>
      <c r="DW1" s="63" t="s">
        <v>164</v>
      </c>
      <c r="DX1" s="64" t="s">
        <v>140</v>
      </c>
      <c r="DY1" s="63" t="s">
        <v>14</v>
      </c>
      <c r="DZ1" s="72" t="s">
        <v>127</v>
      </c>
      <c r="EA1" s="72" t="s">
        <v>128</v>
      </c>
      <c r="EB1" s="72" t="s">
        <v>129</v>
      </c>
      <c r="EC1" s="64" t="s">
        <v>130</v>
      </c>
      <c r="ED1" s="64" t="s">
        <v>3866</v>
      </c>
    </row>
    <row r="2" spans="1:134" ht="12" customHeight="1" x14ac:dyDescent="0.2">
      <c r="A2" t="s">
        <v>2936</v>
      </c>
      <c r="B2" t="s">
        <v>2946</v>
      </c>
      <c r="C2" t="str">
        <f>RIGHT(B2,LEN(B2)-3)</f>
        <v>Full</v>
      </c>
      <c r="D2" t="s">
        <v>2943</v>
      </c>
      <c r="E2" s="65">
        <v>9</v>
      </c>
      <c r="F2" t="s">
        <v>1309</v>
      </c>
      <c r="G2" s="71" t="s">
        <v>3939</v>
      </c>
      <c r="H2" s="67">
        <v>0.31999999284744302</v>
      </c>
      <c r="I2" s="65">
        <v>524288</v>
      </c>
      <c r="J2" s="65">
        <v>173076</v>
      </c>
      <c r="L2" s="65" t="s">
        <v>595</v>
      </c>
      <c r="M2" s="65" t="s">
        <v>27</v>
      </c>
      <c r="N2" s="69">
        <v>42380</v>
      </c>
      <c r="O2" s="69">
        <v>42453</v>
      </c>
      <c r="R2" s="65" t="s">
        <v>28</v>
      </c>
      <c r="U2" t="s">
        <v>596</v>
      </c>
      <c r="V2" t="s">
        <v>2995</v>
      </c>
      <c r="W2" s="65" t="s">
        <v>29</v>
      </c>
      <c r="X2" s="65" t="s">
        <v>29</v>
      </c>
      <c r="Y2" s="65" t="s">
        <v>35</v>
      </c>
      <c r="AA2" s="69">
        <v>42825</v>
      </c>
      <c r="AB2" s="69">
        <v>43060</v>
      </c>
      <c r="AC2" s="69">
        <v>43060</v>
      </c>
      <c r="AD2" s="65" t="s">
        <v>23</v>
      </c>
      <c r="AE2" s="65" t="s">
        <v>73</v>
      </c>
      <c r="AH2" s="69">
        <f>AA2</f>
        <v>42825</v>
      </c>
      <c r="AI2" s="69">
        <f>AB2</f>
        <v>43060</v>
      </c>
      <c r="AW2" s="73">
        <v>549</v>
      </c>
      <c r="AY2" s="73">
        <v>549</v>
      </c>
      <c r="BO2" s="185" t="s">
        <v>3794</v>
      </c>
      <c r="BP2" s="185" t="s">
        <v>3794</v>
      </c>
      <c r="BQ2" s="185" t="s">
        <v>126</v>
      </c>
      <c r="BW2" s="73"/>
      <c r="BY2" s="185" t="s">
        <v>3794</v>
      </c>
      <c r="CG2" s="73">
        <v>549</v>
      </c>
      <c r="CI2" s="73">
        <v>549</v>
      </c>
      <c r="CJ2" t="s">
        <v>25</v>
      </c>
      <c r="CK2" t="s">
        <v>25</v>
      </c>
      <c r="CL2" t="s">
        <v>25</v>
      </c>
      <c r="CM2" t="s">
        <v>25</v>
      </c>
      <c r="CN2" t="s">
        <v>25</v>
      </c>
      <c r="CO2" t="s">
        <v>25</v>
      </c>
      <c r="CP2" t="s">
        <v>25</v>
      </c>
      <c r="CQ2" t="s">
        <v>25</v>
      </c>
      <c r="CR2" t="s">
        <v>25</v>
      </c>
      <c r="CS2" t="s">
        <v>25</v>
      </c>
      <c r="CT2" t="s">
        <v>25</v>
      </c>
      <c r="CU2" t="s">
        <v>60</v>
      </c>
      <c r="CV2" t="s">
        <v>25</v>
      </c>
      <c r="CW2" t="s">
        <v>25</v>
      </c>
      <c r="CX2" t="s">
        <v>25</v>
      </c>
      <c r="CY2" t="s">
        <v>25</v>
      </c>
      <c r="CZ2" t="s">
        <v>25</v>
      </c>
      <c r="DA2" t="s">
        <v>25</v>
      </c>
      <c r="DB2" t="s">
        <v>25</v>
      </c>
      <c r="DC2" t="s">
        <v>25</v>
      </c>
      <c r="DD2" t="s">
        <v>25</v>
      </c>
      <c r="DE2" t="s">
        <v>25</v>
      </c>
      <c r="DF2" t="s">
        <v>25</v>
      </c>
      <c r="DG2" t="s">
        <v>25</v>
      </c>
      <c r="DH2" t="s">
        <v>25</v>
      </c>
      <c r="DI2" t="s">
        <v>25</v>
      </c>
      <c r="DJ2" s="76">
        <v>0.31999999284744302</v>
      </c>
      <c r="DK2" s="73">
        <v>549</v>
      </c>
      <c r="DL2" s="73">
        <v>0</v>
      </c>
      <c r="DM2" s="73">
        <v>549</v>
      </c>
      <c r="DU2"/>
      <c r="DZ2" s="73">
        <v>0</v>
      </c>
      <c r="EA2" s="73">
        <v>0</v>
      </c>
      <c r="EB2" s="73">
        <v>0</v>
      </c>
    </row>
    <row r="3" spans="1:134" ht="12" customHeight="1" x14ac:dyDescent="0.2">
      <c r="A3" t="s">
        <v>2938</v>
      </c>
      <c r="B3" t="s">
        <v>2946</v>
      </c>
      <c r="C3" t="str">
        <f t="shared" ref="C3:C66" si="0">RIGHT(B3,LEN(B3)-3)</f>
        <v>Full</v>
      </c>
      <c r="E3" s="65">
        <v>12</v>
      </c>
      <c r="F3" t="s">
        <v>1310</v>
      </c>
      <c r="G3" s="71" t="s">
        <v>3940</v>
      </c>
      <c r="H3" s="67">
        <v>0.60699999332428001</v>
      </c>
      <c r="I3" s="65">
        <v>522148</v>
      </c>
      <c r="J3" s="65">
        <v>174623</v>
      </c>
      <c r="K3" s="65" t="s">
        <v>1311</v>
      </c>
      <c r="L3" s="65" t="s">
        <v>1312</v>
      </c>
      <c r="M3" s="65" t="s">
        <v>172</v>
      </c>
      <c r="N3" s="69">
        <v>43153</v>
      </c>
      <c r="R3" s="65" t="s">
        <v>28</v>
      </c>
      <c r="U3" t="s">
        <v>1313</v>
      </c>
      <c r="V3" t="s">
        <v>2996</v>
      </c>
      <c r="W3" s="65" t="s">
        <v>29</v>
      </c>
      <c r="X3" s="65" t="s">
        <v>29</v>
      </c>
      <c r="Y3" s="65" t="s">
        <v>69</v>
      </c>
      <c r="AD3" s="65" t="s">
        <v>173</v>
      </c>
      <c r="AE3" s="65" t="s">
        <v>24</v>
      </c>
      <c r="BO3" s="185" t="s">
        <v>3794</v>
      </c>
      <c r="BP3" s="185" t="s">
        <v>3794</v>
      </c>
      <c r="BQ3" s="185" t="s">
        <v>3794</v>
      </c>
      <c r="BW3" s="73"/>
      <c r="BY3" s="185" t="s">
        <v>3794</v>
      </c>
      <c r="CJ3" t="s">
        <v>25</v>
      </c>
      <c r="CK3" t="s">
        <v>25</v>
      </c>
      <c r="CL3" t="s">
        <v>25</v>
      </c>
      <c r="CM3" t="s">
        <v>25</v>
      </c>
      <c r="CN3" t="s">
        <v>25</v>
      </c>
      <c r="CO3" t="s">
        <v>25</v>
      </c>
      <c r="CP3" t="s">
        <v>25</v>
      </c>
      <c r="CQ3" t="s">
        <v>25</v>
      </c>
      <c r="CR3" t="s">
        <v>25</v>
      </c>
      <c r="CS3" t="s">
        <v>25</v>
      </c>
      <c r="CT3" t="s">
        <v>25</v>
      </c>
      <c r="CU3" t="s">
        <v>25</v>
      </c>
      <c r="CV3" t="s">
        <v>25</v>
      </c>
      <c r="CW3" t="s">
        <v>25</v>
      </c>
      <c r="CX3" t="s">
        <v>25</v>
      </c>
      <c r="CY3" t="s">
        <v>25</v>
      </c>
      <c r="CZ3" t="s">
        <v>25</v>
      </c>
      <c r="DA3" t="s">
        <v>25</v>
      </c>
      <c r="DB3" t="s">
        <v>25</v>
      </c>
      <c r="DC3" t="s">
        <v>25</v>
      </c>
      <c r="DD3" t="s">
        <v>25</v>
      </c>
      <c r="DE3" t="s">
        <v>25</v>
      </c>
      <c r="DF3" t="s">
        <v>25</v>
      </c>
      <c r="DG3" t="s">
        <v>25</v>
      </c>
      <c r="DH3" t="s">
        <v>25</v>
      </c>
      <c r="DI3" t="s">
        <v>25</v>
      </c>
      <c r="DJ3" s="76">
        <v>0.60699999332428001</v>
      </c>
      <c r="DK3" s="73">
        <v>18</v>
      </c>
      <c r="DL3" s="73">
        <v>0</v>
      </c>
      <c r="DM3" s="73">
        <v>18</v>
      </c>
      <c r="DU3"/>
      <c r="DZ3" s="73">
        <v>0</v>
      </c>
      <c r="EA3" s="73">
        <v>0</v>
      </c>
      <c r="EB3" s="73">
        <v>0</v>
      </c>
    </row>
    <row r="4" spans="1:134" ht="12" customHeight="1" x14ac:dyDescent="0.2">
      <c r="A4" t="s">
        <v>2938</v>
      </c>
      <c r="B4" t="s">
        <v>2959</v>
      </c>
      <c r="C4" t="str">
        <f t="shared" si="0"/>
        <v>Appeal</v>
      </c>
      <c r="E4" s="65">
        <v>13</v>
      </c>
      <c r="F4" t="s">
        <v>1314</v>
      </c>
      <c r="G4" s="71" t="s">
        <v>3941</v>
      </c>
      <c r="H4" s="67">
        <v>0.210999995470047</v>
      </c>
      <c r="I4" s="65">
        <v>527592</v>
      </c>
      <c r="J4" s="65">
        <v>172887</v>
      </c>
      <c r="L4" s="65" t="s">
        <v>1315</v>
      </c>
      <c r="M4" s="65" t="s">
        <v>19</v>
      </c>
      <c r="N4" s="69">
        <v>43027</v>
      </c>
      <c r="O4" s="69">
        <v>43083</v>
      </c>
      <c r="P4" s="65" t="s">
        <v>126</v>
      </c>
      <c r="R4" s="65" t="s">
        <v>987</v>
      </c>
      <c r="S4" s="69">
        <v>43180</v>
      </c>
      <c r="U4" t="s">
        <v>1316</v>
      </c>
      <c r="V4" t="s">
        <v>2997</v>
      </c>
      <c r="W4" s="65" t="s">
        <v>29</v>
      </c>
      <c r="X4" s="65" t="s">
        <v>29</v>
      </c>
      <c r="Y4" s="65" t="s">
        <v>69</v>
      </c>
      <c r="AD4" s="65" t="s">
        <v>23</v>
      </c>
      <c r="AE4" s="65" t="s">
        <v>54</v>
      </c>
      <c r="BO4" s="185" t="s">
        <v>3794</v>
      </c>
      <c r="BP4" s="185" t="s">
        <v>3794</v>
      </c>
      <c r="BQ4" s="185" t="s">
        <v>3794</v>
      </c>
      <c r="BW4" s="73"/>
      <c r="BY4" s="185" t="s">
        <v>3794</v>
      </c>
      <c r="CJ4" t="s">
        <v>25</v>
      </c>
      <c r="CK4" t="s">
        <v>25</v>
      </c>
      <c r="CL4" t="s">
        <v>25</v>
      </c>
      <c r="CM4" t="s">
        <v>25</v>
      </c>
      <c r="CN4" t="s">
        <v>25</v>
      </c>
      <c r="CO4" t="s">
        <v>25</v>
      </c>
      <c r="CP4" t="s">
        <v>25</v>
      </c>
      <c r="CQ4" t="s">
        <v>25</v>
      </c>
      <c r="CR4" t="s">
        <v>25</v>
      </c>
      <c r="CS4" t="s">
        <v>25</v>
      </c>
      <c r="CT4" t="s">
        <v>25</v>
      </c>
      <c r="CU4" t="s">
        <v>25</v>
      </c>
      <c r="CV4" t="s">
        <v>25</v>
      </c>
      <c r="CW4" t="s">
        <v>25</v>
      </c>
      <c r="CX4" t="s">
        <v>25</v>
      </c>
      <c r="CY4" t="s">
        <v>25</v>
      </c>
      <c r="CZ4" t="s">
        <v>25</v>
      </c>
      <c r="DA4" t="s">
        <v>25</v>
      </c>
      <c r="DB4" t="s">
        <v>25</v>
      </c>
      <c r="DC4" t="s">
        <v>25</v>
      </c>
      <c r="DD4" t="s">
        <v>25</v>
      </c>
      <c r="DE4" t="s">
        <v>25</v>
      </c>
      <c r="DF4" t="s">
        <v>25</v>
      </c>
      <c r="DG4" t="s">
        <v>25</v>
      </c>
      <c r="DH4" t="s">
        <v>25</v>
      </c>
      <c r="DI4" t="s">
        <v>25</v>
      </c>
      <c r="DJ4" s="76">
        <v>0.210999995470047</v>
      </c>
      <c r="DK4" s="73">
        <v>0</v>
      </c>
      <c r="DL4" s="73">
        <v>296</v>
      </c>
      <c r="DM4" s="73">
        <v>-296</v>
      </c>
      <c r="DU4"/>
      <c r="DZ4" s="73">
        <v>0</v>
      </c>
      <c r="EA4" s="73">
        <v>0</v>
      </c>
      <c r="EB4" s="73">
        <v>0</v>
      </c>
    </row>
    <row r="5" spans="1:134" ht="12" customHeight="1" x14ac:dyDescent="0.2">
      <c r="A5" t="s">
        <v>2937</v>
      </c>
      <c r="B5" t="s">
        <v>2946</v>
      </c>
      <c r="C5" t="str">
        <f t="shared" si="0"/>
        <v>Full</v>
      </c>
      <c r="E5" s="65">
        <v>35</v>
      </c>
      <c r="F5" t="s">
        <v>1317</v>
      </c>
      <c r="G5" s="71" t="s">
        <v>3942</v>
      </c>
      <c r="H5" s="67">
        <v>6.0000000521540598E-3</v>
      </c>
      <c r="I5" s="65">
        <v>527443</v>
      </c>
      <c r="J5" s="65">
        <v>175002</v>
      </c>
      <c r="L5" s="65" t="s">
        <v>980</v>
      </c>
      <c r="M5" s="65" t="s">
        <v>27</v>
      </c>
      <c r="N5" s="69">
        <v>42578</v>
      </c>
      <c r="O5" s="69">
        <v>42664</v>
      </c>
      <c r="R5" s="65" t="s">
        <v>28</v>
      </c>
      <c r="U5" t="s">
        <v>981</v>
      </c>
      <c r="V5" t="s">
        <v>2998</v>
      </c>
      <c r="W5" s="65" t="s">
        <v>29</v>
      </c>
      <c r="X5" s="65" t="s">
        <v>29</v>
      </c>
      <c r="Y5" s="65" t="s">
        <v>59</v>
      </c>
      <c r="AD5" s="65" t="s">
        <v>23</v>
      </c>
      <c r="AE5" s="65" t="s">
        <v>24</v>
      </c>
      <c r="BO5" s="185" t="s">
        <v>3794</v>
      </c>
      <c r="BP5" s="185" t="s">
        <v>3794</v>
      </c>
      <c r="BQ5" s="185" t="s">
        <v>3794</v>
      </c>
      <c r="BW5" s="73"/>
      <c r="BY5" s="185" t="s">
        <v>3794</v>
      </c>
      <c r="CJ5" t="s">
        <v>25</v>
      </c>
      <c r="CK5" t="s">
        <v>25</v>
      </c>
      <c r="CL5" t="s">
        <v>25</v>
      </c>
      <c r="CM5" t="s">
        <v>25</v>
      </c>
      <c r="CN5" t="s">
        <v>25</v>
      </c>
      <c r="CO5" t="s">
        <v>25</v>
      </c>
      <c r="CP5" t="s">
        <v>25</v>
      </c>
      <c r="CQ5" t="s">
        <v>25</v>
      </c>
      <c r="CR5" t="s">
        <v>25</v>
      </c>
      <c r="CS5" t="s">
        <v>25</v>
      </c>
      <c r="CT5" t="s">
        <v>25</v>
      </c>
      <c r="CU5" t="s">
        <v>25</v>
      </c>
      <c r="CV5" t="s">
        <v>25</v>
      </c>
      <c r="CW5" t="s">
        <v>25</v>
      </c>
      <c r="CX5" t="s">
        <v>25</v>
      </c>
      <c r="CY5" t="s">
        <v>25</v>
      </c>
      <c r="CZ5" t="s">
        <v>25</v>
      </c>
      <c r="DA5" t="s">
        <v>25</v>
      </c>
      <c r="DB5" t="s">
        <v>25</v>
      </c>
      <c r="DC5" t="s">
        <v>25</v>
      </c>
      <c r="DD5" t="s">
        <v>25</v>
      </c>
      <c r="DE5" t="s">
        <v>25</v>
      </c>
      <c r="DF5" t="s">
        <v>25</v>
      </c>
      <c r="DG5" t="s">
        <v>25</v>
      </c>
      <c r="DH5" t="s">
        <v>25</v>
      </c>
      <c r="DI5" t="s">
        <v>25</v>
      </c>
      <c r="DJ5" s="76">
        <v>0</v>
      </c>
      <c r="DK5" s="73">
        <v>0</v>
      </c>
      <c r="DL5" s="73">
        <v>73</v>
      </c>
      <c r="DM5" s="73">
        <v>-73</v>
      </c>
      <c r="DU5"/>
      <c r="DV5" s="65" t="s">
        <v>126</v>
      </c>
      <c r="DW5" t="s">
        <v>132</v>
      </c>
      <c r="DZ5" s="73">
        <v>131</v>
      </c>
      <c r="EA5" s="73">
        <v>0</v>
      </c>
      <c r="EB5" s="73">
        <v>131</v>
      </c>
      <c r="EC5" s="65" t="s">
        <v>126</v>
      </c>
    </row>
    <row r="6" spans="1:134" ht="12" customHeight="1" x14ac:dyDescent="0.2">
      <c r="A6" t="s">
        <v>2937</v>
      </c>
      <c r="B6" t="s">
        <v>2946</v>
      </c>
      <c r="C6" t="str">
        <f t="shared" si="0"/>
        <v>Full</v>
      </c>
      <c r="E6" s="65">
        <v>54</v>
      </c>
      <c r="F6" t="s">
        <v>1318</v>
      </c>
      <c r="G6" s="71" t="s">
        <v>3943</v>
      </c>
      <c r="H6" s="67">
        <v>0.14300000667571999</v>
      </c>
      <c r="I6" s="65">
        <v>527320</v>
      </c>
      <c r="J6" s="65">
        <v>177144</v>
      </c>
      <c r="L6" s="65" t="s">
        <v>1319</v>
      </c>
      <c r="M6" s="65" t="s">
        <v>27</v>
      </c>
      <c r="N6" s="69">
        <v>42765</v>
      </c>
      <c r="O6" s="69">
        <v>43087</v>
      </c>
      <c r="P6" s="65" t="s">
        <v>126</v>
      </c>
      <c r="R6" s="65" t="s">
        <v>28</v>
      </c>
      <c r="U6" t="s">
        <v>1320</v>
      </c>
      <c r="V6" t="s">
        <v>2999</v>
      </c>
      <c r="W6" s="65" t="s">
        <v>39</v>
      </c>
      <c r="X6" s="65" t="s">
        <v>39</v>
      </c>
      <c r="Y6" s="65" t="s">
        <v>69</v>
      </c>
      <c r="AD6" s="65" t="s">
        <v>23</v>
      </c>
      <c r="AE6" s="65" t="s">
        <v>24</v>
      </c>
      <c r="BF6" s="73">
        <v>354</v>
      </c>
      <c r="BK6" s="73">
        <v>354</v>
      </c>
      <c r="BO6" s="185" t="s">
        <v>3794</v>
      </c>
      <c r="BP6" s="185" t="s">
        <v>126</v>
      </c>
      <c r="BQ6" s="185" t="s">
        <v>3794</v>
      </c>
      <c r="BW6" s="73"/>
      <c r="BX6" s="73">
        <v>-354</v>
      </c>
      <c r="BY6" s="185" t="s">
        <v>126</v>
      </c>
      <c r="CD6" s="73">
        <v>-354</v>
      </c>
      <c r="CE6" s="65" t="s">
        <v>126</v>
      </c>
      <c r="CJ6" t="s">
        <v>25</v>
      </c>
      <c r="CK6" t="s">
        <v>25</v>
      </c>
      <c r="CL6" t="s">
        <v>25</v>
      </c>
      <c r="CM6" t="s">
        <v>25</v>
      </c>
      <c r="CN6" t="s">
        <v>25</v>
      </c>
      <c r="CO6" t="s">
        <v>25</v>
      </c>
      <c r="CP6" t="s">
        <v>25</v>
      </c>
      <c r="CQ6" t="s">
        <v>25</v>
      </c>
      <c r="CR6" t="s">
        <v>25</v>
      </c>
      <c r="CS6" t="s">
        <v>25</v>
      </c>
      <c r="CT6" t="s">
        <v>25</v>
      </c>
      <c r="CU6" t="s">
        <v>25</v>
      </c>
      <c r="CV6" t="s">
        <v>25</v>
      </c>
      <c r="CW6" t="s">
        <v>25</v>
      </c>
      <c r="CX6" t="s">
        <v>25</v>
      </c>
      <c r="CY6" t="s">
        <v>25</v>
      </c>
      <c r="CZ6" t="s">
        <v>25</v>
      </c>
      <c r="DA6" t="s">
        <v>25</v>
      </c>
      <c r="DB6" t="s">
        <v>49</v>
      </c>
      <c r="DC6" t="s">
        <v>25</v>
      </c>
      <c r="DD6" t="s">
        <v>25</v>
      </c>
      <c r="DE6" t="s">
        <v>25</v>
      </c>
      <c r="DF6" t="s">
        <v>25</v>
      </c>
      <c r="DG6" t="s">
        <v>25</v>
      </c>
      <c r="DH6" t="s">
        <v>25</v>
      </c>
      <c r="DI6" t="s">
        <v>25</v>
      </c>
      <c r="DJ6" s="76">
        <v>0.11600000597536539</v>
      </c>
      <c r="DK6" s="73">
        <v>0</v>
      </c>
      <c r="DL6" s="73">
        <v>354</v>
      </c>
      <c r="DM6" s="73">
        <v>-354</v>
      </c>
      <c r="DN6" s="65" t="s">
        <v>126</v>
      </c>
      <c r="DU6"/>
      <c r="DZ6" s="73">
        <v>493</v>
      </c>
      <c r="EA6" s="73">
        <v>0</v>
      </c>
      <c r="EB6" s="73">
        <v>493</v>
      </c>
      <c r="EC6" s="65" t="s">
        <v>126</v>
      </c>
    </row>
    <row r="7" spans="1:134" ht="12" customHeight="1" x14ac:dyDescent="0.2">
      <c r="A7" t="s">
        <v>2935</v>
      </c>
      <c r="B7" t="s">
        <v>2946</v>
      </c>
      <c r="C7" t="str">
        <f t="shared" si="0"/>
        <v>Full</v>
      </c>
      <c r="E7" s="65">
        <v>68</v>
      </c>
      <c r="F7" t="s">
        <v>1321</v>
      </c>
      <c r="G7" s="71" t="s">
        <v>3944</v>
      </c>
      <c r="H7" s="67">
        <v>3.7999998778104803E-2</v>
      </c>
      <c r="I7" s="65">
        <v>526960</v>
      </c>
      <c r="J7" s="65">
        <v>175223</v>
      </c>
      <c r="L7" s="65" t="s">
        <v>257</v>
      </c>
      <c r="M7" s="65" t="s">
        <v>27</v>
      </c>
      <c r="N7" s="69">
        <v>41702</v>
      </c>
      <c r="O7" s="69">
        <v>42116</v>
      </c>
      <c r="R7" s="65" t="s">
        <v>28</v>
      </c>
      <c r="U7" t="s">
        <v>401</v>
      </c>
      <c r="V7" t="s">
        <v>3000</v>
      </c>
      <c r="W7" s="65" t="s">
        <v>29</v>
      </c>
      <c r="X7" s="65" t="s">
        <v>29</v>
      </c>
      <c r="Y7" s="65" t="s">
        <v>30</v>
      </c>
      <c r="AA7" s="69">
        <v>42825</v>
      </c>
      <c r="AD7" s="65" t="s">
        <v>23</v>
      </c>
      <c r="AE7" s="65" t="s">
        <v>24</v>
      </c>
      <c r="AH7" s="69">
        <f t="shared" ref="AH7:AH66" si="1">AA7</f>
        <v>42825</v>
      </c>
      <c r="AJ7" s="73">
        <v>263</v>
      </c>
      <c r="AO7" s="73">
        <v>263</v>
      </c>
      <c r="BO7" s="185" t="s">
        <v>126</v>
      </c>
      <c r="BP7" s="185" t="s">
        <v>3794</v>
      </c>
      <c r="BQ7" s="185" t="s">
        <v>3794</v>
      </c>
      <c r="BR7" s="73">
        <v>263</v>
      </c>
      <c r="BW7" s="73">
        <v>263</v>
      </c>
      <c r="BY7" s="185" t="s">
        <v>3794</v>
      </c>
      <c r="CJ7" t="s">
        <v>31</v>
      </c>
      <c r="CK7" t="s">
        <v>25</v>
      </c>
      <c r="CL7" t="s">
        <v>25</v>
      </c>
      <c r="CM7" t="s">
        <v>25</v>
      </c>
      <c r="CN7" t="s">
        <v>25</v>
      </c>
      <c r="CO7" t="s">
        <v>25</v>
      </c>
      <c r="CP7" t="s">
        <v>25</v>
      </c>
      <c r="CQ7" t="s">
        <v>25</v>
      </c>
      <c r="CR7" t="s">
        <v>25</v>
      </c>
      <c r="CS7" t="s">
        <v>25</v>
      </c>
      <c r="CT7" t="s">
        <v>25</v>
      </c>
      <c r="CU7" t="s">
        <v>25</v>
      </c>
      <c r="CV7" t="s">
        <v>25</v>
      </c>
      <c r="CW7" t="s">
        <v>25</v>
      </c>
      <c r="CX7" t="s">
        <v>25</v>
      </c>
      <c r="CY7" t="s">
        <v>25</v>
      </c>
      <c r="CZ7" t="s">
        <v>25</v>
      </c>
      <c r="DA7" t="s">
        <v>25</v>
      </c>
      <c r="DB7" t="s">
        <v>25</v>
      </c>
      <c r="DC7" t="s">
        <v>25</v>
      </c>
      <c r="DD7" t="s">
        <v>25</v>
      </c>
      <c r="DE7" t="s">
        <v>25</v>
      </c>
      <c r="DF7" t="s">
        <v>25</v>
      </c>
      <c r="DG7" t="s">
        <v>25</v>
      </c>
      <c r="DH7" t="s">
        <v>25</v>
      </c>
      <c r="DI7" t="s">
        <v>25</v>
      </c>
      <c r="DJ7" s="76">
        <v>8.999999612569802E-3</v>
      </c>
      <c r="DK7" s="73">
        <v>263</v>
      </c>
      <c r="DL7" s="73">
        <v>0</v>
      </c>
      <c r="DM7" s="73">
        <v>263</v>
      </c>
      <c r="DU7"/>
      <c r="DZ7" s="73">
        <v>797</v>
      </c>
      <c r="EA7" s="73">
        <v>0</v>
      </c>
      <c r="EB7" s="73">
        <v>797</v>
      </c>
      <c r="EC7" s="65" t="s">
        <v>126</v>
      </c>
    </row>
    <row r="8" spans="1:134" ht="12" customHeight="1" x14ac:dyDescent="0.2">
      <c r="A8" t="s">
        <v>2935</v>
      </c>
      <c r="B8" t="s">
        <v>2946</v>
      </c>
      <c r="C8" t="str">
        <f t="shared" si="0"/>
        <v>Full</v>
      </c>
      <c r="E8" s="65">
        <v>87</v>
      </c>
      <c r="F8" t="s">
        <v>1322</v>
      </c>
      <c r="G8" s="71" t="s">
        <v>3943</v>
      </c>
      <c r="H8" s="67">
        <v>5.3210000991821298</v>
      </c>
      <c r="I8" s="65">
        <v>526241</v>
      </c>
      <c r="J8" s="65">
        <v>175489</v>
      </c>
      <c r="L8" s="65" t="s">
        <v>643</v>
      </c>
      <c r="M8" s="65" t="s">
        <v>27</v>
      </c>
      <c r="N8" s="69">
        <v>40494</v>
      </c>
      <c r="O8" s="69">
        <v>40588</v>
      </c>
      <c r="R8" s="65" t="s">
        <v>28</v>
      </c>
      <c r="U8" t="s">
        <v>644</v>
      </c>
      <c r="V8" t="s">
        <v>3001</v>
      </c>
      <c r="W8" s="65" t="s">
        <v>29</v>
      </c>
      <c r="X8" s="65" t="s">
        <v>29</v>
      </c>
      <c r="Y8" s="65" t="s">
        <v>30</v>
      </c>
      <c r="AA8" s="69">
        <v>40999</v>
      </c>
      <c r="AD8" s="65" t="s">
        <v>23</v>
      </c>
      <c r="AE8" s="65" t="s">
        <v>24</v>
      </c>
      <c r="AH8" s="69">
        <f t="shared" si="1"/>
        <v>40999</v>
      </c>
      <c r="AJ8" s="73">
        <v>110</v>
      </c>
      <c r="AK8" s="73">
        <v>110</v>
      </c>
      <c r="AL8" s="73">
        <v>109</v>
      </c>
      <c r="AM8" s="73">
        <v>109</v>
      </c>
      <c r="AO8" s="73">
        <v>438</v>
      </c>
      <c r="AP8" s="73">
        <v>109</v>
      </c>
      <c r="AS8" s="73">
        <v>109</v>
      </c>
      <c r="AV8" s="73">
        <v>109</v>
      </c>
      <c r="BO8" s="185" t="s">
        <v>126</v>
      </c>
      <c r="BP8" s="185" t="s">
        <v>126</v>
      </c>
      <c r="BQ8" s="185" t="s">
        <v>3794</v>
      </c>
      <c r="BR8" s="73">
        <v>110</v>
      </c>
      <c r="BS8" s="73">
        <v>110</v>
      </c>
      <c r="BT8" s="73">
        <v>109</v>
      </c>
      <c r="BU8" s="73">
        <v>109</v>
      </c>
      <c r="BW8" s="73">
        <v>438</v>
      </c>
      <c r="BX8" s="73">
        <v>109</v>
      </c>
      <c r="BY8" s="185" t="s">
        <v>3794</v>
      </c>
      <c r="CD8" s="73">
        <v>109</v>
      </c>
      <c r="CJ8" t="s">
        <v>31</v>
      </c>
      <c r="CK8" t="s">
        <v>31</v>
      </c>
      <c r="CL8" t="s">
        <v>31</v>
      </c>
      <c r="CM8" t="s">
        <v>31</v>
      </c>
      <c r="CN8" t="s">
        <v>25</v>
      </c>
      <c r="CO8" t="s">
        <v>31</v>
      </c>
      <c r="CP8" t="s">
        <v>25</v>
      </c>
      <c r="CQ8" t="s">
        <v>25</v>
      </c>
      <c r="CR8" t="s">
        <v>25</v>
      </c>
      <c r="CS8" t="s">
        <v>25</v>
      </c>
      <c r="CT8" t="s">
        <v>25</v>
      </c>
      <c r="CU8" t="s">
        <v>25</v>
      </c>
      <c r="CV8" t="s">
        <v>25</v>
      </c>
      <c r="CW8" t="s">
        <v>25</v>
      </c>
      <c r="CX8" t="s">
        <v>25</v>
      </c>
      <c r="CY8" t="s">
        <v>25</v>
      </c>
      <c r="CZ8" t="s">
        <v>25</v>
      </c>
      <c r="DA8" t="s">
        <v>25</v>
      </c>
      <c r="DB8" t="s">
        <v>25</v>
      </c>
      <c r="DC8" t="s">
        <v>25</v>
      </c>
      <c r="DD8" t="s">
        <v>25</v>
      </c>
      <c r="DE8" t="s">
        <v>25</v>
      </c>
      <c r="DF8" t="s">
        <v>25</v>
      </c>
      <c r="DG8" t="s">
        <v>25</v>
      </c>
      <c r="DH8" t="s">
        <v>25</v>
      </c>
      <c r="DI8" t="s">
        <v>25</v>
      </c>
      <c r="DJ8" s="76">
        <v>4.3450001031160372</v>
      </c>
      <c r="DK8" s="73">
        <v>547</v>
      </c>
      <c r="DL8" s="73">
        <v>0</v>
      </c>
      <c r="DM8" s="73">
        <v>547</v>
      </c>
      <c r="DN8" s="65" t="s">
        <v>126</v>
      </c>
      <c r="DU8"/>
      <c r="DZ8" s="73">
        <v>0</v>
      </c>
      <c r="EA8" s="73">
        <v>0</v>
      </c>
      <c r="EB8" s="73">
        <v>0</v>
      </c>
    </row>
    <row r="9" spans="1:134" ht="12" customHeight="1" x14ac:dyDescent="0.2">
      <c r="A9" t="s">
        <v>2935</v>
      </c>
      <c r="B9" t="s">
        <v>2948</v>
      </c>
      <c r="C9" t="str">
        <f t="shared" si="0"/>
        <v>Prior Approval</v>
      </c>
      <c r="E9" s="65">
        <v>90</v>
      </c>
      <c r="F9" t="s">
        <v>1323</v>
      </c>
      <c r="G9" s="71" t="s">
        <v>3945</v>
      </c>
      <c r="H9" s="67">
        <v>8.0000003799796104E-3</v>
      </c>
      <c r="I9" s="65">
        <v>528415</v>
      </c>
      <c r="J9" s="65">
        <v>175709</v>
      </c>
      <c r="L9" s="65" t="s">
        <v>502</v>
      </c>
      <c r="M9" s="65" t="s">
        <v>244</v>
      </c>
      <c r="N9" s="69">
        <v>42200</v>
      </c>
      <c r="O9" s="69">
        <v>42256</v>
      </c>
      <c r="R9" s="65" t="s">
        <v>28</v>
      </c>
      <c r="U9" t="s">
        <v>503</v>
      </c>
      <c r="V9" t="s">
        <v>3002</v>
      </c>
      <c r="W9" s="65" t="s">
        <v>21</v>
      </c>
      <c r="X9" s="65" t="s">
        <v>21</v>
      </c>
      <c r="Y9" s="65" t="s">
        <v>30</v>
      </c>
      <c r="AA9" s="69">
        <v>42460</v>
      </c>
      <c r="AD9" s="65" t="s">
        <v>23</v>
      </c>
      <c r="AE9" s="65" t="s">
        <v>24</v>
      </c>
      <c r="AH9" s="69">
        <f t="shared" si="1"/>
        <v>42460</v>
      </c>
      <c r="BF9" s="73">
        <v>63</v>
      </c>
      <c r="BK9" s="73">
        <v>63</v>
      </c>
      <c r="BO9" s="185" t="s">
        <v>3794</v>
      </c>
      <c r="BP9" s="185" t="s">
        <v>126</v>
      </c>
      <c r="BQ9" s="185" t="s">
        <v>3794</v>
      </c>
      <c r="BW9" s="73"/>
      <c r="BX9" s="73">
        <v>-63</v>
      </c>
      <c r="BY9" s="185" t="s">
        <v>126</v>
      </c>
      <c r="CD9" s="73">
        <v>-63</v>
      </c>
      <c r="CE9" s="65" t="s">
        <v>126</v>
      </c>
      <c r="CJ9" t="s">
        <v>25</v>
      </c>
      <c r="CK9" t="s">
        <v>25</v>
      </c>
      <c r="CL9" t="s">
        <v>25</v>
      </c>
      <c r="CM9" t="s">
        <v>25</v>
      </c>
      <c r="CN9" t="s">
        <v>25</v>
      </c>
      <c r="CO9" t="s">
        <v>25</v>
      </c>
      <c r="CP9" t="s">
        <v>25</v>
      </c>
      <c r="CQ9" t="s">
        <v>25</v>
      </c>
      <c r="CR9" t="s">
        <v>25</v>
      </c>
      <c r="CS9" t="s">
        <v>25</v>
      </c>
      <c r="CT9" t="s">
        <v>25</v>
      </c>
      <c r="CU9" t="s">
        <v>25</v>
      </c>
      <c r="CV9" t="s">
        <v>25</v>
      </c>
      <c r="CW9" t="s">
        <v>25</v>
      </c>
      <c r="CX9" t="s">
        <v>25</v>
      </c>
      <c r="CY9" t="s">
        <v>25</v>
      </c>
      <c r="CZ9" t="s">
        <v>25</v>
      </c>
      <c r="DA9" t="s">
        <v>25</v>
      </c>
      <c r="DB9" t="s">
        <v>31</v>
      </c>
      <c r="DC9" t="s">
        <v>25</v>
      </c>
      <c r="DD9" t="s">
        <v>25</v>
      </c>
      <c r="DE9" t="s">
        <v>25</v>
      </c>
      <c r="DF9" t="s">
        <v>25</v>
      </c>
      <c r="DG9" t="s">
        <v>25</v>
      </c>
      <c r="DH9" t="s">
        <v>25</v>
      </c>
      <c r="DI9" t="s">
        <v>25</v>
      </c>
      <c r="DJ9" s="76">
        <v>2.0000003278255506E-3</v>
      </c>
      <c r="DK9" s="73">
        <v>0</v>
      </c>
      <c r="DL9" s="73">
        <v>63</v>
      </c>
      <c r="DM9" s="73">
        <v>-63</v>
      </c>
      <c r="DU9"/>
      <c r="DZ9" s="73">
        <v>63</v>
      </c>
      <c r="EA9" s="73">
        <v>0</v>
      </c>
      <c r="EB9" s="73">
        <v>63</v>
      </c>
      <c r="EC9" s="65" t="s">
        <v>126</v>
      </c>
    </row>
    <row r="10" spans="1:134" ht="12" customHeight="1" x14ac:dyDescent="0.2">
      <c r="A10" t="s">
        <v>2936</v>
      </c>
      <c r="B10" t="s">
        <v>2946</v>
      </c>
      <c r="C10" t="str">
        <f t="shared" si="0"/>
        <v>Full</v>
      </c>
      <c r="D10" t="s">
        <v>2943</v>
      </c>
      <c r="E10" s="65">
        <v>101</v>
      </c>
      <c r="F10" t="s">
        <v>1324</v>
      </c>
      <c r="G10" s="71" t="s">
        <v>3944</v>
      </c>
      <c r="H10" s="67">
        <v>9.9999997764825804E-3</v>
      </c>
      <c r="I10" s="65">
        <v>525852</v>
      </c>
      <c r="J10" s="65">
        <v>174974</v>
      </c>
      <c r="L10" s="65" t="s">
        <v>177</v>
      </c>
      <c r="M10" s="65" t="s">
        <v>27</v>
      </c>
      <c r="N10" s="69">
        <v>40997</v>
      </c>
      <c r="O10" s="69">
        <v>41145</v>
      </c>
      <c r="R10" s="65" t="s">
        <v>28</v>
      </c>
      <c r="U10" t="s">
        <v>647</v>
      </c>
      <c r="V10" t="s">
        <v>3003</v>
      </c>
      <c r="W10" s="65" t="s">
        <v>29</v>
      </c>
      <c r="X10" s="65" t="s">
        <v>29</v>
      </c>
      <c r="Y10" s="65" t="s">
        <v>35</v>
      </c>
      <c r="AA10" s="69">
        <v>41820</v>
      </c>
      <c r="AB10" s="69">
        <v>42859</v>
      </c>
      <c r="AC10" s="69">
        <v>43190</v>
      </c>
      <c r="AD10" s="65" t="s">
        <v>23</v>
      </c>
      <c r="AE10" s="65" t="s">
        <v>24</v>
      </c>
      <c r="AH10" s="69">
        <f t="shared" si="1"/>
        <v>41820</v>
      </c>
      <c r="AI10" s="69">
        <f t="shared" ref="AI10:AI66" si="2">AB10</f>
        <v>42859</v>
      </c>
      <c r="AJ10" s="73">
        <v>64</v>
      </c>
      <c r="AO10" s="73">
        <v>64</v>
      </c>
      <c r="BJ10" s="73">
        <v>93</v>
      </c>
      <c r="BK10" s="73">
        <v>93</v>
      </c>
      <c r="BO10" s="185" t="s">
        <v>126</v>
      </c>
      <c r="BP10" s="185" t="s">
        <v>126</v>
      </c>
      <c r="BQ10" s="185" t="s">
        <v>3794</v>
      </c>
      <c r="BR10" s="73">
        <v>64</v>
      </c>
      <c r="BW10" s="73">
        <v>64</v>
      </c>
      <c r="BY10" s="185" t="s">
        <v>3794</v>
      </c>
      <c r="CC10" s="73">
        <v>-93</v>
      </c>
      <c r="CD10" s="73">
        <v>-93</v>
      </c>
      <c r="CE10" s="65" t="s">
        <v>126</v>
      </c>
      <c r="CJ10" t="s">
        <v>31</v>
      </c>
      <c r="CK10" t="s">
        <v>25</v>
      </c>
      <c r="CL10" t="s">
        <v>25</v>
      </c>
      <c r="CM10" t="s">
        <v>25</v>
      </c>
      <c r="CN10" t="s">
        <v>25</v>
      </c>
      <c r="CO10" t="s">
        <v>25</v>
      </c>
      <c r="CP10" t="s">
        <v>25</v>
      </c>
      <c r="CQ10" t="s">
        <v>25</v>
      </c>
      <c r="CR10" t="s">
        <v>25</v>
      </c>
      <c r="CS10" t="s">
        <v>25</v>
      </c>
      <c r="CT10" t="s">
        <v>25</v>
      </c>
      <c r="CU10" t="s">
        <v>25</v>
      </c>
      <c r="CV10" t="s">
        <v>25</v>
      </c>
      <c r="CW10" t="s">
        <v>25</v>
      </c>
      <c r="CX10" t="s">
        <v>25</v>
      </c>
      <c r="CY10" t="s">
        <v>25</v>
      </c>
      <c r="CZ10" t="s">
        <v>25</v>
      </c>
      <c r="DA10" t="s">
        <v>25</v>
      </c>
      <c r="DB10" t="s">
        <v>25</v>
      </c>
      <c r="DC10" t="s">
        <v>25</v>
      </c>
      <c r="DD10" t="s">
        <v>25</v>
      </c>
      <c r="DE10" t="s">
        <v>25</v>
      </c>
      <c r="DF10" t="s">
        <v>25</v>
      </c>
      <c r="DG10" t="s">
        <v>25</v>
      </c>
      <c r="DH10" t="s">
        <v>25</v>
      </c>
      <c r="DI10" t="s">
        <v>25</v>
      </c>
      <c r="DJ10" s="76">
        <v>2.9999995604157404E-3</v>
      </c>
      <c r="DK10" s="73">
        <v>64</v>
      </c>
      <c r="DL10" s="73">
        <v>93</v>
      </c>
      <c r="DM10" s="73">
        <v>-29</v>
      </c>
      <c r="DU10"/>
      <c r="DZ10" s="73">
        <v>214</v>
      </c>
      <c r="EA10" s="73">
        <v>0</v>
      </c>
      <c r="EB10" s="73">
        <v>214</v>
      </c>
      <c r="EC10" s="65" t="s">
        <v>126</v>
      </c>
    </row>
    <row r="11" spans="1:134" ht="12" customHeight="1" x14ac:dyDescent="0.2">
      <c r="A11" t="s">
        <v>2936</v>
      </c>
      <c r="B11" t="s">
        <v>2946</v>
      </c>
      <c r="C11" t="str">
        <f t="shared" si="0"/>
        <v>Full</v>
      </c>
      <c r="D11" t="s">
        <v>2943</v>
      </c>
      <c r="E11" s="65">
        <v>101</v>
      </c>
      <c r="F11" t="s">
        <v>1324</v>
      </c>
      <c r="G11" s="71" t="s">
        <v>3944</v>
      </c>
      <c r="H11" s="67">
        <v>9.9999997764825804E-3</v>
      </c>
      <c r="I11" s="65">
        <v>525852</v>
      </c>
      <c r="J11" s="65">
        <v>174974</v>
      </c>
      <c r="L11" s="65" t="s">
        <v>1162</v>
      </c>
      <c r="M11" s="65" t="s">
        <v>27</v>
      </c>
      <c r="N11" s="69">
        <v>42713</v>
      </c>
      <c r="O11" s="69">
        <v>42782</v>
      </c>
      <c r="R11" s="65" t="s">
        <v>28</v>
      </c>
      <c r="U11" t="s">
        <v>1163</v>
      </c>
      <c r="V11" t="s">
        <v>3004</v>
      </c>
      <c r="W11" s="65" t="s">
        <v>21</v>
      </c>
      <c r="X11" s="65" t="s">
        <v>21</v>
      </c>
      <c r="Y11" s="65" t="s">
        <v>35</v>
      </c>
      <c r="AA11" s="69">
        <v>42125</v>
      </c>
      <c r="AB11" s="69">
        <v>42856</v>
      </c>
      <c r="AC11" s="69">
        <v>42948</v>
      </c>
      <c r="AD11" s="65" t="s">
        <v>23</v>
      </c>
      <c r="AE11" s="65" t="s">
        <v>24</v>
      </c>
      <c r="AH11" s="69">
        <f t="shared" si="1"/>
        <v>42125</v>
      </c>
      <c r="AI11" s="69">
        <f t="shared" si="2"/>
        <v>42856</v>
      </c>
      <c r="AK11" s="73">
        <v>32</v>
      </c>
      <c r="AO11" s="73">
        <v>32</v>
      </c>
      <c r="AZ11" s="73">
        <v>32</v>
      </c>
      <c r="BE11" s="73">
        <v>32</v>
      </c>
      <c r="BO11" s="185" t="s">
        <v>126</v>
      </c>
      <c r="BP11" s="185" t="s">
        <v>3794</v>
      </c>
      <c r="BQ11" s="185" t="s">
        <v>3794</v>
      </c>
      <c r="BR11" s="73">
        <v>-32</v>
      </c>
      <c r="BS11" s="73">
        <v>32</v>
      </c>
      <c r="BW11" s="73"/>
      <c r="BY11" s="185" t="s">
        <v>3794</v>
      </c>
      <c r="CJ11" t="s">
        <v>25</v>
      </c>
      <c r="CK11" t="s">
        <v>64</v>
      </c>
      <c r="CL11" t="s">
        <v>25</v>
      </c>
      <c r="CM11" t="s">
        <v>25</v>
      </c>
      <c r="CN11" t="s">
        <v>25</v>
      </c>
      <c r="CO11" t="s">
        <v>25</v>
      </c>
      <c r="CP11" t="s">
        <v>25</v>
      </c>
      <c r="CQ11" t="s">
        <v>25</v>
      </c>
      <c r="CR11" t="s">
        <v>25</v>
      </c>
      <c r="CS11" t="s">
        <v>25</v>
      </c>
      <c r="CT11" t="s">
        <v>25</v>
      </c>
      <c r="CU11" t="s">
        <v>25</v>
      </c>
      <c r="CV11" t="s">
        <v>25</v>
      </c>
      <c r="CW11" t="s">
        <v>47</v>
      </c>
      <c r="CX11" t="s">
        <v>25</v>
      </c>
      <c r="CY11" t="s">
        <v>25</v>
      </c>
      <c r="CZ11" t="s">
        <v>25</v>
      </c>
      <c r="DA11" t="s">
        <v>25</v>
      </c>
      <c r="DB11" t="s">
        <v>25</v>
      </c>
      <c r="DC11" t="s">
        <v>25</v>
      </c>
      <c r="DD11" t="s">
        <v>25</v>
      </c>
      <c r="DE11" t="s">
        <v>25</v>
      </c>
      <c r="DF11" t="s">
        <v>25</v>
      </c>
      <c r="DG11" t="s">
        <v>25</v>
      </c>
      <c r="DH11" t="s">
        <v>25</v>
      </c>
      <c r="DI11" t="s">
        <v>25</v>
      </c>
      <c r="DJ11" s="76">
        <v>9.9999997764825804E-3</v>
      </c>
      <c r="DK11" s="73">
        <v>32</v>
      </c>
      <c r="DL11" s="73">
        <v>32</v>
      </c>
      <c r="DM11" s="73">
        <v>0</v>
      </c>
      <c r="DU11"/>
      <c r="DZ11" s="73">
        <v>0</v>
      </c>
      <c r="EA11" s="73">
        <v>0</v>
      </c>
      <c r="EB11" s="73">
        <v>0</v>
      </c>
    </row>
    <row r="12" spans="1:134" ht="12" customHeight="1" x14ac:dyDescent="0.2">
      <c r="A12" t="s">
        <v>2935</v>
      </c>
      <c r="B12" t="s">
        <v>2946</v>
      </c>
      <c r="C12" t="str">
        <f t="shared" si="0"/>
        <v>Full</v>
      </c>
      <c r="E12" s="65">
        <v>116</v>
      </c>
      <c r="F12" t="s">
        <v>1325</v>
      </c>
      <c r="G12" s="71" t="s">
        <v>3946</v>
      </c>
      <c r="H12" s="67">
        <v>4.1000001132488299E-2</v>
      </c>
      <c r="I12" s="65">
        <v>524382</v>
      </c>
      <c r="J12" s="65">
        <v>175284</v>
      </c>
      <c r="L12" s="65" t="s">
        <v>1326</v>
      </c>
      <c r="M12" s="65" t="s">
        <v>27</v>
      </c>
      <c r="N12" s="69">
        <v>42983</v>
      </c>
      <c r="O12" s="69">
        <v>43013</v>
      </c>
      <c r="P12" s="65" t="s">
        <v>126</v>
      </c>
      <c r="R12" s="65" t="s">
        <v>28</v>
      </c>
      <c r="U12" t="s">
        <v>1327</v>
      </c>
      <c r="V12" t="s">
        <v>3005</v>
      </c>
      <c r="W12" s="65" t="s">
        <v>34</v>
      </c>
      <c r="X12" s="65" t="s">
        <v>29</v>
      </c>
      <c r="Y12" s="65" t="s">
        <v>30</v>
      </c>
      <c r="AA12" s="69">
        <v>43190</v>
      </c>
      <c r="AD12" s="65" t="s">
        <v>23</v>
      </c>
      <c r="AE12" s="65" t="s">
        <v>24</v>
      </c>
      <c r="AH12" s="69">
        <f t="shared" si="1"/>
        <v>43190</v>
      </c>
      <c r="BB12" s="73">
        <v>91</v>
      </c>
      <c r="BE12" s="73">
        <v>91</v>
      </c>
      <c r="BH12" s="73">
        <v>259</v>
      </c>
      <c r="BK12" s="73">
        <v>259</v>
      </c>
      <c r="BO12" s="185" t="s">
        <v>126</v>
      </c>
      <c r="BP12" s="185" t="s">
        <v>126</v>
      </c>
      <c r="BQ12" s="185" t="s">
        <v>3794</v>
      </c>
      <c r="BT12" s="73">
        <v>-91</v>
      </c>
      <c r="BW12" s="73">
        <v>-91</v>
      </c>
      <c r="BY12" s="185" t="s">
        <v>3794</v>
      </c>
      <c r="CA12" s="73">
        <v>-259</v>
      </c>
      <c r="CD12" s="73">
        <v>-259</v>
      </c>
      <c r="CE12" s="65" t="s">
        <v>126</v>
      </c>
      <c r="CJ12" t="s">
        <v>25</v>
      </c>
      <c r="CK12" t="s">
        <v>25</v>
      </c>
      <c r="CL12" t="s">
        <v>25</v>
      </c>
      <c r="CM12" t="s">
        <v>25</v>
      </c>
      <c r="CN12" t="s">
        <v>25</v>
      </c>
      <c r="CO12" t="s">
        <v>25</v>
      </c>
      <c r="CP12" t="s">
        <v>25</v>
      </c>
      <c r="CQ12" t="s">
        <v>25</v>
      </c>
      <c r="CR12" t="s">
        <v>25</v>
      </c>
      <c r="CS12" t="s">
        <v>25</v>
      </c>
      <c r="CT12" t="s">
        <v>25</v>
      </c>
      <c r="CU12" t="s">
        <v>25</v>
      </c>
      <c r="CV12" t="s">
        <v>25</v>
      </c>
      <c r="CW12" t="s">
        <v>25</v>
      </c>
      <c r="CX12" t="s">
        <v>25</v>
      </c>
      <c r="CY12" t="s">
        <v>38</v>
      </c>
      <c r="CZ12" t="s">
        <v>25</v>
      </c>
      <c r="DA12" t="s">
        <v>25</v>
      </c>
      <c r="DB12" t="s">
        <v>25</v>
      </c>
      <c r="DC12" t="s">
        <v>25</v>
      </c>
      <c r="DD12" t="s">
        <v>51</v>
      </c>
      <c r="DE12" t="s">
        <v>25</v>
      </c>
      <c r="DF12" t="s">
        <v>25</v>
      </c>
      <c r="DG12" t="s">
        <v>25</v>
      </c>
      <c r="DH12" t="s">
        <v>25</v>
      </c>
      <c r="DI12" t="s">
        <v>25</v>
      </c>
      <c r="DJ12" s="76">
        <v>2.0000003278256018E-3</v>
      </c>
      <c r="DK12" s="73">
        <v>0</v>
      </c>
      <c r="DL12" s="73">
        <v>350</v>
      </c>
      <c r="DM12" s="73">
        <v>-350</v>
      </c>
      <c r="DU12"/>
      <c r="DZ12" s="73">
        <v>502</v>
      </c>
      <c r="EA12" s="73">
        <v>111</v>
      </c>
      <c r="EB12" s="73">
        <v>391</v>
      </c>
      <c r="EC12" s="65" t="s">
        <v>126</v>
      </c>
    </row>
    <row r="13" spans="1:134" ht="12" customHeight="1" x14ac:dyDescent="0.2">
      <c r="A13" t="s">
        <v>2936</v>
      </c>
      <c r="B13" t="s">
        <v>2946</v>
      </c>
      <c r="C13" t="str">
        <f t="shared" si="0"/>
        <v>Full</v>
      </c>
      <c r="D13" t="s">
        <v>2943</v>
      </c>
      <c r="E13" s="65">
        <v>167</v>
      </c>
      <c r="F13" t="s">
        <v>1329</v>
      </c>
      <c r="G13" s="71" t="s">
        <v>3943</v>
      </c>
      <c r="H13" s="67">
        <v>0.230000004172325</v>
      </c>
      <c r="I13" s="65">
        <v>526673</v>
      </c>
      <c r="J13" s="65">
        <v>176397</v>
      </c>
      <c r="K13" s="65" t="s">
        <v>1330</v>
      </c>
      <c r="L13" s="65" t="s">
        <v>287</v>
      </c>
      <c r="M13" s="65" t="s">
        <v>33</v>
      </c>
      <c r="N13" s="69">
        <v>41975</v>
      </c>
      <c r="O13" s="69">
        <v>42167</v>
      </c>
      <c r="Q13" s="69">
        <v>42081</v>
      </c>
      <c r="R13" s="65" t="s">
        <v>28</v>
      </c>
      <c r="U13" t="s">
        <v>723</v>
      </c>
      <c r="V13" t="s">
        <v>3006</v>
      </c>
      <c r="W13" s="65" t="s">
        <v>29</v>
      </c>
      <c r="X13" s="65" t="s">
        <v>29</v>
      </c>
      <c r="Y13" s="65" t="s">
        <v>35</v>
      </c>
      <c r="AA13" s="69">
        <v>42389</v>
      </c>
      <c r="AB13" s="69">
        <v>43165</v>
      </c>
      <c r="AC13" s="69">
        <v>43165</v>
      </c>
      <c r="AD13" s="65" t="s">
        <v>23</v>
      </c>
      <c r="AE13" s="65" t="s">
        <v>24</v>
      </c>
      <c r="AH13" s="69">
        <f t="shared" si="1"/>
        <v>42389</v>
      </c>
      <c r="AI13" s="69">
        <f t="shared" si="2"/>
        <v>43165</v>
      </c>
      <c r="AL13" s="73">
        <v>300</v>
      </c>
      <c r="AM13" s="73">
        <v>420</v>
      </c>
      <c r="AO13" s="73">
        <v>720</v>
      </c>
      <c r="AX13" s="73">
        <v>194</v>
      </c>
      <c r="AY13" s="73">
        <v>194</v>
      </c>
      <c r="BF13" s="73">
        <v>1876</v>
      </c>
      <c r="BK13" s="73">
        <v>1876</v>
      </c>
      <c r="BO13" s="185" t="s">
        <v>126</v>
      </c>
      <c r="BP13" s="185" t="s">
        <v>126</v>
      </c>
      <c r="BQ13" s="185" t="s">
        <v>126</v>
      </c>
      <c r="BT13" s="73">
        <v>300</v>
      </c>
      <c r="BU13" s="73">
        <v>420</v>
      </c>
      <c r="BW13" s="73">
        <v>720</v>
      </c>
      <c r="BX13" s="73">
        <v>-1876</v>
      </c>
      <c r="BY13" s="185" t="s">
        <v>126</v>
      </c>
      <c r="CD13" s="73">
        <v>-1876</v>
      </c>
      <c r="CE13" s="65" t="s">
        <v>126</v>
      </c>
      <c r="CH13" s="73">
        <v>194</v>
      </c>
      <c r="CI13" s="73">
        <v>194</v>
      </c>
      <c r="CJ13" t="s">
        <v>25</v>
      </c>
      <c r="CK13" t="s">
        <v>25</v>
      </c>
      <c r="CL13" t="s">
        <v>38</v>
      </c>
      <c r="CM13" t="s">
        <v>71</v>
      </c>
      <c r="CN13" t="s">
        <v>25</v>
      </c>
      <c r="CO13" t="s">
        <v>25</v>
      </c>
      <c r="CP13" t="s">
        <v>25</v>
      </c>
      <c r="CQ13" t="s">
        <v>25</v>
      </c>
      <c r="CR13" t="s">
        <v>25</v>
      </c>
      <c r="CS13" t="s">
        <v>25</v>
      </c>
      <c r="CT13" t="s">
        <v>25</v>
      </c>
      <c r="CU13" t="s">
        <v>25</v>
      </c>
      <c r="CV13" t="s">
        <v>44</v>
      </c>
      <c r="CW13" t="s">
        <v>25</v>
      </c>
      <c r="CX13" t="s">
        <v>25</v>
      </c>
      <c r="CY13" t="s">
        <v>25</v>
      </c>
      <c r="CZ13" t="s">
        <v>25</v>
      </c>
      <c r="DA13" t="s">
        <v>25</v>
      </c>
      <c r="DB13" t="s">
        <v>47</v>
      </c>
      <c r="DC13" t="s">
        <v>25</v>
      </c>
      <c r="DD13" t="s">
        <v>25</v>
      </c>
      <c r="DE13" t="s">
        <v>25</v>
      </c>
      <c r="DF13" t="s">
        <v>25</v>
      </c>
      <c r="DG13" t="s">
        <v>25</v>
      </c>
      <c r="DH13" t="s">
        <v>25</v>
      </c>
      <c r="DI13" t="s">
        <v>25</v>
      </c>
      <c r="DJ13" s="76">
        <v>4.0000000000000001E-3</v>
      </c>
      <c r="DK13" s="73">
        <v>914</v>
      </c>
      <c r="DL13" s="73">
        <v>1876</v>
      </c>
      <c r="DM13" s="73">
        <v>-962</v>
      </c>
      <c r="DN13" s="65" t="s">
        <v>126</v>
      </c>
      <c r="DU13"/>
      <c r="DZ13" s="73">
        <v>15420</v>
      </c>
      <c r="EA13" s="73">
        <v>0</v>
      </c>
      <c r="EB13" s="73">
        <v>15420</v>
      </c>
      <c r="EC13" s="65" t="s">
        <v>126</v>
      </c>
    </row>
    <row r="14" spans="1:134" ht="12" customHeight="1" x14ac:dyDescent="0.2">
      <c r="A14" t="s">
        <v>2937</v>
      </c>
      <c r="B14" t="s">
        <v>2946</v>
      </c>
      <c r="C14" t="str">
        <f t="shared" si="0"/>
        <v>Full</v>
      </c>
      <c r="E14" s="65">
        <v>167</v>
      </c>
      <c r="F14" t="s">
        <v>1329</v>
      </c>
      <c r="G14" s="71" t="s">
        <v>3943</v>
      </c>
      <c r="H14" s="67">
        <v>0.230000004172325</v>
      </c>
      <c r="I14" s="65">
        <v>526673</v>
      </c>
      <c r="J14" s="65">
        <v>176397</v>
      </c>
      <c r="K14" s="65" t="s">
        <v>1330</v>
      </c>
      <c r="L14" s="65" t="s">
        <v>1331</v>
      </c>
      <c r="M14" s="65" t="s">
        <v>434</v>
      </c>
      <c r="N14" s="69">
        <v>42864</v>
      </c>
      <c r="O14" s="69">
        <v>43034</v>
      </c>
      <c r="P14" s="65" t="s">
        <v>126</v>
      </c>
      <c r="Q14" s="69">
        <v>42936</v>
      </c>
      <c r="R14" s="65" t="s">
        <v>28</v>
      </c>
      <c r="U14" t="s">
        <v>1332</v>
      </c>
      <c r="V14" t="s">
        <v>3007</v>
      </c>
      <c r="W14" s="65" t="s">
        <v>21</v>
      </c>
      <c r="X14" s="65" t="s">
        <v>21</v>
      </c>
      <c r="Y14" s="65" t="s">
        <v>69</v>
      </c>
      <c r="AD14" s="65" t="s">
        <v>23</v>
      </c>
      <c r="AE14" s="65" t="s">
        <v>24</v>
      </c>
      <c r="AL14" s="73">
        <v>146</v>
      </c>
      <c r="AM14" s="73">
        <v>145</v>
      </c>
      <c r="AO14" s="73">
        <v>291</v>
      </c>
      <c r="AP14" s="73">
        <v>334</v>
      </c>
      <c r="AS14" s="73">
        <v>334</v>
      </c>
      <c r="AV14" s="73">
        <v>334</v>
      </c>
      <c r="BB14" s="73">
        <v>385</v>
      </c>
      <c r="BC14" s="73">
        <v>295</v>
      </c>
      <c r="BE14" s="73">
        <v>680</v>
      </c>
      <c r="BO14" s="185" t="s">
        <v>126</v>
      </c>
      <c r="BP14" s="185" t="s">
        <v>126</v>
      </c>
      <c r="BQ14" s="185" t="s">
        <v>3794</v>
      </c>
      <c r="BT14" s="73">
        <v>-239</v>
      </c>
      <c r="BU14" s="73">
        <v>-150</v>
      </c>
      <c r="BW14" s="73">
        <v>-389</v>
      </c>
      <c r="BX14" s="73">
        <v>334</v>
      </c>
      <c r="BY14" s="185" t="s">
        <v>3794</v>
      </c>
      <c r="CD14" s="73">
        <v>334</v>
      </c>
      <c r="CJ14" t="s">
        <v>25</v>
      </c>
      <c r="CK14" t="s">
        <v>25</v>
      </c>
      <c r="CL14" t="s">
        <v>50</v>
      </c>
      <c r="CM14" t="s">
        <v>175</v>
      </c>
      <c r="CN14" t="s">
        <v>25</v>
      </c>
      <c r="CO14" t="s">
        <v>31</v>
      </c>
      <c r="CP14" t="s">
        <v>25</v>
      </c>
      <c r="CQ14" t="s">
        <v>25</v>
      </c>
      <c r="CR14" t="s">
        <v>25</v>
      </c>
      <c r="CS14" t="s">
        <v>25</v>
      </c>
      <c r="CT14" t="s">
        <v>25</v>
      </c>
      <c r="CU14" t="s">
        <v>25</v>
      </c>
      <c r="CV14" t="s">
        <v>25</v>
      </c>
      <c r="CW14" t="s">
        <v>25</v>
      </c>
      <c r="CX14" t="s">
        <v>25</v>
      </c>
      <c r="CY14" t="s">
        <v>50</v>
      </c>
      <c r="CZ14" t="s">
        <v>175</v>
      </c>
      <c r="DA14" t="s">
        <v>25</v>
      </c>
      <c r="DB14" t="s">
        <v>25</v>
      </c>
      <c r="DC14" t="s">
        <v>25</v>
      </c>
      <c r="DD14" t="s">
        <v>25</v>
      </c>
      <c r="DE14" t="s">
        <v>25</v>
      </c>
      <c r="DF14" t="s">
        <v>25</v>
      </c>
      <c r="DG14" t="s">
        <v>25</v>
      </c>
      <c r="DH14" t="s">
        <v>25</v>
      </c>
      <c r="DI14" t="s">
        <v>25</v>
      </c>
      <c r="DJ14" s="76">
        <v>0</v>
      </c>
      <c r="DK14" s="73">
        <v>625</v>
      </c>
      <c r="DL14" s="73">
        <v>680</v>
      </c>
      <c r="DM14" s="73">
        <v>-55</v>
      </c>
      <c r="DN14" s="65" t="s">
        <v>126</v>
      </c>
      <c r="DU14"/>
      <c r="DZ14" s="73">
        <v>0</v>
      </c>
      <c r="EA14" s="73">
        <v>0</v>
      </c>
      <c r="EB14" s="73">
        <v>0</v>
      </c>
    </row>
    <row r="15" spans="1:134" ht="12" customHeight="1" x14ac:dyDescent="0.2">
      <c r="A15" t="s">
        <v>2937</v>
      </c>
      <c r="B15" t="s">
        <v>2946</v>
      </c>
      <c r="C15" t="str">
        <f t="shared" si="0"/>
        <v>Full</v>
      </c>
      <c r="E15" s="65">
        <v>170</v>
      </c>
      <c r="F15" t="s">
        <v>1333</v>
      </c>
      <c r="G15" s="71" t="s">
        <v>3947</v>
      </c>
      <c r="H15" s="67">
        <v>1.60000007599592E-2</v>
      </c>
      <c r="I15" s="65">
        <v>528164</v>
      </c>
      <c r="J15" s="65">
        <v>176634</v>
      </c>
      <c r="L15" s="65" t="s">
        <v>439</v>
      </c>
      <c r="M15" s="65" t="s">
        <v>27</v>
      </c>
      <c r="N15" s="69">
        <v>42121</v>
      </c>
      <c r="O15" s="69">
        <v>42230</v>
      </c>
      <c r="R15" s="65" t="s">
        <v>28</v>
      </c>
      <c r="U15" t="s">
        <v>440</v>
      </c>
      <c r="V15" t="s">
        <v>3008</v>
      </c>
      <c r="W15" s="65" t="s">
        <v>34</v>
      </c>
      <c r="X15" s="65" t="s">
        <v>29</v>
      </c>
      <c r="Y15" s="65" t="s">
        <v>69</v>
      </c>
      <c r="AD15" s="65" t="s">
        <v>23</v>
      </c>
      <c r="AE15" s="65" t="s">
        <v>24</v>
      </c>
      <c r="AK15" s="73">
        <v>133</v>
      </c>
      <c r="AO15" s="73">
        <v>133</v>
      </c>
      <c r="BA15" s="73">
        <v>146</v>
      </c>
      <c r="BE15" s="73">
        <v>146</v>
      </c>
      <c r="BF15" s="73">
        <v>239</v>
      </c>
      <c r="BK15" s="73">
        <v>239</v>
      </c>
      <c r="BO15" s="185" t="s">
        <v>126</v>
      </c>
      <c r="BP15" s="185" t="s">
        <v>126</v>
      </c>
      <c r="BQ15" s="185" t="s">
        <v>3794</v>
      </c>
      <c r="BS15" s="73">
        <v>-13</v>
      </c>
      <c r="BW15" s="73">
        <v>-13</v>
      </c>
      <c r="BX15" s="73">
        <v>-239</v>
      </c>
      <c r="BY15" s="185" t="s">
        <v>126</v>
      </c>
      <c r="CD15" s="73">
        <v>-239</v>
      </c>
      <c r="CE15" s="65" t="s">
        <v>126</v>
      </c>
      <c r="CJ15" t="s">
        <v>25</v>
      </c>
      <c r="CK15" t="s">
        <v>238</v>
      </c>
      <c r="CL15" t="s">
        <v>25</v>
      </c>
      <c r="CM15" t="s">
        <v>25</v>
      </c>
      <c r="CN15" t="s">
        <v>25</v>
      </c>
      <c r="CO15" t="s">
        <v>25</v>
      </c>
      <c r="CP15" t="s">
        <v>25</v>
      </c>
      <c r="CQ15" t="s">
        <v>25</v>
      </c>
      <c r="CR15" t="s">
        <v>25</v>
      </c>
      <c r="CS15" t="s">
        <v>25</v>
      </c>
      <c r="CT15" t="s">
        <v>25</v>
      </c>
      <c r="CU15" t="s">
        <v>25</v>
      </c>
      <c r="CV15" t="s">
        <v>25</v>
      </c>
      <c r="CW15" t="s">
        <v>25</v>
      </c>
      <c r="CX15" t="s">
        <v>238</v>
      </c>
      <c r="CY15" t="s">
        <v>25</v>
      </c>
      <c r="CZ15" t="s">
        <v>25</v>
      </c>
      <c r="DA15" t="s">
        <v>25</v>
      </c>
      <c r="DB15" t="s">
        <v>31</v>
      </c>
      <c r="DC15" t="s">
        <v>25</v>
      </c>
      <c r="DD15" t="s">
        <v>25</v>
      </c>
      <c r="DE15" t="s">
        <v>25</v>
      </c>
      <c r="DF15" t="s">
        <v>25</v>
      </c>
      <c r="DG15" t="s">
        <v>25</v>
      </c>
      <c r="DH15" t="s">
        <v>25</v>
      </c>
      <c r="DI15" t="s">
        <v>25</v>
      </c>
      <c r="DJ15" s="76">
        <v>4.0000006556510995E-3</v>
      </c>
      <c r="DK15" s="73">
        <v>133</v>
      </c>
      <c r="DL15" s="73">
        <v>385</v>
      </c>
      <c r="DM15" s="73">
        <v>-252</v>
      </c>
      <c r="DU15"/>
      <c r="DZ15" s="73">
        <v>413</v>
      </c>
      <c r="EA15" s="73">
        <v>0</v>
      </c>
      <c r="EB15" s="73">
        <v>413</v>
      </c>
      <c r="EC15" s="65" t="s">
        <v>126</v>
      </c>
    </row>
    <row r="16" spans="1:134" ht="12" customHeight="1" x14ac:dyDescent="0.2">
      <c r="A16" t="s">
        <v>2937</v>
      </c>
      <c r="B16" t="s">
        <v>2946</v>
      </c>
      <c r="C16" t="str">
        <f t="shared" si="0"/>
        <v>Full</v>
      </c>
      <c r="E16" s="65">
        <v>178</v>
      </c>
      <c r="F16" t="s">
        <v>1334</v>
      </c>
      <c r="G16" s="71" t="s">
        <v>3944</v>
      </c>
      <c r="H16" s="67">
        <v>2.4200000762939502</v>
      </c>
      <c r="I16" s="65">
        <v>525800</v>
      </c>
      <c r="J16" s="65">
        <v>175285</v>
      </c>
      <c r="L16" s="65" t="s">
        <v>535</v>
      </c>
      <c r="M16" s="65" t="s">
        <v>27</v>
      </c>
      <c r="N16" s="69">
        <v>42303</v>
      </c>
      <c r="O16" s="69">
        <v>42395</v>
      </c>
      <c r="R16" s="65" t="s">
        <v>28</v>
      </c>
      <c r="U16" t="s">
        <v>536</v>
      </c>
      <c r="V16" t="s">
        <v>3009</v>
      </c>
      <c r="W16" s="65" t="s">
        <v>21</v>
      </c>
      <c r="X16" s="65" t="s">
        <v>21</v>
      </c>
      <c r="Y16" s="65" t="s">
        <v>69</v>
      </c>
      <c r="AD16" s="65" t="s">
        <v>23</v>
      </c>
      <c r="AE16" s="65" t="s">
        <v>24</v>
      </c>
      <c r="AU16" s="73">
        <v>1472</v>
      </c>
      <c r="AV16" s="73">
        <v>1472</v>
      </c>
      <c r="BO16" s="185" t="s">
        <v>3794</v>
      </c>
      <c r="BP16" s="185" t="s">
        <v>126</v>
      </c>
      <c r="BQ16" s="185" t="s">
        <v>3794</v>
      </c>
      <c r="BW16" s="73"/>
      <c r="BY16" s="185" t="s">
        <v>3794</v>
      </c>
      <c r="CC16" s="73">
        <v>1472</v>
      </c>
      <c r="CD16" s="73">
        <v>1472</v>
      </c>
      <c r="CJ16" t="s">
        <v>25</v>
      </c>
      <c r="CK16" t="s">
        <v>25</v>
      </c>
      <c r="CL16" t="s">
        <v>25</v>
      </c>
      <c r="CM16" t="s">
        <v>25</v>
      </c>
      <c r="CN16" t="s">
        <v>25</v>
      </c>
      <c r="CO16" t="s">
        <v>25</v>
      </c>
      <c r="CP16" t="s">
        <v>25</v>
      </c>
      <c r="CQ16" t="s">
        <v>25</v>
      </c>
      <c r="CR16" t="s">
        <v>25</v>
      </c>
      <c r="CS16" t="s">
        <v>53</v>
      </c>
      <c r="CT16" t="s">
        <v>25</v>
      </c>
      <c r="CU16" t="s">
        <v>25</v>
      </c>
      <c r="CV16" t="s">
        <v>25</v>
      </c>
      <c r="CW16" t="s">
        <v>25</v>
      </c>
      <c r="CX16" t="s">
        <v>25</v>
      </c>
      <c r="CY16" t="s">
        <v>25</v>
      </c>
      <c r="CZ16" t="s">
        <v>25</v>
      </c>
      <c r="DA16" t="s">
        <v>25</v>
      </c>
      <c r="DB16" t="s">
        <v>25</v>
      </c>
      <c r="DC16" t="s">
        <v>25</v>
      </c>
      <c r="DD16" t="s">
        <v>25</v>
      </c>
      <c r="DE16" t="s">
        <v>25</v>
      </c>
      <c r="DF16" t="s">
        <v>25</v>
      </c>
      <c r="DG16" t="s">
        <v>25</v>
      </c>
      <c r="DH16" t="s">
        <v>25</v>
      </c>
      <c r="DI16" t="s">
        <v>25</v>
      </c>
      <c r="DJ16" s="76">
        <v>2.4200000762939502</v>
      </c>
      <c r="DK16" s="73">
        <v>1472</v>
      </c>
      <c r="DL16" s="73">
        <v>1472</v>
      </c>
      <c r="DM16" s="73">
        <v>0</v>
      </c>
      <c r="DN16" s="65" t="s">
        <v>126</v>
      </c>
      <c r="DU16"/>
      <c r="DZ16" s="73">
        <v>0</v>
      </c>
      <c r="EA16" s="73">
        <v>0</v>
      </c>
      <c r="EB16" s="73">
        <v>0</v>
      </c>
    </row>
    <row r="17" spans="1:133" ht="12" customHeight="1" x14ac:dyDescent="0.2">
      <c r="A17" t="s">
        <v>2937</v>
      </c>
      <c r="B17" t="s">
        <v>2946</v>
      </c>
      <c r="C17" t="str">
        <f t="shared" si="0"/>
        <v>Full</v>
      </c>
      <c r="E17" s="65">
        <v>180</v>
      </c>
      <c r="F17" t="s">
        <v>1335</v>
      </c>
      <c r="G17" s="71" t="s">
        <v>3948</v>
      </c>
      <c r="H17" s="67">
        <v>1.8990000486373899</v>
      </c>
      <c r="I17" s="65">
        <v>527950</v>
      </c>
      <c r="J17" s="65">
        <v>176519</v>
      </c>
      <c r="L17" s="65" t="s">
        <v>986</v>
      </c>
      <c r="M17" s="65" t="s">
        <v>33</v>
      </c>
      <c r="N17" s="69">
        <v>42583</v>
      </c>
      <c r="O17" s="69">
        <v>42989</v>
      </c>
      <c r="P17" s="65" t="s">
        <v>126</v>
      </c>
      <c r="Q17" s="69">
        <v>42718</v>
      </c>
      <c r="R17" s="65" t="s">
        <v>28</v>
      </c>
      <c r="U17" t="s">
        <v>1336</v>
      </c>
      <c r="V17" t="s">
        <v>3010</v>
      </c>
      <c r="W17" s="65" t="s">
        <v>29</v>
      </c>
      <c r="X17" s="65" t="s">
        <v>29</v>
      </c>
      <c r="Y17" s="65" t="s">
        <v>69</v>
      </c>
      <c r="AD17" s="65" t="s">
        <v>23</v>
      </c>
      <c r="AE17" s="65" t="s">
        <v>24</v>
      </c>
      <c r="AP17" s="73">
        <v>1248</v>
      </c>
      <c r="AS17" s="73">
        <v>1248</v>
      </c>
      <c r="AV17" s="73">
        <v>1248</v>
      </c>
      <c r="AW17" s="73">
        <v>1402</v>
      </c>
      <c r="AY17" s="73">
        <v>1402</v>
      </c>
      <c r="BO17" s="185" t="s">
        <v>3794</v>
      </c>
      <c r="BP17" s="185" t="s">
        <v>126</v>
      </c>
      <c r="BQ17" s="185" t="s">
        <v>126</v>
      </c>
      <c r="BW17" s="73"/>
      <c r="BX17" s="73">
        <v>1248</v>
      </c>
      <c r="BY17" s="185" t="s">
        <v>3794</v>
      </c>
      <c r="CD17" s="73">
        <v>1248</v>
      </c>
      <c r="CG17" s="73">
        <v>1402</v>
      </c>
      <c r="CI17" s="73">
        <v>1402</v>
      </c>
      <c r="CJ17" t="s">
        <v>25</v>
      </c>
      <c r="CK17" t="s">
        <v>25</v>
      </c>
      <c r="CL17" t="s">
        <v>25</v>
      </c>
      <c r="CM17" t="s">
        <v>25</v>
      </c>
      <c r="CN17" t="s">
        <v>25</v>
      </c>
      <c r="CO17" t="s">
        <v>31</v>
      </c>
      <c r="CP17" t="s">
        <v>25</v>
      </c>
      <c r="CQ17" t="s">
        <v>25</v>
      </c>
      <c r="CR17" t="s">
        <v>25</v>
      </c>
      <c r="CS17" t="s">
        <v>25</v>
      </c>
      <c r="CT17" t="s">
        <v>25</v>
      </c>
      <c r="CU17" t="s">
        <v>49</v>
      </c>
      <c r="CV17" t="s">
        <v>25</v>
      </c>
      <c r="CW17" t="s">
        <v>25</v>
      </c>
      <c r="CX17" t="s">
        <v>25</v>
      </c>
      <c r="CY17" t="s">
        <v>25</v>
      </c>
      <c r="CZ17" t="s">
        <v>25</v>
      </c>
      <c r="DA17" t="s">
        <v>25</v>
      </c>
      <c r="DB17" t="s">
        <v>25</v>
      </c>
      <c r="DC17" t="s">
        <v>25</v>
      </c>
      <c r="DD17" t="s">
        <v>25</v>
      </c>
      <c r="DE17" t="s">
        <v>25</v>
      </c>
      <c r="DF17" t="s">
        <v>25</v>
      </c>
      <c r="DG17" t="s">
        <v>25</v>
      </c>
      <c r="DH17" t="s">
        <v>25</v>
      </c>
      <c r="DI17" t="s">
        <v>25</v>
      </c>
      <c r="DJ17" s="76">
        <v>1.7480000462383025</v>
      </c>
      <c r="DK17" s="73">
        <v>2650</v>
      </c>
      <c r="DL17" s="73">
        <v>0</v>
      </c>
      <c r="DM17" s="73">
        <v>2650</v>
      </c>
      <c r="DU17"/>
      <c r="DZ17" s="73">
        <v>4700</v>
      </c>
      <c r="EA17" s="73">
        <v>105</v>
      </c>
      <c r="EB17" s="73">
        <v>4595</v>
      </c>
      <c r="EC17" s="65" t="s">
        <v>126</v>
      </c>
    </row>
    <row r="18" spans="1:133" ht="12" customHeight="1" x14ac:dyDescent="0.2">
      <c r="A18" t="s">
        <v>2937</v>
      </c>
      <c r="B18" t="s">
        <v>2946</v>
      </c>
      <c r="C18" t="str">
        <f t="shared" si="0"/>
        <v>Full</v>
      </c>
      <c r="E18" s="65">
        <v>213</v>
      </c>
      <c r="F18" t="s">
        <v>1337</v>
      </c>
      <c r="G18" s="71" t="s">
        <v>3949</v>
      </c>
      <c r="H18" s="67">
        <v>0.111000001430511</v>
      </c>
      <c r="I18" s="65">
        <v>523620</v>
      </c>
      <c r="J18" s="65">
        <v>175154</v>
      </c>
      <c r="L18" s="65" t="s">
        <v>1338</v>
      </c>
      <c r="M18" s="65" t="s">
        <v>27</v>
      </c>
      <c r="N18" s="69">
        <v>42872</v>
      </c>
      <c r="O18" s="69">
        <v>42929</v>
      </c>
      <c r="P18" s="65" t="s">
        <v>126</v>
      </c>
      <c r="R18" s="65" t="s">
        <v>28</v>
      </c>
      <c r="U18" t="s">
        <v>1339</v>
      </c>
      <c r="V18" t="s">
        <v>3011</v>
      </c>
      <c r="W18" s="65" t="s">
        <v>21</v>
      </c>
      <c r="X18" s="65" t="s">
        <v>21</v>
      </c>
      <c r="Y18" s="65" t="s">
        <v>69</v>
      </c>
      <c r="AD18" s="65" t="s">
        <v>23</v>
      </c>
      <c r="AE18" s="65" t="s">
        <v>24</v>
      </c>
      <c r="BJ18" s="73">
        <v>69</v>
      </c>
      <c r="BK18" s="73">
        <v>69</v>
      </c>
      <c r="BO18" s="185" t="s">
        <v>3794</v>
      </c>
      <c r="BP18" s="185" t="s">
        <v>126</v>
      </c>
      <c r="BQ18" s="185" t="s">
        <v>3794</v>
      </c>
      <c r="BW18" s="73"/>
      <c r="BY18" s="185" t="s">
        <v>3794</v>
      </c>
      <c r="CC18" s="73">
        <v>-69</v>
      </c>
      <c r="CD18" s="73">
        <v>-69</v>
      </c>
      <c r="CE18" s="65" t="s">
        <v>126</v>
      </c>
      <c r="CJ18" t="s">
        <v>25</v>
      </c>
      <c r="CK18" t="s">
        <v>25</v>
      </c>
      <c r="CL18" t="s">
        <v>25</v>
      </c>
      <c r="CM18" t="s">
        <v>25</v>
      </c>
      <c r="CN18" t="s">
        <v>25</v>
      </c>
      <c r="CO18" t="s">
        <v>25</v>
      </c>
      <c r="CP18" t="s">
        <v>25</v>
      </c>
      <c r="CQ18" t="s">
        <v>25</v>
      </c>
      <c r="CR18" t="s">
        <v>25</v>
      </c>
      <c r="CS18" t="s">
        <v>25</v>
      </c>
      <c r="CT18" t="s">
        <v>25</v>
      </c>
      <c r="CU18" t="s">
        <v>25</v>
      </c>
      <c r="CV18" t="s">
        <v>25</v>
      </c>
      <c r="CW18" t="s">
        <v>25</v>
      </c>
      <c r="CX18" t="s">
        <v>25</v>
      </c>
      <c r="CY18" t="s">
        <v>25</v>
      </c>
      <c r="CZ18" t="s">
        <v>25</v>
      </c>
      <c r="DA18" t="s">
        <v>25</v>
      </c>
      <c r="DB18" t="s">
        <v>25</v>
      </c>
      <c r="DC18" t="s">
        <v>25</v>
      </c>
      <c r="DD18" t="s">
        <v>25</v>
      </c>
      <c r="DE18" t="s">
        <v>25</v>
      </c>
      <c r="DF18" t="s">
        <v>53</v>
      </c>
      <c r="DG18" t="s">
        <v>25</v>
      </c>
      <c r="DH18" t="s">
        <v>25</v>
      </c>
      <c r="DI18" t="s">
        <v>25</v>
      </c>
      <c r="DJ18" s="76">
        <v>8.3000000566243709E-2</v>
      </c>
      <c r="DK18" s="73">
        <v>0</v>
      </c>
      <c r="DL18" s="73">
        <v>69</v>
      </c>
      <c r="DM18" s="73">
        <v>-69</v>
      </c>
      <c r="DU18"/>
      <c r="DV18" s="65" t="s">
        <v>126</v>
      </c>
      <c r="DW18" t="s">
        <v>131</v>
      </c>
      <c r="DZ18" s="73">
        <v>69</v>
      </c>
      <c r="EA18" s="73">
        <v>0</v>
      </c>
      <c r="EB18" s="73">
        <v>69</v>
      </c>
      <c r="EC18" s="65" t="s">
        <v>126</v>
      </c>
    </row>
    <row r="19" spans="1:133" ht="12" customHeight="1" x14ac:dyDescent="0.2">
      <c r="A19" t="s">
        <v>2935</v>
      </c>
      <c r="B19" t="s">
        <v>2946</v>
      </c>
      <c r="C19" t="str">
        <f t="shared" si="0"/>
        <v>Full</v>
      </c>
      <c r="E19" s="65">
        <v>215</v>
      </c>
      <c r="F19" t="s">
        <v>1340</v>
      </c>
      <c r="G19" s="71" t="s">
        <v>149</v>
      </c>
      <c r="H19" s="67">
        <v>0.10000000149011599</v>
      </c>
      <c r="I19" s="65">
        <v>528736</v>
      </c>
      <c r="J19" s="65">
        <v>174223</v>
      </c>
      <c r="L19" s="65" t="s">
        <v>471</v>
      </c>
      <c r="M19" s="65" t="s">
        <v>33</v>
      </c>
      <c r="N19" s="69">
        <v>42130</v>
      </c>
      <c r="O19" s="69">
        <v>42373</v>
      </c>
      <c r="Q19" s="69">
        <v>42263</v>
      </c>
      <c r="R19" s="65" t="s">
        <v>28</v>
      </c>
      <c r="U19" t="s">
        <v>743</v>
      </c>
      <c r="V19" t="s">
        <v>3012</v>
      </c>
      <c r="W19" s="65" t="s">
        <v>29</v>
      </c>
      <c r="X19" s="65" t="s">
        <v>29</v>
      </c>
      <c r="Y19" s="65" t="s">
        <v>30</v>
      </c>
      <c r="AA19" s="69">
        <v>43190</v>
      </c>
      <c r="AD19" s="65" t="s">
        <v>23</v>
      </c>
      <c r="AE19" s="65" t="s">
        <v>24</v>
      </c>
      <c r="AH19" s="69">
        <f t="shared" si="1"/>
        <v>43190</v>
      </c>
      <c r="BF19" s="73">
        <v>2365</v>
      </c>
      <c r="BK19" s="73">
        <v>2365</v>
      </c>
      <c r="BO19" s="185" t="s">
        <v>3794</v>
      </c>
      <c r="BP19" s="185" t="s">
        <v>126</v>
      </c>
      <c r="BQ19" s="185" t="s">
        <v>3794</v>
      </c>
      <c r="BW19" s="73"/>
      <c r="BX19" s="73">
        <v>-2365</v>
      </c>
      <c r="BY19" s="185" t="s">
        <v>126</v>
      </c>
      <c r="CD19" s="73">
        <v>-2365</v>
      </c>
      <c r="CE19" s="65" t="s">
        <v>126</v>
      </c>
      <c r="CJ19" t="s">
        <v>25</v>
      </c>
      <c r="CK19" t="s">
        <v>25</v>
      </c>
      <c r="CL19" t="s">
        <v>25</v>
      </c>
      <c r="CM19" t="s">
        <v>25</v>
      </c>
      <c r="CN19" t="s">
        <v>25</v>
      </c>
      <c r="CO19" t="s">
        <v>25</v>
      </c>
      <c r="CP19" t="s">
        <v>25</v>
      </c>
      <c r="CQ19" t="s">
        <v>25</v>
      </c>
      <c r="CR19" t="s">
        <v>25</v>
      </c>
      <c r="CS19" t="s">
        <v>25</v>
      </c>
      <c r="CT19" t="s">
        <v>25</v>
      </c>
      <c r="CU19" t="s">
        <v>25</v>
      </c>
      <c r="CV19" t="s">
        <v>25</v>
      </c>
      <c r="CW19" t="s">
        <v>25</v>
      </c>
      <c r="CX19" t="s">
        <v>25</v>
      </c>
      <c r="CY19" t="s">
        <v>25</v>
      </c>
      <c r="CZ19" t="s">
        <v>25</v>
      </c>
      <c r="DA19" t="s">
        <v>25</v>
      </c>
      <c r="DB19" t="s">
        <v>72</v>
      </c>
      <c r="DC19" t="s">
        <v>25</v>
      </c>
      <c r="DD19" t="s">
        <v>25</v>
      </c>
      <c r="DE19" t="s">
        <v>25</v>
      </c>
      <c r="DF19" t="s">
        <v>25</v>
      </c>
      <c r="DG19" t="s">
        <v>25</v>
      </c>
      <c r="DH19" t="s">
        <v>25</v>
      </c>
      <c r="DI19" t="s">
        <v>25</v>
      </c>
      <c r="DJ19" s="76">
        <v>0</v>
      </c>
      <c r="DK19" s="73">
        <v>0</v>
      </c>
      <c r="DL19" s="73">
        <v>2365</v>
      </c>
      <c r="DM19" s="73">
        <v>-2365</v>
      </c>
      <c r="DU19"/>
      <c r="DZ19" s="73">
        <v>14988</v>
      </c>
      <c r="EA19" s="73">
        <v>0</v>
      </c>
      <c r="EB19" s="73">
        <v>14988</v>
      </c>
      <c r="EC19" s="65" t="s">
        <v>126</v>
      </c>
    </row>
    <row r="20" spans="1:133" ht="12" customHeight="1" x14ac:dyDescent="0.2">
      <c r="A20" t="s">
        <v>2937</v>
      </c>
      <c r="B20" t="s">
        <v>2948</v>
      </c>
      <c r="C20" t="str">
        <f t="shared" si="0"/>
        <v>Prior Approval</v>
      </c>
      <c r="E20" s="65">
        <v>244</v>
      </c>
      <c r="F20" t="s">
        <v>1341</v>
      </c>
      <c r="G20" s="71" t="s">
        <v>3943</v>
      </c>
      <c r="H20" s="67">
        <v>4.5000001788139302E-2</v>
      </c>
      <c r="I20" s="65">
        <v>526455</v>
      </c>
      <c r="J20" s="65">
        <v>175748</v>
      </c>
      <c r="K20" s="65" t="s">
        <v>1342</v>
      </c>
      <c r="L20" s="65" t="s">
        <v>943</v>
      </c>
      <c r="M20" s="65" t="s">
        <v>243</v>
      </c>
      <c r="N20" s="69">
        <v>42548</v>
      </c>
      <c r="O20" s="69">
        <v>42604</v>
      </c>
      <c r="R20" s="65" t="s">
        <v>28</v>
      </c>
      <c r="U20" t="s">
        <v>944</v>
      </c>
      <c r="V20" t="s">
        <v>3013</v>
      </c>
      <c r="W20" s="65" t="s">
        <v>21</v>
      </c>
      <c r="X20" s="65" t="s">
        <v>21</v>
      </c>
      <c r="Y20" s="65" t="s">
        <v>69</v>
      </c>
      <c r="AD20" s="65" t="s">
        <v>23</v>
      </c>
      <c r="AE20" s="65" t="s">
        <v>24</v>
      </c>
      <c r="BF20" s="73">
        <v>260</v>
      </c>
      <c r="BK20" s="73">
        <v>260</v>
      </c>
      <c r="BO20" s="185" t="s">
        <v>3794</v>
      </c>
      <c r="BP20" s="185" t="s">
        <v>126</v>
      </c>
      <c r="BQ20" s="185" t="s">
        <v>3794</v>
      </c>
      <c r="BW20" s="73"/>
      <c r="BX20" s="73">
        <v>-260</v>
      </c>
      <c r="BY20" s="185" t="s">
        <v>126</v>
      </c>
      <c r="CD20" s="73">
        <v>-260</v>
      </c>
      <c r="CE20" s="65" t="s">
        <v>126</v>
      </c>
      <c r="CJ20" t="s">
        <v>25</v>
      </c>
      <c r="CK20" t="s">
        <v>25</v>
      </c>
      <c r="CL20" t="s">
        <v>25</v>
      </c>
      <c r="CM20" t="s">
        <v>25</v>
      </c>
      <c r="CN20" t="s">
        <v>25</v>
      </c>
      <c r="CO20" t="s">
        <v>25</v>
      </c>
      <c r="CP20" t="s">
        <v>25</v>
      </c>
      <c r="CQ20" t="s">
        <v>25</v>
      </c>
      <c r="CR20" t="s">
        <v>25</v>
      </c>
      <c r="CS20" t="s">
        <v>25</v>
      </c>
      <c r="CT20" t="s">
        <v>25</v>
      </c>
      <c r="CU20" t="s">
        <v>25</v>
      </c>
      <c r="CV20" t="s">
        <v>25</v>
      </c>
      <c r="CW20" t="s">
        <v>25</v>
      </c>
      <c r="CX20" t="s">
        <v>25</v>
      </c>
      <c r="CY20" t="s">
        <v>25</v>
      </c>
      <c r="CZ20" t="s">
        <v>25</v>
      </c>
      <c r="DA20" t="s">
        <v>25</v>
      </c>
      <c r="DB20" t="s">
        <v>31</v>
      </c>
      <c r="DC20" t="s">
        <v>25</v>
      </c>
      <c r="DD20" t="s">
        <v>25</v>
      </c>
      <c r="DE20" t="s">
        <v>25</v>
      </c>
      <c r="DF20" t="s">
        <v>25</v>
      </c>
      <c r="DG20" t="s">
        <v>25</v>
      </c>
      <c r="DH20" t="s">
        <v>25</v>
      </c>
      <c r="DI20" t="s">
        <v>25</v>
      </c>
      <c r="DJ20" s="76">
        <v>3.0000002123415401E-2</v>
      </c>
      <c r="DK20" s="73">
        <v>0</v>
      </c>
      <c r="DL20" s="73">
        <v>260</v>
      </c>
      <c r="DM20" s="73">
        <v>-260</v>
      </c>
      <c r="DN20" s="65" t="s">
        <v>126</v>
      </c>
      <c r="DU20"/>
      <c r="DZ20" s="73">
        <v>260</v>
      </c>
      <c r="EA20" s="73">
        <v>0</v>
      </c>
      <c r="EB20" s="73">
        <v>260</v>
      </c>
      <c r="EC20" s="65" t="s">
        <v>126</v>
      </c>
    </row>
    <row r="21" spans="1:133" ht="12" customHeight="1" x14ac:dyDescent="0.2">
      <c r="A21" t="s">
        <v>2936</v>
      </c>
      <c r="B21" t="s">
        <v>2946</v>
      </c>
      <c r="C21" t="str">
        <f t="shared" si="0"/>
        <v>Full</v>
      </c>
      <c r="D21" t="s">
        <v>2943</v>
      </c>
      <c r="E21" s="65">
        <v>253</v>
      </c>
      <c r="F21" t="s">
        <v>1343</v>
      </c>
      <c r="G21" s="71" t="s">
        <v>3947</v>
      </c>
      <c r="H21" s="67">
        <v>2.93700003623962</v>
      </c>
      <c r="I21" s="65">
        <v>529777</v>
      </c>
      <c r="J21" s="65">
        <v>177618</v>
      </c>
      <c r="K21" s="65" t="s">
        <v>1344</v>
      </c>
      <c r="L21" s="65" t="s">
        <v>58</v>
      </c>
      <c r="M21" s="65" t="s">
        <v>42</v>
      </c>
      <c r="N21" s="69">
        <v>39948</v>
      </c>
      <c r="O21" s="69">
        <v>40463</v>
      </c>
      <c r="Q21" s="69">
        <v>40072</v>
      </c>
      <c r="R21" s="65" t="s">
        <v>28</v>
      </c>
      <c r="U21" t="s">
        <v>413</v>
      </c>
      <c r="V21" t="s">
        <v>3014</v>
      </c>
      <c r="W21" s="65" t="s">
        <v>29</v>
      </c>
      <c r="X21" s="65" t="s">
        <v>29</v>
      </c>
      <c r="Y21" s="65" t="s">
        <v>35</v>
      </c>
      <c r="AA21" s="69">
        <v>41364</v>
      </c>
      <c r="AB21" s="69">
        <v>43116</v>
      </c>
      <c r="AC21" s="69">
        <v>43116</v>
      </c>
      <c r="AD21" s="65" t="s">
        <v>23</v>
      </c>
      <c r="AE21" s="65" t="s">
        <v>24</v>
      </c>
      <c r="AH21" s="69">
        <f t="shared" si="1"/>
        <v>41364</v>
      </c>
      <c r="AI21" s="69">
        <f t="shared" si="2"/>
        <v>43116</v>
      </c>
      <c r="BF21" s="73">
        <v>4728</v>
      </c>
      <c r="BG21" s="73">
        <v>4728</v>
      </c>
      <c r="BH21" s="73">
        <v>4728</v>
      </c>
      <c r="BI21" s="73">
        <v>4728</v>
      </c>
      <c r="BJ21" s="73">
        <v>4729</v>
      </c>
      <c r="BK21" s="73">
        <v>23641</v>
      </c>
      <c r="BO21" s="185" t="s">
        <v>3794</v>
      </c>
      <c r="BP21" s="185" t="s">
        <v>126</v>
      </c>
      <c r="BQ21" s="185" t="s">
        <v>3794</v>
      </c>
      <c r="BW21" s="73"/>
      <c r="BX21" s="73">
        <v>-4728</v>
      </c>
      <c r="BY21" s="185" t="s">
        <v>126</v>
      </c>
      <c r="BZ21" s="73">
        <v>-4728</v>
      </c>
      <c r="CA21" s="73">
        <v>-4728</v>
      </c>
      <c r="CB21" s="73">
        <v>-4728</v>
      </c>
      <c r="CC21" s="73">
        <v>-4729</v>
      </c>
      <c r="CD21" s="73">
        <v>-23641</v>
      </c>
      <c r="CE21" s="65" t="s">
        <v>126</v>
      </c>
      <c r="CJ21" t="s">
        <v>25</v>
      </c>
      <c r="CK21" t="s">
        <v>25</v>
      </c>
      <c r="CL21" t="s">
        <v>25</v>
      </c>
      <c r="CM21" t="s">
        <v>25</v>
      </c>
      <c r="CN21" t="s">
        <v>25</v>
      </c>
      <c r="CO21" t="s">
        <v>25</v>
      </c>
      <c r="CP21" t="s">
        <v>25</v>
      </c>
      <c r="CQ21" t="s">
        <v>25</v>
      </c>
      <c r="CR21" t="s">
        <v>25</v>
      </c>
      <c r="CS21" t="s">
        <v>25</v>
      </c>
      <c r="CT21" t="s">
        <v>25</v>
      </c>
      <c r="CU21" t="s">
        <v>25</v>
      </c>
      <c r="CV21" t="s">
        <v>25</v>
      </c>
      <c r="CW21" t="s">
        <v>25</v>
      </c>
      <c r="CX21" t="s">
        <v>25</v>
      </c>
      <c r="CY21" t="s">
        <v>25</v>
      </c>
      <c r="CZ21" t="s">
        <v>25</v>
      </c>
      <c r="DA21" t="s">
        <v>25</v>
      </c>
      <c r="DB21" t="s">
        <v>49</v>
      </c>
      <c r="DC21" t="s">
        <v>55</v>
      </c>
      <c r="DD21" t="s">
        <v>51</v>
      </c>
      <c r="DE21" t="s">
        <v>32</v>
      </c>
      <c r="DF21" t="s">
        <v>49</v>
      </c>
      <c r="DG21" t="s">
        <v>25</v>
      </c>
      <c r="DH21" t="s">
        <v>25</v>
      </c>
      <c r="DI21" t="s">
        <v>25</v>
      </c>
      <c r="DJ21" s="76">
        <v>2.93700003623962</v>
      </c>
      <c r="DK21" s="73">
        <v>51350</v>
      </c>
      <c r="DL21" s="73">
        <v>23641</v>
      </c>
      <c r="DM21" s="73">
        <v>27709</v>
      </c>
      <c r="DU21" s="65" t="s">
        <v>126</v>
      </c>
      <c r="DZ21" s="73">
        <v>0</v>
      </c>
      <c r="EA21" s="73">
        <v>0</v>
      </c>
      <c r="EB21" s="73">
        <v>0</v>
      </c>
    </row>
    <row r="22" spans="1:133" ht="12" customHeight="1" x14ac:dyDescent="0.2">
      <c r="A22" t="s">
        <v>2935</v>
      </c>
      <c r="B22" t="s">
        <v>2946</v>
      </c>
      <c r="C22" t="str">
        <f t="shared" si="0"/>
        <v>Full</v>
      </c>
      <c r="E22" s="65">
        <v>257</v>
      </c>
      <c r="F22" t="s">
        <v>1345</v>
      </c>
      <c r="G22" s="71" t="s">
        <v>3947</v>
      </c>
      <c r="H22" s="67">
        <v>9.3999996781349196E-2</v>
      </c>
      <c r="I22" s="65">
        <v>529138</v>
      </c>
      <c r="J22" s="65">
        <v>176855</v>
      </c>
      <c r="L22" s="65" t="s">
        <v>1135</v>
      </c>
      <c r="M22" s="65" t="s">
        <v>27</v>
      </c>
      <c r="N22" s="69">
        <v>42682</v>
      </c>
      <c r="O22" s="69">
        <v>42753</v>
      </c>
      <c r="R22" s="65" t="s">
        <v>28</v>
      </c>
      <c r="U22" t="s">
        <v>1136</v>
      </c>
      <c r="V22" t="s">
        <v>1136</v>
      </c>
      <c r="W22" s="65" t="s">
        <v>29</v>
      </c>
      <c r="X22" s="65" t="s">
        <v>29</v>
      </c>
      <c r="Y22" s="65" t="s">
        <v>30</v>
      </c>
      <c r="AA22" s="69">
        <v>43190</v>
      </c>
      <c r="AD22" s="65" t="s">
        <v>23</v>
      </c>
      <c r="AE22" s="65" t="s">
        <v>24</v>
      </c>
      <c r="AH22" s="69">
        <f t="shared" si="1"/>
        <v>43190</v>
      </c>
      <c r="BJ22" s="73">
        <v>360</v>
      </c>
      <c r="BK22" s="73">
        <v>360</v>
      </c>
      <c r="BO22" s="185" t="s">
        <v>3794</v>
      </c>
      <c r="BP22" s="185" t="s">
        <v>126</v>
      </c>
      <c r="BQ22" s="185" t="s">
        <v>3794</v>
      </c>
      <c r="BW22" s="73"/>
      <c r="BY22" s="185" t="s">
        <v>3794</v>
      </c>
      <c r="CC22" s="73">
        <v>-360</v>
      </c>
      <c r="CD22" s="73">
        <v>-360</v>
      </c>
      <c r="CE22" s="65" t="s">
        <v>126</v>
      </c>
      <c r="CJ22" t="s">
        <v>25</v>
      </c>
      <c r="CK22" t="s">
        <v>25</v>
      </c>
      <c r="CL22" t="s">
        <v>25</v>
      </c>
      <c r="CM22" t="s">
        <v>25</v>
      </c>
      <c r="CN22" t="s">
        <v>25</v>
      </c>
      <c r="CO22" t="s">
        <v>25</v>
      </c>
      <c r="CP22" t="s">
        <v>25</v>
      </c>
      <c r="CQ22" t="s">
        <v>25</v>
      </c>
      <c r="CR22" t="s">
        <v>25</v>
      </c>
      <c r="CS22" t="s">
        <v>25</v>
      </c>
      <c r="CT22" t="s">
        <v>25</v>
      </c>
      <c r="CU22" t="s">
        <v>25</v>
      </c>
      <c r="CV22" t="s">
        <v>25</v>
      </c>
      <c r="CW22" t="s">
        <v>25</v>
      </c>
      <c r="CX22" t="s">
        <v>25</v>
      </c>
      <c r="CY22" t="s">
        <v>25</v>
      </c>
      <c r="CZ22" t="s">
        <v>25</v>
      </c>
      <c r="DA22" t="s">
        <v>25</v>
      </c>
      <c r="DB22" t="s">
        <v>25</v>
      </c>
      <c r="DC22" t="s">
        <v>25</v>
      </c>
      <c r="DD22" t="s">
        <v>25</v>
      </c>
      <c r="DE22" t="s">
        <v>25</v>
      </c>
      <c r="DF22" t="s">
        <v>53</v>
      </c>
      <c r="DG22" t="s">
        <v>25</v>
      </c>
      <c r="DH22" t="s">
        <v>25</v>
      </c>
      <c r="DI22" t="s">
        <v>25</v>
      </c>
      <c r="DJ22" s="76">
        <v>9.3999996781349196E-2</v>
      </c>
      <c r="DK22" s="73">
        <v>742</v>
      </c>
      <c r="DL22" s="73">
        <v>360</v>
      </c>
      <c r="DM22" s="73">
        <v>382</v>
      </c>
      <c r="DO22" s="65" t="s">
        <v>126</v>
      </c>
      <c r="DP22" t="s">
        <v>74</v>
      </c>
      <c r="DU22" s="65" t="s">
        <v>126</v>
      </c>
      <c r="DZ22" s="73">
        <v>0</v>
      </c>
      <c r="EA22" s="73">
        <v>0</v>
      </c>
      <c r="EB22" s="73">
        <v>0</v>
      </c>
    </row>
    <row r="23" spans="1:133" ht="12" customHeight="1" x14ac:dyDescent="0.2">
      <c r="A23" t="s">
        <v>2936</v>
      </c>
      <c r="B23" t="s">
        <v>2946</v>
      </c>
      <c r="C23" t="str">
        <f t="shared" si="0"/>
        <v>Full</v>
      </c>
      <c r="D23" t="s">
        <v>2943</v>
      </c>
      <c r="E23" s="65">
        <v>261</v>
      </c>
      <c r="F23" t="s">
        <v>1346</v>
      </c>
      <c r="G23" s="71" t="s">
        <v>3942</v>
      </c>
      <c r="H23" s="67">
        <v>8.9999996125698107E-3</v>
      </c>
      <c r="I23" s="65">
        <v>527765</v>
      </c>
      <c r="J23" s="65">
        <v>174511</v>
      </c>
      <c r="L23" s="65" t="s">
        <v>1103</v>
      </c>
      <c r="M23" s="65" t="s">
        <v>27</v>
      </c>
      <c r="N23" s="69">
        <v>42710</v>
      </c>
      <c r="O23" s="69">
        <v>42739</v>
      </c>
      <c r="R23" s="65" t="s">
        <v>28</v>
      </c>
      <c r="U23" t="s">
        <v>1104</v>
      </c>
      <c r="V23" t="s">
        <v>3015</v>
      </c>
      <c r="W23" s="65" t="s">
        <v>21</v>
      </c>
      <c r="X23" s="65" t="s">
        <v>21</v>
      </c>
      <c r="Y23" s="65" t="s">
        <v>35</v>
      </c>
      <c r="AA23" s="69">
        <v>42826</v>
      </c>
      <c r="AB23" s="69">
        <v>42855</v>
      </c>
      <c r="AC23" s="69">
        <v>42855</v>
      </c>
      <c r="AD23" s="65" t="s">
        <v>23</v>
      </c>
      <c r="AE23" s="65" t="s">
        <v>24</v>
      </c>
      <c r="AH23" s="69">
        <f t="shared" si="1"/>
        <v>42826</v>
      </c>
      <c r="AI23" s="69">
        <f t="shared" si="2"/>
        <v>42855</v>
      </c>
      <c r="AJ23" s="73">
        <v>40</v>
      </c>
      <c r="AO23" s="73">
        <v>40</v>
      </c>
      <c r="AZ23" s="73">
        <v>81</v>
      </c>
      <c r="BE23" s="73">
        <v>81</v>
      </c>
      <c r="BO23" s="185" t="s">
        <v>126</v>
      </c>
      <c r="BP23" s="185" t="s">
        <v>3794</v>
      </c>
      <c r="BQ23" s="185" t="s">
        <v>3794</v>
      </c>
      <c r="BR23" s="73">
        <v>-41</v>
      </c>
      <c r="BW23" s="73">
        <v>-41</v>
      </c>
      <c r="BY23" s="185" t="s">
        <v>3794</v>
      </c>
      <c r="CJ23" t="s">
        <v>25</v>
      </c>
      <c r="CK23" t="s">
        <v>25</v>
      </c>
      <c r="CL23" t="s">
        <v>25</v>
      </c>
      <c r="CM23" t="s">
        <v>25</v>
      </c>
      <c r="CN23" t="s">
        <v>25</v>
      </c>
      <c r="CO23" t="s">
        <v>25</v>
      </c>
      <c r="CP23" t="s">
        <v>25</v>
      </c>
      <c r="CQ23" t="s">
        <v>25</v>
      </c>
      <c r="CR23" t="s">
        <v>25</v>
      </c>
      <c r="CS23" t="s">
        <v>25</v>
      </c>
      <c r="CT23" t="s">
        <v>25</v>
      </c>
      <c r="CU23" t="s">
        <v>25</v>
      </c>
      <c r="CV23" t="s">
        <v>25</v>
      </c>
      <c r="CW23" t="s">
        <v>46</v>
      </c>
      <c r="CX23" t="s">
        <v>25</v>
      </c>
      <c r="CY23" t="s">
        <v>25</v>
      </c>
      <c r="CZ23" t="s">
        <v>25</v>
      </c>
      <c r="DA23" t="s">
        <v>25</v>
      </c>
      <c r="DB23" t="s">
        <v>25</v>
      </c>
      <c r="DC23" t="s">
        <v>25</v>
      </c>
      <c r="DD23" t="s">
        <v>25</v>
      </c>
      <c r="DE23" t="s">
        <v>25</v>
      </c>
      <c r="DF23" t="s">
        <v>25</v>
      </c>
      <c r="DG23" t="s">
        <v>25</v>
      </c>
      <c r="DH23" t="s">
        <v>25</v>
      </c>
      <c r="DI23" t="s">
        <v>25</v>
      </c>
      <c r="DJ23" s="76">
        <v>8.9999996125698107E-3</v>
      </c>
      <c r="DK23" s="73">
        <v>81</v>
      </c>
      <c r="DL23" s="73">
        <v>81</v>
      </c>
      <c r="DM23" s="73">
        <v>0</v>
      </c>
      <c r="DU23"/>
      <c r="DZ23" s="73">
        <v>0</v>
      </c>
      <c r="EA23" s="73">
        <v>0</v>
      </c>
      <c r="EB23" s="73">
        <v>0</v>
      </c>
    </row>
    <row r="24" spans="1:133" ht="12" customHeight="1" x14ac:dyDescent="0.2">
      <c r="A24" t="s">
        <v>2936</v>
      </c>
      <c r="B24" t="s">
        <v>2946</v>
      </c>
      <c r="C24" t="str">
        <f t="shared" si="0"/>
        <v>Full</v>
      </c>
      <c r="D24" t="s">
        <v>2943</v>
      </c>
      <c r="E24" s="65">
        <v>268</v>
      </c>
      <c r="F24" t="s">
        <v>1347</v>
      </c>
      <c r="G24" s="71" t="s">
        <v>3948</v>
      </c>
      <c r="H24" s="67">
        <v>2.4000000208616298E-2</v>
      </c>
      <c r="I24" s="65">
        <v>527137</v>
      </c>
      <c r="J24" s="65">
        <v>175948</v>
      </c>
      <c r="L24" s="65" t="s">
        <v>1283</v>
      </c>
      <c r="M24" s="65" t="s">
        <v>27</v>
      </c>
      <c r="N24" s="69">
        <v>42795</v>
      </c>
      <c r="O24" s="69">
        <v>42850</v>
      </c>
      <c r="P24" s="65" t="s">
        <v>126</v>
      </c>
      <c r="R24" s="65" t="s">
        <v>28</v>
      </c>
      <c r="U24" t="s">
        <v>1284</v>
      </c>
      <c r="V24" t="s">
        <v>3016</v>
      </c>
      <c r="W24" s="65" t="s">
        <v>21</v>
      </c>
      <c r="X24" s="65" t="s">
        <v>21</v>
      </c>
      <c r="Y24" s="65" t="s">
        <v>35</v>
      </c>
      <c r="AA24" s="69">
        <v>42850</v>
      </c>
      <c r="AB24" s="69">
        <v>43190</v>
      </c>
      <c r="AC24" s="69">
        <v>43190</v>
      </c>
      <c r="AD24" s="65" t="s">
        <v>23</v>
      </c>
      <c r="AE24" s="65" t="s">
        <v>24</v>
      </c>
      <c r="AH24" s="69">
        <f t="shared" si="1"/>
        <v>42850</v>
      </c>
      <c r="AI24" s="69">
        <f t="shared" si="2"/>
        <v>43190</v>
      </c>
      <c r="AX24" s="73">
        <v>90</v>
      </c>
      <c r="AY24" s="73">
        <v>90</v>
      </c>
      <c r="BF24" s="73">
        <v>59</v>
      </c>
      <c r="BK24" s="73">
        <v>59</v>
      </c>
      <c r="BO24" s="185" t="s">
        <v>3794</v>
      </c>
      <c r="BP24" s="185" t="s">
        <v>126</v>
      </c>
      <c r="BQ24" s="185" t="s">
        <v>126</v>
      </c>
      <c r="BW24" s="73"/>
      <c r="BX24" s="73">
        <v>-59</v>
      </c>
      <c r="BY24" s="185" t="s">
        <v>126</v>
      </c>
      <c r="CD24" s="73">
        <v>-59</v>
      </c>
      <c r="CE24" s="65" t="s">
        <v>126</v>
      </c>
      <c r="CH24" s="73">
        <v>90</v>
      </c>
      <c r="CI24" s="73">
        <v>90</v>
      </c>
      <c r="CJ24" t="s">
        <v>25</v>
      </c>
      <c r="CK24" t="s">
        <v>25</v>
      </c>
      <c r="CL24" t="s">
        <v>25</v>
      </c>
      <c r="CM24" t="s">
        <v>25</v>
      </c>
      <c r="CN24" t="s">
        <v>25</v>
      </c>
      <c r="CO24" t="s">
        <v>25</v>
      </c>
      <c r="CP24" t="s">
        <v>25</v>
      </c>
      <c r="CQ24" t="s">
        <v>25</v>
      </c>
      <c r="CR24" t="s">
        <v>25</v>
      </c>
      <c r="CS24" t="s">
        <v>25</v>
      </c>
      <c r="CT24" t="s">
        <v>25</v>
      </c>
      <c r="CU24" t="s">
        <v>25</v>
      </c>
      <c r="CV24" t="s">
        <v>49</v>
      </c>
      <c r="CW24" t="s">
        <v>25</v>
      </c>
      <c r="CX24" t="s">
        <v>25</v>
      </c>
      <c r="CY24" t="s">
        <v>25</v>
      </c>
      <c r="CZ24" t="s">
        <v>25</v>
      </c>
      <c r="DA24" t="s">
        <v>25</v>
      </c>
      <c r="DB24" t="s">
        <v>47</v>
      </c>
      <c r="DC24" t="s">
        <v>25</v>
      </c>
      <c r="DD24" t="s">
        <v>25</v>
      </c>
      <c r="DE24" t="s">
        <v>25</v>
      </c>
      <c r="DF24" t="s">
        <v>25</v>
      </c>
      <c r="DG24" t="s">
        <v>25</v>
      </c>
      <c r="DH24" t="s">
        <v>25</v>
      </c>
      <c r="DI24" t="s">
        <v>25</v>
      </c>
      <c r="DJ24" s="76">
        <v>2.4000000208616298E-2</v>
      </c>
      <c r="DK24" s="73">
        <v>90</v>
      </c>
      <c r="DL24" s="73">
        <v>59</v>
      </c>
      <c r="DM24" s="73">
        <v>31</v>
      </c>
      <c r="DU24"/>
      <c r="DZ24" s="73">
        <v>0</v>
      </c>
      <c r="EA24" s="73">
        <v>0</v>
      </c>
      <c r="EB24" s="73">
        <v>0</v>
      </c>
    </row>
    <row r="25" spans="1:133" ht="12" customHeight="1" x14ac:dyDescent="0.2">
      <c r="A25" t="s">
        <v>2937</v>
      </c>
      <c r="B25" t="s">
        <v>2946</v>
      </c>
      <c r="C25" t="str">
        <f t="shared" si="0"/>
        <v>Full</v>
      </c>
      <c r="E25" s="65">
        <v>271</v>
      </c>
      <c r="F25" t="s">
        <v>1348</v>
      </c>
      <c r="G25" s="71" t="s">
        <v>2907</v>
      </c>
      <c r="H25" s="67">
        <v>8.0000003799796104E-3</v>
      </c>
      <c r="I25" s="65">
        <v>525333</v>
      </c>
      <c r="J25" s="65">
        <v>173427</v>
      </c>
      <c r="L25" s="65" t="s">
        <v>1349</v>
      </c>
      <c r="M25" s="65" t="s">
        <v>27</v>
      </c>
      <c r="N25" s="69">
        <v>43068</v>
      </c>
      <c r="O25" s="69">
        <v>43125</v>
      </c>
      <c r="P25" s="65" t="s">
        <v>126</v>
      </c>
      <c r="R25" s="65" t="s">
        <v>28</v>
      </c>
      <c r="U25" t="s">
        <v>887</v>
      </c>
      <c r="V25" t="s">
        <v>3017</v>
      </c>
      <c r="W25" s="65" t="s">
        <v>34</v>
      </c>
      <c r="X25" s="65" t="s">
        <v>29</v>
      </c>
      <c r="Y25" s="65" t="s">
        <v>69</v>
      </c>
      <c r="AD25" s="65" t="s">
        <v>23</v>
      </c>
      <c r="AE25" s="65" t="s">
        <v>24</v>
      </c>
      <c r="AP25" s="73">
        <v>40</v>
      </c>
      <c r="AR25" s="73">
        <v>59</v>
      </c>
      <c r="AS25" s="73">
        <v>99</v>
      </c>
      <c r="AV25" s="73">
        <v>99</v>
      </c>
      <c r="BJ25" s="73">
        <v>59</v>
      </c>
      <c r="BK25" s="73">
        <v>59</v>
      </c>
      <c r="BO25" s="185" t="s">
        <v>3794</v>
      </c>
      <c r="BP25" s="185" t="s">
        <v>126</v>
      </c>
      <c r="BQ25" s="185" t="s">
        <v>3794</v>
      </c>
      <c r="BW25" s="73"/>
      <c r="BX25" s="73">
        <v>40</v>
      </c>
      <c r="BY25" s="185" t="s">
        <v>3794</v>
      </c>
      <c r="CA25" s="73">
        <v>59</v>
      </c>
      <c r="CC25" s="73">
        <v>-59</v>
      </c>
      <c r="CD25" s="73">
        <v>40</v>
      </c>
      <c r="CJ25" t="s">
        <v>25</v>
      </c>
      <c r="CK25" t="s">
        <v>25</v>
      </c>
      <c r="CL25" t="s">
        <v>25</v>
      </c>
      <c r="CM25" t="s">
        <v>25</v>
      </c>
      <c r="CN25" t="s">
        <v>25</v>
      </c>
      <c r="CO25" t="s">
        <v>25</v>
      </c>
      <c r="CP25" t="s">
        <v>25</v>
      </c>
      <c r="CQ25" t="s">
        <v>51</v>
      </c>
      <c r="CR25" t="s">
        <v>25</v>
      </c>
      <c r="CS25" t="s">
        <v>25</v>
      </c>
      <c r="CT25" t="s">
        <v>25</v>
      </c>
      <c r="CU25" t="s">
        <v>25</v>
      </c>
      <c r="CV25" t="s">
        <v>25</v>
      </c>
      <c r="CW25" t="s">
        <v>25</v>
      </c>
      <c r="CX25" t="s">
        <v>25</v>
      </c>
      <c r="CY25" t="s">
        <v>25</v>
      </c>
      <c r="CZ25" t="s">
        <v>25</v>
      </c>
      <c r="DA25" t="s">
        <v>25</v>
      </c>
      <c r="DB25" t="s">
        <v>25</v>
      </c>
      <c r="DC25" t="s">
        <v>25</v>
      </c>
      <c r="DD25" t="s">
        <v>25</v>
      </c>
      <c r="DE25" t="s">
        <v>25</v>
      </c>
      <c r="DF25" t="s">
        <v>53</v>
      </c>
      <c r="DG25" t="s">
        <v>25</v>
      </c>
      <c r="DH25" t="s">
        <v>25</v>
      </c>
      <c r="DI25" t="s">
        <v>25</v>
      </c>
      <c r="DJ25" s="76">
        <v>8.0000003799796104E-3</v>
      </c>
      <c r="DK25" s="73">
        <v>99</v>
      </c>
      <c r="DL25" s="73">
        <v>59</v>
      </c>
      <c r="DM25" s="73">
        <v>40</v>
      </c>
      <c r="DQ25" s="65" t="s">
        <v>126</v>
      </c>
      <c r="DR25" t="s">
        <v>179</v>
      </c>
      <c r="DU25"/>
      <c r="DZ25" s="73">
        <v>0</v>
      </c>
      <c r="EA25" s="73">
        <v>0</v>
      </c>
      <c r="EB25" s="73">
        <v>0</v>
      </c>
    </row>
    <row r="26" spans="1:133" ht="12" customHeight="1" x14ac:dyDescent="0.2">
      <c r="A26" t="s">
        <v>2935</v>
      </c>
      <c r="B26" t="s">
        <v>2946</v>
      </c>
      <c r="C26" t="str">
        <f t="shared" si="0"/>
        <v>Full</v>
      </c>
      <c r="E26" s="65">
        <v>322</v>
      </c>
      <c r="F26" t="s">
        <v>1350</v>
      </c>
      <c r="G26" s="71" t="s">
        <v>3943</v>
      </c>
      <c r="H26" s="67">
        <v>0.28700000047683699</v>
      </c>
      <c r="I26" s="65">
        <v>527020</v>
      </c>
      <c r="J26" s="65">
        <v>176330</v>
      </c>
      <c r="L26" s="65" t="s">
        <v>1351</v>
      </c>
      <c r="M26" s="65" t="s">
        <v>434</v>
      </c>
      <c r="N26" s="69">
        <v>42779</v>
      </c>
      <c r="O26" s="69">
        <v>43045</v>
      </c>
      <c r="P26" s="65" t="s">
        <v>126</v>
      </c>
      <c r="R26" s="65" t="s">
        <v>28</v>
      </c>
      <c r="U26" t="s">
        <v>1352</v>
      </c>
      <c r="V26" t="s">
        <v>3018</v>
      </c>
      <c r="W26" s="65" t="s">
        <v>29</v>
      </c>
      <c r="X26" s="65" t="s">
        <v>29</v>
      </c>
      <c r="Y26" s="65" t="s">
        <v>30</v>
      </c>
      <c r="AA26" s="69">
        <v>43190</v>
      </c>
      <c r="AD26" s="65" t="s">
        <v>23</v>
      </c>
      <c r="AE26" s="65" t="s">
        <v>24</v>
      </c>
      <c r="AH26" s="69">
        <f t="shared" si="1"/>
        <v>43190</v>
      </c>
      <c r="BO26" s="185" t="s">
        <v>3794</v>
      </c>
      <c r="BP26" s="185" t="s">
        <v>3794</v>
      </c>
      <c r="BQ26" s="185" t="s">
        <v>3794</v>
      </c>
      <c r="BW26" s="73"/>
      <c r="BY26" s="185" t="s">
        <v>3794</v>
      </c>
      <c r="CJ26" t="s">
        <v>25</v>
      </c>
      <c r="CK26" t="s">
        <v>25</v>
      </c>
      <c r="CL26" t="s">
        <v>25</v>
      </c>
      <c r="CM26" t="s">
        <v>25</v>
      </c>
      <c r="CN26" t="s">
        <v>25</v>
      </c>
      <c r="CO26" t="s">
        <v>25</v>
      </c>
      <c r="CP26" t="s">
        <v>25</v>
      </c>
      <c r="CQ26" t="s">
        <v>25</v>
      </c>
      <c r="CR26" t="s">
        <v>25</v>
      </c>
      <c r="CS26" t="s">
        <v>25</v>
      </c>
      <c r="CT26" t="s">
        <v>25</v>
      </c>
      <c r="CU26" t="s">
        <v>25</v>
      </c>
      <c r="CV26" t="s">
        <v>25</v>
      </c>
      <c r="CW26" t="s">
        <v>25</v>
      </c>
      <c r="CX26" t="s">
        <v>25</v>
      </c>
      <c r="CY26" t="s">
        <v>25</v>
      </c>
      <c r="CZ26" t="s">
        <v>25</v>
      </c>
      <c r="DA26" t="s">
        <v>25</v>
      </c>
      <c r="DB26" t="s">
        <v>25</v>
      </c>
      <c r="DC26" t="s">
        <v>25</v>
      </c>
      <c r="DD26" t="s">
        <v>25</v>
      </c>
      <c r="DE26" t="s">
        <v>25</v>
      </c>
      <c r="DF26" t="s">
        <v>25</v>
      </c>
      <c r="DG26" t="s">
        <v>25</v>
      </c>
      <c r="DH26" t="s">
        <v>25</v>
      </c>
      <c r="DI26" t="s">
        <v>25</v>
      </c>
      <c r="DJ26" s="76">
        <v>4.9999997019767983E-2</v>
      </c>
      <c r="DK26" s="73">
        <v>0</v>
      </c>
      <c r="DL26" s="73">
        <v>1097</v>
      </c>
      <c r="DM26" s="73">
        <v>-1097</v>
      </c>
      <c r="DU26"/>
      <c r="DZ26" s="73">
        <v>7623</v>
      </c>
      <c r="EA26" s="73">
        <v>0</v>
      </c>
      <c r="EB26" s="73">
        <v>7623</v>
      </c>
      <c r="EC26" s="65" t="s">
        <v>126</v>
      </c>
    </row>
    <row r="27" spans="1:133" ht="12" customHeight="1" x14ac:dyDescent="0.2">
      <c r="A27" t="s">
        <v>2937</v>
      </c>
      <c r="B27" t="s">
        <v>2946</v>
      </c>
      <c r="C27" t="str">
        <f t="shared" si="0"/>
        <v>Full</v>
      </c>
      <c r="E27" s="65">
        <v>352</v>
      </c>
      <c r="F27" t="s">
        <v>1353</v>
      </c>
      <c r="G27" s="71" t="s">
        <v>2904</v>
      </c>
      <c r="H27" s="67">
        <v>0.14200000464916199</v>
      </c>
      <c r="I27" s="65">
        <v>526211</v>
      </c>
      <c r="J27" s="65">
        <v>172125</v>
      </c>
      <c r="L27" s="65" t="s">
        <v>1115</v>
      </c>
      <c r="M27" s="65" t="s">
        <v>27</v>
      </c>
      <c r="N27" s="69">
        <v>42682</v>
      </c>
      <c r="O27" s="69">
        <v>42725</v>
      </c>
      <c r="R27" s="65" t="s">
        <v>28</v>
      </c>
      <c r="U27" t="s">
        <v>1116</v>
      </c>
      <c r="V27" t="s">
        <v>3019</v>
      </c>
      <c r="W27" s="65" t="s">
        <v>29</v>
      </c>
      <c r="X27" s="65" t="s">
        <v>29</v>
      </c>
      <c r="Y27" s="65" t="s">
        <v>69</v>
      </c>
      <c r="AD27" s="65" t="s">
        <v>23</v>
      </c>
      <c r="AE27" s="65" t="s">
        <v>24</v>
      </c>
      <c r="BO27" s="185" t="s">
        <v>3794</v>
      </c>
      <c r="BP27" s="185" t="s">
        <v>3794</v>
      </c>
      <c r="BQ27" s="185" t="s">
        <v>3794</v>
      </c>
      <c r="BW27" s="73"/>
      <c r="BY27" s="185" t="s">
        <v>3794</v>
      </c>
      <c r="CJ27" t="s">
        <v>25</v>
      </c>
      <c r="CK27" t="s">
        <v>25</v>
      </c>
      <c r="CL27" t="s">
        <v>25</v>
      </c>
      <c r="CM27" t="s">
        <v>25</v>
      </c>
      <c r="CN27" t="s">
        <v>25</v>
      </c>
      <c r="CO27" t="s">
        <v>25</v>
      </c>
      <c r="CP27" t="s">
        <v>25</v>
      </c>
      <c r="CQ27" t="s">
        <v>25</v>
      </c>
      <c r="CR27" t="s">
        <v>25</v>
      </c>
      <c r="CS27" t="s">
        <v>25</v>
      </c>
      <c r="CT27" t="s">
        <v>25</v>
      </c>
      <c r="CU27" t="s">
        <v>25</v>
      </c>
      <c r="CV27" t="s">
        <v>25</v>
      </c>
      <c r="CW27" t="s">
        <v>25</v>
      </c>
      <c r="CX27" t="s">
        <v>25</v>
      </c>
      <c r="CY27" t="s">
        <v>25</v>
      </c>
      <c r="CZ27" t="s">
        <v>25</v>
      </c>
      <c r="DA27" t="s">
        <v>25</v>
      </c>
      <c r="DB27" t="s">
        <v>25</v>
      </c>
      <c r="DC27" t="s">
        <v>25</v>
      </c>
      <c r="DD27" t="s">
        <v>25</v>
      </c>
      <c r="DE27" t="s">
        <v>25</v>
      </c>
      <c r="DF27" t="s">
        <v>25</v>
      </c>
      <c r="DG27" t="s">
        <v>25</v>
      </c>
      <c r="DH27" t="s">
        <v>25</v>
      </c>
      <c r="DI27" t="s">
        <v>25</v>
      </c>
      <c r="DJ27" s="76">
        <v>0.14200000464916199</v>
      </c>
      <c r="DK27" s="73">
        <v>70</v>
      </c>
      <c r="DL27" s="73">
        <v>658</v>
      </c>
      <c r="DM27" s="73">
        <v>-588</v>
      </c>
      <c r="DQ27" s="65" t="s">
        <v>126</v>
      </c>
      <c r="DR27" t="s">
        <v>2903</v>
      </c>
      <c r="DU27"/>
      <c r="DZ27" s="73">
        <v>0</v>
      </c>
      <c r="EA27" s="73">
        <v>0</v>
      </c>
      <c r="EB27" s="73">
        <v>0</v>
      </c>
    </row>
    <row r="28" spans="1:133" ht="12" customHeight="1" x14ac:dyDescent="0.2">
      <c r="A28" t="s">
        <v>2936</v>
      </c>
      <c r="B28" t="s">
        <v>2946</v>
      </c>
      <c r="C28" t="str">
        <f t="shared" si="0"/>
        <v>Full</v>
      </c>
      <c r="D28" t="s">
        <v>2943</v>
      </c>
      <c r="E28" s="65">
        <v>353</v>
      </c>
      <c r="F28" t="s">
        <v>1354</v>
      </c>
      <c r="G28" s="71" t="s">
        <v>2907</v>
      </c>
      <c r="H28" s="67">
        <v>0.109999999403954</v>
      </c>
      <c r="I28" s="65">
        <v>525369</v>
      </c>
      <c r="J28" s="65">
        <v>173445</v>
      </c>
      <c r="L28" s="65" t="s">
        <v>1355</v>
      </c>
      <c r="M28" s="65" t="s">
        <v>27</v>
      </c>
      <c r="N28" s="69">
        <v>43039</v>
      </c>
      <c r="O28" s="69">
        <v>43090</v>
      </c>
      <c r="P28" s="65" t="s">
        <v>126</v>
      </c>
      <c r="R28" s="65" t="s">
        <v>28</v>
      </c>
      <c r="U28" t="s">
        <v>1356</v>
      </c>
      <c r="V28" t="s">
        <v>3020</v>
      </c>
      <c r="W28" s="65" t="s">
        <v>39</v>
      </c>
      <c r="X28" s="65" t="s">
        <v>39</v>
      </c>
      <c r="Y28" s="65" t="s">
        <v>35</v>
      </c>
      <c r="AA28" s="69">
        <v>43102</v>
      </c>
      <c r="AB28" s="69">
        <v>43190</v>
      </c>
      <c r="AC28" s="69">
        <v>43190</v>
      </c>
      <c r="AD28" s="65" t="s">
        <v>23</v>
      </c>
      <c r="AE28" s="65" t="s">
        <v>24</v>
      </c>
      <c r="AH28" s="69">
        <f t="shared" si="1"/>
        <v>43102</v>
      </c>
      <c r="AI28" s="69">
        <f t="shared" si="2"/>
        <v>43190</v>
      </c>
      <c r="AP28" s="73">
        <v>976</v>
      </c>
      <c r="AS28" s="73">
        <v>976</v>
      </c>
      <c r="AV28" s="73">
        <v>976</v>
      </c>
      <c r="BO28" s="185" t="s">
        <v>3794</v>
      </c>
      <c r="BP28" s="185" t="s">
        <v>126</v>
      </c>
      <c r="BQ28" s="185" t="s">
        <v>3794</v>
      </c>
      <c r="BW28" s="73"/>
      <c r="BX28" s="73">
        <v>976</v>
      </c>
      <c r="BY28" s="185" t="s">
        <v>3794</v>
      </c>
      <c r="CD28" s="73">
        <v>976</v>
      </c>
      <c r="CJ28" t="s">
        <v>25</v>
      </c>
      <c r="CK28" t="s">
        <v>25</v>
      </c>
      <c r="CL28" t="s">
        <v>25</v>
      </c>
      <c r="CM28" t="s">
        <v>25</v>
      </c>
      <c r="CN28" t="s">
        <v>25</v>
      </c>
      <c r="CO28" t="s">
        <v>49</v>
      </c>
      <c r="CP28" t="s">
        <v>25</v>
      </c>
      <c r="CQ28" t="s">
        <v>25</v>
      </c>
      <c r="CR28" t="s">
        <v>25</v>
      </c>
      <c r="CS28" t="s">
        <v>25</v>
      </c>
      <c r="CT28" t="s">
        <v>25</v>
      </c>
      <c r="CU28" t="s">
        <v>25</v>
      </c>
      <c r="CV28" t="s">
        <v>25</v>
      </c>
      <c r="CW28" t="s">
        <v>25</v>
      </c>
      <c r="CX28" t="s">
        <v>25</v>
      </c>
      <c r="CY28" t="s">
        <v>25</v>
      </c>
      <c r="CZ28" t="s">
        <v>25</v>
      </c>
      <c r="DA28" t="s">
        <v>25</v>
      </c>
      <c r="DB28" t="s">
        <v>25</v>
      </c>
      <c r="DC28" t="s">
        <v>25</v>
      </c>
      <c r="DD28" t="s">
        <v>25</v>
      </c>
      <c r="DE28" t="s">
        <v>25</v>
      </c>
      <c r="DF28" t="s">
        <v>25</v>
      </c>
      <c r="DG28" t="s">
        <v>25</v>
      </c>
      <c r="DH28" t="s">
        <v>25</v>
      </c>
      <c r="DI28" t="s">
        <v>25</v>
      </c>
      <c r="DJ28" s="76">
        <v>0.109999999403954</v>
      </c>
      <c r="DK28" s="73">
        <v>976</v>
      </c>
      <c r="DL28" s="73">
        <v>0</v>
      </c>
      <c r="DM28" s="73">
        <v>976</v>
      </c>
      <c r="DQ28" s="65" t="s">
        <v>126</v>
      </c>
      <c r="DR28" t="s">
        <v>179</v>
      </c>
      <c r="DU28"/>
      <c r="DZ28" s="73">
        <v>0</v>
      </c>
      <c r="EA28" s="73">
        <v>0</v>
      </c>
      <c r="EB28" s="73">
        <v>0</v>
      </c>
    </row>
    <row r="29" spans="1:133" ht="12" customHeight="1" x14ac:dyDescent="0.2">
      <c r="A29" t="s">
        <v>2935</v>
      </c>
      <c r="B29" t="s">
        <v>2946</v>
      </c>
      <c r="C29" t="str">
        <f t="shared" si="0"/>
        <v>Full</v>
      </c>
      <c r="E29" s="65">
        <v>364</v>
      </c>
      <c r="F29" t="s">
        <v>1357</v>
      </c>
      <c r="G29" s="71" t="s">
        <v>3946</v>
      </c>
      <c r="H29" s="67">
        <v>1.9999999552965199E-2</v>
      </c>
      <c r="I29" s="65">
        <v>524358</v>
      </c>
      <c r="J29" s="65">
        <v>175314</v>
      </c>
      <c r="L29" s="65" t="s">
        <v>181</v>
      </c>
      <c r="M29" s="65" t="s">
        <v>27</v>
      </c>
      <c r="N29" s="69">
        <v>41093</v>
      </c>
      <c r="O29" s="69">
        <v>41201</v>
      </c>
      <c r="R29" s="65" t="s">
        <v>28</v>
      </c>
      <c r="U29" t="s">
        <v>412</v>
      </c>
      <c r="V29" t="s">
        <v>3021</v>
      </c>
      <c r="W29" s="65" t="s">
        <v>29</v>
      </c>
      <c r="X29" s="65" t="s">
        <v>29</v>
      </c>
      <c r="Y29" s="65" t="s">
        <v>30</v>
      </c>
      <c r="Z29" s="69">
        <v>41662</v>
      </c>
      <c r="AA29" s="69">
        <v>41765</v>
      </c>
      <c r="AD29" s="65" t="s">
        <v>23</v>
      </c>
      <c r="AE29" s="65" t="s">
        <v>24</v>
      </c>
      <c r="AH29" s="69">
        <f t="shared" si="1"/>
        <v>41765</v>
      </c>
      <c r="AW29" s="73">
        <v>86</v>
      </c>
      <c r="AY29" s="73">
        <v>86</v>
      </c>
      <c r="BL29" s="73">
        <v>136</v>
      </c>
      <c r="BN29" s="73">
        <v>136</v>
      </c>
      <c r="BO29" s="185" t="s">
        <v>3794</v>
      </c>
      <c r="BP29" s="185" t="s">
        <v>3794</v>
      </c>
      <c r="BQ29" s="185" t="s">
        <v>126</v>
      </c>
      <c r="BW29" s="73"/>
      <c r="BY29" s="185" t="s">
        <v>3794</v>
      </c>
      <c r="CG29" s="73">
        <v>-50</v>
      </c>
      <c r="CI29" s="73">
        <v>-50</v>
      </c>
      <c r="CJ29" t="s">
        <v>25</v>
      </c>
      <c r="CK29" t="s">
        <v>25</v>
      </c>
      <c r="CL29" t="s">
        <v>25</v>
      </c>
      <c r="CM29" t="s">
        <v>25</v>
      </c>
      <c r="CN29" t="s">
        <v>25</v>
      </c>
      <c r="CO29" t="s">
        <v>25</v>
      </c>
      <c r="CP29" t="s">
        <v>25</v>
      </c>
      <c r="CQ29" t="s">
        <v>25</v>
      </c>
      <c r="CR29" t="s">
        <v>25</v>
      </c>
      <c r="CS29" t="s">
        <v>25</v>
      </c>
      <c r="CT29" t="s">
        <v>25</v>
      </c>
      <c r="CU29" t="s">
        <v>56</v>
      </c>
      <c r="CV29" t="s">
        <v>25</v>
      </c>
      <c r="CW29" t="s">
        <v>25</v>
      </c>
      <c r="CX29" t="s">
        <v>25</v>
      </c>
      <c r="CY29" t="s">
        <v>25</v>
      </c>
      <c r="CZ29" t="s">
        <v>25</v>
      </c>
      <c r="DA29" t="s">
        <v>25</v>
      </c>
      <c r="DB29" t="s">
        <v>25</v>
      </c>
      <c r="DC29" t="s">
        <v>25</v>
      </c>
      <c r="DD29" t="s">
        <v>25</v>
      </c>
      <c r="DE29" t="s">
        <v>25</v>
      </c>
      <c r="DF29" t="s">
        <v>25</v>
      </c>
      <c r="DG29" t="s">
        <v>25</v>
      </c>
      <c r="DH29" t="s">
        <v>56</v>
      </c>
      <c r="DI29" t="s">
        <v>25</v>
      </c>
      <c r="DJ29" s="76">
        <v>6.9999992847442991E-3</v>
      </c>
      <c r="DK29" s="73">
        <v>86</v>
      </c>
      <c r="DL29" s="73">
        <v>136</v>
      </c>
      <c r="DM29" s="73">
        <v>-50</v>
      </c>
      <c r="DU29"/>
      <c r="DZ29" s="73">
        <v>152</v>
      </c>
      <c r="EA29" s="73">
        <v>0</v>
      </c>
      <c r="EB29" s="73">
        <v>152</v>
      </c>
      <c r="EC29" s="65" t="s">
        <v>126</v>
      </c>
    </row>
    <row r="30" spans="1:133" ht="12" customHeight="1" x14ac:dyDescent="0.2">
      <c r="A30" t="s">
        <v>2935</v>
      </c>
      <c r="B30" t="s">
        <v>2946</v>
      </c>
      <c r="C30" t="str">
        <f t="shared" si="0"/>
        <v>Full</v>
      </c>
      <c r="E30" s="65">
        <v>365</v>
      </c>
      <c r="F30" t="s">
        <v>1358</v>
      </c>
      <c r="G30" s="71" t="s">
        <v>3947</v>
      </c>
      <c r="H30" s="67">
        <v>0.74000000953674305</v>
      </c>
      <c r="I30" s="65">
        <v>530104</v>
      </c>
      <c r="J30" s="65">
        <v>177808</v>
      </c>
      <c r="K30" s="65" t="s">
        <v>1359</v>
      </c>
      <c r="L30" s="65" t="s">
        <v>1360</v>
      </c>
      <c r="M30" s="65" t="s">
        <v>434</v>
      </c>
      <c r="N30" s="69">
        <v>41691</v>
      </c>
      <c r="O30" s="69">
        <v>41877</v>
      </c>
      <c r="Q30" s="69">
        <v>41743</v>
      </c>
      <c r="R30" s="65" t="s">
        <v>28</v>
      </c>
      <c r="U30" t="s">
        <v>1361</v>
      </c>
      <c r="V30" t="s">
        <v>3022</v>
      </c>
      <c r="W30" s="65" t="s">
        <v>29</v>
      </c>
      <c r="X30" s="65" t="s">
        <v>29</v>
      </c>
      <c r="Y30" s="65" t="s">
        <v>30</v>
      </c>
      <c r="AA30" s="69">
        <v>42228</v>
      </c>
      <c r="AD30" s="65" t="s">
        <v>23</v>
      </c>
      <c r="AE30" s="65" t="s">
        <v>24</v>
      </c>
      <c r="AH30" s="69">
        <f t="shared" si="1"/>
        <v>42228</v>
      </c>
      <c r="AJ30" s="73">
        <v>83</v>
      </c>
      <c r="AK30" s="73">
        <v>83</v>
      </c>
      <c r="AL30" s="73">
        <v>83</v>
      </c>
      <c r="AM30" s="73">
        <v>84</v>
      </c>
      <c r="AO30" s="73">
        <v>333</v>
      </c>
      <c r="BA30" s="73">
        <v>1736</v>
      </c>
      <c r="BC30" s="73">
        <v>470</v>
      </c>
      <c r="BE30" s="73">
        <v>2206</v>
      </c>
      <c r="BF30" s="73">
        <v>25389</v>
      </c>
      <c r="BK30" s="73">
        <v>25389</v>
      </c>
      <c r="BO30" s="185" t="s">
        <v>126</v>
      </c>
      <c r="BP30" s="185" t="s">
        <v>126</v>
      </c>
      <c r="BQ30" s="185" t="s">
        <v>3794</v>
      </c>
      <c r="BR30" s="73">
        <v>83</v>
      </c>
      <c r="BS30" s="73">
        <v>-1653</v>
      </c>
      <c r="BT30" s="73">
        <v>83</v>
      </c>
      <c r="BU30" s="73">
        <v>-386</v>
      </c>
      <c r="BW30" s="73">
        <v>-1873</v>
      </c>
      <c r="BX30" s="73">
        <v>-25389</v>
      </c>
      <c r="BY30" s="185" t="s">
        <v>126</v>
      </c>
      <c r="CD30" s="73">
        <v>-25389</v>
      </c>
      <c r="CE30" s="65" t="s">
        <v>126</v>
      </c>
      <c r="CJ30" t="s">
        <v>31</v>
      </c>
      <c r="CK30" t="s">
        <v>31</v>
      </c>
      <c r="CL30" t="s">
        <v>31</v>
      </c>
      <c r="CM30" t="s">
        <v>31</v>
      </c>
      <c r="CN30" t="s">
        <v>25</v>
      </c>
      <c r="CO30" t="s">
        <v>25</v>
      </c>
      <c r="CP30" t="s">
        <v>25</v>
      </c>
      <c r="CQ30" t="s">
        <v>25</v>
      </c>
      <c r="CR30" t="s">
        <v>25</v>
      </c>
      <c r="CS30" t="s">
        <v>25</v>
      </c>
      <c r="CT30" t="s">
        <v>63</v>
      </c>
      <c r="CU30" t="s">
        <v>25</v>
      </c>
      <c r="CV30" t="s">
        <v>25</v>
      </c>
      <c r="CW30" t="s">
        <v>25</v>
      </c>
      <c r="CX30" t="s">
        <v>31</v>
      </c>
      <c r="CY30" t="s">
        <v>25</v>
      </c>
      <c r="CZ30" t="s">
        <v>175</v>
      </c>
      <c r="DA30" t="s">
        <v>25</v>
      </c>
      <c r="DB30" t="s">
        <v>31</v>
      </c>
      <c r="DC30" t="s">
        <v>25</v>
      </c>
      <c r="DD30" t="s">
        <v>25</v>
      </c>
      <c r="DE30" t="s">
        <v>25</v>
      </c>
      <c r="DF30" t="s">
        <v>25</v>
      </c>
      <c r="DG30" t="s">
        <v>25</v>
      </c>
      <c r="DH30" t="s">
        <v>25</v>
      </c>
      <c r="DI30" t="s">
        <v>25</v>
      </c>
      <c r="DJ30" s="76">
        <v>8.4000000000000005E-2</v>
      </c>
      <c r="DK30" s="73">
        <v>23116</v>
      </c>
      <c r="DU30" s="65" t="s">
        <v>126</v>
      </c>
      <c r="DZ30" s="73">
        <v>77705</v>
      </c>
    </row>
    <row r="31" spans="1:133" ht="12" customHeight="1" x14ac:dyDescent="0.2">
      <c r="A31" t="s">
        <v>2935</v>
      </c>
      <c r="B31" t="s">
        <v>2946</v>
      </c>
      <c r="C31" t="str">
        <f t="shared" si="0"/>
        <v>Full</v>
      </c>
      <c r="E31" s="65">
        <v>365</v>
      </c>
      <c r="F31" t="s">
        <v>1358</v>
      </c>
      <c r="G31" s="71" t="s">
        <v>3947</v>
      </c>
      <c r="H31" s="67">
        <v>0.74000000953674305</v>
      </c>
      <c r="I31" s="65">
        <v>530104</v>
      </c>
      <c r="J31" s="65">
        <v>177808</v>
      </c>
      <c r="K31" s="65" t="s">
        <v>1359</v>
      </c>
      <c r="L31" s="65" t="s">
        <v>1362</v>
      </c>
      <c r="M31" s="65" t="s">
        <v>1363</v>
      </c>
      <c r="N31" s="69">
        <v>42536</v>
      </c>
      <c r="O31" s="69">
        <v>42542</v>
      </c>
      <c r="R31" s="65" t="s">
        <v>28</v>
      </c>
      <c r="U31" t="s">
        <v>1364</v>
      </c>
      <c r="V31" t="s">
        <v>3023</v>
      </c>
      <c r="W31" s="65" t="s">
        <v>29</v>
      </c>
      <c r="X31" s="65" t="s">
        <v>29</v>
      </c>
      <c r="Y31" s="65" t="s">
        <v>30</v>
      </c>
      <c r="AA31" s="69">
        <v>42228</v>
      </c>
      <c r="AD31" s="65" t="s">
        <v>23</v>
      </c>
      <c r="AE31" s="65" t="s">
        <v>24</v>
      </c>
      <c r="AH31" s="69">
        <f t="shared" si="1"/>
        <v>42228</v>
      </c>
      <c r="AJ31" s="73">
        <v>109</v>
      </c>
      <c r="AK31" s="73">
        <v>109</v>
      </c>
      <c r="AL31" s="73">
        <v>109</v>
      </c>
      <c r="AM31" s="73">
        <v>110</v>
      </c>
      <c r="AO31" s="73">
        <v>437</v>
      </c>
      <c r="AZ31" s="73">
        <v>83</v>
      </c>
      <c r="BA31" s="73">
        <v>83</v>
      </c>
      <c r="BB31" s="73">
        <v>83</v>
      </c>
      <c r="BC31" s="73">
        <v>84</v>
      </c>
      <c r="BE31" s="73">
        <v>333</v>
      </c>
      <c r="BO31" s="185" t="s">
        <v>126</v>
      </c>
      <c r="BP31" s="185" t="s">
        <v>3794</v>
      </c>
      <c r="BQ31" s="185" t="s">
        <v>3794</v>
      </c>
      <c r="BR31" s="73">
        <v>26</v>
      </c>
      <c r="BS31" s="73">
        <v>26</v>
      </c>
      <c r="BT31" s="73">
        <v>26</v>
      </c>
      <c r="BU31" s="73">
        <v>26</v>
      </c>
      <c r="BW31" s="73">
        <v>104</v>
      </c>
      <c r="BY31" s="185" t="s">
        <v>3794</v>
      </c>
      <c r="CJ31" t="s">
        <v>31</v>
      </c>
      <c r="CK31" t="s">
        <v>31</v>
      </c>
      <c r="CL31" t="s">
        <v>31</v>
      </c>
      <c r="CM31" t="s">
        <v>31</v>
      </c>
      <c r="CN31" t="s">
        <v>25</v>
      </c>
      <c r="CO31" t="s">
        <v>25</v>
      </c>
      <c r="CP31" t="s">
        <v>25</v>
      </c>
      <c r="CQ31" t="s">
        <v>25</v>
      </c>
      <c r="CR31" t="s">
        <v>25</v>
      </c>
      <c r="CS31" t="s">
        <v>25</v>
      </c>
      <c r="CT31" t="s">
        <v>25</v>
      </c>
      <c r="CU31" t="s">
        <v>25</v>
      </c>
      <c r="CV31" t="s">
        <v>25</v>
      </c>
      <c r="CW31" t="s">
        <v>31</v>
      </c>
      <c r="CX31" t="s">
        <v>31</v>
      </c>
      <c r="CY31" t="s">
        <v>31</v>
      </c>
      <c r="CZ31" t="s">
        <v>31</v>
      </c>
      <c r="DA31" t="s">
        <v>25</v>
      </c>
      <c r="DB31" t="s">
        <v>25</v>
      </c>
      <c r="DC31" t="s">
        <v>25</v>
      </c>
      <c r="DD31" t="s">
        <v>25</v>
      </c>
      <c r="DE31" t="s">
        <v>25</v>
      </c>
      <c r="DF31" t="s">
        <v>25</v>
      </c>
      <c r="DG31" t="s">
        <v>25</v>
      </c>
      <c r="DH31" t="s">
        <v>25</v>
      </c>
      <c r="DI31" t="s">
        <v>25</v>
      </c>
      <c r="DJ31" s="76">
        <v>0</v>
      </c>
      <c r="DK31" s="73">
        <v>437</v>
      </c>
      <c r="DL31" s="73">
        <v>333</v>
      </c>
      <c r="DM31" s="73">
        <v>104</v>
      </c>
      <c r="DU31" s="65" t="s">
        <v>126</v>
      </c>
      <c r="DZ31" s="73">
        <v>0</v>
      </c>
      <c r="EA31" s="73">
        <v>0</v>
      </c>
      <c r="EB31" s="73">
        <v>0</v>
      </c>
    </row>
    <row r="32" spans="1:133" ht="12" customHeight="1" x14ac:dyDescent="0.2">
      <c r="A32" t="s">
        <v>2936</v>
      </c>
      <c r="B32" t="s">
        <v>2949</v>
      </c>
      <c r="C32" t="str">
        <f t="shared" si="0"/>
        <v>Certificate of Lawful Development</v>
      </c>
      <c r="D32" t="s">
        <v>2943</v>
      </c>
      <c r="E32" s="65">
        <v>371</v>
      </c>
      <c r="F32" t="s">
        <v>1365</v>
      </c>
      <c r="G32" s="71" t="s">
        <v>2904</v>
      </c>
      <c r="H32" s="67">
        <v>0.104000002145767</v>
      </c>
      <c r="I32" s="65">
        <v>526254</v>
      </c>
      <c r="J32" s="65">
        <v>172053</v>
      </c>
      <c r="L32" s="65" t="s">
        <v>1366</v>
      </c>
      <c r="M32" s="65" t="s">
        <v>430</v>
      </c>
      <c r="N32" s="69">
        <v>42961</v>
      </c>
      <c r="O32" s="69">
        <v>43017</v>
      </c>
      <c r="P32" s="65" t="s">
        <v>126</v>
      </c>
      <c r="R32" s="65" t="s">
        <v>28</v>
      </c>
      <c r="U32" t="s">
        <v>1367</v>
      </c>
      <c r="V32" t="s">
        <v>3024</v>
      </c>
      <c r="W32" s="65" t="s">
        <v>21</v>
      </c>
      <c r="X32" s="65" t="s">
        <v>21</v>
      </c>
      <c r="Y32" s="65" t="s">
        <v>35</v>
      </c>
      <c r="AA32" s="69">
        <v>43017</v>
      </c>
      <c r="AB32" s="69">
        <v>43017</v>
      </c>
      <c r="AC32" s="69">
        <v>43017</v>
      </c>
      <c r="AD32" s="65" t="s">
        <v>23</v>
      </c>
      <c r="AE32" s="65" t="s">
        <v>24</v>
      </c>
      <c r="AH32" s="69">
        <f t="shared" si="1"/>
        <v>43017</v>
      </c>
      <c r="AI32" s="69">
        <f t="shared" si="2"/>
        <v>43017</v>
      </c>
      <c r="AT32" s="73">
        <v>43</v>
      </c>
      <c r="AV32" s="73">
        <v>43</v>
      </c>
      <c r="BF32" s="73">
        <v>43</v>
      </c>
      <c r="BK32" s="73">
        <v>43</v>
      </c>
      <c r="BO32" s="185" t="s">
        <v>3794</v>
      </c>
      <c r="BP32" s="185" t="s">
        <v>126</v>
      </c>
      <c r="BQ32" s="185" t="s">
        <v>3794</v>
      </c>
      <c r="BW32" s="73"/>
      <c r="BX32" s="73">
        <v>-43</v>
      </c>
      <c r="BY32" s="185" t="s">
        <v>126</v>
      </c>
      <c r="CB32" s="73">
        <v>43</v>
      </c>
      <c r="CJ32" t="s">
        <v>25</v>
      </c>
      <c r="CK32" t="s">
        <v>25</v>
      </c>
      <c r="CL32" t="s">
        <v>25</v>
      </c>
      <c r="CM32" t="s">
        <v>25</v>
      </c>
      <c r="CN32" t="s">
        <v>25</v>
      </c>
      <c r="CO32" t="s">
        <v>25</v>
      </c>
      <c r="CP32" t="s">
        <v>25</v>
      </c>
      <c r="CQ32" t="s">
        <v>25</v>
      </c>
      <c r="CR32" t="s">
        <v>32</v>
      </c>
      <c r="CS32" t="s">
        <v>25</v>
      </c>
      <c r="CT32" t="s">
        <v>25</v>
      </c>
      <c r="CU32" t="s">
        <v>25</v>
      </c>
      <c r="CV32" t="s">
        <v>25</v>
      </c>
      <c r="CW32" t="s">
        <v>25</v>
      </c>
      <c r="CX32" t="s">
        <v>25</v>
      </c>
      <c r="CY32" t="s">
        <v>25</v>
      </c>
      <c r="CZ32" t="s">
        <v>25</v>
      </c>
      <c r="DA32" t="s">
        <v>25</v>
      </c>
      <c r="DB32" t="s">
        <v>49</v>
      </c>
      <c r="DC32" t="s">
        <v>25</v>
      </c>
      <c r="DD32" t="s">
        <v>25</v>
      </c>
      <c r="DE32" t="s">
        <v>25</v>
      </c>
      <c r="DF32" t="s">
        <v>25</v>
      </c>
      <c r="DG32" t="s">
        <v>25</v>
      </c>
      <c r="DH32" t="s">
        <v>25</v>
      </c>
      <c r="DI32" t="s">
        <v>25</v>
      </c>
      <c r="DJ32" s="76">
        <v>0.104000002145767</v>
      </c>
      <c r="DK32" s="73">
        <v>43</v>
      </c>
      <c r="DL32" s="73">
        <v>43</v>
      </c>
      <c r="DM32" s="73">
        <v>0</v>
      </c>
      <c r="DQ32" s="65" t="s">
        <v>126</v>
      </c>
      <c r="DR32" t="s">
        <v>2903</v>
      </c>
      <c r="DU32"/>
      <c r="DZ32" s="73">
        <v>0</v>
      </c>
      <c r="EA32" s="73">
        <v>0</v>
      </c>
      <c r="EB32" s="73">
        <v>0</v>
      </c>
    </row>
    <row r="33" spans="1:133" ht="12" customHeight="1" x14ac:dyDescent="0.2">
      <c r="A33" t="s">
        <v>2937</v>
      </c>
      <c r="B33" t="s">
        <v>2946</v>
      </c>
      <c r="C33" t="str">
        <f t="shared" si="0"/>
        <v>Full</v>
      </c>
      <c r="E33" s="65">
        <v>408</v>
      </c>
      <c r="F33" t="s">
        <v>1369</v>
      </c>
      <c r="G33" s="71" t="s">
        <v>2907</v>
      </c>
      <c r="H33" s="67">
        <v>2.4000000208616298E-2</v>
      </c>
      <c r="I33" s="65">
        <v>525290</v>
      </c>
      <c r="J33" s="65">
        <v>173975</v>
      </c>
      <c r="L33" s="65" t="s">
        <v>1370</v>
      </c>
      <c r="M33" s="65" t="s">
        <v>27</v>
      </c>
      <c r="N33" s="69">
        <v>42951</v>
      </c>
      <c r="O33" s="69">
        <v>43007</v>
      </c>
      <c r="P33" s="65" t="s">
        <v>126</v>
      </c>
      <c r="R33" s="65" t="s">
        <v>28</v>
      </c>
      <c r="U33" t="s">
        <v>1371</v>
      </c>
      <c r="V33" t="s">
        <v>3025</v>
      </c>
      <c r="W33" s="65" t="s">
        <v>21</v>
      </c>
      <c r="X33" s="65" t="s">
        <v>21</v>
      </c>
      <c r="Y33" s="65" t="s">
        <v>69</v>
      </c>
      <c r="AD33" s="65" t="s">
        <v>23</v>
      </c>
      <c r="AE33" s="65" t="s">
        <v>24</v>
      </c>
      <c r="AP33" s="73">
        <v>63</v>
      </c>
      <c r="AS33" s="73">
        <v>63</v>
      </c>
      <c r="AV33" s="73">
        <v>63</v>
      </c>
      <c r="BL33" s="73">
        <v>63</v>
      </c>
      <c r="BN33" s="73">
        <v>63</v>
      </c>
      <c r="BO33" s="185" t="s">
        <v>3794</v>
      </c>
      <c r="BP33" s="185" t="s">
        <v>126</v>
      </c>
      <c r="BQ33" s="185" t="s">
        <v>126</v>
      </c>
      <c r="BW33" s="73"/>
      <c r="BX33" s="73">
        <v>63</v>
      </c>
      <c r="BY33" s="185" t="s">
        <v>3794</v>
      </c>
      <c r="CD33" s="73">
        <v>63</v>
      </c>
      <c r="CG33" s="73">
        <v>-63</v>
      </c>
      <c r="CI33" s="73">
        <v>-63</v>
      </c>
      <c r="CJ33" t="s">
        <v>25</v>
      </c>
      <c r="CK33" t="s">
        <v>25</v>
      </c>
      <c r="CL33" t="s">
        <v>25</v>
      </c>
      <c r="CM33" t="s">
        <v>25</v>
      </c>
      <c r="CN33" t="s">
        <v>25</v>
      </c>
      <c r="CO33" t="s">
        <v>31</v>
      </c>
      <c r="CP33" t="s">
        <v>25</v>
      </c>
      <c r="CQ33" t="s">
        <v>25</v>
      </c>
      <c r="CR33" t="s">
        <v>25</v>
      </c>
      <c r="CS33" t="s">
        <v>25</v>
      </c>
      <c r="CT33" t="s">
        <v>25</v>
      </c>
      <c r="CU33" t="s">
        <v>25</v>
      </c>
      <c r="CV33" t="s">
        <v>25</v>
      </c>
      <c r="CW33" t="s">
        <v>25</v>
      </c>
      <c r="CX33" t="s">
        <v>25</v>
      </c>
      <c r="CY33" t="s">
        <v>25</v>
      </c>
      <c r="CZ33" t="s">
        <v>25</v>
      </c>
      <c r="DA33" t="s">
        <v>25</v>
      </c>
      <c r="DB33" t="s">
        <v>25</v>
      </c>
      <c r="DC33" t="s">
        <v>25</v>
      </c>
      <c r="DD33" t="s">
        <v>25</v>
      </c>
      <c r="DE33" t="s">
        <v>25</v>
      </c>
      <c r="DF33" t="s">
        <v>25</v>
      </c>
      <c r="DG33" t="s">
        <v>25</v>
      </c>
      <c r="DH33" t="s">
        <v>49</v>
      </c>
      <c r="DI33" t="s">
        <v>25</v>
      </c>
      <c r="DJ33" s="76">
        <v>2.4000000208616298E-2</v>
      </c>
      <c r="DK33" s="73">
        <v>63</v>
      </c>
      <c r="DL33" s="73">
        <v>63</v>
      </c>
      <c r="DM33" s="73">
        <v>0</v>
      </c>
      <c r="DU33"/>
      <c r="DZ33" s="73">
        <v>0</v>
      </c>
      <c r="EA33" s="73">
        <v>0</v>
      </c>
      <c r="EB33" s="73">
        <v>0</v>
      </c>
    </row>
    <row r="34" spans="1:133" ht="12" customHeight="1" x14ac:dyDescent="0.2">
      <c r="A34" t="s">
        <v>2937</v>
      </c>
      <c r="B34" t="s">
        <v>2946</v>
      </c>
      <c r="C34" t="str">
        <f t="shared" si="0"/>
        <v>Full</v>
      </c>
      <c r="E34" s="65">
        <v>409</v>
      </c>
      <c r="F34" t="s">
        <v>1372</v>
      </c>
      <c r="G34" s="71" t="s">
        <v>3944</v>
      </c>
      <c r="H34" s="67">
        <v>1.7000000923872001E-2</v>
      </c>
      <c r="I34" s="65">
        <v>526720</v>
      </c>
      <c r="J34" s="65">
        <v>175029</v>
      </c>
      <c r="L34" s="65" t="s">
        <v>240</v>
      </c>
      <c r="M34" s="65" t="s">
        <v>27</v>
      </c>
      <c r="N34" s="69">
        <v>41425</v>
      </c>
      <c r="O34" s="69">
        <v>41530</v>
      </c>
      <c r="R34" s="65" t="s">
        <v>28</v>
      </c>
      <c r="U34" t="s">
        <v>684</v>
      </c>
      <c r="V34" t="s">
        <v>3026</v>
      </c>
      <c r="W34" s="65" t="s">
        <v>29</v>
      </c>
      <c r="X34" s="65" t="s">
        <v>29</v>
      </c>
      <c r="Y34" s="65" t="s">
        <v>69</v>
      </c>
      <c r="AD34" s="65" t="s">
        <v>23</v>
      </c>
      <c r="AE34" s="65" t="s">
        <v>24</v>
      </c>
      <c r="AJ34" s="73">
        <v>38</v>
      </c>
      <c r="AO34" s="73">
        <v>38</v>
      </c>
      <c r="AP34" s="73">
        <v>91</v>
      </c>
      <c r="AS34" s="73">
        <v>91</v>
      </c>
      <c r="AV34" s="73">
        <v>91</v>
      </c>
      <c r="AZ34" s="73">
        <v>67</v>
      </c>
      <c r="BE34" s="73">
        <v>67</v>
      </c>
      <c r="BO34" s="185" t="s">
        <v>126</v>
      </c>
      <c r="BP34" s="185" t="s">
        <v>126</v>
      </c>
      <c r="BQ34" s="185" t="s">
        <v>3794</v>
      </c>
      <c r="BR34" s="73">
        <v>-29</v>
      </c>
      <c r="BW34" s="73">
        <v>-29</v>
      </c>
      <c r="BX34" s="73">
        <v>91</v>
      </c>
      <c r="BY34" s="185" t="s">
        <v>3794</v>
      </c>
      <c r="CD34" s="73">
        <v>91</v>
      </c>
      <c r="CJ34" t="s">
        <v>31</v>
      </c>
      <c r="CK34" t="s">
        <v>25</v>
      </c>
      <c r="CL34" t="s">
        <v>25</v>
      </c>
      <c r="CM34" t="s">
        <v>25</v>
      </c>
      <c r="CN34" t="s">
        <v>25</v>
      </c>
      <c r="CO34" t="s">
        <v>31</v>
      </c>
      <c r="CP34" t="s">
        <v>25</v>
      </c>
      <c r="CQ34" t="s">
        <v>25</v>
      </c>
      <c r="CR34" t="s">
        <v>25</v>
      </c>
      <c r="CS34" t="s">
        <v>25</v>
      </c>
      <c r="CT34" t="s">
        <v>25</v>
      </c>
      <c r="CU34" t="s">
        <v>25</v>
      </c>
      <c r="CV34" t="s">
        <v>25</v>
      </c>
      <c r="CW34" t="s">
        <v>31</v>
      </c>
      <c r="CX34" t="s">
        <v>25</v>
      </c>
      <c r="CY34" t="s">
        <v>25</v>
      </c>
      <c r="CZ34" t="s">
        <v>25</v>
      </c>
      <c r="DA34" t="s">
        <v>25</v>
      </c>
      <c r="DB34" t="s">
        <v>25</v>
      </c>
      <c r="DC34" t="s">
        <v>25</v>
      </c>
      <c r="DD34" t="s">
        <v>25</v>
      </c>
      <c r="DE34" t="s">
        <v>25</v>
      </c>
      <c r="DF34" t="s">
        <v>25</v>
      </c>
      <c r="DG34" t="s">
        <v>25</v>
      </c>
      <c r="DH34" t="s">
        <v>25</v>
      </c>
      <c r="DI34" t="s">
        <v>25</v>
      </c>
      <c r="DJ34" s="76">
        <v>1.7000000923872001E-2</v>
      </c>
      <c r="DK34" s="73">
        <v>129</v>
      </c>
      <c r="DL34" s="73">
        <v>67</v>
      </c>
      <c r="DM34" s="73">
        <v>62</v>
      </c>
      <c r="DU34"/>
      <c r="DZ34" s="73">
        <v>56</v>
      </c>
      <c r="EA34" s="73">
        <v>0</v>
      </c>
      <c r="EB34" s="73">
        <v>56</v>
      </c>
      <c r="EC34" s="65" t="s">
        <v>126</v>
      </c>
    </row>
    <row r="35" spans="1:133" ht="12" customHeight="1" x14ac:dyDescent="0.2">
      <c r="A35" t="s">
        <v>2937</v>
      </c>
      <c r="B35" t="s">
        <v>2948</v>
      </c>
      <c r="C35" t="str">
        <f t="shared" si="0"/>
        <v>Prior Approval</v>
      </c>
      <c r="E35" s="65">
        <v>411</v>
      </c>
      <c r="F35" t="s">
        <v>1373</v>
      </c>
      <c r="G35" s="71" t="s">
        <v>3947</v>
      </c>
      <c r="H35" s="67">
        <v>7.9999998211860698E-2</v>
      </c>
      <c r="I35" s="65">
        <v>528848</v>
      </c>
      <c r="J35" s="65">
        <v>176719</v>
      </c>
      <c r="L35" s="65" t="s">
        <v>277</v>
      </c>
      <c r="M35" s="65" t="s">
        <v>243</v>
      </c>
      <c r="N35" s="69">
        <v>42087</v>
      </c>
      <c r="O35" s="69">
        <v>42165</v>
      </c>
      <c r="R35" s="65" t="s">
        <v>28</v>
      </c>
      <c r="U35" t="s">
        <v>278</v>
      </c>
      <c r="V35" t="s">
        <v>3027</v>
      </c>
      <c r="W35" s="65" t="s">
        <v>21</v>
      </c>
      <c r="X35" s="65" t="s">
        <v>21</v>
      </c>
      <c r="Y35" s="65" t="s">
        <v>59</v>
      </c>
      <c r="AD35" s="65" t="s">
        <v>23</v>
      </c>
      <c r="AE35" s="65" t="s">
        <v>24</v>
      </c>
      <c r="BF35" s="73">
        <v>356</v>
      </c>
      <c r="BK35" s="73">
        <v>356</v>
      </c>
      <c r="BO35" s="185" t="s">
        <v>3794</v>
      </c>
      <c r="BP35" s="185" t="s">
        <v>126</v>
      </c>
      <c r="BQ35" s="185" t="s">
        <v>3794</v>
      </c>
      <c r="BW35" s="73"/>
      <c r="BX35" s="73">
        <v>-356</v>
      </c>
      <c r="BY35" s="185" t="s">
        <v>126</v>
      </c>
      <c r="CD35" s="73">
        <v>-356</v>
      </c>
      <c r="CE35" s="65" t="s">
        <v>126</v>
      </c>
      <c r="CJ35" t="s">
        <v>25</v>
      </c>
      <c r="CK35" t="s">
        <v>25</v>
      </c>
      <c r="CL35" t="s">
        <v>25</v>
      </c>
      <c r="CM35" t="s">
        <v>25</v>
      </c>
      <c r="CN35" t="s">
        <v>25</v>
      </c>
      <c r="CO35" t="s">
        <v>25</v>
      </c>
      <c r="CP35" t="s">
        <v>25</v>
      </c>
      <c r="CQ35" t="s">
        <v>25</v>
      </c>
      <c r="CR35" t="s">
        <v>25</v>
      </c>
      <c r="CS35" t="s">
        <v>25</v>
      </c>
      <c r="CT35" t="s">
        <v>25</v>
      </c>
      <c r="CU35" t="s">
        <v>25</v>
      </c>
      <c r="CV35" t="s">
        <v>25</v>
      </c>
      <c r="CW35" t="s">
        <v>25</v>
      </c>
      <c r="CX35" t="s">
        <v>25</v>
      </c>
      <c r="CY35" t="s">
        <v>25</v>
      </c>
      <c r="CZ35" t="s">
        <v>25</v>
      </c>
      <c r="DA35" t="s">
        <v>25</v>
      </c>
      <c r="DB35" t="s">
        <v>47</v>
      </c>
      <c r="DC35" t="s">
        <v>25</v>
      </c>
      <c r="DD35" t="s">
        <v>25</v>
      </c>
      <c r="DE35" t="s">
        <v>25</v>
      </c>
      <c r="DF35" t="s">
        <v>25</v>
      </c>
      <c r="DG35" t="s">
        <v>25</v>
      </c>
      <c r="DH35" t="s">
        <v>25</v>
      </c>
      <c r="DI35" t="s">
        <v>25</v>
      </c>
      <c r="DJ35" s="76">
        <v>1.9999999552965199E-2</v>
      </c>
      <c r="DK35" s="73">
        <v>0</v>
      </c>
      <c r="DL35" s="73">
        <v>356</v>
      </c>
      <c r="DM35" s="73">
        <v>-356</v>
      </c>
      <c r="DO35" s="65" t="s">
        <v>126</v>
      </c>
      <c r="DP35" t="s">
        <v>74</v>
      </c>
      <c r="DU35" s="65" t="s">
        <v>126</v>
      </c>
      <c r="DZ35" s="73">
        <v>356</v>
      </c>
      <c r="EA35" s="73">
        <v>0</v>
      </c>
      <c r="EB35" s="73">
        <v>356</v>
      </c>
      <c r="EC35" s="65" t="s">
        <v>126</v>
      </c>
    </row>
    <row r="36" spans="1:133" ht="12" customHeight="1" x14ac:dyDescent="0.2">
      <c r="A36" t="s">
        <v>2937</v>
      </c>
      <c r="B36" t="s">
        <v>2946</v>
      </c>
      <c r="C36" t="str">
        <f t="shared" si="0"/>
        <v>Full</v>
      </c>
      <c r="E36" s="65">
        <v>419</v>
      </c>
      <c r="F36" t="s">
        <v>1374</v>
      </c>
      <c r="G36" s="71" t="s">
        <v>150</v>
      </c>
      <c r="H36" s="67">
        <v>2.9999999329447701E-2</v>
      </c>
      <c r="I36" s="65">
        <v>527797</v>
      </c>
      <c r="J36" s="65">
        <v>172208</v>
      </c>
      <c r="L36" s="65" t="s">
        <v>1375</v>
      </c>
      <c r="M36" s="65" t="s">
        <v>27</v>
      </c>
      <c r="N36" s="69">
        <v>42983</v>
      </c>
      <c r="O36" s="69">
        <v>43087</v>
      </c>
      <c r="P36" s="65" t="s">
        <v>126</v>
      </c>
      <c r="R36" s="65" t="s">
        <v>28</v>
      </c>
      <c r="U36" t="s">
        <v>1376</v>
      </c>
      <c r="V36" t="s">
        <v>3028</v>
      </c>
      <c r="W36" s="65" t="s">
        <v>29</v>
      </c>
      <c r="X36" s="65" t="s">
        <v>29</v>
      </c>
      <c r="Y36" s="65" t="s">
        <v>69</v>
      </c>
      <c r="AD36" s="65" t="s">
        <v>23</v>
      </c>
      <c r="AE36" s="65" t="s">
        <v>24</v>
      </c>
      <c r="AW36" s="73">
        <v>241</v>
      </c>
      <c r="AY36" s="73">
        <v>241</v>
      </c>
      <c r="BL36" s="73">
        <v>237</v>
      </c>
      <c r="BN36" s="73">
        <v>237</v>
      </c>
      <c r="BO36" s="185" t="s">
        <v>3794</v>
      </c>
      <c r="BP36" s="185" t="s">
        <v>3794</v>
      </c>
      <c r="BQ36" s="185" t="s">
        <v>126</v>
      </c>
      <c r="BW36" s="73"/>
      <c r="BY36" s="185" t="s">
        <v>3794</v>
      </c>
      <c r="CG36" s="73">
        <v>4</v>
      </c>
      <c r="CI36" s="73">
        <v>4</v>
      </c>
      <c r="CJ36" t="s">
        <v>25</v>
      </c>
      <c r="CK36" t="s">
        <v>25</v>
      </c>
      <c r="CL36" t="s">
        <v>25</v>
      </c>
      <c r="CM36" t="s">
        <v>25</v>
      </c>
      <c r="CN36" t="s">
        <v>25</v>
      </c>
      <c r="CO36" t="s">
        <v>25</v>
      </c>
      <c r="CP36" t="s">
        <v>25</v>
      </c>
      <c r="CQ36" t="s">
        <v>25</v>
      </c>
      <c r="CR36" t="s">
        <v>25</v>
      </c>
      <c r="CS36" t="s">
        <v>25</v>
      </c>
      <c r="CT36" t="s">
        <v>25</v>
      </c>
      <c r="CU36" t="s">
        <v>41</v>
      </c>
      <c r="CV36" t="s">
        <v>25</v>
      </c>
      <c r="CW36" t="s">
        <v>25</v>
      </c>
      <c r="CX36" t="s">
        <v>25</v>
      </c>
      <c r="CY36" t="s">
        <v>25</v>
      </c>
      <c r="CZ36" t="s">
        <v>25</v>
      </c>
      <c r="DA36" t="s">
        <v>25</v>
      </c>
      <c r="DB36" t="s">
        <v>25</v>
      </c>
      <c r="DC36" t="s">
        <v>25</v>
      </c>
      <c r="DD36" t="s">
        <v>25</v>
      </c>
      <c r="DE36" t="s">
        <v>25</v>
      </c>
      <c r="DF36" t="s">
        <v>25</v>
      </c>
      <c r="DG36" t="s">
        <v>25</v>
      </c>
      <c r="DH36" t="s">
        <v>41</v>
      </c>
      <c r="DI36" t="s">
        <v>25</v>
      </c>
      <c r="DJ36" s="76">
        <v>6.9999992847442002E-3</v>
      </c>
      <c r="DK36" s="73">
        <v>241</v>
      </c>
      <c r="DL36" s="73">
        <v>237</v>
      </c>
      <c r="DM36" s="73">
        <v>4</v>
      </c>
      <c r="DU36"/>
      <c r="DZ36" s="73">
        <v>388</v>
      </c>
      <c r="EA36" s="73">
        <v>0</v>
      </c>
      <c r="EB36" s="73">
        <v>388</v>
      </c>
      <c r="EC36" s="65" t="s">
        <v>126</v>
      </c>
    </row>
    <row r="37" spans="1:133" ht="12" customHeight="1" x14ac:dyDescent="0.2">
      <c r="A37" t="s">
        <v>2936</v>
      </c>
      <c r="B37" t="s">
        <v>2946</v>
      </c>
      <c r="C37" t="str">
        <f t="shared" si="0"/>
        <v>Full</v>
      </c>
      <c r="D37" t="s">
        <v>2943</v>
      </c>
      <c r="E37" s="65">
        <v>436</v>
      </c>
      <c r="F37" t="s">
        <v>1377</v>
      </c>
      <c r="G37" s="71" t="s">
        <v>2904</v>
      </c>
      <c r="H37" s="67">
        <v>7.4000000022351698E-3</v>
      </c>
      <c r="I37" s="65">
        <v>525937</v>
      </c>
      <c r="J37" s="65">
        <v>173377</v>
      </c>
      <c r="L37" s="65" t="s">
        <v>249</v>
      </c>
      <c r="M37" s="65" t="s">
        <v>27</v>
      </c>
      <c r="N37" s="69">
        <v>41701</v>
      </c>
      <c r="O37" s="69">
        <v>41757</v>
      </c>
      <c r="R37" s="65" t="s">
        <v>28</v>
      </c>
      <c r="U37" t="s">
        <v>388</v>
      </c>
      <c r="V37" t="s">
        <v>3029</v>
      </c>
      <c r="W37" s="65" t="s">
        <v>21</v>
      </c>
      <c r="X37" s="65" t="s">
        <v>21</v>
      </c>
      <c r="Y37" s="65" t="s">
        <v>35</v>
      </c>
      <c r="AA37" s="69">
        <v>42817</v>
      </c>
      <c r="AB37" s="69">
        <v>43012</v>
      </c>
      <c r="AC37" s="69">
        <v>43012</v>
      </c>
      <c r="AD37" s="65" t="s">
        <v>23</v>
      </c>
      <c r="AE37" s="65" t="s">
        <v>24</v>
      </c>
      <c r="AH37" s="69">
        <f t="shared" si="1"/>
        <v>42817</v>
      </c>
      <c r="AI37" s="69">
        <f t="shared" si="2"/>
        <v>43012</v>
      </c>
      <c r="AZ37" s="73">
        <v>15</v>
      </c>
      <c r="BE37" s="73">
        <v>15</v>
      </c>
      <c r="BO37" s="185" t="s">
        <v>126</v>
      </c>
      <c r="BP37" s="185" t="s">
        <v>3794</v>
      </c>
      <c r="BQ37" s="185" t="s">
        <v>3794</v>
      </c>
      <c r="BR37" s="73">
        <v>-15</v>
      </c>
      <c r="BW37" s="73">
        <v>-15</v>
      </c>
      <c r="BY37" s="185" t="s">
        <v>3794</v>
      </c>
      <c r="CJ37" t="s">
        <v>25</v>
      </c>
      <c r="CK37" t="s">
        <v>25</v>
      </c>
      <c r="CL37" t="s">
        <v>25</v>
      </c>
      <c r="CM37" t="s">
        <v>25</v>
      </c>
      <c r="CN37" t="s">
        <v>25</v>
      </c>
      <c r="CO37" t="s">
        <v>25</v>
      </c>
      <c r="CP37" t="s">
        <v>25</v>
      </c>
      <c r="CQ37" t="s">
        <v>25</v>
      </c>
      <c r="CR37" t="s">
        <v>25</v>
      </c>
      <c r="CS37" t="s">
        <v>25</v>
      </c>
      <c r="CT37" t="s">
        <v>25</v>
      </c>
      <c r="CU37" t="s">
        <v>25</v>
      </c>
      <c r="CV37" t="s">
        <v>25</v>
      </c>
      <c r="CW37" t="s">
        <v>49</v>
      </c>
      <c r="CX37" t="s">
        <v>25</v>
      </c>
      <c r="CY37" t="s">
        <v>25</v>
      </c>
      <c r="CZ37" t="s">
        <v>25</v>
      </c>
      <c r="DA37" t="s">
        <v>25</v>
      </c>
      <c r="DB37" t="s">
        <v>25</v>
      </c>
      <c r="DC37" t="s">
        <v>25</v>
      </c>
      <c r="DD37" t="s">
        <v>25</v>
      </c>
      <c r="DE37" t="s">
        <v>25</v>
      </c>
      <c r="DF37" t="s">
        <v>25</v>
      </c>
      <c r="DG37" t="s">
        <v>25</v>
      </c>
      <c r="DH37" t="s">
        <v>25</v>
      </c>
      <c r="DI37" t="s">
        <v>25</v>
      </c>
      <c r="DJ37" s="76">
        <v>7.4000000022351698E-3</v>
      </c>
      <c r="DK37" s="73">
        <v>0</v>
      </c>
      <c r="DL37" s="73">
        <v>15</v>
      </c>
      <c r="DM37" s="73">
        <v>-15</v>
      </c>
      <c r="DU37"/>
      <c r="DZ37" s="73">
        <v>15</v>
      </c>
      <c r="EA37" s="73">
        <v>0</v>
      </c>
      <c r="EB37" s="73">
        <v>15</v>
      </c>
      <c r="EC37" s="65" t="s">
        <v>126</v>
      </c>
    </row>
    <row r="38" spans="1:133" ht="12" customHeight="1" x14ac:dyDescent="0.2">
      <c r="A38" t="s">
        <v>2938</v>
      </c>
      <c r="B38" t="s">
        <v>2948</v>
      </c>
      <c r="C38" t="str">
        <f t="shared" si="0"/>
        <v>Prior Approval</v>
      </c>
      <c r="E38" s="65">
        <v>441</v>
      </c>
      <c r="F38" t="s">
        <v>1378</v>
      </c>
      <c r="G38" s="71" t="s">
        <v>3943</v>
      </c>
      <c r="H38" s="67">
        <v>2.0999999716877899E-2</v>
      </c>
      <c r="I38" s="65">
        <v>527142</v>
      </c>
      <c r="J38" s="65">
        <v>177106</v>
      </c>
      <c r="L38" s="65" t="s">
        <v>1379</v>
      </c>
      <c r="M38" s="65" t="s">
        <v>227</v>
      </c>
      <c r="N38" s="69">
        <v>43188</v>
      </c>
      <c r="R38" s="65" t="s">
        <v>28</v>
      </c>
      <c r="U38" t="s">
        <v>1380</v>
      </c>
      <c r="V38" t="s">
        <v>3030</v>
      </c>
      <c r="W38" s="65" t="s">
        <v>21</v>
      </c>
      <c r="X38" s="65" t="s">
        <v>21</v>
      </c>
      <c r="Y38" s="65" t="s">
        <v>69</v>
      </c>
      <c r="AD38" s="65" t="s">
        <v>173</v>
      </c>
      <c r="AE38" s="65" t="s">
        <v>24</v>
      </c>
      <c r="AL38" s="73">
        <v>30</v>
      </c>
      <c r="AO38" s="73">
        <v>30</v>
      </c>
      <c r="AZ38" s="73">
        <v>30</v>
      </c>
      <c r="BE38" s="73">
        <v>30</v>
      </c>
      <c r="BO38" s="185" t="s">
        <v>126</v>
      </c>
      <c r="BP38" s="185" t="s">
        <v>3794</v>
      </c>
      <c r="BQ38" s="185" t="s">
        <v>3794</v>
      </c>
      <c r="BR38" s="73">
        <v>-30</v>
      </c>
      <c r="BT38" s="73">
        <v>30</v>
      </c>
      <c r="BW38" s="73"/>
      <c r="BY38" s="185" t="s">
        <v>3794</v>
      </c>
      <c r="CJ38" t="s">
        <v>25</v>
      </c>
      <c r="CK38" t="s">
        <v>25</v>
      </c>
      <c r="CL38" t="s">
        <v>38</v>
      </c>
      <c r="CM38" t="s">
        <v>25</v>
      </c>
      <c r="CN38" t="s">
        <v>25</v>
      </c>
      <c r="CO38" t="s">
        <v>25</v>
      </c>
      <c r="CP38" t="s">
        <v>25</v>
      </c>
      <c r="CQ38" t="s">
        <v>25</v>
      </c>
      <c r="CR38" t="s">
        <v>25</v>
      </c>
      <c r="CS38" t="s">
        <v>25</v>
      </c>
      <c r="CT38" t="s">
        <v>25</v>
      </c>
      <c r="CU38" t="s">
        <v>25</v>
      </c>
      <c r="CV38" t="s">
        <v>25</v>
      </c>
      <c r="CW38" t="s">
        <v>31</v>
      </c>
      <c r="CX38" t="s">
        <v>25</v>
      </c>
      <c r="CY38" t="s">
        <v>25</v>
      </c>
      <c r="CZ38" t="s">
        <v>25</v>
      </c>
      <c r="DA38" t="s">
        <v>25</v>
      </c>
      <c r="DB38" t="s">
        <v>25</v>
      </c>
      <c r="DC38" t="s">
        <v>25</v>
      </c>
      <c r="DD38" t="s">
        <v>25</v>
      </c>
      <c r="DE38" t="s">
        <v>25</v>
      </c>
      <c r="DF38" t="s">
        <v>25</v>
      </c>
      <c r="DG38" t="s">
        <v>25</v>
      </c>
      <c r="DH38" t="s">
        <v>25</v>
      </c>
      <c r="DI38" t="s">
        <v>25</v>
      </c>
      <c r="DJ38" s="76">
        <v>2.0999999716877899E-2</v>
      </c>
      <c r="DK38" s="73">
        <v>30</v>
      </c>
      <c r="DL38" s="73">
        <v>30</v>
      </c>
      <c r="DM38" s="73">
        <v>0</v>
      </c>
      <c r="DU38"/>
      <c r="DZ38" s="73">
        <v>0</v>
      </c>
      <c r="EA38" s="73">
        <v>0</v>
      </c>
      <c r="EB38" s="73">
        <v>0</v>
      </c>
    </row>
    <row r="39" spans="1:133" ht="12" customHeight="1" x14ac:dyDescent="0.2">
      <c r="A39" t="s">
        <v>2937</v>
      </c>
      <c r="B39" t="s">
        <v>2946</v>
      </c>
      <c r="C39" t="str">
        <f t="shared" si="0"/>
        <v>Full</v>
      </c>
      <c r="E39" s="65">
        <v>457</v>
      </c>
      <c r="F39" t="s">
        <v>1381</v>
      </c>
      <c r="G39" s="71" t="s">
        <v>3950</v>
      </c>
      <c r="H39" s="67">
        <v>1.60000007599592E-2</v>
      </c>
      <c r="I39" s="65">
        <v>529185</v>
      </c>
      <c r="J39" s="65">
        <v>170570</v>
      </c>
      <c r="L39" s="65" t="s">
        <v>1382</v>
      </c>
      <c r="M39" s="65" t="s">
        <v>27</v>
      </c>
      <c r="N39" s="69">
        <v>42900</v>
      </c>
      <c r="O39" s="69">
        <v>43032</v>
      </c>
      <c r="P39" s="65" t="s">
        <v>126</v>
      </c>
      <c r="R39" s="65" t="s">
        <v>28</v>
      </c>
      <c r="U39" t="s">
        <v>1383</v>
      </c>
      <c r="V39" t="s">
        <v>3031</v>
      </c>
      <c r="W39" s="65" t="s">
        <v>29</v>
      </c>
      <c r="X39" s="65" t="s">
        <v>29</v>
      </c>
      <c r="Y39" s="65" t="s">
        <v>69</v>
      </c>
      <c r="AD39" s="65" t="s">
        <v>23</v>
      </c>
      <c r="AE39" s="65" t="s">
        <v>24</v>
      </c>
      <c r="BI39" s="73">
        <v>21</v>
      </c>
      <c r="BK39" s="73">
        <v>21</v>
      </c>
      <c r="BO39" s="185" t="s">
        <v>3794</v>
      </c>
      <c r="BP39" s="185" t="s">
        <v>126</v>
      </c>
      <c r="BQ39" s="185" t="s">
        <v>3794</v>
      </c>
      <c r="BW39" s="73"/>
      <c r="BY39" s="185" t="s">
        <v>3794</v>
      </c>
      <c r="CB39" s="73">
        <v>-21</v>
      </c>
      <c r="CD39" s="73">
        <v>-21</v>
      </c>
      <c r="CE39" s="65" t="s">
        <v>126</v>
      </c>
      <c r="CJ39" t="s">
        <v>25</v>
      </c>
      <c r="CK39" t="s">
        <v>25</v>
      </c>
      <c r="CL39" t="s">
        <v>25</v>
      </c>
      <c r="CM39" t="s">
        <v>25</v>
      </c>
      <c r="CN39" t="s">
        <v>25</v>
      </c>
      <c r="CO39" t="s">
        <v>25</v>
      </c>
      <c r="CP39" t="s">
        <v>25</v>
      </c>
      <c r="CQ39" t="s">
        <v>25</v>
      </c>
      <c r="CR39" t="s">
        <v>25</v>
      </c>
      <c r="CS39" t="s">
        <v>25</v>
      </c>
      <c r="CT39" t="s">
        <v>25</v>
      </c>
      <c r="CU39" t="s">
        <v>25</v>
      </c>
      <c r="CV39" t="s">
        <v>25</v>
      </c>
      <c r="CW39" t="s">
        <v>25</v>
      </c>
      <c r="CX39" t="s">
        <v>25</v>
      </c>
      <c r="CY39" t="s">
        <v>25</v>
      </c>
      <c r="CZ39" t="s">
        <v>25</v>
      </c>
      <c r="DA39" t="s">
        <v>25</v>
      </c>
      <c r="DB39" t="s">
        <v>25</v>
      </c>
      <c r="DC39" t="s">
        <v>25</v>
      </c>
      <c r="DD39" t="s">
        <v>25</v>
      </c>
      <c r="DE39" t="s">
        <v>47</v>
      </c>
      <c r="DF39" t="s">
        <v>25</v>
      </c>
      <c r="DG39" t="s">
        <v>25</v>
      </c>
      <c r="DH39" t="s">
        <v>25</v>
      </c>
      <c r="DI39" t="s">
        <v>25</v>
      </c>
      <c r="DJ39" s="76">
        <v>0</v>
      </c>
      <c r="DK39" s="73">
        <v>0</v>
      </c>
      <c r="DL39" s="73">
        <v>21</v>
      </c>
      <c r="DM39" s="73">
        <v>-21</v>
      </c>
      <c r="DU39"/>
      <c r="DZ39" s="73">
        <v>58</v>
      </c>
      <c r="EA39" s="73">
        <v>0</v>
      </c>
      <c r="EB39" s="73">
        <v>58</v>
      </c>
      <c r="EC39" s="65" t="s">
        <v>126</v>
      </c>
    </row>
    <row r="40" spans="1:133" ht="12" customHeight="1" x14ac:dyDescent="0.2">
      <c r="A40" t="s">
        <v>2936</v>
      </c>
      <c r="B40" t="s">
        <v>2946</v>
      </c>
      <c r="C40" t="str">
        <f t="shared" si="0"/>
        <v>Full</v>
      </c>
      <c r="D40" t="s">
        <v>2943</v>
      </c>
      <c r="E40" s="65">
        <v>459</v>
      </c>
      <c r="F40" t="s">
        <v>1384</v>
      </c>
      <c r="G40" s="71" t="s">
        <v>2907</v>
      </c>
      <c r="H40" s="67">
        <v>1.2500000186264499E-2</v>
      </c>
      <c r="I40" s="65">
        <v>525240</v>
      </c>
      <c r="J40" s="65">
        <v>173560</v>
      </c>
      <c r="L40" s="65" t="s">
        <v>1046</v>
      </c>
      <c r="M40" s="65" t="s">
        <v>27</v>
      </c>
      <c r="N40" s="69">
        <v>42619</v>
      </c>
      <c r="O40" s="69">
        <v>42675</v>
      </c>
      <c r="R40" s="65" t="s">
        <v>28</v>
      </c>
      <c r="U40" t="s">
        <v>1047</v>
      </c>
      <c r="V40" t="s">
        <v>3032</v>
      </c>
      <c r="W40" s="65" t="s">
        <v>39</v>
      </c>
      <c r="X40" s="65" t="s">
        <v>39</v>
      </c>
      <c r="Y40" s="65" t="s">
        <v>35</v>
      </c>
      <c r="AA40" s="69">
        <v>42800</v>
      </c>
      <c r="AB40" s="69">
        <v>43068</v>
      </c>
      <c r="AC40" s="69">
        <v>43068</v>
      </c>
      <c r="AD40" s="65" t="s">
        <v>23</v>
      </c>
      <c r="AE40" s="65" t="s">
        <v>24</v>
      </c>
      <c r="AH40" s="69">
        <f t="shared" si="1"/>
        <v>42800</v>
      </c>
      <c r="AI40" s="69">
        <f t="shared" si="2"/>
        <v>43068</v>
      </c>
      <c r="AK40" s="73">
        <v>28</v>
      </c>
      <c r="AO40" s="73">
        <v>28</v>
      </c>
      <c r="BO40" s="185" t="s">
        <v>126</v>
      </c>
      <c r="BP40" s="185" t="s">
        <v>3794</v>
      </c>
      <c r="BQ40" s="185" t="s">
        <v>3794</v>
      </c>
      <c r="BS40" s="73">
        <v>28</v>
      </c>
      <c r="BW40" s="73">
        <v>28</v>
      </c>
      <c r="BY40" s="185" t="s">
        <v>3794</v>
      </c>
      <c r="CJ40" t="s">
        <v>25</v>
      </c>
      <c r="CK40" t="s">
        <v>31</v>
      </c>
      <c r="CL40" t="s">
        <v>25</v>
      </c>
      <c r="CM40" t="s">
        <v>25</v>
      </c>
      <c r="CN40" t="s">
        <v>25</v>
      </c>
      <c r="CO40" t="s">
        <v>25</v>
      </c>
      <c r="CP40" t="s">
        <v>25</v>
      </c>
      <c r="CQ40" t="s">
        <v>25</v>
      </c>
      <c r="CR40" t="s">
        <v>25</v>
      </c>
      <c r="CS40" t="s">
        <v>25</v>
      </c>
      <c r="CT40" t="s">
        <v>25</v>
      </c>
      <c r="CU40" t="s">
        <v>25</v>
      </c>
      <c r="CV40" t="s">
        <v>25</v>
      </c>
      <c r="CW40" t="s">
        <v>25</v>
      </c>
      <c r="CX40" t="s">
        <v>25</v>
      </c>
      <c r="CY40" t="s">
        <v>25</v>
      </c>
      <c r="CZ40" t="s">
        <v>25</v>
      </c>
      <c r="DA40" t="s">
        <v>25</v>
      </c>
      <c r="DB40" t="s">
        <v>25</v>
      </c>
      <c r="DC40" t="s">
        <v>25</v>
      </c>
      <c r="DD40" t="s">
        <v>25</v>
      </c>
      <c r="DE40" t="s">
        <v>25</v>
      </c>
      <c r="DF40" t="s">
        <v>25</v>
      </c>
      <c r="DG40" t="s">
        <v>25</v>
      </c>
      <c r="DH40" t="s">
        <v>25</v>
      </c>
      <c r="DI40" t="s">
        <v>25</v>
      </c>
      <c r="DJ40" s="76">
        <v>1.2500000186264499E-2</v>
      </c>
      <c r="DK40" s="73">
        <v>28</v>
      </c>
      <c r="DL40" s="73">
        <v>0</v>
      </c>
      <c r="DM40" s="73">
        <v>28</v>
      </c>
      <c r="DU40"/>
      <c r="DZ40" s="73">
        <v>0</v>
      </c>
      <c r="EA40" s="73">
        <v>0</v>
      </c>
      <c r="EB40" s="73">
        <v>0</v>
      </c>
    </row>
    <row r="41" spans="1:133" ht="12" customHeight="1" x14ac:dyDescent="0.2">
      <c r="A41" t="s">
        <v>2937</v>
      </c>
      <c r="B41" t="s">
        <v>2946</v>
      </c>
      <c r="C41" t="str">
        <f t="shared" si="0"/>
        <v>Full</v>
      </c>
      <c r="E41" s="65">
        <v>463</v>
      </c>
      <c r="F41" t="s">
        <v>1385</v>
      </c>
      <c r="G41" s="71" t="s">
        <v>3943</v>
      </c>
      <c r="H41" s="67">
        <v>3.7999998778104803E-2</v>
      </c>
      <c r="I41" s="65">
        <v>527418</v>
      </c>
      <c r="J41" s="65">
        <v>176670</v>
      </c>
      <c r="L41" s="65" t="s">
        <v>1386</v>
      </c>
      <c r="M41" s="65" t="s">
        <v>27</v>
      </c>
      <c r="N41" s="69">
        <v>42902</v>
      </c>
      <c r="O41" s="69">
        <v>43000</v>
      </c>
      <c r="P41" s="65" t="s">
        <v>126</v>
      </c>
      <c r="R41" s="65" t="s">
        <v>28</v>
      </c>
      <c r="U41" t="s">
        <v>1387</v>
      </c>
      <c r="V41" t="s">
        <v>3033</v>
      </c>
      <c r="W41" s="65" t="s">
        <v>21</v>
      </c>
      <c r="X41" s="65" t="s">
        <v>21</v>
      </c>
      <c r="Y41" s="65" t="s">
        <v>59</v>
      </c>
      <c r="AD41" s="65" t="s">
        <v>23</v>
      </c>
      <c r="AE41" s="65" t="s">
        <v>24</v>
      </c>
      <c r="AJ41" s="73">
        <v>330</v>
      </c>
      <c r="AO41" s="73">
        <v>330</v>
      </c>
      <c r="BC41" s="73">
        <v>330</v>
      </c>
      <c r="BE41" s="73">
        <v>330</v>
      </c>
      <c r="BO41" s="185" t="s">
        <v>126</v>
      </c>
      <c r="BP41" s="185" t="s">
        <v>3794</v>
      </c>
      <c r="BQ41" s="185" t="s">
        <v>3794</v>
      </c>
      <c r="BR41" s="73">
        <v>330</v>
      </c>
      <c r="BU41" s="73">
        <v>-330</v>
      </c>
      <c r="BW41" s="73"/>
      <c r="BY41" s="185" t="s">
        <v>3794</v>
      </c>
      <c r="CJ41" t="s">
        <v>40</v>
      </c>
      <c r="CK41" t="s">
        <v>25</v>
      </c>
      <c r="CL41" t="s">
        <v>25</v>
      </c>
      <c r="CM41" t="s">
        <v>25</v>
      </c>
      <c r="CN41" t="s">
        <v>25</v>
      </c>
      <c r="CO41" t="s">
        <v>25</v>
      </c>
      <c r="CP41" t="s">
        <v>25</v>
      </c>
      <c r="CQ41" t="s">
        <v>25</v>
      </c>
      <c r="CR41" t="s">
        <v>25</v>
      </c>
      <c r="CS41" t="s">
        <v>25</v>
      </c>
      <c r="CT41" t="s">
        <v>25</v>
      </c>
      <c r="CU41" t="s">
        <v>25</v>
      </c>
      <c r="CV41" t="s">
        <v>25</v>
      </c>
      <c r="CW41" t="s">
        <v>25</v>
      </c>
      <c r="CX41" t="s">
        <v>25</v>
      </c>
      <c r="CY41" t="s">
        <v>25</v>
      </c>
      <c r="CZ41" t="s">
        <v>47</v>
      </c>
      <c r="DA41" t="s">
        <v>25</v>
      </c>
      <c r="DB41" t="s">
        <v>25</v>
      </c>
      <c r="DC41" t="s">
        <v>25</v>
      </c>
      <c r="DD41" t="s">
        <v>25</v>
      </c>
      <c r="DE41" t="s">
        <v>25</v>
      </c>
      <c r="DF41" t="s">
        <v>25</v>
      </c>
      <c r="DG41" t="s">
        <v>25</v>
      </c>
      <c r="DH41" t="s">
        <v>25</v>
      </c>
      <c r="DI41" t="s">
        <v>25</v>
      </c>
      <c r="DJ41" s="76">
        <v>3.7999998778104803E-2</v>
      </c>
      <c r="DK41" s="73">
        <v>330</v>
      </c>
      <c r="DL41" s="73">
        <v>330</v>
      </c>
      <c r="DM41" s="73">
        <v>0</v>
      </c>
      <c r="DU41"/>
      <c r="DZ41" s="73">
        <v>0</v>
      </c>
      <c r="EA41" s="73">
        <v>0</v>
      </c>
      <c r="EB41" s="73">
        <v>0</v>
      </c>
    </row>
    <row r="42" spans="1:133" ht="12" customHeight="1" x14ac:dyDescent="0.2">
      <c r="A42" t="s">
        <v>2938</v>
      </c>
      <c r="B42" t="s">
        <v>2945</v>
      </c>
      <c r="C42" t="str">
        <f t="shared" si="0"/>
        <v>Pending Legal Agreement</v>
      </c>
      <c r="E42" s="65">
        <v>464</v>
      </c>
      <c r="F42" t="s">
        <v>1388</v>
      </c>
      <c r="G42" s="71" t="s">
        <v>3947</v>
      </c>
      <c r="H42" s="67">
        <v>0.31999999284744302</v>
      </c>
      <c r="I42" s="65">
        <v>529375</v>
      </c>
      <c r="J42" s="65">
        <v>177215</v>
      </c>
      <c r="K42" s="65" t="s">
        <v>1389</v>
      </c>
      <c r="L42" s="65" t="s">
        <v>576</v>
      </c>
      <c r="M42" s="65" t="s">
        <v>228</v>
      </c>
      <c r="N42" s="69">
        <v>42338</v>
      </c>
      <c r="Q42" s="69">
        <v>42662</v>
      </c>
      <c r="R42" s="65" t="s">
        <v>28</v>
      </c>
      <c r="U42" t="s">
        <v>788</v>
      </c>
      <c r="V42" t="s">
        <v>3034</v>
      </c>
      <c r="W42" s="65" t="s">
        <v>29</v>
      </c>
      <c r="X42" s="65" t="s">
        <v>29</v>
      </c>
      <c r="Y42" s="65" t="s">
        <v>69</v>
      </c>
      <c r="AD42" s="65" t="s">
        <v>173</v>
      </c>
      <c r="AE42" s="65" t="s">
        <v>24</v>
      </c>
      <c r="AL42" s="73">
        <v>557</v>
      </c>
      <c r="AO42" s="73">
        <v>557</v>
      </c>
      <c r="AP42" s="73">
        <v>1104</v>
      </c>
      <c r="AS42" s="73">
        <v>1104</v>
      </c>
      <c r="AV42" s="73">
        <v>1104</v>
      </c>
      <c r="BO42" s="185" t="s">
        <v>126</v>
      </c>
      <c r="BP42" s="185" t="s">
        <v>126</v>
      </c>
      <c r="BQ42" s="185" t="s">
        <v>3794</v>
      </c>
      <c r="BT42" s="73">
        <v>557</v>
      </c>
      <c r="BW42" s="73">
        <v>557</v>
      </c>
      <c r="BX42" s="73">
        <v>1104</v>
      </c>
      <c r="BY42" s="185" t="s">
        <v>3794</v>
      </c>
      <c r="CD42" s="73">
        <v>1104</v>
      </c>
      <c r="CJ42" t="s">
        <v>25</v>
      </c>
      <c r="CK42" t="s">
        <v>25</v>
      </c>
      <c r="CL42" t="s">
        <v>50</v>
      </c>
      <c r="CM42" t="s">
        <v>25</v>
      </c>
      <c r="CN42" t="s">
        <v>25</v>
      </c>
      <c r="CO42" t="s">
        <v>31</v>
      </c>
      <c r="CP42" t="s">
        <v>25</v>
      </c>
      <c r="CQ42" t="s">
        <v>25</v>
      </c>
      <c r="CR42" t="s">
        <v>25</v>
      </c>
      <c r="CS42" t="s">
        <v>25</v>
      </c>
      <c r="CT42" t="s">
        <v>25</v>
      </c>
      <c r="CU42" t="s">
        <v>25</v>
      </c>
      <c r="CV42" t="s">
        <v>25</v>
      </c>
      <c r="CW42" t="s">
        <v>25</v>
      </c>
      <c r="CX42" t="s">
        <v>25</v>
      </c>
      <c r="CY42" t="s">
        <v>25</v>
      </c>
      <c r="CZ42" t="s">
        <v>25</v>
      </c>
      <c r="DA42" t="s">
        <v>25</v>
      </c>
      <c r="DB42" t="s">
        <v>25</v>
      </c>
      <c r="DC42" t="s">
        <v>25</v>
      </c>
      <c r="DD42" t="s">
        <v>25</v>
      </c>
      <c r="DE42" t="s">
        <v>25</v>
      </c>
      <c r="DF42" t="s">
        <v>25</v>
      </c>
      <c r="DG42" t="s">
        <v>25</v>
      </c>
      <c r="DH42" t="s">
        <v>25</v>
      </c>
      <c r="DI42" t="s">
        <v>25</v>
      </c>
      <c r="DJ42" s="76">
        <v>0.31999999284744302</v>
      </c>
      <c r="DK42" s="73">
        <v>3613</v>
      </c>
      <c r="DL42" s="73">
        <v>4433</v>
      </c>
      <c r="DM42" s="73">
        <v>-820</v>
      </c>
      <c r="DU42" s="65" t="s">
        <v>126</v>
      </c>
      <c r="DZ42" s="73">
        <v>31236</v>
      </c>
      <c r="EA42" s="73">
        <v>0</v>
      </c>
      <c r="EB42" s="73">
        <v>31236</v>
      </c>
      <c r="EC42" s="65" t="s">
        <v>126</v>
      </c>
    </row>
    <row r="43" spans="1:133" ht="12" customHeight="1" x14ac:dyDescent="0.2">
      <c r="A43" t="s">
        <v>2937</v>
      </c>
      <c r="B43" t="s">
        <v>2946</v>
      </c>
      <c r="C43" t="str">
        <f t="shared" si="0"/>
        <v>Full</v>
      </c>
      <c r="E43" s="65">
        <v>470</v>
      </c>
      <c r="F43" t="s">
        <v>1390</v>
      </c>
      <c r="G43" s="71" t="s">
        <v>150</v>
      </c>
      <c r="H43" s="67">
        <v>5.4999999701976802E-3</v>
      </c>
      <c r="I43" s="65">
        <v>527370</v>
      </c>
      <c r="J43" s="65">
        <v>171395</v>
      </c>
      <c r="L43" s="65" t="s">
        <v>1391</v>
      </c>
      <c r="M43" s="65" t="s">
        <v>27</v>
      </c>
      <c r="N43" s="69">
        <v>43041</v>
      </c>
      <c r="O43" s="69">
        <v>43167</v>
      </c>
      <c r="P43" s="65" t="s">
        <v>126</v>
      </c>
      <c r="R43" s="65" t="s">
        <v>28</v>
      </c>
      <c r="U43" t="s">
        <v>1392</v>
      </c>
      <c r="V43" t="s">
        <v>3035</v>
      </c>
      <c r="W43" s="65" t="s">
        <v>29</v>
      </c>
      <c r="X43" s="65" t="s">
        <v>29</v>
      </c>
      <c r="Y43" s="65" t="s">
        <v>69</v>
      </c>
      <c r="AD43" s="65" t="s">
        <v>23</v>
      </c>
      <c r="AE43" s="65" t="s">
        <v>24</v>
      </c>
      <c r="BO43" s="185" t="s">
        <v>3794</v>
      </c>
      <c r="BP43" s="185" t="s">
        <v>3794</v>
      </c>
      <c r="BQ43" s="185" t="s">
        <v>3794</v>
      </c>
      <c r="BW43" s="73"/>
      <c r="BY43" s="185" t="s">
        <v>3794</v>
      </c>
      <c r="CJ43" t="s">
        <v>25</v>
      </c>
      <c r="CK43" t="s">
        <v>25</v>
      </c>
      <c r="CL43" t="s">
        <v>25</v>
      </c>
      <c r="CM43" t="s">
        <v>25</v>
      </c>
      <c r="CN43" t="s">
        <v>25</v>
      </c>
      <c r="CO43" t="s">
        <v>25</v>
      </c>
      <c r="CP43" t="s">
        <v>25</v>
      </c>
      <c r="CQ43" t="s">
        <v>25</v>
      </c>
      <c r="CR43" t="s">
        <v>25</v>
      </c>
      <c r="CS43" t="s">
        <v>25</v>
      </c>
      <c r="CT43" t="s">
        <v>25</v>
      </c>
      <c r="CU43" t="s">
        <v>25</v>
      </c>
      <c r="CV43" t="s">
        <v>25</v>
      </c>
      <c r="CW43" t="s">
        <v>25</v>
      </c>
      <c r="CX43" t="s">
        <v>25</v>
      </c>
      <c r="CY43" t="s">
        <v>25</v>
      </c>
      <c r="CZ43" t="s">
        <v>25</v>
      </c>
      <c r="DA43" t="s">
        <v>25</v>
      </c>
      <c r="DB43" t="s">
        <v>25</v>
      </c>
      <c r="DC43" t="s">
        <v>25</v>
      </c>
      <c r="DD43" t="s">
        <v>25</v>
      </c>
      <c r="DE43" t="s">
        <v>25</v>
      </c>
      <c r="DF43" t="s">
        <v>25</v>
      </c>
      <c r="DG43" t="s">
        <v>25</v>
      </c>
      <c r="DH43" t="s">
        <v>25</v>
      </c>
      <c r="DI43" t="s">
        <v>25</v>
      </c>
      <c r="DJ43" s="76">
        <v>5.0000008195639004E-4</v>
      </c>
      <c r="DK43" s="73">
        <v>0</v>
      </c>
      <c r="DL43" s="73">
        <v>54</v>
      </c>
      <c r="DM43" s="73">
        <v>-54</v>
      </c>
      <c r="DU43"/>
      <c r="DV43" s="65" t="s">
        <v>126</v>
      </c>
      <c r="DW43" t="s">
        <v>150</v>
      </c>
      <c r="DZ43" s="73">
        <v>131</v>
      </c>
      <c r="EA43" s="73">
        <v>0</v>
      </c>
      <c r="EB43" s="73">
        <v>131</v>
      </c>
      <c r="EC43" s="65" t="s">
        <v>126</v>
      </c>
    </row>
    <row r="44" spans="1:133" ht="12" customHeight="1" x14ac:dyDescent="0.2">
      <c r="A44" t="s">
        <v>2935</v>
      </c>
      <c r="B44" t="s">
        <v>2946</v>
      </c>
      <c r="C44" t="str">
        <f t="shared" si="0"/>
        <v>Full</v>
      </c>
      <c r="E44" s="65">
        <v>494</v>
      </c>
      <c r="F44" t="s">
        <v>1393</v>
      </c>
      <c r="G44" s="71" t="s">
        <v>3949</v>
      </c>
      <c r="H44" s="67">
        <v>3.9999999105930301E-2</v>
      </c>
      <c r="I44" s="65">
        <v>524885</v>
      </c>
      <c r="J44" s="65">
        <v>174590</v>
      </c>
      <c r="L44" s="65" t="s">
        <v>371</v>
      </c>
      <c r="M44" s="65" t="s">
        <v>27</v>
      </c>
      <c r="N44" s="69">
        <v>41864</v>
      </c>
      <c r="O44" s="69">
        <v>42181</v>
      </c>
      <c r="R44" s="65" t="s">
        <v>28</v>
      </c>
      <c r="U44" t="s">
        <v>372</v>
      </c>
      <c r="V44" t="s">
        <v>3036</v>
      </c>
      <c r="W44" s="65" t="s">
        <v>34</v>
      </c>
      <c r="X44" s="65" t="s">
        <v>29</v>
      </c>
      <c r="Y44" s="65" t="s">
        <v>30</v>
      </c>
      <c r="Z44" s="69">
        <v>42937</v>
      </c>
      <c r="AA44" s="69">
        <v>42830</v>
      </c>
      <c r="AD44" s="65" t="s">
        <v>23</v>
      </c>
      <c r="AE44" s="65" t="s">
        <v>24</v>
      </c>
      <c r="AH44" s="69">
        <f t="shared" si="1"/>
        <v>42830</v>
      </c>
      <c r="BO44" s="185" t="s">
        <v>3794</v>
      </c>
      <c r="BP44" s="185" t="s">
        <v>3794</v>
      </c>
      <c r="BQ44" s="185" t="s">
        <v>3794</v>
      </c>
      <c r="BW44" s="73"/>
      <c r="BY44" s="185" t="s">
        <v>3794</v>
      </c>
      <c r="CJ44" t="s">
        <v>25</v>
      </c>
      <c r="CK44" t="s">
        <v>25</v>
      </c>
      <c r="CL44" t="s">
        <v>25</v>
      </c>
      <c r="CM44" t="s">
        <v>25</v>
      </c>
      <c r="CN44" t="s">
        <v>25</v>
      </c>
      <c r="CO44" t="s">
        <v>25</v>
      </c>
      <c r="CP44" t="s">
        <v>25</v>
      </c>
      <c r="CQ44" t="s">
        <v>25</v>
      </c>
      <c r="CR44" t="s">
        <v>25</v>
      </c>
      <c r="CS44" t="s">
        <v>25</v>
      </c>
      <c r="CT44" t="s">
        <v>25</v>
      </c>
      <c r="CU44" t="s">
        <v>25</v>
      </c>
      <c r="CV44" t="s">
        <v>25</v>
      </c>
      <c r="CW44" t="s">
        <v>25</v>
      </c>
      <c r="CX44" t="s">
        <v>25</v>
      </c>
      <c r="CY44" t="s">
        <v>25</v>
      </c>
      <c r="CZ44" t="s">
        <v>25</v>
      </c>
      <c r="DA44" t="s">
        <v>25</v>
      </c>
      <c r="DB44" t="s">
        <v>25</v>
      </c>
      <c r="DC44" t="s">
        <v>25</v>
      </c>
      <c r="DD44" t="s">
        <v>25</v>
      </c>
      <c r="DE44" t="s">
        <v>25</v>
      </c>
      <c r="DF44" t="s">
        <v>25</v>
      </c>
      <c r="DG44" t="s">
        <v>25</v>
      </c>
      <c r="DH44" t="s">
        <v>25</v>
      </c>
      <c r="DI44" t="s">
        <v>25</v>
      </c>
      <c r="DJ44" s="76">
        <v>0</v>
      </c>
      <c r="DK44" s="73">
        <v>0</v>
      </c>
      <c r="DL44" s="73">
        <v>524</v>
      </c>
      <c r="DM44" s="73">
        <v>-524</v>
      </c>
      <c r="DU44"/>
      <c r="DZ44" s="73">
        <v>959</v>
      </c>
      <c r="EA44" s="73">
        <v>0</v>
      </c>
      <c r="EB44" s="73">
        <v>959</v>
      </c>
      <c r="EC44" s="65" t="s">
        <v>126</v>
      </c>
    </row>
    <row r="45" spans="1:133" ht="12" customHeight="1" x14ac:dyDescent="0.2">
      <c r="A45" t="s">
        <v>2937</v>
      </c>
      <c r="B45" t="s">
        <v>2946</v>
      </c>
      <c r="C45" t="str">
        <f t="shared" si="0"/>
        <v>Full</v>
      </c>
      <c r="E45" s="65">
        <v>501</v>
      </c>
      <c r="F45" t="s">
        <v>1394</v>
      </c>
      <c r="G45" s="71" t="s">
        <v>3946</v>
      </c>
      <c r="H45" s="67">
        <v>1.4000000432133701E-2</v>
      </c>
      <c r="I45" s="65">
        <v>523779</v>
      </c>
      <c r="J45" s="65">
        <v>175125</v>
      </c>
      <c r="L45" s="65" t="s">
        <v>1395</v>
      </c>
      <c r="M45" s="65" t="s">
        <v>27</v>
      </c>
      <c r="N45" s="69">
        <v>42901</v>
      </c>
      <c r="O45" s="69">
        <v>42971</v>
      </c>
      <c r="P45" s="65" t="s">
        <v>126</v>
      </c>
      <c r="R45" s="65" t="s">
        <v>28</v>
      </c>
      <c r="U45" t="s">
        <v>1396</v>
      </c>
      <c r="V45" t="s">
        <v>3037</v>
      </c>
      <c r="W45" s="65" t="s">
        <v>21</v>
      </c>
      <c r="X45" s="65" t="s">
        <v>21</v>
      </c>
      <c r="Y45" s="65" t="s">
        <v>69</v>
      </c>
      <c r="AD45" s="65" t="s">
        <v>23</v>
      </c>
      <c r="AE45" s="65" t="s">
        <v>24</v>
      </c>
      <c r="AJ45" s="73">
        <v>85</v>
      </c>
      <c r="AO45" s="73">
        <v>85</v>
      </c>
      <c r="AZ45" s="73">
        <v>184</v>
      </c>
      <c r="BE45" s="73">
        <v>184</v>
      </c>
      <c r="BO45" s="185" t="s">
        <v>126</v>
      </c>
      <c r="BP45" s="185" t="s">
        <v>3794</v>
      </c>
      <c r="BQ45" s="185" t="s">
        <v>3794</v>
      </c>
      <c r="BR45" s="73">
        <v>-99</v>
      </c>
      <c r="BW45" s="73">
        <v>-99</v>
      </c>
      <c r="BY45" s="185" t="s">
        <v>3794</v>
      </c>
      <c r="CJ45" t="s">
        <v>31</v>
      </c>
      <c r="CK45" t="s">
        <v>25</v>
      </c>
      <c r="CL45" t="s">
        <v>25</v>
      </c>
      <c r="CM45" t="s">
        <v>25</v>
      </c>
      <c r="CN45" t="s">
        <v>25</v>
      </c>
      <c r="CO45" t="s">
        <v>25</v>
      </c>
      <c r="CP45" t="s">
        <v>25</v>
      </c>
      <c r="CQ45" t="s">
        <v>25</v>
      </c>
      <c r="CR45" t="s">
        <v>25</v>
      </c>
      <c r="CS45" t="s">
        <v>25</v>
      </c>
      <c r="CT45" t="s">
        <v>25</v>
      </c>
      <c r="CU45" t="s">
        <v>25</v>
      </c>
      <c r="CV45" t="s">
        <v>25</v>
      </c>
      <c r="CW45" t="s">
        <v>31</v>
      </c>
      <c r="CX45" t="s">
        <v>25</v>
      </c>
      <c r="CY45" t="s">
        <v>25</v>
      </c>
      <c r="CZ45" t="s">
        <v>25</v>
      </c>
      <c r="DA45" t="s">
        <v>25</v>
      </c>
      <c r="DB45" t="s">
        <v>25</v>
      </c>
      <c r="DC45" t="s">
        <v>25</v>
      </c>
      <c r="DD45" t="s">
        <v>25</v>
      </c>
      <c r="DE45" t="s">
        <v>25</v>
      </c>
      <c r="DF45" t="s">
        <v>25</v>
      </c>
      <c r="DG45" t="s">
        <v>25</v>
      </c>
      <c r="DH45" t="s">
        <v>25</v>
      </c>
      <c r="DI45" t="s">
        <v>25</v>
      </c>
      <c r="DJ45" s="76">
        <v>5.0000008195638899E-3</v>
      </c>
      <c r="DK45" s="73">
        <v>85</v>
      </c>
      <c r="DL45" s="73">
        <v>184</v>
      </c>
      <c r="DM45" s="73">
        <v>-99</v>
      </c>
      <c r="DU45"/>
      <c r="DV45" s="65" t="s">
        <v>126</v>
      </c>
      <c r="DW45" t="s">
        <v>131</v>
      </c>
      <c r="DZ45" s="73">
        <v>99</v>
      </c>
      <c r="EA45" s="73">
        <v>0</v>
      </c>
      <c r="EB45" s="73">
        <v>99</v>
      </c>
      <c r="EC45" s="65" t="s">
        <v>126</v>
      </c>
    </row>
    <row r="46" spans="1:133" ht="12" customHeight="1" x14ac:dyDescent="0.2">
      <c r="A46" t="s">
        <v>2937</v>
      </c>
      <c r="B46" t="s">
        <v>2946</v>
      </c>
      <c r="C46" t="str">
        <f t="shared" si="0"/>
        <v>Full</v>
      </c>
      <c r="E46" s="65">
        <v>518</v>
      </c>
      <c r="F46" t="s">
        <v>1397</v>
      </c>
      <c r="G46" s="71" t="s">
        <v>3951</v>
      </c>
      <c r="H46" s="67">
        <v>2.9999999329447701E-2</v>
      </c>
      <c r="I46" s="65">
        <v>527485</v>
      </c>
      <c r="J46" s="65">
        <v>171424</v>
      </c>
      <c r="L46" s="65" t="s">
        <v>448</v>
      </c>
      <c r="M46" s="65" t="s">
        <v>27</v>
      </c>
      <c r="N46" s="69">
        <v>42135</v>
      </c>
      <c r="O46" s="69">
        <v>42304</v>
      </c>
      <c r="R46" s="65" t="s">
        <v>28</v>
      </c>
      <c r="U46" t="s">
        <v>738</v>
      </c>
      <c r="V46" t="s">
        <v>3038</v>
      </c>
      <c r="W46" s="65" t="s">
        <v>34</v>
      </c>
      <c r="X46" s="65" t="s">
        <v>29</v>
      </c>
      <c r="Y46" s="65" t="s">
        <v>69</v>
      </c>
      <c r="AD46" s="65" t="s">
        <v>23</v>
      </c>
      <c r="AE46" s="65" t="s">
        <v>24</v>
      </c>
      <c r="AJ46" s="73">
        <v>225</v>
      </c>
      <c r="AO46" s="73">
        <v>225</v>
      </c>
      <c r="BO46" s="185" t="s">
        <v>126</v>
      </c>
      <c r="BP46" s="185" t="s">
        <v>3794</v>
      </c>
      <c r="BQ46" s="185" t="s">
        <v>3794</v>
      </c>
      <c r="BR46" s="73">
        <v>225</v>
      </c>
      <c r="BW46" s="73">
        <v>225</v>
      </c>
      <c r="BY46" s="185" t="s">
        <v>3794</v>
      </c>
      <c r="CJ46" t="s">
        <v>31</v>
      </c>
      <c r="CK46" t="s">
        <v>25</v>
      </c>
      <c r="CL46" t="s">
        <v>25</v>
      </c>
      <c r="CM46" t="s">
        <v>25</v>
      </c>
      <c r="CN46" t="s">
        <v>25</v>
      </c>
      <c r="CO46" t="s">
        <v>25</v>
      </c>
      <c r="CP46" t="s">
        <v>25</v>
      </c>
      <c r="CQ46" t="s">
        <v>25</v>
      </c>
      <c r="CR46" t="s">
        <v>25</v>
      </c>
      <c r="CS46" t="s">
        <v>25</v>
      </c>
      <c r="CT46" t="s">
        <v>25</v>
      </c>
      <c r="CU46" t="s">
        <v>25</v>
      </c>
      <c r="CV46" t="s">
        <v>25</v>
      </c>
      <c r="CW46" t="s">
        <v>25</v>
      </c>
      <c r="CX46" t="s">
        <v>25</v>
      </c>
      <c r="CY46" t="s">
        <v>25</v>
      </c>
      <c r="CZ46" t="s">
        <v>25</v>
      </c>
      <c r="DA46" t="s">
        <v>25</v>
      </c>
      <c r="DB46" t="s">
        <v>25</v>
      </c>
      <c r="DC46" t="s">
        <v>25</v>
      </c>
      <c r="DD46" t="s">
        <v>25</v>
      </c>
      <c r="DE46" t="s">
        <v>25</v>
      </c>
      <c r="DF46" t="s">
        <v>25</v>
      </c>
      <c r="DG46" t="s">
        <v>25</v>
      </c>
      <c r="DH46" t="s">
        <v>25</v>
      </c>
      <c r="DI46" t="s">
        <v>25</v>
      </c>
      <c r="DJ46" s="76">
        <v>9.9999997764825023E-3</v>
      </c>
      <c r="DK46" s="73">
        <v>225</v>
      </c>
      <c r="DL46" s="73">
        <v>0</v>
      </c>
      <c r="DM46" s="73">
        <v>225</v>
      </c>
      <c r="DU46"/>
      <c r="DV46" s="65" t="s">
        <v>126</v>
      </c>
      <c r="DW46" t="s">
        <v>150</v>
      </c>
      <c r="DZ46" s="73">
        <v>339</v>
      </c>
      <c r="EA46" s="73">
        <v>0</v>
      </c>
      <c r="EB46" s="73">
        <v>339</v>
      </c>
      <c r="EC46" s="65" t="s">
        <v>126</v>
      </c>
    </row>
    <row r="47" spans="1:133" ht="12" customHeight="1" x14ac:dyDescent="0.2">
      <c r="A47" t="s">
        <v>2937</v>
      </c>
      <c r="B47" t="s">
        <v>2948</v>
      </c>
      <c r="C47" t="str">
        <f t="shared" si="0"/>
        <v>Prior Approval</v>
      </c>
      <c r="E47" s="65">
        <v>536</v>
      </c>
      <c r="F47" t="s">
        <v>1398</v>
      </c>
      <c r="G47" s="71" t="s">
        <v>3944</v>
      </c>
      <c r="H47" s="67">
        <v>5.0000000745058101E-2</v>
      </c>
      <c r="I47" s="65">
        <v>525441</v>
      </c>
      <c r="J47" s="65">
        <v>174750</v>
      </c>
      <c r="L47" s="65" t="s">
        <v>963</v>
      </c>
      <c r="M47" s="65" t="s">
        <v>243</v>
      </c>
      <c r="N47" s="69">
        <v>42545</v>
      </c>
      <c r="O47" s="69">
        <v>42601</v>
      </c>
      <c r="R47" s="65" t="s">
        <v>28</v>
      </c>
      <c r="U47" t="s">
        <v>964</v>
      </c>
      <c r="V47" t="s">
        <v>3039</v>
      </c>
      <c r="W47" s="65" t="s">
        <v>21</v>
      </c>
      <c r="X47" s="65" t="s">
        <v>21</v>
      </c>
      <c r="Y47" s="65" t="s">
        <v>69</v>
      </c>
      <c r="AD47" s="65" t="s">
        <v>23</v>
      </c>
      <c r="AE47" s="65" t="s">
        <v>24</v>
      </c>
      <c r="BF47" s="73">
        <v>620</v>
      </c>
      <c r="BK47" s="73">
        <v>620</v>
      </c>
      <c r="BO47" s="185" t="s">
        <v>3794</v>
      </c>
      <c r="BP47" s="185" t="s">
        <v>126</v>
      </c>
      <c r="BQ47" s="185" t="s">
        <v>3794</v>
      </c>
      <c r="BW47" s="73"/>
      <c r="BX47" s="73">
        <v>-620</v>
      </c>
      <c r="BY47" s="185" t="s">
        <v>126</v>
      </c>
      <c r="CD47" s="73">
        <v>-620</v>
      </c>
      <c r="CE47" s="65" t="s">
        <v>126</v>
      </c>
      <c r="CJ47" t="s">
        <v>25</v>
      </c>
      <c r="CK47" t="s">
        <v>25</v>
      </c>
      <c r="CL47" t="s">
        <v>25</v>
      </c>
      <c r="CM47" t="s">
        <v>25</v>
      </c>
      <c r="CN47" t="s">
        <v>25</v>
      </c>
      <c r="CO47" t="s">
        <v>25</v>
      </c>
      <c r="CP47" t="s">
        <v>25</v>
      </c>
      <c r="CQ47" t="s">
        <v>25</v>
      </c>
      <c r="CR47" t="s">
        <v>25</v>
      </c>
      <c r="CS47" t="s">
        <v>25</v>
      </c>
      <c r="CT47" t="s">
        <v>25</v>
      </c>
      <c r="CU47" t="s">
        <v>25</v>
      </c>
      <c r="CV47" t="s">
        <v>25</v>
      </c>
      <c r="CW47" t="s">
        <v>25</v>
      </c>
      <c r="CX47" t="s">
        <v>25</v>
      </c>
      <c r="CY47" t="s">
        <v>25</v>
      </c>
      <c r="CZ47" t="s">
        <v>25</v>
      </c>
      <c r="DA47" t="s">
        <v>25</v>
      </c>
      <c r="DB47" t="s">
        <v>49</v>
      </c>
      <c r="DC47" t="s">
        <v>25</v>
      </c>
      <c r="DD47" t="s">
        <v>25</v>
      </c>
      <c r="DE47" t="s">
        <v>25</v>
      </c>
      <c r="DF47" t="s">
        <v>25</v>
      </c>
      <c r="DG47" t="s">
        <v>25</v>
      </c>
      <c r="DH47" t="s">
        <v>25</v>
      </c>
      <c r="DI47" t="s">
        <v>25</v>
      </c>
      <c r="DJ47" s="76">
        <v>0</v>
      </c>
      <c r="DK47" s="73">
        <v>0</v>
      </c>
      <c r="DL47" s="73">
        <v>620</v>
      </c>
      <c r="DM47" s="73">
        <v>-620</v>
      </c>
      <c r="DU47"/>
      <c r="DV47" s="65" t="s">
        <v>126</v>
      </c>
      <c r="DW47" t="s">
        <v>151</v>
      </c>
      <c r="DZ47" s="73">
        <v>620</v>
      </c>
      <c r="EA47" s="73">
        <v>0</v>
      </c>
      <c r="EB47" s="73">
        <v>620</v>
      </c>
      <c r="EC47" s="65" t="s">
        <v>126</v>
      </c>
    </row>
    <row r="48" spans="1:133" ht="12" customHeight="1" x14ac:dyDescent="0.2">
      <c r="A48" t="s">
        <v>2938</v>
      </c>
      <c r="B48" t="s">
        <v>2946</v>
      </c>
      <c r="C48" t="str">
        <f t="shared" si="0"/>
        <v>Full</v>
      </c>
      <c r="E48" s="65">
        <v>536</v>
      </c>
      <c r="F48" t="s">
        <v>1398</v>
      </c>
      <c r="G48" s="71" t="s">
        <v>3944</v>
      </c>
      <c r="H48" s="67">
        <v>5.0000000745058101E-2</v>
      </c>
      <c r="I48" s="65">
        <v>525441</v>
      </c>
      <c r="J48" s="65">
        <v>174750</v>
      </c>
      <c r="L48" s="65" t="s">
        <v>1188</v>
      </c>
      <c r="M48" s="65" t="s">
        <v>172</v>
      </c>
      <c r="N48" s="69">
        <v>42761</v>
      </c>
      <c r="R48" s="65" t="s">
        <v>28</v>
      </c>
      <c r="U48" t="s">
        <v>1189</v>
      </c>
      <c r="V48" t="s">
        <v>3040</v>
      </c>
      <c r="W48" s="65" t="s">
        <v>29</v>
      </c>
      <c r="X48" s="65" t="s">
        <v>29</v>
      </c>
      <c r="Y48" s="65" t="s">
        <v>69</v>
      </c>
      <c r="AD48" s="65" t="s">
        <v>173</v>
      </c>
      <c r="AE48" s="65" t="s">
        <v>24</v>
      </c>
      <c r="AP48" s="73">
        <v>106</v>
      </c>
      <c r="AS48" s="73">
        <v>106</v>
      </c>
      <c r="AV48" s="73">
        <v>106</v>
      </c>
      <c r="BF48" s="73">
        <v>821</v>
      </c>
      <c r="BK48" s="73">
        <v>821</v>
      </c>
      <c r="BO48" s="185" t="s">
        <v>3794</v>
      </c>
      <c r="BP48" s="185" t="s">
        <v>126</v>
      </c>
      <c r="BQ48" s="185" t="s">
        <v>3794</v>
      </c>
      <c r="BW48" s="73"/>
      <c r="BX48" s="73">
        <v>-715</v>
      </c>
      <c r="BY48" s="185" t="s">
        <v>126</v>
      </c>
      <c r="CD48" s="73">
        <v>-715</v>
      </c>
      <c r="CE48" s="65" t="s">
        <v>126</v>
      </c>
      <c r="CJ48" t="s">
        <v>25</v>
      </c>
      <c r="CK48" t="s">
        <v>25</v>
      </c>
      <c r="CL48" t="s">
        <v>25</v>
      </c>
      <c r="CM48" t="s">
        <v>25</v>
      </c>
      <c r="CN48" t="s">
        <v>25</v>
      </c>
      <c r="CO48" t="s">
        <v>31</v>
      </c>
      <c r="CP48" t="s">
        <v>25</v>
      </c>
      <c r="CQ48" t="s">
        <v>25</v>
      </c>
      <c r="CR48" t="s">
        <v>25</v>
      </c>
      <c r="CS48" t="s">
        <v>25</v>
      </c>
      <c r="CT48" t="s">
        <v>25</v>
      </c>
      <c r="CU48" t="s">
        <v>25</v>
      </c>
      <c r="CV48" t="s">
        <v>25</v>
      </c>
      <c r="CW48" t="s">
        <v>25</v>
      </c>
      <c r="CX48" t="s">
        <v>25</v>
      </c>
      <c r="CY48" t="s">
        <v>25</v>
      </c>
      <c r="CZ48" t="s">
        <v>25</v>
      </c>
      <c r="DA48" t="s">
        <v>25</v>
      </c>
      <c r="DB48" t="s">
        <v>31</v>
      </c>
      <c r="DC48" t="s">
        <v>25</v>
      </c>
      <c r="DD48" t="s">
        <v>25</v>
      </c>
      <c r="DE48" t="s">
        <v>25</v>
      </c>
      <c r="DF48" t="s">
        <v>25</v>
      </c>
      <c r="DG48" t="s">
        <v>25</v>
      </c>
      <c r="DH48" t="s">
        <v>25</v>
      </c>
      <c r="DI48" t="s">
        <v>25</v>
      </c>
      <c r="DJ48" s="76">
        <v>0</v>
      </c>
      <c r="DK48" s="73">
        <v>106</v>
      </c>
      <c r="DL48" s="73">
        <v>821</v>
      </c>
      <c r="DM48" s="73">
        <v>-715</v>
      </c>
      <c r="DU48"/>
      <c r="DV48" s="65" t="s">
        <v>126</v>
      </c>
      <c r="DW48" t="s">
        <v>151</v>
      </c>
      <c r="DZ48" s="73">
        <v>2028</v>
      </c>
      <c r="EA48" s="73">
        <v>297</v>
      </c>
      <c r="EB48" s="73">
        <v>1731</v>
      </c>
      <c r="EC48" s="65" t="s">
        <v>126</v>
      </c>
    </row>
    <row r="49" spans="1:133" ht="12" customHeight="1" x14ac:dyDescent="0.2">
      <c r="A49" t="s">
        <v>2935</v>
      </c>
      <c r="B49" t="s">
        <v>2946</v>
      </c>
      <c r="C49" t="str">
        <f t="shared" si="0"/>
        <v>Full</v>
      </c>
      <c r="E49" s="65">
        <v>578</v>
      </c>
      <c r="F49" t="s">
        <v>1399</v>
      </c>
      <c r="G49" s="71" t="s">
        <v>3945</v>
      </c>
      <c r="H49" s="67">
        <v>2.0999999716877899E-2</v>
      </c>
      <c r="I49" s="65">
        <v>527681</v>
      </c>
      <c r="J49" s="65">
        <v>175497</v>
      </c>
      <c r="L49" s="65" t="s">
        <v>514</v>
      </c>
      <c r="M49" s="65" t="s">
        <v>27</v>
      </c>
      <c r="N49" s="69">
        <v>42216</v>
      </c>
      <c r="O49" s="69">
        <v>42312</v>
      </c>
      <c r="R49" s="65" t="s">
        <v>28</v>
      </c>
      <c r="U49" t="s">
        <v>757</v>
      </c>
      <c r="V49" t="s">
        <v>3041</v>
      </c>
      <c r="W49" s="65" t="s">
        <v>29</v>
      </c>
      <c r="X49" s="65" t="s">
        <v>29</v>
      </c>
      <c r="Y49" s="65" t="s">
        <v>30</v>
      </c>
      <c r="AA49" s="69">
        <v>43190</v>
      </c>
      <c r="AD49" s="65" t="s">
        <v>23</v>
      </c>
      <c r="AE49" s="65" t="s">
        <v>24</v>
      </c>
      <c r="AH49" s="69">
        <f t="shared" si="1"/>
        <v>43190</v>
      </c>
      <c r="AP49" s="73">
        <v>336</v>
      </c>
      <c r="AS49" s="73">
        <v>336</v>
      </c>
      <c r="AV49" s="73">
        <v>336</v>
      </c>
      <c r="BF49" s="73">
        <v>56</v>
      </c>
      <c r="BK49" s="73">
        <v>56</v>
      </c>
      <c r="BO49" s="185" t="s">
        <v>3794</v>
      </c>
      <c r="BP49" s="185" t="s">
        <v>126</v>
      </c>
      <c r="BQ49" s="185" t="s">
        <v>3794</v>
      </c>
      <c r="BW49" s="73"/>
      <c r="BX49" s="73">
        <v>280</v>
      </c>
      <c r="BY49" s="185" t="s">
        <v>3794</v>
      </c>
      <c r="CD49" s="73">
        <v>280</v>
      </c>
      <c r="CJ49" t="s">
        <v>25</v>
      </c>
      <c r="CK49" t="s">
        <v>25</v>
      </c>
      <c r="CL49" t="s">
        <v>25</v>
      </c>
      <c r="CM49" t="s">
        <v>25</v>
      </c>
      <c r="CN49" t="s">
        <v>25</v>
      </c>
      <c r="CO49" t="s">
        <v>31</v>
      </c>
      <c r="CP49" t="s">
        <v>25</v>
      </c>
      <c r="CQ49" t="s">
        <v>25</v>
      </c>
      <c r="CR49" t="s">
        <v>25</v>
      </c>
      <c r="CS49" t="s">
        <v>25</v>
      </c>
      <c r="CT49" t="s">
        <v>25</v>
      </c>
      <c r="CU49" t="s">
        <v>25</v>
      </c>
      <c r="CV49" t="s">
        <v>25</v>
      </c>
      <c r="CW49" t="s">
        <v>25</v>
      </c>
      <c r="CX49" t="s">
        <v>25</v>
      </c>
      <c r="CY49" t="s">
        <v>25</v>
      </c>
      <c r="CZ49" t="s">
        <v>25</v>
      </c>
      <c r="DA49" t="s">
        <v>25</v>
      </c>
      <c r="DB49" t="s">
        <v>31</v>
      </c>
      <c r="DC49" t="s">
        <v>25</v>
      </c>
      <c r="DD49" t="s">
        <v>25</v>
      </c>
      <c r="DE49" t="s">
        <v>25</v>
      </c>
      <c r="DF49" t="s">
        <v>25</v>
      </c>
      <c r="DG49" t="s">
        <v>25</v>
      </c>
      <c r="DH49" t="s">
        <v>25</v>
      </c>
      <c r="DI49" t="s">
        <v>25</v>
      </c>
      <c r="DJ49" s="76">
        <v>2.0999999716877899E-2</v>
      </c>
      <c r="DK49" s="73">
        <v>336</v>
      </c>
      <c r="DL49" s="73">
        <v>56</v>
      </c>
      <c r="DM49" s="73">
        <v>280</v>
      </c>
      <c r="DU49"/>
      <c r="DV49" s="65" t="s">
        <v>126</v>
      </c>
      <c r="DW49" t="s">
        <v>132</v>
      </c>
      <c r="DZ49" s="73">
        <v>0</v>
      </c>
      <c r="EA49" s="73">
        <v>0</v>
      </c>
      <c r="EB49" s="73">
        <v>0</v>
      </c>
    </row>
    <row r="50" spans="1:133" ht="12" customHeight="1" x14ac:dyDescent="0.2">
      <c r="A50" t="s">
        <v>2935</v>
      </c>
      <c r="B50" t="s">
        <v>2948</v>
      </c>
      <c r="C50" t="str">
        <f t="shared" si="0"/>
        <v>Prior Approval</v>
      </c>
      <c r="E50" s="65">
        <v>578</v>
      </c>
      <c r="F50" t="s">
        <v>1399</v>
      </c>
      <c r="G50" s="71" t="s">
        <v>3945</v>
      </c>
      <c r="H50" s="67">
        <v>2.0999999716877899E-2</v>
      </c>
      <c r="I50" s="65">
        <v>527681</v>
      </c>
      <c r="J50" s="65">
        <v>175497</v>
      </c>
      <c r="L50" s="65" t="s">
        <v>976</v>
      </c>
      <c r="M50" s="65" t="s">
        <v>243</v>
      </c>
      <c r="N50" s="69">
        <v>42550</v>
      </c>
      <c r="O50" s="69">
        <v>42606</v>
      </c>
      <c r="R50" s="65" t="s">
        <v>28</v>
      </c>
      <c r="U50" t="s">
        <v>977</v>
      </c>
      <c r="V50" t="s">
        <v>3042</v>
      </c>
      <c r="W50" s="65" t="s">
        <v>21</v>
      </c>
      <c r="X50" s="65" t="s">
        <v>21</v>
      </c>
      <c r="Y50" s="65" t="s">
        <v>30</v>
      </c>
      <c r="AA50" s="69">
        <v>42655</v>
      </c>
      <c r="AD50" s="65" t="s">
        <v>23</v>
      </c>
      <c r="AE50" s="65" t="s">
        <v>24</v>
      </c>
      <c r="AH50" s="69">
        <f t="shared" si="1"/>
        <v>42655</v>
      </c>
      <c r="BF50" s="73">
        <v>180</v>
      </c>
      <c r="BK50" s="73">
        <v>180</v>
      </c>
      <c r="BO50" s="185" t="s">
        <v>3794</v>
      </c>
      <c r="BP50" s="185" t="s">
        <v>126</v>
      </c>
      <c r="BQ50" s="185" t="s">
        <v>3794</v>
      </c>
      <c r="BW50" s="73"/>
      <c r="BX50" s="73">
        <v>-180</v>
      </c>
      <c r="BY50" s="185" t="s">
        <v>126</v>
      </c>
      <c r="CD50" s="73">
        <v>-180</v>
      </c>
      <c r="CE50" s="65" t="s">
        <v>126</v>
      </c>
      <c r="CJ50" t="s">
        <v>25</v>
      </c>
      <c r="CK50" t="s">
        <v>25</v>
      </c>
      <c r="CL50" t="s">
        <v>25</v>
      </c>
      <c r="CM50" t="s">
        <v>25</v>
      </c>
      <c r="CN50" t="s">
        <v>25</v>
      </c>
      <c r="CO50" t="s">
        <v>25</v>
      </c>
      <c r="CP50" t="s">
        <v>25</v>
      </c>
      <c r="CQ50" t="s">
        <v>25</v>
      </c>
      <c r="CR50" t="s">
        <v>25</v>
      </c>
      <c r="CS50" t="s">
        <v>25</v>
      </c>
      <c r="CT50" t="s">
        <v>25</v>
      </c>
      <c r="CU50" t="s">
        <v>25</v>
      </c>
      <c r="CV50" t="s">
        <v>25</v>
      </c>
      <c r="CW50" t="s">
        <v>25</v>
      </c>
      <c r="CX50" t="s">
        <v>25</v>
      </c>
      <c r="CY50" t="s">
        <v>25</v>
      </c>
      <c r="CZ50" t="s">
        <v>25</v>
      </c>
      <c r="DA50" t="s">
        <v>25</v>
      </c>
      <c r="DB50" t="s">
        <v>31</v>
      </c>
      <c r="DC50" t="s">
        <v>25</v>
      </c>
      <c r="DD50" t="s">
        <v>25</v>
      </c>
      <c r="DE50" t="s">
        <v>25</v>
      </c>
      <c r="DF50" t="s">
        <v>25</v>
      </c>
      <c r="DG50" t="s">
        <v>25</v>
      </c>
      <c r="DH50" t="s">
        <v>25</v>
      </c>
      <c r="DI50" t="s">
        <v>25</v>
      </c>
      <c r="DJ50" s="76">
        <v>7.9999994486569994E-3</v>
      </c>
      <c r="DK50" s="73">
        <v>0</v>
      </c>
      <c r="DL50" s="73">
        <v>180</v>
      </c>
      <c r="DM50" s="73">
        <v>-180</v>
      </c>
      <c r="DU50"/>
      <c r="DV50" s="65" t="s">
        <v>126</v>
      </c>
      <c r="DW50" t="s">
        <v>132</v>
      </c>
      <c r="DZ50" s="73">
        <v>180</v>
      </c>
      <c r="EA50" s="73">
        <v>0</v>
      </c>
      <c r="EB50" s="73">
        <v>180</v>
      </c>
      <c r="EC50" s="65" t="s">
        <v>126</v>
      </c>
    </row>
    <row r="51" spans="1:133" ht="12" customHeight="1" x14ac:dyDescent="0.2">
      <c r="A51" t="s">
        <v>2937</v>
      </c>
      <c r="B51" t="s">
        <v>2946</v>
      </c>
      <c r="C51" t="str">
        <f t="shared" si="0"/>
        <v>Full</v>
      </c>
      <c r="E51" s="65">
        <v>646</v>
      </c>
      <c r="F51" t="s">
        <v>1400</v>
      </c>
      <c r="G51" s="71" t="s">
        <v>3952</v>
      </c>
      <c r="H51" s="67">
        <v>0.18899999558925601</v>
      </c>
      <c r="I51" s="65">
        <v>528118</v>
      </c>
      <c r="J51" s="65">
        <v>172415</v>
      </c>
      <c r="L51" s="65" t="s">
        <v>324</v>
      </c>
      <c r="M51" s="65" t="s">
        <v>27</v>
      </c>
      <c r="N51" s="69">
        <v>41920</v>
      </c>
      <c r="O51" s="69">
        <v>41976</v>
      </c>
      <c r="R51" s="65" t="s">
        <v>28</v>
      </c>
      <c r="U51" t="s">
        <v>325</v>
      </c>
      <c r="V51" t="s">
        <v>3043</v>
      </c>
      <c r="W51" s="65" t="s">
        <v>21</v>
      </c>
      <c r="X51" s="65" t="s">
        <v>21</v>
      </c>
      <c r="Y51" s="65" t="s">
        <v>69</v>
      </c>
      <c r="AD51" s="65" t="s">
        <v>23</v>
      </c>
      <c r="AE51" s="65" t="s">
        <v>24</v>
      </c>
      <c r="AJ51" s="73">
        <v>239</v>
      </c>
      <c r="AK51" s="73">
        <v>238</v>
      </c>
      <c r="AL51" s="73">
        <v>238</v>
      </c>
      <c r="AO51" s="73">
        <v>715</v>
      </c>
      <c r="BI51" s="73">
        <v>715</v>
      </c>
      <c r="BK51" s="73">
        <v>715</v>
      </c>
      <c r="BO51" s="185" t="s">
        <v>126</v>
      </c>
      <c r="BP51" s="185" t="s">
        <v>126</v>
      </c>
      <c r="BQ51" s="185" t="s">
        <v>3794</v>
      </c>
      <c r="BR51" s="73">
        <v>239</v>
      </c>
      <c r="BS51" s="73">
        <v>238</v>
      </c>
      <c r="BT51" s="73">
        <v>238</v>
      </c>
      <c r="BW51" s="73">
        <v>715</v>
      </c>
      <c r="BY51" s="185" t="s">
        <v>3794</v>
      </c>
      <c r="CB51" s="73">
        <v>-715</v>
      </c>
      <c r="CD51" s="73">
        <v>-715</v>
      </c>
      <c r="CE51" s="65" t="s">
        <v>126</v>
      </c>
      <c r="CJ51" t="s">
        <v>31</v>
      </c>
      <c r="CK51" t="s">
        <v>31</v>
      </c>
      <c r="CL51" t="s">
        <v>38</v>
      </c>
      <c r="CM51" t="s">
        <v>25</v>
      </c>
      <c r="CN51" t="s">
        <v>25</v>
      </c>
      <c r="CO51" t="s">
        <v>25</v>
      </c>
      <c r="CP51" t="s">
        <v>25</v>
      </c>
      <c r="CQ51" t="s">
        <v>25</v>
      </c>
      <c r="CR51" t="s">
        <v>25</v>
      </c>
      <c r="CS51" t="s">
        <v>25</v>
      </c>
      <c r="CT51" t="s">
        <v>25</v>
      </c>
      <c r="CU51" t="s">
        <v>25</v>
      </c>
      <c r="CV51" t="s">
        <v>25</v>
      </c>
      <c r="CW51" t="s">
        <v>25</v>
      </c>
      <c r="CX51" t="s">
        <v>25</v>
      </c>
      <c r="CY51" t="s">
        <v>25</v>
      </c>
      <c r="CZ51" t="s">
        <v>25</v>
      </c>
      <c r="DA51" t="s">
        <v>25</v>
      </c>
      <c r="DB51" t="s">
        <v>25</v>
      </c>
      <c r="DC51" t="s">
        <v>25</v>
      </c>
      <c r="DD51" t="s">
        <v>25</v>
      </c>
      <c r="DE51" t="s">
        <v>32</v>
      </c>
      <c r="DF51" t="s">
        <v>25</v>
      </c>
      <c r="DG51" t="s">
        <v>25</v>
      </c>
      <c r="DH51" t="s">
        <v>25</v>
      </c>
      <c r="DI51" t="s">
        <v>25</v>
      </c>
      <c r="DJ51" s="76">
        <v>0.18899999558925601</v>
      </c>
      <c r="DK51" s="73">
        <v>715</v>
      </c>
      <c r="DL51" s="73">
        <v>715</v>
      </c>
      <c r="DM51" s="73">
        <v>0</v>
      </c>
      <c r="DU51"/>
      <c r="DZ51" s="73">
        <v>0</v>
      </c>
      <c r="EA51" s="73">
        <v>0</v>
      </c>
      <c r="EB51" s="73">
        <v>0</v>
      </c>
    </row>
    <row r="52" spans="1:133" ht="12" customHeight="1" x14ac:dyDescent="0.2">
      <c r="A52" t="s">
        <v>2935</v>
      </c>
      <c r="B52" t="s">
        <v>2946</v>
      </c>
      <c r="C52" t="str">
        <f t="shared" si="0"/>
        <v>Full</v>
      </c>
      <c r="E52" s="65">
        <v>687</v>
      </c>
      <c r="F52" t="s">
        <v>1401</v>
      </c>
      <c r="G52" s="71" t="s">
        <v>3944</v>
      </c>
      <c r="H52" s="67">
        <v>9.9999997764825804E-3</v>
      </c>
      <c r="I52" s="65">
        <v>525881</v>
      </c>
      <c r="J52" s="65">
        <v>174991</v>
      </c>
      <c r="L52" s="65" t="s">
        <v>1402</v>
      </c>
      <c r="M52" s="65" t="s">
        <v>27</v>
      </c>
      <c r="N52" s="69">
        <v>43035</v>
      </c>
      <c r="O52" s="69">
        <v>43089</v>
      </c>
      <c r="P52" s="65" t="s">
        <v>126</v>
      </c>
      <c r="R52" s="65" t="s">
        <v>28</v>
      </c>
      <c r="U52" t="s">
        <v>1403</v>
      </c>
      <c r="V52" t="s">
        <v>3044</v>
      </c>
      <c r="W52" s="65" t="s">
        <v>34</v>
      </c>
      <c r="X52" s="65" t="s">
        <v>29</v>
      </c>
      <c r="Y52" s="65" t="s">
        <v>30</v>
      </c>
      <c r="AA52" s="69">
        <v>43136</v>
      </c>
      <c r="AD52" s="65" t="s">
        <v>23</v>
      </c>
      <c r="AE52" s="65" t="s">
        <v>24</v>
      </c>
      <c r="AH52" s="69">
        <f t="shared" si="1"/>
        <v>43136</v>
      </c>
      <c r="AL52" s="73">
        <v>236</v>
      </c>
      <c r="AO52" s="73">
        <v>236</v>
      </c>
      <c r="BB52" s="73">
        <v>238</v>
      </c>
      <c r="BE52" s="73">
        <v>238</v>
      </c>
      <c r="BO52" s="185" t="s">
        <v>126</v>
      </c>
      <c r="BP52" s="185" t="s">
        <v>3794</v>
      </c>
      <c r="BQ52" s="185" t="s">
        <v>3794</v>
      </c>
      <c r="BT52" s="73">
        <v>-2</v>
      </c>
      <c r="BW52" s="73">
        <v>-2</v>
      </c>
      <c r="BY52" s="185" t="s">
        <v>3794</v>
      </c>
      <c r="CJ52" t="s">
        <v>25</v>
      </c>
      <c r="CK52" t="s">
        <v>25</v>
      </c>
      <c r="CL52" t="s">
        <v>38</v>
      </c>
      <c r="CM52" t="s">
        <v>25</v>
      </c>
      <c r="CN52" t="s">
        <v>25</v>
      </c>
      <c r="CO52" t="s">
        <v>25</v>
      </c>
      <c r="CP52" t="s">
        <v>25</v>
      </c>
      <c r="CQ52" t="s">
        <v>25</v>
      </c>
      <c r="CR52" t="s">
        <v>25</v>
      </c>
      <c r="CS52" t="s">
        <v>25</v>
      </c>
      <c r="CT52" t="s">
        <v>25</v>
      </c>
      <c r="CU52" t="s">
        <v>25</v>
      </c>
      <c r="CV52" t="s">
        <v>25</v>
      </c>
      <c r="CW52" t="s">
        <v>25</v>
      </c>
      <c r="CX52" t="s">
        <v>25</v>
      </c>
      <c r="CY52" t="s">
        <v>47</v>
      </c>
      <c r="CZ52" t="s">
        <v>25</v>
      </c>
      <c r="DA52" t="s">
        <v>25</v>
      </c>
      <c r="DB52" t="s">
        <v>25</v>
      </c>
      <c r="DC52" t="s">
        <v>25</v>
      </c>
      <c r="DD52" t="s">
        <v>25</v>
      </c>
      <c r="DE52" t="s">
        <v>25</v>
      </c>
      <c r="DF52" t="s">
        <v>25</v>
      </c>
      <c r="DG52" t="s">
        <v>25</v>
      </c>
      <c r="DH52" t="s">
        <v>25</v>
      </c>
      <c r="DI52" t="s">
        <v>25</v>
      </c>
      <c r="DJ52" s="76">
        <v>5.9999995864927699E-3</v>
      </c>
      <c r="DK52" s="73">
        <v>236</v>
      </c>
      <c r="DL52" s="73">
        <v>238</v>
      </c>
      <c r="DM52" s="73">
        <v>-2</v>
      </c>
      <c r="DU52"/>
      <c r="DZ52" s="73">
        <v>86</v>
      </c>
      <c r="EA52" s="73">
        <v>96</v>
      </c>
      <c r="EB52" s="73">
        <v>-10</v>
      </c>
    </row>
    <row r="53" spans="1:133" ht="12" customHeight="1" x14ac:dyDescent="0.2">
      <c r="A53" t="s">
        <v>2937</v>
      </c>
      <c r="B53" t="s">
        <v>2946</v>
      </c>
      <c r="C53" t="str">
        <f t="shared" si="0"/>
        <v>Full</v>
      </c>
      <c r="E53" s="65">
        <v>730</v>
      </c>
      <c r="F53" t="s">
        <v>1404</v>
      </c>
      <c r="G53" s="71" t="s">
        <v>3942</v>
      </c>
      <c r="H53" s="67">
        <v>1.4000000432133701E-2</v>
      </c>
      <c r="I53" s="65">
        <v>527663</v>
      </c>
      <c r="J53" s="65">
        <v>174345</v>
      </c>
      <c r="L53" s="65" t="s">
        <v>348</v>
      </c>
      <c r="M53" s="65" t="s">
        <v>27</v>
      </c>
      <c r="N53" s="69">
        <v>41988</v>
      </c>
      <c r="O53" s="69">
        <v>42094</v>
      </c>
      <c r="R53" s="65" t="s">
        <v>28</v>
      </c>
      <c r="U53" t="s">
        <v>719</v>
      </c>
      <c r="V53" t="s">
        <v>3045</v>
      </c>
      <c r="W53" s="65" t="s">
        <v>34</v>
      </c>
      <c r="X53" s="65" t="s">
        <v>29</v>
      </c>
      <c r="Y53" s="65" t="s">
        <v>69</v>
      </c>
      <c r="AD53" s="65" t="s">
        <v>23</v>
      </c>
      <c r="AE53" s="65" t="s">
        <v>24</v>
      </c>
      <c r="BJ53" s="73">
        <v>48</v>
      </c>
      <c r="BK53" s="73">
        <v>48</v>
      </c>
      <c r="BO53" s="185" t="s">
        <v>3794</v>
      </c>
      <c r="BP53" s="185" t="s">
        <v>126</v>
      </c>
      <c r="BQ53" s="185" t="s">
        <v>3794</v>
      </c>
      <c r="BW53" s="73"/>
      <c r="BY53" s="185" t="s">
        <v>3794</v>
      </c>
      <c r="CC53" s="73">
        <v>-48</v>
      </c>
      <c r="CD53" s="73">
        <v>-48</v>
      </c>
      <c r="CE53" s="65" t="s">
        <v>126</v>
      </c>
      <c r="CJ53" t="s">
        <v>25</v>
      </c>
      <c r="CK53" t="s">
        <v>25</v>
      </c>
      <c r="CL53" t="s">
        <v>25</v>
      </c>
      <c r="CM53" t="s">
        <v>25</v>
      </c>
      <c r="CN53" t="s">
        <v>25</v>
      </c>
      <c r="CO53" t="s">
        <v>25</v>
      </c>
      <c r="CP53" t="s">
        <v>25</v>
      </c>
      <c r="CQ53" t="s">
        <v>25</v>
      </c>
      <c r="CR53" t="s">
        <v>25</v>
      </c>
      <c r="CS53" t="s">
        <v>25</v>
      </c>
      <c r="CT53" t="s">
        <v>25</v>
      </c>
      <c r="CU53" t="s">
        <v>25</v>
      </c>
      <c r="CV53" t="s">
        <v>25</v>
      </c>
      <c r="CW53" t="s">
        <v>25</v>
      </c>
      <c r="CX53" t="s">
        <v>25</v>
      </c>
      <c r="CY53" t="s">
        <v>25</v>
      </c>
      <c r="CZ53" t="s">
        <v>25</v>
      </c>
      <c r="DA53" t="s">
        <v>25</v>
      </c>
      <c r="DB53" t="s">
        <v>25</v>
      </c>
      <c r="DC53" t="s">
        <v>25</v>
      </c>
      <c r="DD53" t="s">
        <v>25</v>
      </c>
      <c r="DE53" t="s">
        <v>25</v>
      </c>
      <c r="DF53" t="s">
        <v>49</v>
      </c>
      <c r="DG53" t="s">
        <v>25</v>
      </c>
      <c r="DH53" t="s">
        <v>25</v>
      </c>
      <c r="DI53" t="s">
        <v>25</v>
      </c>
      <c r="DJ53" s="76">
        <v>7.0000002160668607E-3</v>
      </c>
      <c r="DK53" s="73">
        <v>0</v>
      </c>
      <c r="DL53" s="73">
        <v>48</v>
      </c>
      <c r="DM53" s="73">
        <v>-48</v>
      </c>
      <c r="DU53"/>
      <c r="DZ53" s="73">
        <v>64</v>
      </c>
      <c r="EA53" s="73">
        <v>0</v>
      </c>
      <c r="EB53" s="73">
        <v>64</v>
      </c>
      <c r="EC53" s="65" t="s">
        <v>126</v>
      </c>
    </row>
    <row r="54" spans="1:133" ht="12" customHeight="1" x14ac:dyDescent="0.2">
      <c r="A54" t="s">
        <v>2937</v>
      </c>
      <c r="B54" t="s">
        <v>2946</v>
      </c>
      <c r="C54" t="str">
        <f t="shared" si="0"/>
        <v>Full</v>
      </c>
      <c r="E54" s="65">
        <v>805</v>
      </c>
      <c r="F54" t="s">
        <v>1405</v>
      </c>
      <c r="G54" s="71" t="s">
        <v>3946</v>
      </c>
      <c r="H54" s="67">
        <v>2.5000000372528999E-2</v>
      </c>
      <c r="I54" s="65">
        <v>524046</v>
      </c>
      <c r="J54" s="65">
        <v>175290</v>
      </c>
      <c r="L54" s="65" t="s">
        <v>1406</v>
      </c>
      <c r="M54" s="65" t="s">
        <v>27</v>
      </c>
      <c r="N54" s="69">
        <v>42958</v>
      </c>
      <c r="O54" s="69">
        <v>43011</v>
      </c>
      <c r="P54" s="65" t="s">
        <v>126</v>
      </c>
      <c r="R54" s="65" t="s">
        <v>28</v>
      </c>
      <c r="U54" t="s">
        <v>1407</v>
      </c>
      <c r="V54" t="s">
        <v>3046</v>
      </c>
      <c r="W54" s="65" t="s">
        <v>34</v>
      </c>
      <c r="X54" s="65" t="s">
        <v>29</v>
      </c>
      <c r="Y54" s="65" t="s">
        <v>69</v>
      </c>
      <c r="AD54" s="65" t="s">
        <v>23</v>
      </c>
      <c r="AE54" s="65" t="s">
        <v>24</v>
      </c>
      <c r="AJ54" s="73">
        <v>143</v>
      </c>
      <c r="AO54" s="73">
        <v>143</v>
      </c>
      <c r="AZ54" s="73">
        <v>640</v>
      </c>
      <c r="BE54" s="73">
        <v>640</v>
      </c>
      <c r="BO54" s="185" t="s">
        <v>126</v>
      </c>
      <c r="BP54" s="185" t="s">
        <v>3794</v>
      </c>
      <c r="BQ54" s="185" t="s">
        <v>3794</v>
      </c>
      <c r="BR54" s="73">
        <v>-497</v>
      </c>
      <c r="BW54" s="73">
        <v>-497</v>
      </c>
      <c r="BY54" s="185" t="s">
        <v>3794</v>
      </c>
      <c r="CJ54" t="s">
        <v>26</v>
      </c>
      <c r="CK54" t="s">
        <v>25</v>
      </c>
      <c r="CL54" t="s">
        <v>25</v>
      </c>
      <c r="CM54" t="s">
        <v>25</v>
      </c>
      <c r="CN54" t="s">
        <v>25</v>
      </c>
      <c r="CO54" t="s">
        <v>25</v>
      </c>
      <c r="CP54" t="s">
        <v>25</v>
      </c>
      <c r="CQ54" t="s">
        <v>25</v>
      </c>
      <c r="CR54" t="s">
        <v>25</v>
      </c>
      <c r="CS54" t="s">
        <v>25</v>
      </c>
      <c r="CT54" t="s">
        <v>25</v>
      </c>
      <c r="CU54" t="s">
        <v>25</v>
      </c>
      <c r="CV54" t="s">
        <v>25</v>
      </c>
      <c r="CW54" t="s">
        <v>47</v>
      </c>
      <c r="CX54" t="s">
        <v>25</v>
      </c>
      <c r="CY54" t="s">
        <v>25</v>
      </c>
      <c r="CZ54" t="s">
        <v>25</v>
      </c>
      <c r="DA54" t="s">
        <v>25</v>
      </c>
      <c r="DB54" t="s">
        <v>25</v>
      </c>
      <c r="DC54" t="s">
        <v>25</v>
      </c>
      <c r="DD54" t="s">
        <v>25</v>
      </c>
      <c r="DE54" t="s">
        <v>25</v>
      </c>
      <c r="DF54" t="s">
        <v>25</v>
      </c>
      <c r="DG54" t="s">
        <v>25</v>
      </c>
      <c r="DH54" t="s">
        <v>25</v>
      </c>
      <c r="DI54" t="s">
        <v>25</v>
      </c>
      <c r="DJ54" s="76">
        <v>6.999999750405498E-3</v>
      </c>
      <c r="DK54" s="73">
        <v>143</v>
      </c>
      <c r="DL54" s="73">
        <v>640</v>
      </c>
      <c r="DM54" s="73">
        <v>-497</v>
      </c>
      <c r="DU54"/>
      <c r="DV54" s="65" t="s">
        <v>126</v>
      </c>
      <c r="DW54" t="s">
        <v>131</v>
      </c>
      <c r="DZ54" s="73">
        <v>370</v>
      </c>
      <c r="EA54" s="73">
        <v>0</v>
      </c>
      <c r="EB54" s="73">
        <v>370</v>
      </c>
      <c r="EC54" s="65" t="s">
        <v>126</v>
      </c>
    </row>
    <row r="55" spans="1:133" ht="12" customHeight="1" x14ac:dyDescent="0.2">
      <c r="A55" t="s">
        <v>2937</v>
      </c>
      <c r="B55" t="s">
        <v>2946</v>
      </c>
      <c r="C55" t="str">
        <f t="shared" si="0"/>
        <v>Full</v>
      </c>
      <c r="E55" s="65">
        <v>854</v>
      </c>
      <c r="F55" t="s">
        <v>1408</v>
      </c>
      <c r="G55" s="71" t="s">
        <v>3953</v>
      </c>
      <c r="H55" s="67">
        <v>0</v>
      </c>
      <c r="I55" s="65">
        <v>526975</v>
      </c>
      <c r="J55" s="65">
        <v>174306</v>
      </c>
      <c r="L55" s="65" t="s">
        <v>1409</v>
      </c>
      <c r="M55" s="65" t="s">
        <v>27</v>
      </c>
      <c r="N55" s="69">
        <v>42954</v>
      </c>
      <c r="O55" s="69">
        <v>43010</v>
      </c>
      <c r="P55" s="65" t="s">
        <v>126</v>
      </c>
      <c r="R55" s="65" t="s">
        <v>28</v>
      </c>
      <c r="U55" t="s">
        <v>1410</v>
      </c>
      <c r="V55" t="s">
        <v>3047</v>
      </c>
      <c r="W55" s="65" t="s">
        <v>21</v>
      </c>
      <c r="X55" s="65" t="s">
        <v>21</v>
      </c>
      <c r="Y55" s="65" t="s">
        <v>69</v>
      </c>
      <c r="AD55" s="65" t="s">
        <v>23</v>
      </c>
      <c r="AE55" s="65" t="s">
        <v>24</v>
      </c>
      <c r="BF55" s="73">
        <v>862</v>
      </c>
      <c r="BK55" s="73">
        <v>862</v>
      </c>
      <c r="BO55" s="185" t="s">
        <v>3794</v>
      </c>
      <c r="BP55" s="185" t="s">
        <v>126</v>
      </c>
      <c r="BQ55" s="185" t="s">
        <v>3794</v>
      </c>
      <c r="BW55" s="73"/>
      <c r="BX55" s="73">
        <v>-862</v>
      </c>
      <c r="BY55" s="185" t="s">
        <v>126</v>
      </c>
      <c r="CD55" s="73">
        <v>-862</v>
      </c>
      <c r="CE55" s="65" t="s">
        <v>126</v>
      </c>
      <c r="CJ55" t="s">
        <v>25</v>
      </c>
      <c r="CK55" t="s">
        <v>25</v>
      </c>
      <c r="CL55" t="s">
        <v>25</v>
      </c>
      <c r="CM55" t="s">
        <v>25</v>
      </c>
      <c r="CN55" t="s">
        <v>25</v>
      </c>
      <c r="CO55" t="s">
        <v>25</v>
      </c>
      <c r="CP55" t="s">
        <v>25</v>
      </c>
      <c r="CQ55" t="s">
        <v>25</v>
      </c>
      <c r="CR55" t="s">
        <v>25</v>
      </c>
      <c r="CS55" t="s">
        <v>25</v>
      </c>
      <c r="CT55" t="s">
        <v>25</v>
      </c>
      <c r="CU55" t="s">
        <v>25</v>
      </c>
      <c r="CV55" t="s">
        <v>25</v>
      </c>
      <c r="CW55" t="s">
        <v>25</v>
      </c>
      <c r="CX55" t="s">
        <v>25</v>
      </c>
      <c r="CY55" t="s">
        <v>25</v>
      </c>
      <c r="CZ55" t="s">
        <v>25</v>
      </c>
      <c r="DA55" t="s">
        <v>25</v>
      </c>
      <c r="DB55" t="s">
        <v>47</v>
      </c>
      <c r="DC55" t="s">
        <v>25</v>
      </c>
      <c r="DD55" t="s">
        <v>25</v>
      </c>
      <c r="DE55" t="s">
        <v>25</v>
      </c>
      <c r="DF55" t="s">
        <v>25</v>
      </c>
      <c r="DG55" t="s">
        <v>25</v>
      </c>
      <c r="DH55" t="s">
        <v>25</v>
      </c>
      <c r="DI55" t="s">
        <v>25</v>
      </c>
      <c r="DJ55" s="76">
        <v>0</v>
      </c>
      <c r="DK55" s="73">
        <v>836</v>
      </c>
      <c r="DL55" s="73">
        <v>862</v>
      </c>
      <c r="DM55" s="73">
        <v>-26</v>
      </c>
      <c r="DU55"/>
      <c r="DZ55" s="73">
        <v>0</v>
      </c>
      <c r="EA55" s="73">
        <v>0</v>
      </c>
      <c r="EB55" s="73">
        <v>0</v>
      </c>
    </row>
    <row r="56" spans="1:133" ht="12" customHeight="1" x14ac:dyDescent="0.2">
      <c r="A56" t="s">
        <v>2938</v>
      </c>
      <c r="B56" t="s">
        <v>2946</v>
      </c>
      <c r="C56" t="str">
        <f t="shared" si="0"/>
        <v>Full</v>
      </c>
      <c r="E56" s="65">
        <v>921</v>
      </c>
      <c r="F56" t="s">
        <v>1411</v>
      </c>
      <c r="G56" s="71" t="s">
        <v>2907</v>
      </c>
      <c r="H56" s="67">
        <v>1.9999999552965199E-2</v>
      </c>
      <c r="I56" s="65">
        <v>525532</v>
      </c>
      <c r="J56" s="65">
        <v>174658</v>
      </c>
      <c r="L56" s="65" t="s">
        <v>1412</v>
      </c>
      <c r="M56" s="65" t="s">
        <v>172</v>
      </c>
      <c r="N56" s="69">
        <v>43045</v>
      </c>
      <c r="R56" s="65" t="s">
        <v>28</v>
      </c>
      <c r="U56" t="s">
        <v>1413</v>
      </c>
      <c r="V56" t="s">
        <v>3048</v>
      </c>
      <c r="W56" s="65" t="s">
        <v>29</v>
      </c>
      <c r="X56" s="65" t="s">
        <v>29</v>
      </c>
      <c r="Y56" s="65" t="s">
        <v>69</v>
      </c>
      <c r="AD56" s="65" t="s">
        <v>173</v>
      </c>
      <c r="AE56" s="65" t="s">
        <v>24</v>
      </c>
      <c r="AJ56" s="73">
        <v>168</v>
      </c>
      <c r="AO56" s="73">
        <v>168</v>
      </c>
      <c r="BO56" s="185" t="s">
        <v>126</v>
      </c>
      <c r="BP56" s="185" t="s">
        <v>3794</v>
      </c>
      <c r="BQ56" s="185" t="s">
        <v>3794</v>
      </c>
      <c r="BR56" s="73">
        <v>168</v>
      </c>
      <c r="BW56" s="73">
        <v>168</v>
      </c>
      <c r="BY56" s="185" t="s">
        <v>3794</v>
      </c>
      <c r="CJ56" t="s">
        <v>31</v>
      </c>
      <c r="CK56" t="s">
        <v>25</v>
      </c>
      <c r="CL56" t="s">
        <v>25</v>
      </c>
      <c r="CM56" t="s">
        <v>25</v>
      </c>
      <c r="CN56" t="s">
        <v>25</v>
      </c>
      <c r="CO56" t="s">
        <v>25</v>
      </c>
      <c r="CP56" t="s">
        <v>25</v>
      </c>
      <c r="CQ56" t="s">
        <v>25</v>
      </c>
      <c r="CR56" t="s">
        <v>25</v>
      </c>
      <c r="CS56" t="s">
        <v>25</v>
      </c>
      <c r="CT56" t="s">
        <v>25</v>
      </c>
      <c r="CU56" t="s">
        <v>25</v>
      </c>
      <c r="CV56" t="s">
        <v>25</v>
      </c>
      <c r="CW56" t="s">
        <v>25</v>
      </c>
      <c r="CX56" t="s">
        <v>25</v>
      </c>
      <c r="CY56" t="s">
        <v>25</v>
      </c>
      <c r="CZ56" t="s">
        <v>25</v>
      </c>
      <c r="DA56" t="s">
        <v>25</v>
      </c>
      <c r="DB56" t="s">
        <v>25</v>
      </c>
      <c r="DC56" t="s">
        <v>25</v>
      </c>
      <c r="DD56" t="s">
        <v>25</v>
      </c>
      <c r="DE56" t="s">
        <v>25</v>
      </c>
      <c r="DF56" t="s">
        <v>25</v>
      </c>
      <c r="DG56" t="s">
        <v>25</v>
      </c>
      <c r="DH56" t="s">
        <v>25</v>
      </c>
      <c r="DI56" t="s">
        <v>25</v>
      </c>
      <c r="DJ56" s="76">
        <v>1.9999999552965199E-2</v>
      </c>
      <c r="DK56" s="73">
        <v>168</v>
      </c>
      <c r="DL56" s="73">
        <v>129</v>
      </c>
      <c r="DM56" s="73">
        <v>39</v>
      </c>
      <c r="DU56"/>
      <c r="DV56" s="65" t="s">
        <v>126</v>
      </c>
      <c r="DW56" t="s">
        <v>151</v>
      </c>
      <c r="DZ56" s="73">
        <v>0</v>
      </c>
      <c r="EA56" s="73">
        <v>0</v>
      </c>
      <c r="EB56" s="73">
        <v>0</v>
      </c>
    </row>
    <row r="57" spans="1:133" ht="12" customHeight="1" x14ac:dyDescent="0.2">
      <c r="A57" t="s">
        <v>2935</v>
      </c>
      <c r="B57" t="s">
        <v>2946</v>
      </c>
      <c r="C57" t="str">
        <f t="shared" si="0"/>
        <v>Full</v>
      </c>
      <c r="E57" s="65">
        <v>976</v>
      </c>
      <c r="F57" t="s">
        <v>1414</v>
      </c>
      <c r="G57" s="71" t="s">
        <v>3942</v>
      </c>
      <c r="H57" s="67">
        <v>1.2000000104308101E-2</v>
      </c>
      <c r="I57" s="65">
        <v>527276</v>
      </c>
      <c r="J57" s="65">
        <v>174754</v>
      </c>
      <c r="L57" s="65" t="s">
        <v>1415</v>
      </c>
      <c r="M57" s="65" t="s">
        <v>27</v>
      </c>
      <c r="N57" s="69">
        <v>42991</v>
      </c>
      <c r="O57" s="69">
        <v>43186</v>
      </c>
      <c r="P57" s="65" t="s">
        <v>126</v>
      </c>
      <c r="R57" s="65" t="s">
        <v>28</v>
      </c>
      <c r="U57" t="s">
        <v>1416</v>
      </c>
      <c r="V57" t="s">
        <v>3049</v>
      </c>
      <c r="W57" s="65" t="s">
        <v>29</v>
      </c>
      <c r="X57" s="65" t="s">
        <v>29</v>
      </c>
      <c r="Y57" s="65" t="s">
        <v>30</v>
      </c>
      <c r="Z57" s="69">
        <v>42761</v>
      </c>
      <c r="AA57" s="69">
        <v>43031</v>
      </c>
      <c r="AD57" s="65" t="s">
        <v>23</v>
      </c>
      <c r="AE57" s="65" t="s">
        <v>24</v>
      </c>
      <c r="AH57" s="69">
        <f t="shared" si="1"/>
        <v>43031</v>
      </c>
      <c r="BH57" s="73">
        <v>120</v>
      </c>
      <c r="BK57" s="73">
        <v>120</v>
      </c>
      <c r="BO57" s="185" t="s">
        <v>3794</v>
      </c>
      <c r="BP57" s="185" t="s">
        <v>126</v>
      </c>
      <c r="BQ57" s="185" t="s">
        <v>3794</v>
      </c>
      <c r="BW57" s="73"/>
      <c r="BY57" s="185" t="s">
        <v>3794</v>
      </c>
      <c r="CA57" s="73">
        <v>-120</v>
      </c>
      <c r="CD57" s="73">
        <v>-120</v>
      </c>
      <c r="CE57" s="65" t="s">
        <v>126</v>
      </c>
      <c r="CJ57" t="s">
        <v>25</v>
      </c>
      <c r="CK57" t="s">
        <v>25</v>
      </c>
      <c r="CL57" t="s">
        <v>25</v>
      </c>
      <c r="CM57" t="s">
        <v>25</v>
      </c>
      <c r="CN57" t="s">
        <v>25</v>
      </c>
      <c r="CO57" t="s">
        <v>25</v>
      </c>
      <c r="CP57" t="s">
        <v>25</v>
      </c>
      <c r="CQ57" t="s">
        <v>25</v>
      </c>
      <c r="CR57" t="s">
        <v>25</v>
      </c>
      <c r="CS57" t="s">
        <v>25</v>
      </c>
      <c r="CT57" t="s">
        <v>25</v>
      </c>
      <c r="CU57" t="s">
        <v>25</v>
      </c>
      <c r="CV57" t="s">
        <v>25</v>
      </c>
      <c r="CW57" t="s">
        <v>25</v>
      </c>
      <c r="CX57" t="s">
        <v>25</v>
      </c>
      <c r="CY57" t="s">
        <v>25</v>
      </c>
      <c r="CZ57" t="s">
        <v>25</v>
      </c>
      <c r="DA57" t="s">
        <v>25</v>
      </c>
      <c r="DB57" t="s">
        <v>25</v>
      </c>
      <c r="DC57" t="s">
        <v>25</v>
      </c>
      <c r="DD57" t="s">
        <v>47</v>
      </c>
      <c r="DE57" t="s">
        <v>25</v>
      </c>
      <c r="DF57" t="s">
        <v>25</v>
      </c>
      <c r="DG57" t="s">
        <v>25</v>
      </c>
      <c r="DH57" t="s">
        <v>25</v>
      </c>
      <c r="DI57" t="s">
        <v>25</v>
      </c>
      <c r="DJ57" s="76">
        <v>0</v>
      </c>
      <c r="DK57" s="73">
        <v>0</v>
      </c>
      <c r="DL57" s="73">
        <v>120</v>
      </c>
      <c r="DM57" s="73">
        <v>-120</v>
      </c>
      <c r="DU57"/>
      <c r="DZ57" s="73">
        <v>239</v>
      </c>
      <c r="EA57" s="73">
        <v>0</v>
      </c>
      <c r="EB57" s="73">
        <v>239</v>
      </c>
      <c r="EC57" s="65" t="s">
        <v>126</v>
      </c>
    </row>
    <row r="58" spans="1:133" ht="12" customHeight="1" x14ac:dyDescent="0.2">
      <c r="A58" t="s">
        <v>2937</v>
      </c>
      <c r="B58" t="s">
        <v>2948</v>
      </c>
      <c r="C58" t="str">
        <f t="shared" si="0"/>
        <v>Prior Approval</v>
      </c>
      <c r="E58" s="65">
        <v>983</v>
      </c>
      <c r="F58" t="s">
        <v>1417</v>
      </c>
      <c r="G58" s="71" t="s">
        <v>3948</v>
      </c>
      <c r="H58" s="67">
        <v>9.9999997764825804E-3</v>
      </c>
      <c r="I58" s="65">
        <v>527864</v>
      </c>
      <c r="J58" s="65">
        <v>176587</v>
      </c>
      <c r="L58" s="65" t="s">
        <v>399</v>
      </c>
      <c r="M58" s="65" t="s">
        <v>244</v>
      </c>
      <c r="N58" s="69">
        <v>41759</v>
      </c>
      <c r="O58" s="69">
        <v>41815</v>
      </c>
      <c r="R58" s="65" t="s">
        <v>28</v>
      </c>
      <c r="U58" t="s">
        <v>400</v>
      </c>
      <c r="V58" t="s">
        <v>3050</v>
      </c>
      <c r="W58" s="65" t="s">
        <v>21</v>
      </c>
      <c r="X58" s="65" t="s">
        <v>21</v>
      </c>
      <c r="Y58" s="65" t="s">
        <v>69</v>
      </c>
      <c r="AD58" s="65" t="s">
        <v>23</v>
      </c>
      <c r="AE58" s="65" t="s">
        <v>24</v>
      </c>
      <c r="BF58" s="73">
        <v>32</v>
      </c>
      <c r="BK58" s="73">
        <v>32</v>
      </c>
      <c r="BO58" s="185" t="s">
        <v>3794</v>
      </c>
      <c r="BP58" s="185" t="s">
        <v>126</v>
      </c>
      <c r="BQ58" s="185" t="s">
        <v>3794</v>
      </c>
      <c r="BW58" s="73"/>
      <c r="BX58" s="73">
        <v>-32</v>
      </c>
      <c r="BY58" s="185" t="s">
        <v>126</v>
      </c>
      <c r="CD58" s="73">
        <v>-32</v>
      </c>
      <c r="CE58" s="65" t="s">
        <v>126</v>
      </c>
      <c r="CJ58" t="s">
        <v>25</v>
      </c>
      <c r="CK58" t="s">
        <v>25</v>
      </c>
      <c r="CL58" t="s">
        <v>25</v>
      </c>
      <c r="CM58" t="s">
        <v>25</v>
      </c>
      <c r="CN58" t="s">
        <v>25</v>
      </c>
      <c r="CO58" t="s">
        <v>25</v>
      </c>
      <c r="CP58" t="s">
        <v>25</v>
      </c>
      <c r="CQ58" t="s">
        <v>25</v>
      </c>
      <c r="CR58" t="s">
        <v>25</v>
      </c>
      <c r="CS58" t="s">
        <v>25</v>
      </c>
      <c r="CT58" t="s">
        <v>25</v>
      </c>
      <c r="CU58" t="s">
        <v>25</v>
      </c>
      <c r="CV58" t="s">
        <v>25</v>
      </c>
      <c r="CW58" t="s">
        <v>25</v>
      </c>
      <c r="CX58" t="s">
        <v>25</v>
      </c>
      <c r="CY58" t="s">
        <v>25</v>
      </c>
      <c r="CZ58" t="s">
        <v>25</v>
      </c>
      <c r="DA58" t="s">
        <v>25</v>
      </c>
      <c r="DB58" t="s">
        <v>31</v>
      </c>
      <c r="DC58" t="s">
        <v>25</v>
      </c>
      <c r="DD58" t="s">
        <v>25</v>
      </c>
      <c r="DE58" t="s">
        <v>25</v>
      </c>
      <c r="DF58" t="s">
        <v>25</v>
      </c>
      <c r="DG58" t="s">
        <v>25</v>
      </c>
      <c r="DH58" t="s">
        <v>25</v>
      </c>
      <c r="DI58" t="s">
        <v>25</v>
      </c>
      <c r="DJ58" s="76">
        <v>6.99999975040555E-3</v>
      </c>
      <c r="DK58" s="73">
        <v>0</v>
      </c>
      <c r="DL58" s="73">
        <v>32</v>
      </c>
      <c r="DM58" s="73">
        <v>-32</v>
      </c>
      <c r="DU58"/>
      <c r="DZ58" s="73">
        <v>32</v>
      </c>
      <c r="EA58" s="73">
        <v>0</v>
      </c>
      <c r="EB58" s="73">
        <v>32</v>
      </c>
      <c r="EC58" s="65" t="s">
        <v>126</v>
      </c>
    </row>
    <row r="59" spans="1:133" ht="12" customHeight="1" x14ac:dyDescent="0.2">
      <c r="A59" t="s">
        <v>2937</v>
      </c>
      <c r="B59" t="s">
        <v>2946</v>
      </c>
      <c r="C59" t="str">
        <f t="shared" si="0"/>
        <v>Full</v>
      </c>
      <c r="E59" s="65">
        <v>999</v>
      </c>
      <c r="F59" t="s">
        <v>1418</v>
      </c>
      <c r="G59" s="71" t="s">
        <v>3941</v>
      </c>
      <c r="H59" s="67">
        <v>1.4000000432133701E-2</v>
      </c>
      <c r="I59" s="65">
        <v>528491</v>
      </c>
      <c r="J59" s="65">
        <v>173293</v>
      </c>
      <c r="L59" s="65" t="s">
        <v>268</v>
      </c>
      <c r="M59" s="65" t="s">
        <v>27</v>
      </c>
      <c r="N59" s="69">
        <v>42073</v>
      </c>
      <c r="O59" s="69">
        <v>42195</v>
      </c>
      <c r="R59" s="65" t="s">
        <v>28</v>
      </c>
      <c r="U59" t="s">
        <v>734</v>
      </c>
      <c r="V59" t="s">
        <v>3051</v>
      </c>
      <c r="W59" s="65" t="s">
        <v>39</v>
      </c>
      <c r="X59" s="65" t="s">
        <v>39</v>
      </c>
      <c r="Y59" s="65" t="s">
        <v>59</v>
      </c>
      <c r="AD59" s="65" t="s">
        <v>23</v>
      </c>
      <c r="AE59" s="65" t="s">
        <v>24</v>
      </c>
      <c r="AJ59" s="73">
        <v>103</v>
      </c>
      <c r="AO59" s="73">
        <v>103</v>
      </c>
      <c r="AZ59" s="73">
        <v>139</v>
      </c>
      <c r="BE59" s="73">
        <v>139</v>
      </c>
      <c r="BO59" s="185" t="s">
        <v>126</v>
      </c>
      <c r="BP59" s="185" t="s">
        <v>3794</v>
      </c>
      <c r="BQ59" s="185" t="s">
        <v>3794</v>
      </c>
      <c r="BR59" s="73">
        <v>-36</v>
      </c>
      <c r="BW59" s="73">
        <v>-36</v>
      </c>
      <c r="BY59" s="185" t="s">
        <v>3794</v>
      </c>
      <c r="CJ59" t="s">
        <v>31</v>
      </c>
      <c r="CK59" t="s">
        <v>25</v>
      </c>
      <c r="CL59" t="s">
        <v>25</v>
      </c>
      <c r="CM59" t="s">
        <v>25</v>
      </c>
      <c r="CN59" t="s">
        <v>25</v>
      </c>
      <c r="CO59" t="s">
        <v>25</v>
      </c>
      <c r="CP59" t="s">
        <v>25</v>
      </c>
      <c r="CQ59" t="s">
        <v>25</v>
      </c>
      <c r="CR59" t="s">
        <v>25</v>
      </c>
      <c r="CS59" t="s">
        <v>25</v>
      </c>
      <c r="CT59" t="s">
        <v>25</v>
      </c>
      <c r="CU59" t="s">
        <v>25</v>
      </c>
      <c r="CV59" t="s">
        <v>25</v>
      </c>
      <c r="CW59" t="s">
        <v>31</v>
      </c>
      <c r="CX59" t="s">
        <v>25</v>
      </c>
      <c r="CY59" t="s">
        <v>25</v>
      </c>
      <c r="CZ59" t="s">
        <v>25</v>
      </c>
      <c r="DA59" t="s">
        <v>25</v>
      </c>
      <c r="DB59" t="s">
        <v>25</v>
      </c>
      <c r="DC59" t="s">
        <v>25</v>
      </c>
      <c r="DD59" t="s">
        <v>25</v>
      </c>
      <c r="DE59" t="s">
        <v>25</v>
      </c>
      <c r="DF59" t="s">
        <v>25</v>
      </c>
      <c r="DG59" t="s">
        <v>25</v>
      </c>
      <c r="DH59" t="s">
        <v>25</v>
      </c>
      <c r="DI59" t="s">
        <v>25</v>
      </c>
      <c r="DJ59" s="76">
        <v>3.0000004917383003E-3</v>
      </c>
      <c r="DK59" s="73">
        <v>103</v>
      </c>
      <c r="DL59" s="73">
        <v>139</v>
      </c>
      <c r="DM59" s="73">
        <v>-36</v>
      </c>
      <c r="DU59"/>
      <c r="DV59" s="65" t="s">
        <v>126</v>
      </c>
      <c r="DW59" t="s">
        <v>149</v>
      </c>
      <c r="DZ59" s="73">
        <v>354</v>
      </c>
      <c r="EA59" s="73">
        <v>0</v>
      </c>
      <c r="EB59" s="73">
        <v>354</v>
      </c>
      <c r="EC59" s="65" t="s">
        <v>126</v>
      </c>
    </row>
    <row r="60" spans="1:133" ht="12" customHeight="1" x14ac:dyDescent="0.2">
      <c r="A60" t="s">
        <v>2936</v>
      </c>
      <c r="B60" t="s">
        <v>2946</v>
      </c>
      <c r="C60" t="str">
        <f t="shared" si="0"/>
        <v>Full</v>
      </c>
      <c r="D60" t="s">
        <v>2943</v>
      </c>
      <c r="E60" s="65">
        <v>1012</v>
      </c>
      <c r="F60" t="s">
        <v>1419</v>
      </c>
      <c r="G60" s="71" t="s">
        <v>3942</v>
      </c>
      <c r="H60" s="67">
        <v>9.9999997764825804E-3</v>
      </c>
      <c r="I60" s="65">
        <v>527372</v>
      </c>
      <c r="J60" s="65">
        <v>175103</v>
      </c>
      <c r="L60" s="65" t="s">
        <v>1420</v>
      </c>
      <c r="M60" s="65" t="s">
        <v>27</v>
      </c>
      <c r="N60" s="69">
        <v>43006</v>
      </c>
      <c r="O60" s="69">
        <v>43062</v>
      </c>
      <c r="P60" s="65" t="s">
        <v>126</v>
      </c>
      <c r="R60" s="65" t="s">
        <v>28</v>
      </c>
      <c r="U60" t="s">
        <v>1421</v>
      </c>
      <c r="V60" t="s">
        <v>3052</v>
      </c>
      <c r="W60" s="65" t="s">
        <v>21</v>
      </c>
      <c r="X60" s="65" t="s">
        <v>21</v>
      </c>
      <c r="Y60" s="65" t="s">
        <v>35</v>
      </c>
      <c r="AA60" s="69">
        <v>43062</v>
      </c>
      <c r="AB60" s="69">
        <v>43190</v>
      </c>
      <c r="AC60" s="69">
        <v>43190</v>
      </c>
      <c r="AD60" s="65" t="s">
        <v>23</v>
      </c>
      <c r="AE60" s="65" t="s">
        <v>24</v>
      </c>
      <c r="AH60" s="69">
        <f t="shared" si="1"/>
        <v>43062</v>
      </c>
      <c r="AI60" s="69">
        <f t="shared" si="2"/>
        <v>43190</v>
      </c>
      <c r="AJ60" s="73">
        <v>33</v>
      </c>
      <c r="AO60" s="73">
        <v>33</v>
      </c>
      <c r="AX60" s="73">
        <v>33</v>
      </c>
      <c r="AY60" s="73">
        <v>33</v>
      </c>
      <c r="AZ60" s="73">
        <v>66</v>
      </c>
      <c r="BE60" s="73">
        <v>66</v>
      </c>
      <c r="BO60" s="185" t="s">
        <v>126</v>
      </c>
      <c r="BP60" s="185" t="s">
        <v>3794</v>
      </c>
      <c r="BQ60" s="185" t="s">
        <v>126</v>
      </c>
      <c r="BR60" s="73">
        <v>-33</v>
      </c>
      <c r="BW60" s="73">
        <v>-33</v>
      </c>
      <c r="BY60" s="185" t="s">
        <v>3794</v>
      </c>
      <c r="CH60" s="73">
        <v>33</v>
      </c>
      <c r="CI60" s="73">
        <v>33</v>
      </c>
      <c r="CJ60" t="s">
        <v>46</v>
      </c>
      <c r="CK60" t="s">
        <v>25</v>
      </c>
      <c r="CL60" t="s">
        <v>25</v>
      </c>
      <c r="CM60" t="s">
        <v>25</v>
      </c>
      <c r="CN60" t="s">
        <v>25</v>
      </c>
      <c r="CO60" t="s">
        <v>25</v>
      </c>
      <c r="CP60" t="s">
        <v>25</v>
      </c>
      <c r="CQ60" t="s">
        <v>25</v>
      </c>
      <c r="CR60" t="s">
        <v>25</v>
      </c>
      <c r="CS60" t="s">
        <v>25</v>
      </c>
      <c r="CT60" t="s">
        <v>25</v>
      </c>
      <c r="CU60" t="s">
        <v>25</v>
      </c>
      <c r="CV60" t="s">
        <v>49</v>
      </c>
      <c r="CW60" t="s">
        <v>46</v>
      </c>
      <c r="CX60" t="s">
        <v>25</v>
      </c>
      <c r="CY60" t="s">
        <v>25</v>
      </c>
      <c r="CZ60" t="s">
        <v>25</v>
      </c>
      <c r="DA60" t="s">
        <v>25</v>
      </c>
      <c r="DB60" t="s">
        <v>25</v>
      </c>
      <c r="DC60" t="s">
        <v>25</v>
      </c>
      <c r="DD60" t="s">
        <v>25</v>
      </c>
      <c r="DE60" t="s">
        <v>25</v>
      </c>
      <c r="DF60" t="s">
        <v>25</v>
      </c>
      <c r="DG60" t="s">
        <v>25</v>
      </c>
      <c r="DH60" t="s">
        <v>25</v>
      </c>
      <c r="DI60" t="s">
        <v>25</v>
      </c>
      <c r="DJ60" s="76">
        <v>9.9999997764825804E-3</v>
      </c>
      <c r="DK60" s="73">
        <v>66</v>
      </c>
      <c r="DL60" s="73">
        <v>66</v>
      </c>
      <c r="DM60" s="73">
        <v>0</v>
      </c>
      <c r="DU60"/>
      <c r="DV60" s="65" t="s">
        <v>126</v>
      </c>
      <c r="DW60" t="s">
        <v>132</v>
      </c>
      <c r="DZ60" s="73">
        <v>0</v>
      </c>
      <c r="EA60" s="73">
        <v>0</v>
      </c>
      <c r="EB60" s="73">
        <v>0</v>
      </c>
    </row>
    <row r="61" spans="1:133" ht="12" customHeight="1" x14ac:dyDescent="0.2">
      <c r="A61" t="s">
        <v>2937</v>
      </c>
      <c r="B61" t="s">
        <v>2946</v>
      </c>
      <c r="C61" t="str">
        <f t="shared" si="0"/>
        <v>Full</v>
      </c>
      <c r="E61" s="65">
        <v>1076</v>
      </c>
      <c r="F61" t="s">
        <v>1422</v>
      </c>
      <c r="G61" s="71" t="s">
        <v>150</v>
      </c>
      <c r="H61" s="67">
        <v>1.60000007599592E-2</v>
      </c>
      <c r="I61" s="65">
        <v>527809</v>
      </c>
      <c r="J61" s="65">
        <v>172090</v>
      </c>
      <c r="L61" s="65" t="s">
        <v>1423</v>
      </c>
      <c r="M61" s="65" t="s">
        <v>27</v>
      </c>
      <c r="N61" s="69">
        <v>43074</v>
      </c>
      <c r="O61" s="69">
        <v>43124</v>
      </c>
      <c r="P61" s="65" t="s">
        <v>126</v>
      </c>
      <c r="R61" s="65" t="s">
        <v>28</v>
      </c>
      <c r="U61" t="s">
        <v>1424</v>
      </c>
      <c r="V61" t="s">
        <v>3053</v>
      </c>
      <c r="W61" s="65" t="s">
        <v>39</v>
      </c>
      <c r="X61" s="65" t="s">
        <v>39</v>
      </c>
      <c r="Y61" s="65" t="s">
        <v>69</v>
      </c>
      <c r="AD61" s="65" t="s">
        <v>23</v>
      </c>
      <c r="AE61" s="65" t="s">
        <v>24</v>
      </c>
      <c r="AW61" s="73">
        <v>275</v>
      </c>
      <c r="AY61" s="73">
        <v>275</v>
      </c>
      <c r="BO61" s="185" t="s">
        <v>3794</v>
      </c>
      <c r="BP61" s="185" t="s">
        <v>3794</v>
      </c>
      <c r="BQ61" s="185" t="s">
        <v>126</v>
      </c>
      <c r="BW61" s="73"/>
      <c r="BY61" s="185" t="s">
        <v>3794</v>
      </c>
      <c r="CG61" s="73">
        <v>275</v>
      </c>
      <c r="CI61" s="73">
        <v>275</v>
      </c>
      <c r="CJ61" t="s">
        <v>25</v>
      </c>
      <c r="CK61" t="s">
        <v>25</v>
      </c>
      <c r="CL61" t="s">
        <v>25</v>
      </c>
      <c r="CM61" t="s">
        <v>25</v>
      </c>
      <c r="CN61" t="s">
        <v>25</v>
      </c>
      <c r="CO61" t="s">
        <v>25</v>
      </c>
      <c r="CP61" t="s">
        <v>25</v>
      </c>
      <c r="CQ61" t="s">
        <v>25</v>
      </c>
      <c r="CR61" t="s">
        <v>25</v>
      </c>
      <c r="CS61" t="s">
        <v>25</v>
      </c>
      <c r="CT61" t="s">
        <v>25</v>
      </c>
      <c r="CU61" t="s">
        <v>41</v>
      </c>
      <c r="CV61" t="s">
        <v>25</v>
      </c>
      <c r="CW61" t="s">
        <v>25</v>
      </c>
      <c r="CX61" t="s">
        <v>25</v>
      </c>
      <c r="CY61" t="s">
        <v>25</v>
      </c>
      <c r="CZ61" t="s">
        <v>25</v>
      </c>
      <c r="DA61" t="s">
        <v>25</v>
      </c>
      <c r="DB61" t="s">
        <v>25</v>
      </c>
      <c r="DC61" t="s">
        <v>25</v>
      </c>
      <c r="DD61" t="s">
        <v>25</v>
      </c>
      <c r="DE61" t="s">
        <v>25</v>
      </c>
      <c r="DF61" t="s">
        <v>25</v>
      </c>
      <c r="DG61" t="s">
        <v>25</v>
      </c>
      <c r="DH61" t="s">
        <v>25</v>
      </c>
      <c r="DI61" t="s">
        <v>25</v>
      </c>
      <c r="DJ61" s="76">
        <v>1.60000007599592E-2</v>
      </c>
      <c r="DK61" s="73">
        <v>275</v>
      </c>
      <c r="DL61" s="73">
        <v>0</v>
      </c>
      <c r="DM61" s="73">
        <v>275</v>
      </c>
      <c r="DU61"/>
      <c r="DZ61" s="73">
        <v>0</v>
      </c>
      <c r="EA61" s="73">
        <v>0</v>
      </c>
      <c r="EB61" s="73">
        <v>0</v>
      </c>
    </row>
    <row r="62" spans="1:133" ht="12" customHeight="1" x14ac:dyDescent="0.2">
      <c r="A62" t="s">
        <v>2938</v>
      </c>
      <c r="B62" t="s">
        <v>2946</v>
      </c>
      <c r="C62" t="str">
        <f t="shared" si="0"/>
        <v>Full</v>
      </c>
      <c r="E62" s="65">
        <v>1181</v>
      </c>
      <c r="F62" t="s">
        <v>1425</v>
      </c>
      <c r="G62" s="71" t="s">
        <v>3949</v>
      </c>
      <c r="H62" s="67">
        <v>9.9999997764825804E-3</v>
      </c>
      <c r="I62" s="65">
        <v>523800</v>
      </c>
      <c r="J62" s="65">
        <v>175079</v>
      </c>
      <c r="L62" s="65" t="s">
        <v>1426</v>
      </c>
      <c r="M62" s="65" t="s">
        <v>172</v>
      </c>
      <c r="N62" s="69">
        <v>43147</v>
      </c>
      <c r="R62" s="65" t="s">
        <v>28</v>
      </c>
      <c r="U62" t="s">
        <v>1427</v>
      </c>
      <c r="V62" t="s">
        <v>3054</v>
      </c>
      <c r="W62" s="65" t="s">
        <v>21</v>
      </c>
      <c r="X62" s="65" t="s">
        <v>21</v>
      </c>
      <c r="Y62" s="65" t="s">
        <v>69</v>
      </c>
      <c r="AD62" s="65" t="s">
        <v>23</v>
      </c>
      <c r="AE62" s="65" t="s">
        <v>24</v>
      </c>
      <c r="AJ62" s="73">
        <v>22</v>
      </c>
      <c r="AK62" s="73">
        <v>22</v>
      </c>
      <c r="AO62" s="73">
        <v>44</v>
      </c>
      <c r="AW62" s="73">
        <v>22</v>
      </c>
      <c r="AX62" s="73">
        <v>23</v>
      </c>
      <c r="AY62" s="73">
        <v>45</v>
      </c>
      <c r="AZ62" s="73">
        <v>80</v>
      </c>
      <c r="BE62" s="73">
        <v>80</v>
      </c>
      <c r="BO62" s="185" t="s">
        <v>126</v>
      </c>
      <c r="BP62" s="185" t="s">
        <v>3794</v>
      </c>
      <c r="BQ62" s="185" t="s">
        <v>126</v>
      </c>
      <c r="BR62" s="73">
        <v>-58</v>
      </c>
      <c r="BS62" s="73">
        <v>22</v>
      </c>
      <c r="BW62" s="73">
        <v>-36</v>
      </c>
      <c r="BY62" s="185" t="s">
        <v>3794</v>
      </c>
      <c r="CG62" s="73">
        <v>22</v>
      </c>
      <c r="CH62" s="73">
        <v>23</v>
      </c>
      <c r="CI62" s="73">
        <v>45</v>
      </c>
      <c r="CJ62" t="s">
        <v>46</v>
      </c>
      <c r="CK62" t="s">
        <v>31</v>
      </c>
      <c r="CL62" t="s">
        <v>25</v>
      </c>
      <c r="CM62" t="s">
        <v>25</v>
      </c>
      <c r="CN62" t="s">
        <v>25</v>
      </c>
      <c r="CO62" t="s">
        <v>25</v>
      </c>
      <c r="CP62" t="s">
        <v>25</v>
      </c>
      <c r="CQ62" t="s">
        <v>25</v>
      </c>
      <c r="CR62" t="s">
        <v>25</v>
      </c>
      <c r="CS62" t="s">
        <v>25</v>
      </c>
      <c r="CT62" t="s">
        <v>25</v>
      </c>
      <c r="CU62" t="s">
        <v>31</v>
      </c>
      <c r="CV62" t="s">
        <v>49</v>
      </c>
      <c r="CW62" t="s">
        <v>46</v>
      </c>
      <c r="CX62" t="s">
        <v>25</v>
      </c>
      <c r="CY62" t="s">
        <v>25</v>
      </c>
      <c r="CZ62" t="s">
        <v>25</v>
      </c>
      <c r="DA62" t="s">
        <v>25</v>
      </c>
      <c r="DB62" t="s">
        <v>25</v>
      </c>
      <c r="DC62" t="s">
        <v>25</v>
      </c>
      <c r="DD62" t="s">
        <v>25</v>
      </c>
      <c r="DE62" t="s">
        <v>25</v>
      </c>
      <c r="DF62" t="s">
        <v>25</v>
      </c>
      <c r="DG62" t="s">
        <v>25</v>
      </c>
      <c r="DH62" t="s">
        <v>25</v>
      </c>
      <c r="DI62" t="s">
        <v>25</v>
      </c>
      <c r="DJ62" s="76">
        <v>9.9999997764825804E-3</v>
      </c>
      <c r="DK62" s="73">
        <v>89</v>
      </c>
      <c r="DL62" s="73">
        <v>80</v>
      </c>
      <c r="DM62" s="73">
        <v>9</v>
      </c>
      <c r="DU62"/>
      <c r="DV62" s="65" t="s">
        <v>126</v>
      </c>
      <c r="DW62" t="s">
        <v>131</v>
      </c>
      <c r="DZ62" s="73">
        <v>0</v>
      </c>
      <c r="EA62" s="73">
        <v>0</v>
      </c>
      <c r="EB62" s="73">
        <v>0</v>
      </c>
    </row>
    <row r="63" spans="1:133" ht="12" customHeight="1" x14ac:dyDescent="0.2">
      <c r="A63" t="s">
        <v>2936</v>
      </c>
      <c r="B63" t="s">
        <v>2948</v>
      </c>
      <c r="C63" t="str">
        <f t="shared" si="0"/>
        <v>Prior Approval</v>
      </c>
      <c r="D63" t="s">
        <v>2943</v>
      </c>
      <c r="E63" s="65">
        <v>1183</v>
      </c>
      <c r="F63" t="s">
        <v>1428</v>
      </c>
      <c r="G63" s="71" t="s">
        <v>3944</v>
      </c>
      <c r="H63" s="67">
        <v>1.60000007599592E-2</v>
      </c>
      <c r="I63" s="65">
        <v>524979</v>
      </c>
      <c r="J63" s="65">
        <v>174628</v>
      </c>
      <c r="L63" s="65" t="s">
        <v>1158</v>
      </c>
      <c r="M63" s="65" t="s">
        <v>244</v>
      </c>
      <c r="N63" s="69">
        <v>42704</v>
      </c>
      <c r="O63" s="69">
        <v>42752</v>
      </c>
      <c r="R63" s="65" t="s">
        <v>28</v>
      </c>
      <c r="U63" t="s">
        <v>1159</v>
      </c>
      <c r="V63" t="s">
        <v>3055</v>
      </c>
      <c r="W63" s="65" t="s">
        <v>21</v>
      </c>
      <c r="X63" s="65" t="s">
        <v>21</v>
      </c>
      <c r="Y63" s="65" t="s">
        <v>35</v>
      </c>
      <c r="AA63" s="69">
        <v>42917</v>
      </c>
      <c r="AB63" s="69">
        <v>43145</v>
      </c>
      <c r="AC63" s="69">
        <v>43145</v>
      </c>
      <c r="AD63" s="65" t="s">
        <v>23</v>
      </c>
      <c r="AE63" s="65" t="s">
        <v>24</v>
      </c>
      <c r="AH63" s="69">
        <f t="shared" si="1"/>
        <v>42917</v>
      </c>
      <c r="AI63" s="69">
        <f t="shared" si="2"/>
        <v>43145</v>
      </c>
      <c r="AZ63" s="73">
        <v>43</v>
      </c>
      <c r="BE63" s="73">
        <v>43</v>
      </c>
      <c r="BO63" s="185" t="s">
        <v>126</v>
      </c>
      <c r="BP63" s="185" t="s">
        <v>3794</v>
      </c>
      <c r="BQ63" s="185" t="s">
        <v>3794</v>
      </c>
      <c r="BR63" s="73">
        <v>-43</v>
      </c>
      <c r="BW63" s="73">
        <v>-43</v>
      </c>
      <c r="BY63" s="185" t="s">
        <v>3794</v>
      </c>
      <c r="CJ63" t="s">
        <v>25</v>
      </c>
      <c r="CK63" t="s">
        <v>25</v>
      </c>
      <c r="CL63" t="s">
        <v>25</v>
      </c>
      <c r="CM63" t="s">
        <v>25</v>
      </c>
      <c r="CN63" t="s">
        <v>25</v>
      </c>
      <c r="CO63" t="s">
        <v>25</v>
      </c>
      <c r="CP63" t="s">
        <v>25</v>
      </c>
      <c r="CQ63" t="s">
        <v>25</v>
      </c>
      <c r="CR63" t="s">
        <v>25</v>
      </c>
      <c r="CS63" t="s">
        <v>25</v>
      </c>
      <c r="CT63" t="s">
        <v>25</v>
      </c>
      <c r="CU63" t="s">
        <v>25</v>
      </c>
      <c r="CV63" t="s">
        <v>25</v>
      </c>
      <c r="CW63" t="s">
        <v>40</v>
      </c>
      <c r="CX63" t="s">
        <v>25</v>
      </c>
      <c r="CY63" t="s">
        <v>25</v>
      </c>
      <c r="CZ63" t="s">
        <v>25</v>
      </c>
      <c r="DA63" t="s">
        <v>25</v>
      </c>
      <c r="DB63" t="s">
        <v>25</v>
      </c>
      <c r="DC63" t="s">
        <v>25</v>
      </c>
      <c r="DD63" t="s">
        <v>25</v>
      </c>
      <c r="DE63" t="s">
        <v>25</v>
      </c>
      <c r="DF63" t="s">
        <v>25</v>
      </c>
      <c r="DG63" t="s">
        <v>25</v>
      </c>
      <c r="DH63" t="s">
        <v>25</v>
      </c>
      <c r="DI63" t="s">
        <v>25</v>
      </c>
      <c r="DJ63" s="76">
        <v>1.1000000871717909E-2</v>
      </c>
      <c r="DK63" s="73">
        <v>0</v>
      </c>
      <c r="DL63" s="73">
        <v>43</v>
      </c>
      <c r="DM63" s="73">
        <v>-43</v>
      </c>
      <c r="DU63"/>
      <c r="DZ63" s="73">
        <v>43</v>
      </c>
      <c r="EA63" s="73">
        <v>0</v>
      </c>
      <c r="EB63" s="73">
        <v>43</v>
      </c>
      <c r="EC63" s="65" t="s">
        <v>126</v>
      </c>
    </row>
    <row r="64" spans="1:133" ht="12" customHeight="1" x14ac:dyDescent="0.2">
      <c r="A64" t="s">
        <v>2936</v>
      </c>
      <c r="B64" t="s">
        <v>2946</v>
      </c>
      <c r="C64" t="str">
        <f t="shared" si="0"/>
        <v>Full</v>
      </c>
      <c r="D64" t="s">
        <v>2943</v>
      </c>
      <c r="E64" s="65">
        <v>1200</v>
      </c>
      <c r="F64" t="s">
        <v>1429</v>
      </c>
      <c r="G64" s="71" t="s">
        <v>3953</v>
      </c>
      <c r="H64" s="67">
        <v>1.9999999552965199E-2</v>
      </c>
      <c r="I64" s="65">
        <v>527429</v>
      </c>
      <c r="J64" s="65">
        <v>172617</v>
      </c>
      <c r="L64" s="65" t="s">
        <v>1149</v>
      </c>
      <c r="M64" s="65" t="s">
        <v>27</v>
      </c>
      <c r="N64" s="69">
        <v>42761</v>
      </c>
      <c r="O64" s="69">
        <v>42789</v>
      </c>
      <c r="R64" s="65" t="s">
        <v>28</v>
      </c>
      <c r="U64" t="s">
        <v>1150</v>
      </c>
      <c r="V64" t="s">
        <v>3056</v>
      </c>
      <c r="W64" s="65" t="s">
        <v>39</v>
      </c>
      <c r="X64" s="65" t="s">
        <v>39</v>
      </c>
      <c r="Y64" s="65" t="s">
        <v>35</v>
      </c>
      <c r="AA64" s="69">
        <v>42825</v>
      </c>
      <c r="AB64" s="69">
        <v>43190</v>
      </c>
      <c r="AC64" s="69">
        <v>43190</v>
      </c>
      <c r="AD64" s="65" t="s">
        <v>23</v>
      </c>
      <c r="AE64" s="65" t="s">
        <v>24</v>
      </c>
      <c r="AH64" s="69">
        <f t="shared" si="1"/>
        <v>42825</v>
      </c>
      <c r="AI64" s="69">
        <f t="shared" si="2"/>
        <v>43190</v>
      </c>
      <c r="AW64" s="73">
        <v>60</v>
      </c>
      <c r="AY64" s="73">
        <v>60</v>
      </c>
      <c r="BO64" s="185" t="s">
        <v>3794</v>
      </c>
      <c r="BP64" s="185" t="s">
        <v>3794</v>
      </c>
      <c r="BQ64" s="185" t="s">
        <v>126</v>
      </c>
      <c r="BW64" s="73"/>
      <c r="BY64" s="185" t="s">
        <v>3794</v>
      </c>
      <c r="CG64" s="73">
        <v>60</v>
      </c>
      <c r="CI64" s="73">
        <v>60</v>
      </c>
      <c r="CJ64" t="s">
        <v>25</v>
      </c>
      <c r="CK64" t="s">
        <v>25</v>
      </c>
      <c r="CL64" t="s">
        <v>25</v>
      </c>
      <c r="CM64" t="s">
        <v>25</v>
      </c>
      <c r="CN64" t="s">
        <v>25</v>
      </c>
      <c r="CO64" t="s">
        <v>25</v>
      </c>
      <c r="CP64" t="s">
        <v>25</v>
      </c>
      <c r="CQ64" t="s">
        <v>25</v>
      </c>
      <c r="CR64" t="s">
        <v>25</v>
      </c>
      <c r="CS64" t="s">
        <v>25</v>
      </c>
      <c r="CT64" t="s">
        <v>25</v>
      </c>
      <c r="CU64" t="s">
        <v>43</v>
      </c>
      <c r="CV64" t="s">
        <v>25</v>
      </c>
      <c r="CW64" t="s">
        <v>25</v>
      </c>
      <c r="CX64" t="s">
        <v>25</v>
      </c>
      <c r="CY64" t="s">
        <v>25</v>
      </c>
      <c r="CZ64" t="s">
        <v>25</v>
      </c>
      <c r="DA64" t="s">
        <v>25</v>
      </c>
      <c r="DB64" t="s">
        <v>25</v>
      </c>
      <c r="DC64" t="s">
        <v>25</v>
      </c>
      <c r="DD64" t="s">
        <v>25</v>
      </c>
      <c r="DE64" t="s">
        <v>25</v>
      </c>
      <c r="DF64" t="s">
        <v>25</v>
      </c>
      <c r="DG64" t="s">
        <v>25</v>
      </c>
      <c r="DH64" t="s">
        <v>25</v>
      </c>
      <c r="DI64" t="s">
        <v>25</v>
      </c>
      <c r="DJ64" s="76">
        <v>1.9999999552965199E-2</v>
      </c>
      <c r="DK64" s="73">
        <v>60</v>
      </c>
      <c r="DL64" s="73">
        <v>0</v>
      </c>
      <c r="DM64" s="73">
        <v>60</v>
      </c>
      <c r="DU64"/>
      <c r="DZ64" s="73">
        <v>0</v>
      </c>
      <c r="EA64" s="73">
        <v>0</v>
      </c>
      <c r="EB64" s="73">
        <v>0</v>
      </c>
    </row>
    <row r="65" spans="1:133" ht="12" customHeight="1" x14ac:dyDescent="0.2">
      <c r="A65" t="s">
        <v>2938</v>
      </c>
      <c r="B65" t="s">
        <v>2946</v>
      </c>
      <c r="C65" t="str">
        <f t="shared" si="0"/>
        <v>Full</v>
      </c>
      <c r="E65" s="65">
        <v>1283</v>
      </c>
      <c r="F65" t="s">
        <v>1430</v>
      </c>
      <c r="G65" s="71" t="s">
        <v>2904</v>
      </c>
      <c r="H65" s="67">
        <v>1.2000000104308101E-2</v>
      </c>
      <c r="I65" s="65">
        <v>526098</v>
      </c>
      <c r="J65" s="65">
        <v>172936</v>
      </c>
      <c r="L65" s="65" t="s">
        <v>1431</v>
      </c>
      <c r="M65" s="65" t="s">
        <v>172</v>
      </c>
      <c r="N65" s="69">
        <v>43187</v>
      </c>
      <c r="R65" s="65" t="s">
        <v>28</v>
      </c>
      <c r="U65" t="s">
        <v>1432</v>
      </c>
      <c r="V65" t="s">
        <v>3057</v>
      </c>
      <c r="W65" s="65" t="s">
        <v>21</v>
      </c>
      <c r="X65" s="65" t="s">
        <v>21</v>
      </c>
      <c r="Y65" s="65" t="s">
        <v>69</v>
      </c>
      <c r="AD65" s="65" t="s">
        <v>173</v>
      </c>
      <c r="AE65" s="65" t="s">
        <v>24</v>
      </c>
      <c r="AW65" s="73">
        <v>147</v>
      </c>
      <c r="AY65" s="73">
        <v>147</v>
      </c>
      <c r="AZ65" s="73">
        <v>147</v>
      </c>
      <c r="BE65" s="73">
        <v>147</v>
      </c>
      <c r="BO65" s="185" t="s">
        <v>126</v>
      </c>
      <c r="BP65" s="185" t="s">
        <v>3794</v>
      </c>
      <c r="BQ65" s="185" t="s">
        <v>126</v>
      </c>
      <c r="BR65" s="73">
        <v>-147</v>
      </c>
      <c r="BW65" s="73">
        <v>-147</v>
      </c>
      <c r="BY65" s="185" t="s">
        <v>3794</v>
      </c>
      <c r="CG65" s="73">
        <v>147</v>
      </c>
      <c r="CI65" s="73">
        <v>147</v>
      </c>
      <c r="CJ65" t="s">
        <v>25</v>
      </c>
      <c r="CK65" t="s">
        <v>25</v>
      </c>
      <c r="CL65" t="s">
        <v>25</v>
      </c>
      <c r="CM65" t="s">
        <v>25</v>
      </c>
      <c r="CN65" t="s">
        <v>25</v>
      </c>
      <c r="CO65" t="s">
        <v>25</v>
      </c>
      <c r="CP65" t="s">
        <v>25</v>
      </c>
      <c r="CQ65" t="s">
        <v>25</v>
      </c>
      <c r="CR65" t="s">
        <v>25</v>
      </c>
      <c r="CS65" t="s">
        <v>25</v>
      </c>
      <c r="CT65" t="s">
        <v>25</v>
      </c>
      <c r="CU65" t="s">
        <v>49</v>
      </c>
      <c r="CV65" t="s">
        <v>25</v>
      </c>
      <c r="CW65" t="s">
        <v>47</v>
      </c>
      <c r="CX65" t="s">
        <v>25</v>
      </c>
      <c r="CY65" t="s">
        <v>25</v>
      </c>
      <c r="CZ65" t="s">
        <v>25</v>
      </c>
      <c r="DA65" t="s">
        <v>25</v>
      </c>
      <c r="DB65" t="s">
        <v>25</v>
      </c>
      <c r="DC65" t="s">
        <v>25</v>
      </c>
      <c r="DD65" t="s">
        <v>25</v>
      </c>
      <c r="DE65" t="s">
        <v>25</v>
      </c>
      <c r="DF65" t="s">
        <v>25</v>
      </c>
      <c r="DG65" t="s">
        <v>25</v>
      </c>
      <c r="DH65" t="s">
        <v>25</v>
      </c>
      <c r="DI65" t="s">
        <v>25</v>
      </c>
      <c r="DJ65" s="76">
        <v>1.2000000104308101E-2</v>
      </c>
      <c r="DK65" s="73">
        <v>147</v>
      </c>
      <c r="DL65" s="73">
        <v>147</v>
      </c>
      <c r="DM65" s="73">
        <v>0</v>
      </c>
      <c r="DU65"/>
      <c r="DX65" s="65" t="s">
        <v>126</v>
      </c>
      <c r="DY65" t="s">
        <v>2904</v>
      </c>
      <c r="DZ65" s="73">
        <v>0</v>
      </c>
      <c r="EA65" s="73">
        <v>0</v>
      </c>
      <c r="EB65" s="73">
        <v>0</v>
      </c>
    </row>
    <row r="66" spans="1:133" ht="12" customHeight="1" x14ac:dyDescent="0.2">
      <c r="A66" t="s">
        <v>2936</v>
      </c>
      <c r="B66" t="s">
        <v>2946</v>
      </c>
      <c r="C66" t="str">
        <f t="shared" si="0"/>
        <v>Full</v>
      </c>
      <c r="D66" t="s">
        <v>2943</v>
      </c>
      <c r="E66" s="65">
        <v>1339</v>
      </c>
      <c r="F66" t="s">
        <v>1433</v>
      </c>
      <c r="G66" s="71" t="s">
        <v>3941</v>
      </c>
      <c r="H66" s="67">
        <v>1.9999999552965199E-2</v>
      </c>
      <c r="I66" s="65">
        <v>528485</v>
      </c>
      <c r="J66" s="65">
        <v>173309</v>
      </c>
      <c r="L66" s="65" t="s">
        <v>1266</v>
      </c>
      <c r="M66" s="65" t="s">
        <v>27</v>
      </c>
      <c r="N66" s="69">
        <v>42794</v>
      </c>
      <c r="O66" s="69">
        <v>42850</v>
      </c>
      <c r="P66" s="65" t="s">
        <v>126</v>
      </c>
      <c r="R66" s="65" t="s">
        <v>28</v>
      </c>
      <c r="U66" t="s">
        <v>1267</v>
      </c>
      <c r="V66" t="s">
        <v>3058</v>
      </c>
      <c r="W66" s="65" t="s">
        <v>21</v>
      </c>
      <c r="X66" s="65" t="s">
        <v>21</v>
      </c>
      <c r="Y66" s="65" t="s">
        <v>35</v>
      </c>
      <c r="AA66" s="69">
        <v>42860</v>
      </c>
      <c r="AB66" s="69">
        <v>43159</v>
      </c>
      <c r="AC66" s="69">
        <v>43159</v>
      </c>
      <c r="AD66" s="65" t="s">
        <v>23</v>
      </c>
      <c r="AE66" s="65" t="s">
        <v>24</v>
      </c>
      <c r="AH66" s="69">
        <f t="shared" si="1"/>
        <v>42860</v>
      </c>
      <c r="AI66" s="69">
        <f t="shared" si="2"/>
        <v>43159</v>
      </c>
      <c r="AJ66" s="73">
        <v>155</v>
      </c>
      <c r="AL66" s="73">
        <v>155</v>
      </c>
      <c r="AO66" s="73">
        <v>310</v>
      </c>
      <c r="BO66" s="185" t="s">
        <v>126</v>
      </c>
      <c r="BP66" s="185" t="s">
        <v>3794</v>
      </c>
      <c r="BQ66" s="185" t="s">
        <v>3794</v>
      </c>
      <c r="BR66" s="73">
        <v>155</v>
      </c>
      <c r="BT66" s="73">
        <v>155</v>
      </c>
      <c r="BW66" s="73">
        <v>310</v>
      </c>
      <c r="BY66" s="185" t="s">
        <v>3794</v>
      </c>
      <c r="CJ66" t="s">
        <v>31</v>
      </c>
      <c r="CK66" t="s">
        <v>25</v>
      </c>
      <c r="CL66" t="s">
        <v>49</v>
      </c>
      <c r="CM66" t="s">
        <v>25</v>
      </c>
      <c r="CN66" t="s">
        <v>25</v>
      </c>
      <c r="CO66" t="s">
        <v>25</v>
      </c>
      <c r="CP66" t="s">
        <v>25</v>
      </c>
      <c r="CQ66" t="s">
        <v>25</v>
      </c>
      <c r="CR66" t="s">
        <v>25</v>
      </c>
      <c r="CS66" t="s">
        <v>25</v>
      </c>
      <c r="CT66" t="s">
        <v>25</v>
      </c>
      <c r="CU66" t="s">
        <v>25</v>
      </c>
      <c r="CV66" t="s">
        <v>25</v>
      </c>
      <c r="CW66" t="s">
        <v>25</v>
      </c>
      <c r="CX66" t="s">
        <v>25</v>
      </c>
      <c r="CY66" t="s">
        <v>25</v>
      </c>
      <c r="CZ66" t="s">
        <v>25</v>
      </c>
      <c r="DA66" t="s">
        <v>25</v>
      </c>
      <c r="DB66" t="s">
        <v>25</v>
      </c>
      <c r="DC66" t="s">
        <v>25</v>
      </c>
      <c r="DD66" t="s">
        <v>25</v>
      </c>
      <c r="DE66" t="s">
        <v>25</v>
      </c>
      <c r="DF66" t="s">
        <v>25</v>
      </c>
      <c r="DG66" t="s">
        <v>25</v>
      </c>
      <c r="DH66" t="s">
        <v>25</v>
      </c>
      <c r="DI66" t="s">
        <v>25</v>
      </c>
      <c r="DJ66" s="76">
        <v>1.9999999552965199E-2</v>
      </c>
      <c r="DK66" s="73">
        <v>310</v>
      </c>
      <c r="DL66" s="73">
        <v>310</v>
      </c>
      <c r="DM66" s="73">
        <v>0</v>
      </c>
      <c r="DU66"/>
      <c r="DV66" s="65" t="s">
        <v>126</v>
      </c>
      <c r="DW66" t="s">
        <v>149</v>
      </c>
      <c r="DZ66" s="73">
        <v>0</v>
      </c>
      <c r="EA66" s="73">
        <v>0</v>
      </c>
      <c r="EB66" s="73">
        <v>0</v>
      </c>
    </row>
    <row r="67" spans="1:133" ht="12" customHeight="1" x14ac:dyDescent="0.2">
      <c r="A67" t="s">
        <v>2936</v>
      </c>
      <c r="B67" t="s">
        <v>2946</v>
      </c>
      <c r="C67" t="str">
        <f t="shared" ref="C67:C130" si="3">RIGHT(B67,LEN(B67)-3)</f>
        <v>Full</v>
      </c>
      <c r="D67" t="s">
        <v>2943</v>
      </c>
      <c r="E67" s="65">
        <v>1359</v>
      </c>
      <c r="F67" t="s">
        <v>1434</v>
      </c>
      <c r="G67" s="71" t="s">
        <v>150</v>
      </c>
      <c r="H67" s="67">
        <v>9.9999997764825804E-3</v>
      </c>
      <c r="I67" s="65">
        <v>526900</v>
      </c>
      <c r="J67" s="65">
        <v>171788</v>
      </c>
      <c r="L67" s="65" t="s">
        <v>1435</v>
      </c>
      <c r="M67" s="65" t="s">
        <v>27</v>
      </c>
      <c r="N67" s="69">
        <v>43089</v>
      </c>
      <c r="O67" s="69">
        <v>43145</v>
      </c>
      <c r="P67" s="65" t="s">
        <v>126</v>
      </c>
      <c r="R67" s="65" t="s">
        <v>28</v>
      </c>
      <c r="U67" t="s">
        <v>1436</v>
      </c>
      <c r="V67" t="s">
        <v>3059</v>
      </c>
      <c r="W67" s="65" t="s">
        <v>34</v>
      </c>
      <c r="X67" s="65" t="s">
        <v>29</v>
      </c>
      <c r="Y67" s="65" t="s">
        <v>35</v>
      </c>
      <c r="AB67" s="69">
        <v>43190</v>
      </c>
      <c r="AC67" s="69">
        <v>43190</v>
      </c>
      <c r="AD67" s="65" t="s">
        <v>23</v>
      </c>
      <c r="AE67" s="65" t="s">
        <v>24</v>
      </c>
      <c r="AI67" s="69">
        <f t="shared" ref="AI67:AI113" si="4">AB67</f>
        <v>43190</v>
      </c>
      <c r="BJ67" s="73">
        <v>55</v>
      </c>
      <c r="BK67" s="73">
        <v>55</v>
      </c>
      <c r="BO67" s="185" t="s">
        <v>3794</v>
      </c>
      <c r="BP67" s="185" t="s">
        <v>126</v>
      </c>
      <c r="BQ67" s="185" t="s">
        <v>3794</v>
      </c>
      <c r="BW67" s="73"/>
      <c r="BY67" s="185" t="s">
        <v>3794</v>
      </c>
      <c r="CC67" s="73">
        <v>-55</v>
      </c>
      <c r="CD67" s="73">
        <v>-55</v>
      </c>
      <c r="CE67" s="65" t="s">
        <v>126</v>
      </c>
      <c r="CJ67" t="s">
        <v>25</v>
      </c>
      <c r="CK67" t="s">
        <v>25</v>
      </c>
      <c r="CL67" t="s">
        <v>25</v>
      </c>
      <c r="CM67" t="s">
        <v>25</v>
      </c>
      <c r="CN67" t="s">
        <v>25</v>
      </c>
      <c r="CO67" t="s">
        <v>25</v>
      </c>
      <c r="CP67" t="s">
        <v>25</v>
      </c>
      <c r="CQ67" t="s">
        <v>25</v>
      </c>
      <c r="CR67" t="s">
        <v>25</v>
      </c>
      <c r="CS67" t="s">
        <v>25</v>
      </c>
      <c r="CT67" t="s">
        <v>25</v>
      </c>
      <c r="CU67" t="s">
        <v>25</v>
      </c>
      <c r="CV67" t="s">
        <v>25</v>
      </c>
      <c r="CW67" t="s">
        <v>25</v>
      </c>
      <c r="CX67" t="s">
        <v>25</v>
      </c>
      <c r="CY67" t="s">
        <v>25</v>
      </c>
      <c r="CZ67" t="s">
        <v>25</v>
      </c>
      <c r="DA67" t="s">
        <v>25</v>
      </c>
      <c r="DB67" t="s">
        <v>25</v>
      </c>
      <c r="DC67" t="s">
        <v>25</v>
      </c>
      <c r="DD67" t="s">
        <v>25</v>
      </c>
      <c r="DE67" t="s">
        <v>25</v>
      </c>
      <c r="DF67" t="s">
        <v>53</v>
      </c>
      <c r="DG67" t="s">
        <v>25</v>
      </c>
      <c r="DH67" t="s">
        <v>25</v>
      </c>
      <c r="DI67" t="s">
        <v>25</v>
      </c>
      <c r="DJ67" s="76">
        <v>3.9999997243285205E-3</v>
      </c>
      <c r="DK67" s="73">
        <v>0</v>
      </c>
      <c r="DL67" s="73">
        <v>55</v>
      </c>
      <c r="DM67" s="73">
        <v>-55</v>
      </c>
      <c r="DU67"/>
      <c r="DZ67" s="73">
        <v>66</v>
      </c>
      <c r="EA67" s="73">
        <v>0</v>
      </c>
      <c r="EB67" s="73">
        <v>66</v>
      </c>
      <c r="EC67" s="65" t="s">
        <v>126</v>
      </c>
    </row>
    <row r="68" spans="1:133" ht="12" customHeight="1" x14ac:dyDescent="0.2">
      <c r="A68" t="s">
        <v>2936</v>
      </c>
      <c r="B68" t="s">
        <v>2946</v>
      </c>
      <c r="C68" t="str">
        <f t="shared" si="3"/>
        <v>Full</v>
      </c>
      <c r="D68" t="s">
        <v>2943</v>
      </c>
      <c r="E68" s="65">
        <v>1365</v>
      </c>
      <c r="F68" t="s">
        <v>1437</v>
      </c>
      <c r="G68" s="71" t="s">
        <v>3949</v>
      </c>
      <c r="H68" s="67">
        <v>7.9999998211860698E-2</v>
      </c>
      <c r="I68" s="65">
        <v>524341</v>
      </c>
      <c r="J68" s="65">
        <v>174457</v>
      </c>
      <c r="L68" s="65" t="s">
        <v>242</v>
      </c>
      <c r="M68" s="65" t="s">
        <v>27</v>
      </c>
      <c r="N68" s="69">
        <v>41409</v>
      </c>
      <c r="O68" s="69">
        <v>41494</v>
      </c>
      <c r="R68" s="65" t="s">
        <v>28</v>
      </c>
      <c r="U68" t="s">
        <v>403</v>
      </c>
      <c r="V68" t="s">
        <v>3060</v>
      </c>
      <c r="W68" s="65" t="s">
        <v>39</v>
      </c>
      <c r="X68" s="65" t="s">
        <v>39</v>
      </c>
      <c r="Y68" s="65" t="s">
        <v>35</v>
      </c>
      <c r="AA68" s="69">
        <v>42825</v>
      </c>
      <c r="AB68" s="69">
        <v>43091</v>
      </c>
      <c r="AC68" s="69">
        <v>43091</v>
      </c>
      <c r="AD68" s="65" t="s">
        <v>23</v>
      </c>
      <c r="AE68" s="65" t="s">
        <v>24</v>
      </c>
      <c r="AH68" s="69">
        <f t="shared" ref="AH68:AH113" si="5">AA68</f>
        <v>42825</v>
      </c>
      <c r="AI68" s="69">
        <f t="shared" si="4"/>
        <v>43091</v>
      </c>
      <c r="AW68" s="73">
        <v>45</v>
      </c>
      <c r="AY68" s="73">
        <v>45</v>
      </c>
      <c r="BO68" s="185" t="s">
        <v>3794</v>
      </c>
      <c r="BP68" s="185" t="s">
        <v>3794</v>
      </c>
      <c r="BQ68" s="185" t="s">
        <v>126</v>
      </c>
      <c r="BW68" s="73"/>
      <c r="BY68" s="185" t="s">
        <v>3794</v>
      </c>
      <c r="CG68" s="73">
        <v>45</v>
      </c>
      <c r="CI68" s="73">
        <v>45</v>
      </c>
      <c r="CJ68" t="s">
        <v>25</v>
      </c>
      <c r="CK68" t="s">
        <v>25</v>
      </c>
      <c r="CL68" t="s">
        <v>25</v>
      </c>
      <c r="CM68" t="s">
        <v>25</v>
      </c>
      <c r="CN68" t="s">
        <v>25</v>
      </c>
      <c r="CO68" t="s">
        <v>25</v>
      </c>
      <c r="CP68" t="s">
        <v>25</v>
      </c>
      <c r="CQ68" t="s">
        <v>25</v>
      </c>
      <c r="CR68" t="s">
        <v>25</v>
      </c>
      <c r="CS68" t="s">
        <v>25</v>
      </c>
      <c r="CT68" t="s">
        <v>25</v>
      </c>
      <c r="CU68" t="s">
        <v>43</v>
      </c>
      <c r="CV68" t="s">
        <v>25</v>
      </c>
      <c r="CW68" t="s">
        <v>25</v>
      </c>
      <c r="CX68" t="s">
        <v>25</v>
      </c>
      <c r="CY68" t="s">
        <v>25</v>
      </c>
      <c r="CZ68" t="s">
        <v>25</v>
      </c>
      <c r="DA68" t="s">
        <v>25</v>
      </c>
      <c r="DB68" t="s">
        <v>25</v>
      </c>
      <c r="DC68" t="s">
        <v>25</v>
      </c>
      <c r="DD68" t="s">
        <v>25</v>
      </c>
      <c r="DE68" t="s">
        <v>25</v>
      </c>
      <c r="DF68" t="s">
        <v>25</v>
      </c>
      <c r="DG68" t="s">
        <v>25</v>
      </c>
      <c r="DH68" t="s">
        <v>25</v>
      </c>
      <c r="DI68" t="s">
        <v>25</v>
      </c>
      <c r="DJ68" s="76">
        <v>7.9999998211860698E-2</v>
      </c>
      <c r="DK68" s="73">
        <v>45</v>
      </c>
      <c r="DL68" s="73">
        <v>0</v>
      </c>
      <c r="DM68" s="73">
        <v>45</v>
      </c>
      <c r="DU68"/>
      <c r="DZ68" s="73">
        <v>29</v>
      </c>
      <c r="EA68" s="73">
        <v>0</v>
      </c>
      <c r="EB68" s="73">
        <v>29</v>
      </c>
      <c r="EC68" s="65" t="s">
        <v>126</v>
      </c>
    </row>
    <row r="69" spans="1:133" ht="12" customHeight="1" x14ac:dyDescent="0.2">
      <c r="A69" t="s">
        <v>2936</v>
      </c>
      <c r="B69" t="s">
        <v>2949</v>
      </c>
      <c r="C69" t="str">
        <f t="shared" si="3"/>
        <v>Certificate of Lawful Development</v>
      </c>
      <c r="D69" t="s">
        <v>2943</v>
      </c>
      <c r="E69" s="65">
        <v>1389</v>
      </c>
      <c r="F69" t="s">
        <v>1438</v>
      </c>
      <c r="G69" s="71" t="s">
        <v>3943</v>
      </c>
      <c r="H69" s="67">
        <v>9.9999997764825804E-3</v>
      </c>
      <c r="I69" s="65">
        <v>527222</v>
      </c>
      <c r="J69" s="65">
        <v>177053</v>
      </c>
      <c r="L69" s="65" t="s">
        <v>1439</v>
      </c>
      <c r="M69" s="65" t="s">
        <v>430</v>
      </c>
      <c r="N69" s="69">
        <v>42999</v>
      </c>
      <c r="O69" s="69">
        <v>43055</v>
      </c>
      <c r="P69" s="65" t="s">
        <v>126</v>
      </c>
      <c r="R69" s="65" t="s">
        <v>28</v>
      </c>
      <c r="U69" t="s">
        <v>1440</v>
      </c>
      <c r="V69" t="s">
        <v>3061</v>
      </c>
      <c r="W69" s="65" t="s">
        <v>21</v>
      </c>
      <c r="X69" s="65" t="s">
        <v>21</v>
      </c>
      <c r="Y69" s="65" t="s">
        <v>35</v>
      </c>
      <c r="AA69" s="69">
        <v>39234</v>
      </c>
      <c r="AB69" s="69">
        <v>43055</v>
      </c>
      <c r="AC69" s="69">
        <v>43055</v>
      </c>
      <c r="AD69" s="65" t="s">
        <v>23</v>
      </c>
      <c r="AE69" s="65" t="s">
        <v>24</v>
      </c>
      <c r="AH69" s="69">
        <f t="shared" si="5"/>
        <v>39234</v>
      </c>
      <c r="AI69" s="69">
        <f t="shared" si="4"/>
        <v>43055</v>
      </c>
      <c r="BO69" s="185" t="s">
        <v>3794</v>
      </c>
      <c r="BP69" s="185" t="s">
        <v>3794</v>
      </c>
      <c r="BQ69" s="185" t="s">
        <v>3794</v>
      </c>
      <c r="BW69" s="73"/>
      <c r="BY69" s="185" t="s">
        <v>3794</v>
      </c>
      <c r="CJ69" t="s">
        <v>25</v>
      </c>
      <c r="CK69" t="s">
        <v>25</v>
      </c>
      <c r="CL69" t="s">
        <v>25</v>
      </c>
      <c r="CM69" t="s">
        <v>25</v>
      </c>
      <c r="CN69" t="s">
        <v>25</v>
      </c>
      <c r="CO69" t="s">
        <v>25</v>
      </c>
      <c r="CP69" t="s">
        <v>25</v>
      </c>
      <c r="CQ69" t="s">
        <v>25</v>
      </c>
      <c r="CR69" t="s">
        <v>25</v>
      </c>
      <c r="CS69" t="s">
        <v>25</v>
      </c>
      <c r="CT69" t="s">
        <v>25</v>
      </c>
      <c r="CU69" t="s">
        <v>25</v>
      </c>
      <c r="CV69" t="s">
        <v>25</v>
      </c>
      <c r="CW69" t="s">
        <v>25</v>
      </c>
      <c r="CX69" t="s">
        <v>25</v>
      </c>
      <c r="CY69" t="s">
        <v>25</v>
      </c>
      <c r="CZ69" t="s">
        <v>25</v>
      </c>
      <c r="DA69" t="s">
        <v>25</v>
      </c>
      <c r="DB69" t="s">
        <v>25</v>
      </c>
      <c r="DC69" t="s">
        <v>25</v>
      </c>
      <c r="DD69" t="s">
        <v>25</v>
      </c>
      <c r="DE69" t="s">
        <v>25</v>
      </c>
      <c r="DF69" t="s">
        <v>25</v>
      </c>
      <c r="DG69" t="s">
        <v>25</v>
      </c>
      <c r="DH69" t="s">
        <v>25</v>
      </c>
      <c r="DI69" t="s">
        <v>25</v>
      </c>
      <c r="DJ69" s="76">
        <v>6.99999975040555E-3</v>
      </c>
      <c r="DK69" s="73">
        <v>0</v>
      </c>
      <c r="DL69" s="73">
        <v>58</v>
      </c>
      <c r="DM69" s="73">
        <v>-58</v>
      </c>
      <c r="DU69"/>
      <c r="DZ69" s="73">
        <v>58</v>
      </c>
      <c r="EA69" s="73">
        <v>0</v>
      </c>
      <c r="EB69" s="73">
        <v>58</v>
      </c>
      <c r="EC69" s="65" t="s">
        <v>126</v>
      </c>
    </row>
    <row r="70" spans="1:133" ht="12" customHeight="1" x14ac:dyDescent="0.2">
      <c r="A70" t="s">
        <v>2936</v>
      </c>
      <c r="B70" t="s">
        <v>2946</v>
      </c>
      <c r="C70" t="str">
        <f t="shared" si="3"/>
        <v>Full</v>
      </c>
      <c r="D70" t="s">
        <v>2943</v>
      </c>
      <c r="E70" s="65">
        <v>1389</v>
      </c>
      <c r="F70" t="s">
        <v>1438</v>
      </c>
      <c r="G70" s="71" t="s">
        <v>3943</v>
      </c>
      <c r="H70" s="67">
        <v>9.9999997764825804E-3</v>
      </c>
      <c r="I70" s="65">
        <v>527222</v>
      </c>
      <c r="J70" s="65">
        <v>177053</v>
      </c>
      <c r="L70" s="65" t="s">
        <v>1441</v>
      </c>
      <c r="M70" s="65" t="s">
        <v>27</v>
      </c>
      <c r="N70" s="69">
        <v>42968</v>
      </c>
      <c r="O70" s="69">
        <v>43024</v>
      </c>
      <c r="P70" s="65" t="s">
        <v>126</v>
      </c>
      <c r="R70" s="65" t="s">
        <v>28</v>
      </c>
      <c r="U70" t="s">
        <v>1442</v>
      </c>
      <c r="V70" t="s">
        <v>3062</v>
      </c>
      <c r="W70" s="65" t="s">
        <v>21</v>
      </c>
      <c r="X70" s="65" t="s">
        <v>21</v>
      </c>
      <c r="Y70" s="65" t="s">
        <v>35</v>
      </c>
      <c r="AA70" s="69">
        <v>43024</v>
      </c>
      <c r="AB70" s="69">
        <v>43190</v>
      </c>
      <c r="AC70" s="69">
        <v>43190</v>
      </c>
      <c r="AD70" s="65" t="s">
        <v>23</v>
      </c>
      <c r="AE70" s="65" t="s">
        <v>24</v>
      </c>
      <c r="AH70" s="69">
        <f t="shared" si="5"/>
        <v>43024</v>
      </c>
      <c r="AI70" s="69">
        <f t="shared" si="4"/>
        <v>43190</v>
      </c>
      <c r="AZ70" s="73">
        <v>19</v>
      </c>
      <c r="BE70" s="73">
        <v>19</v>
      </c>
      <c r="BO70" s="185" t="s">
        <v>126</v>
      </c>
      <c r="BP70" s="185" t="s">
        <v>3794</v>
      </c>
      <c r="BQ70" s="185" t="s">
        <v>3794</v>
      </c>
      <c r="BR70" s="73">
        <v>-19</v>
      </c>
      <c r="BW70" s="73">
        <v>-19</v>
      </c>
      <c r="BY70" s="185" t="s">
        <v>3794</v>
      </c>
      <c r="CJ70" t="s">
        <v>25</v>
      </c>
      <c r="CK70" t="s">
        <v>25</v>
      </c>
      <c r="CL70" t="s">
        <v>25</v>
      </c>
      <c r="CM70" t="s">
        <v>25</v>
      </c>
      <c r="CN70" t="s">
        <v>25</v>
      </c>
      <c r="CO70" t="s">
        <v>25</v>
      </c>
      <c r="CP70" t="s">
        <v>25</v>
      </c>
      <c r="CQ70" t="s">
        <v>25</v>
      </c>
      <c r="CR70" t="s">
        <v>25</v>
      </c>
      <c r="CS70" t="s">
        <v>25</v>
      </c>
      <c r="CT70" t="s">
        <v>25</v>
      </c>
      <c r="CU70" t="s">
        <v>25</v>
      </c>
      <c r="CV70" t="s">
        <v>25</v>
      </c>
      <c r="CW70" t="s">
        <v>26</v>
      </c>
      <c r="CX70" t="s">
        <v>25</v>
      </c>
      <c r="CY70" t="s">
        <v>25</v>
      </c>
      <c r="CZ70" t="s">
        <v>25</v>
      </c>
      <c r="DA70" t="s">
        <v>25</v>
      </c>
      <c r="DB70" t="s">
        <v>25</v>
      </c>
      <c r="DC70" t="s">
        <v>25</v>
      </c>
      <c r="DD70" t="s">
        <v>25</v>
      </c>
      <c r="DE70" t="s">
        <v>25</v>
      </c>
      <c r="DF70" t="s">
        <v>25</v>
      </c>
      <c r="DG70" t="s">
        <v>25</v>
      </c>
      <c r="DH70" t="s">
        <v>25</v>
      </c>
      <c r="DI70" t="s">
        <v>25</v>
      </c>
      <c r="DJ70" s="76">
        <v>9.9999997764825804E-3</v>
      </c>
      <c r="DK70" s="73">
        <v>19</v>
      </c>
      <c r="DL70" s="73">
        <v>19</v>
      </c>
      <c r="DM70" s="73">
        <v>0</v>
      </c>
      <c r="DU70"/>
      <c r="DZ70" s="73">
        <v>0</v>
      </c>
      <c r="EA70" s="73">
        <v>0</v>
      </c>
      <c r="EB70" s="73">
        <v>0</v>
      </c>
    </row>
    <row r="71" spans="1:133" ht="12" customHeight="1" x14ac:dyDescent="0.2">
      <c r="A71" t="s">
        <v>2937</v>
      </c>
      <c r="B71" t="s">
        <v>2946</v>
      </c>
      <c r="C71" t="str">
        <f t="shared" si="3"/>
        <v>Full</v>
      </c>
      <c r="E71" s="65">
        <v>1406</v>
      </c>
      <c r="F71" t="s">
        <v>1443</v>
      </c>
      <c r="G71" s="71" t="s">
        <v>3945</v>
      </c>
      <c r="H71" s="67">
        <v>9.9999997764825804E-3</v>
      </c>
      <c r="I71" s="65">
        <v>527702</v>
      </c>
      <c r="J71" s="65">
        <v>175547</v>
      </c>
      <c r="L71" s="65" t="s">
        <v>519</v>
      </c>
      <c r="M71" s="65" t="s">
        <v>27</v>
      </c>
      <c r="N71" s="69">
        <v>42255</v>
      </c>
      <c r="O71" s="69">
        <v>42311</v>
      </c>
      <c r="R71" s="65" t="s">
        <v>28</v>
      </c>
      <c r="U71" t="s">
        <v>520</v>
      </c>
      <c r="V71" t="s">
        <v>3063</v>
      </c>
      <c r="W71" s="65" t="s">
        <v>21</v>
      </c>
      <c r="X71" s="65" t="s">
        <v>21</v>
      </c>
      <c r="Y71" s="65" t="s">
        <v>69</v>
      </c>
      <c r="AD71" s="65" t="s">
        <v>23</v>
      </c>
      <c r="AE71" s="65" t="s">
        <v>24</v>
      </c>
      <c r="AW71" s="73">
        <v>65</v>
      </c>
      <c r="AY71" s="73">
        <v>65</v>
      </c>
      <c r="AZ71" s="73">
        <v>65</v>
      </c>
      <c r="BE71" s="73">
        <v>65</v>
      </c>
      <c r="BO71" s="185" t="s">
        <v>126</v>
      </c>
      <c r="BP71" s="185" t="s">
        <v>3794</v>
      </c>
      <c r="BQ71" s="185" t="s">
        <v>126</v>
      </c>
      <c r="BR71" s="73">
        <v>-65</v>
      </c>
      <c r="BW71" s="73">
        <v>-65</v>
      </c>
      <c r="BY71" s="185" t="s">
        <v>3794</v>
      </c>
      <c r="CG71" s="73">
        <v>65</v>
      </c>
      <c r="CI71" s="73">
        <v>65</v>
      </c>
      <c r="CJ71" t="s">
        <v>25</v>
      </c>
      <c r="CK71" t="s">
        <v>25</v>
      </c>
      <c r="CL71" t="s">
        <v>25</v>
      </c>
      <c r="CM71" t="s">
        <v>25</v>
      </c>
      <c r="CN71" t="s">
        <v>25</v>
      </c>
      <c r="CO71" t="s">
        <v>25</v>
      </c>
      <c r="CP71" t="s">
        <v>25</v>
      </c>
      <c r="CQ71" t="s">
        <v>25</v>
      </c>
      <c r="CR71" t="s">
        <v>25</v>
      </c>
      <c r="CS71" t="s">
        <v>25</v>
      </c>
      <c r="CT71" t="s">
        <v>25</v>
      </c>
      <c r="CU71" t="s">
        <v>49</v>
      </c>
      <c r="CV71" t="s">
        <v>25</v>
      </c>
      <c r="CW71" t="s">
        <v>47</v>
      </c>
      <c r="CX71" t="s">
        <v>25</v>
      </c>
      <c r="CY71" t="s">
        <v>25</v>
      </c>
      <c r="CZ71" t="s">
        <v>25</v>
      </c>
      <c r="DA71" t="s">
        <v>25</v>
      </c>
      <c r="DB71" t="s">
        <v>25</v>
      </c>
      <c r="DC71" t="s">
        <v>25</v>
      </c>
      <c r="DD71" t="s">
        <v>25</v>
      </c>
      <c r="DE71" t="s">
        <v>25</v>
      </c>
      <c r="DF71" t="s">
        <v>25</v>
      </c>
      <c r="DG71" t="s">
        <v>25</v>
      </c>
      <c r="DH71" t="s">
        <v>25</v>
      </c>
      <c r="DI71" t="s">
        <v>25</v>
      </c>
      <c r="DJ71" s="76">
        <v>9.9999997764825804E-3</v>
      </c>
      <c r="DK71" s="73">
        <v>65</v>
      </c>
      <c r="DL71" s="73">
        <v>65</v>
      </c>
      <c r="DM71" s="73">
        <v>0</v>
      </c>
      <c r="DU71"/>
      <c r="DV71" s="65" t="s">
        <v>126</v>
      </c>
      <c r="DW71" t="s">
        <v>132</v>
      </c>
      <c r="DZ71" s="73">
        <v>0</v>
      </c>
      <c r="EA71" s="73">
        <v>0</v>
      </c>
      <c r="EB71" s="73">
        <v>0</v>
      </c>
    </row>
    <row r="72" spans="1:133" ht="12" customHeight="1" x14ac:dyDescent="0.2">
      <c r="A72" t="s">
        <v>2936</v>
      </c>
      <c r="B72" t="s">
        <v>2946</v>
      </c>
      <c r="C72" t="str">
        <f t="shared" si="3"/>
        <v>Full</v>
      </c>
      <c r="D72" t="s">
        <v>2943</v>
      </c>
      <c r="E72" s="65">
        <v>1471</v>
      </c>
      <c r="F72" t="s">
        <v>1444</v>
      </c>
      <c r="G72" s="71" t="s">
        <v>3939</v>
      </c>
      <c r="H72" s="67">
        <v>0.41699999570846602</v>
      </c>
      <c r="I72" s="65">
        <v>523813</v>
      </c>
      <c r="J72" s="65">
        <v>173523</v>
      </c>
      <c r="L72" s="65" t="s">
        <v>822</v>
      </c>
      <c r="M72" s="65" t="s">
        <v>27</v>
      </c>
      <c r="N72" s="69">
        <v>42467</v>
      </c>
      <c r="O72" s="69">
        <v>42523</v>
      </c>
      <c r="R72" s="65" t="s">
        <v>28</v>
      </c>
      <c r="U72" t="s">
        <v>823</v>
      </c>
      <c r="V72" t="s">
        <v>3064</v>
      </c>
      <c r="W72" s="65" t="s">
        <v>29</v>
      </c>
      <c r="X72" s="65" t="s">
        <v>29</v>
      </c>
      <c r="Y72" s="65" t="s">
        <v>35</v>
      </c>
      <c r="AA72" s="69">
        <v>42826</v>
      </c>
      <c r="AB72" s="69">
        <v>43190</v>
      </c>
      <c r="AC72" s="69">
        <v>43190</v>
      </c>
      <c r="AD72" s="65" t="s">
        <v>23</v>
      </c>
      <c r="AE72" s="65" t="s">
        <v>24</v>
      </c>
      <c r="AH72" s="69">
        <f t="shared" si="5"/>
        <v>42826</v>
      </c>
      <c r="AI72" s="69">
        <f t="shared" si="4"/>
        <v>43190</v>
      </c>
      <c r="AW72" s="73">
        <v>166</v>
      </c>
      <c r="AY72" s="73">
        <v>166</v>
      </c>
      <c r="BO72" s="185" t="s">
        <v>3794</v>
      </c>
      <c r="BP72" s="185" t="s">
        <v>3794</v>
      </c>
      <c r="BQ72" s="185" t="s">
        <v>126</v>
      </c>
      <c r="BW72" s="73"/>
      <c r="BY72" s="185" t="s">
        <v>3794</v>
      </c>
      <c r="CG72" s="73">
        <v>166</v>
      </c>
      <c r="CI72" s="73">
        <v>166</v>
      </c>
      <c r="CJ72" t="s">
        <v>25</v>
      </c>
      <c r="CK72" t="s">
        <v>25</v>
      </c>
      <c r="CL72" t="s">
        <v>25</v>
      </c>
      <c r="CM72" t="s">
        <v>25</v>
      </c>
      <c r="CN72" t="s">
        <v>25</v>
      </c>
      <c r="CO72" t="s">
        <v>25</v>
      </c>
      <c r="CP72" t="s">
        <v>25</v>
      </c>
      <c r="CQ72" t="s">
        <v>25</v>
      </c>
      <c r="CR72" t="s">
        <v>25</v>
      </c>
      <c r="CS72" t="s">
        <v>25</v>
      </c>
      <c r="CT72" t="s">
        <v>25</v>
      </c>
      <c r="CU72" t="s">
        <v>37</v>
      </c>
      <c r="CV72" t="s">
        <v>25</v>
      </c>
      <c r="CW72" t="s">
        <v>25</v>
      </c>
      <c r="CX72" t="s">
        <v>25</v>
      </c>
      <c r="CY72" t="s">
        <v>25</v>
      </c>
      <c r="CZ72" t="s">
        <v>25</v>
      </c>
      <c r="DA72" t="s">
        <v>25</v>
      </c>
      <c r="DB72" t="s">
        <v>25</v>
      </c>
      <c r="DC72" t="s">
        <v>25</v>
      </c>
      <c r="DD72" t="s">
        <v>25</v>
      </c>
      <c r="DE72" t="s">
        <v>25</v>
      </c>
      <c r="DF72" t="s">
        <v>25</v>
      </c>
      <c r="DG72" t="s">
        <v>25</v>
      </c>
      <c r="DH72" t="s">
        <v>25</v>
      </c>
      <c r="DI72" t="s">
        <v>25</v>
      </c>
      <c r="DJ72" s="76">
        <v>0.41699999570846602</v>
      </c>
      <c r="DK72" s="73">
        <v>166</v>
      </c>
      <c r="DL72" s="73">
        <v>0</v>
      </c>
      <c r="DM72" s="73">
        <v>166</v>
      </c>
      <c r="DU72"/>
      <c r="DZ72" s="73">
        <v>0</v>
      </c>
      <c r="EA72" s="73">
        <v>0</v>
      </c>
      <c r="EB72" s="73">
        <v>0</v>
      </c>
    </row>
    <row r="73" spans="1:133" ht="12" customHeight="1" x14ac:dyDescent="0.2">
      <c r="A73" t="s">
        <v>2936</v>
      </c>
      <c r="B73" t="s">
        <v>2946</v>
      </c>
      <c r="C73" t="str">
        <f t="shared" si="3"/>
        <v>Full</v>
      </c>
      <c r="D73" t="s">
        <v>2943</v>
      </c>
      <c r="E73" s="65">
        <v>1502</v>
      </c>
      <c r="F73" t="s">
        <v>1445</v>
      </c>
      <c r="G73" s="71" t="s">
        <v>3952</v>
      </c>
      <c r="H73" s="67">
        <v>3.9000000804662698E-2</v>
      </c>
      <c r="I73" s="65">
        <v>528652</v>
      </c>
      <c r="J73" s="65">
        <v>172479</v>
      </c>
      <c r="L73" s="65" t="s">
        <v>1446</v>
      </c>
      <c r="M73" s="65" t="s">
        <v>27</v>
      </c>
      <c r="N73" s="69">
        <v>43080</v>
      </c>
      <c r="O73" s="69">
        <v>43185</v>
      </c>
      <c r="P73" s="65" t="s">
        <v>126</v>
      </c>
      <c r="R73" s="65" t="s">
        <v>28</v>
      </c>
      <c r="U73" t="s">
        <v>1447</v>
      </c>
      <c r="V73" t="s">
        <v>3065</v>
      </c>
      <c r="W73" s="65" t="s">
        <v>21</v>
      </c>
      <c r="X73" s="65" t="s">
        <v>21</v>
      </c>
      <c r="Y73" s="65" t="s">
        <v>35</v>
      </c>
      <c r="AA73" s="69">
        <v>43185</v>
      </c>
      <c r="AB73" s="69">
        <v>43190</v>
      </c>
      <c r="AC73" s="69">
        <v>43190</v>
      </c>
      <c r="AD73" s="65" t="s">
        <v>23</v>
      </c>
      <c r="AE73" s="65" t="s">
        <v>24</v>
      </c>
      <c r="AH73" s="69">
        <f t="shared" si="5"/>
        <v>43185</v>
      </c>
      <c r="AI73" s="69">
        <f t="shared" si="4"/>
        <v>43190</v>
      </c>
      <c r="AW73" s="73">
        <v>102</v>
      </c>
      <c r="AY73" s="73">
        <v>102</v>
      </c>
      <c r="BO73" s="185" t="s">
        <v>3794</v>
      </c>
      <c r="BP73" s="185" t="s">
        <v>3794</v>
      </c>
      <c r="BQ73" s="185" t="s">
        <v>126</v>
      </c>
      <c r="BW73" s="73"/>
      <c r="BY73" s="185" t="s">
        <v>3794</v>
      </c>
      <c r="CG73" s="73">
        <v>102</v>
      </c>
      <c r="CI73" s="73">
        <v>102</v>
      </c>
      <c r="CJ73" t="s">
        <v>25</v>
      </c>
      <c r="CK73" t="s">
        <v>25</v>
      </c>
      <c r="CL73" t="s">
        <v>25</v>
      </c>
      <c r="CM73" t="s">
        <v>25</v>
      </c>
      <c r="CN73" t="s">
        <v>25</v>
      </c>
      <c r="CO73" t="s">
        <v>25</v>
      </c>
      <c r="CP73" t="s">
        <v>25</v>
      </c>
      <c r="CQ73" t="s">
        <v>25</v>
      </c>
      <c r="CR73" t="s">
        <v>25</v>
      </c>
      <c r="CS73" t="s">
        <v>25</v>
      </c>
      <c r="CT73" t="s">
        <v>25</v>
      </c>
      <c r="CU73" t="s">
        <v>43</v>
      </c>
      <c r="CV73" t="s">
        <v>25</v>
      </c>
      <c r="CW73" t="s">
        <v>25</v>
      </c>
      <c r="CX73" t="s">
        <v>25</v>
      </c>
      <c r="CY73" t="s">
        <v>25</v>
      </c>
      <c r="CZ73" t="s">
        <v>25</v>
      </c>
      <c r="DA73" t="s">
        <v>25</v>
      </c>
      <c r="DB73" t="s">
        <v>25</v>
      </c>
      <c r="DC73" t="s">
        <v>25</v>
      </c>
      <c r="DD73" t="s">
        <v>25</v>
      </c>
      <c r="DE73" t="s">
        <v>25</v>
      </c>
      <c r="DF73" t="s">
        <v>25</v>
      </c>
      <c r="DG73" t="s">
        <v>25</v>
      </c>
      <c r="DH73" t="s">
        <v>25</v>
      </c>
      <c r="DI73" t="s">
        <v>25</v>
      </c>
      <c r="DJ73" s="76">
        <v>1.6000000759959197E-2</v>
      </c>
      <c r="DK73" s="73">
        <v>102</v>
      </c>
      <c r="DL73" s="73">
        <v>0</v>
      </c>
      <c r="DM73" s="73">
        <v>102</v>
      </c>
      <c r="DU73"/>
      <c r="DZ73" s="73">
        <v>156</v>
      </c>
      <c r="EA73" s="73">
        <v>258</v>
      </c>
      <c r="EB73" s="73">
        <v>-102</v>
      </c>
    </row>
    <row r="74" spans="1:133" ht="12" customHeight="1" x14ac:dyDescent="0.2">
      <c r="A74" t="s">
        <v>2936</v>
      </c>
      <c r="B74" t="s">
        <v>2946</v>
      </c>
      <c r="C74" t="str">
        <f t="shared" si="3"/>
        <v>Full</v>
      </c>
      <c r="D74" t="s">
        <v>2943</v>
      </c>
      <c r="E74" s="65">
        <v>1532</v>
      </c>
      <c r="F74" t="s">
        <v>1448</v>
      </c>
      <c r="G74" s="71" t="s">
        <v>3951</v>
      </c>
      <c r="H74" s="67">
        <v>1.30000002682209E-2</v>
      </c>
      <c r="I74" s="65">
        <v>527653</v>
      </c>
      <c r="J74" s="65">
        <v>171273</v>
      </c>
      <c r="L74" s="65" t="s">
        <v>1098</v>
      </c>
      <c r="M74" s="65" t="s">
        <v>19</v>
      </c>
      <c r="N74" s="69">
        <v>42709</v>
      </c>
      <c r="O74" s="69">
        <v>42765</v>
      </c>
      <c r="R74" s="65" t="s">
        <v>20</v>
      </c>
      <c r="S74" s="69">
        <v>42810</v>
      </c>
      <c r="T74" s="69">
        <v>42914</v>
      </c>
      <c r="U74" t="s">
        <v>1099</v>
      </c>
      <c r="V74" t="s">
        <v>3066</v>
      </c>
      <c r="W74" s="65" t="s">
        <v>21</v>
      </c>
      <c r="X74" s="65" t="s">
        <v>21</v>
      </c>
      <c r="Y74" s="65" t="s">
        <v>35</v>
      </c>
      <c r="AA74" s="69">
        <v>42914</v>
      </c>
      <c r="AB74" s="69">
        <v>43190</v>
      </c>
      <c r="AC74" s="69">
        <v>43190</v>
      </c>
      <c r="AD74" s="65" t="s">
        <v>23</v>
      </c>
      <c r="AE74" s="65" t="s">
        <v>24</v>
      </c>
      <c r="AH74" s="69">
        <f t="shared" si="5"/>
        <v>42914</v>
      </c>
      <c r="AI74" s="69">
        <f t="shared" si="4"/>
        <v>43190</v>
      </c>
      <c r="AW74" s="73">
        <v>132</v>
      </c>
      <c r="AY74" s="73">
        <v>132</v>
      </c>
      <c r="AZ74" s="73">
        <v>132</v>
      </c>
      <c r="BE74" s="73">
        <v>132</v>
      </c>
      <c r="BO74" s="185" t="s">
        <v>126</v>
      </c>
      <c r="BP74" s="185" t="s">
        <v>3794</v>
      </c>
      <c r="BQ74" s="185" t="s">
        <v>126</v>
      </c>
      <c r="BR74" s="73">
        <v>-132</v>
      </c>
      <c r="BW74" s="73">
        <v>-132</v>
      </c>
      <c r="BY74" s="185" t="s">
        <v>3794</v>
      </c>
      <c r="CG74" s="73">
        <v>132</v>
      </c>
      <c r="CI74" s="73">
        <v>132</v>
      </c>
      <c r="CJ74" t="s">
        <v>25</v>
      </c>
      <c r="CK74" t="s">
        <v>25</v>
      </c>
      <c r="CL74" t="s">
        <v>25</v>
      </c>
      <c r="CM74" t="s">
        <v>25</v>
      </c>
      <c r="CN74" t="s">
        <v>25</v>
      </c>
      <c r="CO74" t="s">
        <v>25</v>
      </c>
      <c r="CP74" t="s">
        <v>25</v>
      </c>
      <c r="CQ74" t="s">
        <v>25</v>
      </c>
      <c r="CR74" t="s">
        <v>25</v>
      </c>
      <c r="CS74" t="s">
        <v>25</v>
      </c>
      <c r="CT74" t="s">
        <v>25</v>
      </c>
      <c r="CU74" t="s">
        <v>60</v>
      </c>
      <c r="CV74" t="s">
        <v>25</v>
      </c>
      <c r="CW74" t="s">
        <v>46</v>
      </c>
      <c r="CX74" t="s">
        <v>25</v>
      </c>
      <c r="CY74" t="s">
        <v>25</v>
      </c>
      <c r="CZ74" t="s">
        <v>25</v>
      </c>
      <c r="DA74" t="s">
        <v>25</v>
      </c>
      <c r="DB74" t="s">
        <v>25</v>
      </c>
      <c r="DC74" t="s">
        <v>25</v>
      </c>
      <c r="DD74" t="s">
        <v>25</v>
      </c>
      <c r="DE74" t="s">
        <v>25</v>
      </c>
      <c r="DF74" t="s">
        <v>25</v>
      </c>
      <c r="DG74" t="s">
        <v>25</v>
      </c>
      <c r="DH74" t="s">
        <v>25</v>
      </c>
      <c r="DI74" t="s">
        <v>25</v>
      </c>
      <c r="DJ74" s="76">
        <v>1.30000002682209E-2</v>
      </c>
      <c r="DK74" s="73">
        <v>132</v>
      </c>
      <c r="DL74" s="73">
        <v>132</v>
      </c>
      <c r="DM74" s="73">
        <v>0</v>
      </c>
      <c r="DU74"/>
      <c r="DV74" s="65" t="s">
        <v>126</v>
      </c>
      <c r="DW74" t="s">
        <v>150</v>
      </c>
      <c r="DZ74" s="73">
        <v>0</v>
      </c>
      <c r="EA74" s="73">
        <v>0</v>
      </c>
      <c r="EB74" s="73">
        <v>0</v>
      </c>
    </row>
    <row r="75" spans="1:133" ht="12" customHeight="1" x14ac:dyDescent="0.2">
      <c r="A75" t="s">
        <v>2936</v>
      </c>
      <c r="B75" t="s">
        <v>2946</v>
      </c>
      <c r="C75" t="str">
        <f t="shared" si="3"/>
        <v>Full</v>
      </c>
      <c r="D75" t="s">
        <v>2943</v>
      </c>
      <c r="E75" s="65">
        <v>1533</v>
      </c>
      <c r="F75" t="s">
        <v>1449</v>
      </c>
      <c r="G75" s="71" t="s">
        <v>3951</v>
      </c>
      <c r="H75" s="67">
        <v>1.09999999403954E-2</v>
      </c>
      <c r="I75" s="65">
        <v>527720</v>
      </c>
      <c r="J75" s="65">
        <v>171216</v>
      </c>
      <c r="L75" s="65" t="s">
        <v>1292</v>
      </c>
      <c r="M75" s="65" t="s">
        <v>27</v>
      </c>
      <c r="N75" s="69">
        <v>42804</v>
      </c>
      <c r="O75" s="69">
        <v>42860</v>
      </c>
      <c r="P75" s="65" t="s">
        <v>126</v>
      </c>
      <c r="R75" s="65" t="s">
        <v>28</v>
      </c>
      <c r="U75" t="s">
        <v>1293</v>
      </c>
      <c r="V75" t="s">
        <v>3067</v>
      </c>
      <c r="W75" s="65" t="s">
        <v>21</v>
      </c>
      <c r="X75" s="65" t="s">
        <v>21</v>
      </c>
      <c r="Y75" s="65" t="s">
        <v>35</v>
      </c>
      <c r="AA75" s="69">
        <v>42860</v>
      </c>
      <c r="AB75" s="69">
        <v>43190</v>
      </c>
      <c r="AC75" s="69">
        <v>43190</v>
      </c>
      <c r="AD75" s="65" t="s">
        <v>23</v>
      </c>
      <c r="AE75" s="65" t="s">
        <v>24</v>
      </c>
      <c r="AH75" s="69">
        <f t="shared" si="5"/>
        <v>42860</v>
      </c>
      <c r="AI75" s="69">
        <f t="shared" si="4"/>
        <v>43190</v>
      </c>
      <c r="AL75" s="73">
        <v>132</v>
      </c>
      <c r="AO75" s="73">
        <v>132</v>
      </c>
      <c r="AZ75" s="73">
        <v>132</v>
      </c>
      <c r="BE75" s="73">
        <v>132</v>
      </c>
      <c r="BO75" s="185" t="s">
        <v>126</v>
      </c>
      <c r="BP75" s="185" t="s">
        <v>3794</v>
      </c>
      <c r="BQ75" s="185" t="s">
        <v>3794</v>
      </c>
      <c r="BR75" s="73">
        <v>-132</v>
      </c>
      <c r="BT75" s="73">
        <v>132</v>
      </c>
      <c r="BW75" s="73"/>
      <c r="BY75" s="185" t="s">
        <v>3794</v>
      </c>
      <c r="CJ75" t="s">
        <v>25</v>
      </c>
      <c r="CK75" t="s">
        <v>25</v>
      </c>
      <c r="CL75" t="s">
        <v>38</v>
      </c>
      <c r="CM75" t="s">
        <v>25</v>
      </c>
      <c r="CN75" t="s">
        <v>25</v>
      </c>
      <c r="CO75" t="s">
        <v>25</v>
      </c>
      <c r="CP75" t="s">
        <v>25</v>
      </c>
      <c r="CQ75" t="s">
        <v>25</v>
      </c>
      <c r="CR75" t="s">
        <v>25</v>
      </c>
      <c r="CS75" t="s">
        <v>25</v>
      </c>
      <c r="CT75" t="s">
        <v>25</v>
      </c>
      <c r="CU75" t="s">
        <v>25</v>
      </c>
      <c r="CV75" t="s">
        <v>25</v>
      </c>
      <c r="CW75" t="s">
        <v>31</v>
      </c>
      <c r="CX75" t="s">
        <v>25</v>
      </c>
      <c r="CY75" t="s">
        <v>25</v>
      </c>
      <c r="CZ75" t="s">
        <v>25</v>
      </c>
      <c r="DA75" t="s">
        <v>25</v>
      </c>
      <c r="DB75" t="s">
        <v>25</v>
      </c>
      <c r="DC75" t="s">
        <v>25</v>
      </c>
      <c r="DD75" t="s">
        <v>25</v>
      </c>
      <c r="DE75" t="s">
        <v>25</v>
      </c>
      <c r="DF75" t="s">
        <v>25</v>
      </c>
      <c r="DG75" t="s">
        <v>25</v>
      </c>
      <c r="DH75" t="s">
        <v>25</v>
      </c>
      <c r="DI75" t="s">
        <v>25</v>
      </c>
      <c r="DJ75" s="76">
        <v>1.09999999403954E-2</v>
      </c>
      <c r="DK75" s="73">
        <v>132</v>
      </c>
      <c r="DL75" s="73">
        <v>132</v>
      </c>
      <c r="DM75" s="73">
        <v>0</v>
      </c>
      <c r="DU75"/>
      <c r="DV75" s="65" t="s">
        <v>126</v>
      </c>
      <c r="DW75" t="s">
        <v>150</v>
      </c>
      <c r="DZ75" s="73">
        <v>0</v>
      </c>
      <c r="EA75" s="73">
        <v>0</v>
      </c>
      <c r="EB75" s="73">
        <v>0</v>
      </c>
    </row>
    <row r="76" spans="1:133" ht="12" customHeight="1" x14ac:dyDescent="0.2">
      <c r="A76" t="s">
        <v>2937</v>
      </c>
      <c r="B76" t="s">
        <v>2949</v>
      </c>
      <c r="C76" t="str">
        <f t="shared" si="3"/>
        <v>Certificate of Lawful Development</v>
      </c>
      <c r="E76" s="65">
        <v>1571</v>
      </c>
      <c r="F76" t="s">
        <v>1450</v>
      </c>
      <c r="G76" s="71" t="s">
        <v>150</v>
      </c>
      <c r="H76" s="67">
        <v>4.9999998882412902E-3</v>
      </c>
      <c r="I76" s="65">
        <v>527523</v>
      </c>
      <c r="J76" s="65">
        <v>171617</v>
      </c>
      <c r="L76" s="65" t="s">
        <v>1303</v>
      </c>
      <c r="M76" s="65" t="s">
        <v>436</v>
      </c>
      <c r="N76" s="69">
        <v>42480</v>
      </c>
      <c r="O76" s="69">
        <v>42535</v>
      </c>
      <c r="R76" s="65" t="s">
        <v>28</v>
      </c>
      <c r="U76" t="s">
        <v>842</v>
      </c>
      <c r="V76" t="s">
        <v>3068</v>
      </c>
      <c r="W76" s="65" t="s">
        <v>21</v>
      </c>
      <c r="X76" s="65" t="s">
        <v>21</v>
      </c>
      <c r="Y76" s="65" t="s">
        <v>69</v>
      </c>
      <c r="AD76" s="65" t="s">
        <v>23</v>
      </c>
      <c r="AE76" s="65" t="s">
        <v>24</v>
      </c>
      <c r="AJ76" s="73">
        <v>45</v>
      </c>
      <c r="AO76" s="73">
        <v>45</v>
      </c>
      <c r="AZ76" s="73">
        <v>45</v>
      </c>
      <c r="BE76" s="73">
        <v>45</v>
      </c>
      <c r="BO76" s="185" t="s">
        <v>126</v>
      </c>
      <c r="BP76" s="185" t="s">
        <v>3794</v>
      </c>
      <c r="BQ76" s="185" t="s">
        <v>3794</v>
      </c>
      <c r="BW76" s="73"/>
      <c r="BY76" s="185" t="s">
        <v>3794</v>
      </c>
      <c r="CJ76" t="s">
        <v>40</v>
      </c>
      <c r="CK76" t="s">
        <v>25</v>
      </c>
      <c r="CL76" t="s">
        <v>25</v>
      </c>
      <c r="CM76" t="s">
        <v>25</v>
      </c>
      <c r="CN76" t="s">
        <v>25</v>
      </c>
      <c r="CO76" t="s">
        <v>25</v>
      </c>
      <c r="CP76" t="s">
        <v>25</v>
      </c>
      <c r="CQ76" t="s">
        <v>25</v>
      </c>
      <c r="CR76" t="s">
        <v>25</v>
      </c>
      <c r="CS76" t="s">
        <v>25</v>
      </c>
      <c r="CT76" t="s">
        <v>25</v>
      </c>
      <c r="CU76" t="s">
        <v>25</v>
      </c>
      <c r="CV76" t="s">
        <v>25</v>
      </c>
      <c r="CW76" t="s">
        <v>46</v>
      </c>
      <c r="CX76" t="s">
        <v>25</v>
      </c>
      <c r="CY76" t="s">
        <v>25</v>
      </c>
      <c r="CZ76" t="s">
        <v>25</v>
      </c>
      <c r="DA76" t="s">
        <v>25</v>
      </c>
      <c r="DB76" t="s">
        <v>25</v>
      </c>
      <c r="DC76" t="s">
        <v>25</v>
      </c>
      <c r="DD76" t="s">
        <v>25</v>
      </c>
      <c r="DE76" t="s">
        <v>25</v>
      </c>
      <c r="DF76" t="s">
        <v>25</v>
      </c>
      <c r="DG76" t="s">
        <v>25</v>
      </c>
      <c r="DH76" t="s">
        <v>25</v>
      </c>
      <c r="DI76" t="s">
        <v>25</v>
      </c>
      <c r="DJ76" s="76">
        <v>4.9999998882412902E-3</v>
      </c>
      <c r="DK76" s="73">
        <v>45</v>
      </c>
      <c r="DL76" s="73">
        <v>45</v>
      </c>
      <c r="DM76" s="73">
        <v>0</v>
      </c>
      <c r="DU76"/>
      <c r="DV76" s="65" t="s">
        <v>126</v>
      </c>
      <c r="DW76" t="s">
        <v>150</v>
      </c>
      <c r="DZ76" s="73">
        <v>0</v>
      </c>
      <c r="EA76" s="73">
        <v>0</v>
      </c>
      <c r="EB76" s="73">
        <v>0</v>
      </c>
    </row>
    <row r="77" spans="1:133" ht="12" customHeight="1" x14ac:dyDescent="0.2">
      <c r="A77" t="s">
        <v>2936</v>
      </c>
      <c r="B77" t="s">
        <v>2946</v>
      </c>
      <c r="C77" t="str">
        <f t="shared" si="3"/>
        <v>Full</v>
      </c>
      <c r="D77" t="s">
        <v>2943</v>
      </c>
      <c r="E77" s="65">
        <v>1583</v>
      </c>
      <c r="F77" t="s">
        <v>1451</v>
      </c>
      <c r="G77" s="71" t="s">
        <v>3943</v>
      </c>
      <c r="H77" s="67">
        <v>3.20000015199184E-2</v>
      </c>
      <c r="I77" s="65">
        <v>527339</v>
      </c>
      <c r="J77" s="65">
        <v>176604</v>
      </c>
      <c r="L77" s="65" t="s">
        <v>1452</v>
      </c>
      <c r="M77" s="65" t="s">
        <v>27</v>
      </c>
      <c r="N77" s="69">
        <v>41715</v>
      </c>
      <c r="O77" s="69">
        <v>41778</v>
      </c>
      <c r="R77" s="65" t="s">
        <v>28</v>
      </c>
      <c r="U77" t="s">
        <v>1453</v>
      </c>
      <c r="V77" t="s">
        <v>3069</v>
      </c>
      <c r="W77" s="65" t="s">
        <v>45</v>
      </c>
      <c r="X77" s="65" t="s">
        <v>21</v>
      </c>
      <c r="Y77" s="65" t="s">
        <v>35</v>
      </c>
      <c r="AA77" s="69">
        <v>42478</v>
      </c>
      <c r="AB77" s="69">
        <v>43124</v>
      </c>
      <c r="AC77" s="69">
        <v>43124</v>
      </c>
      <c r="AD77" s="65" t="s">
        <v>23</v>
      </c>
      <c r="AE77" s="65" t="s">
        <v>24</v>
      </c>
      <c r="AH77" s="69">
        <f t="shared" si="5"/>
        <v>42478</v>
      </c>
      <c r="AI77" s="69">
        <f t="shared" si="4"/>
        <v>43124</v>
      </c>
      <c r="BF77" s="73">
        <v>766</v>
      </c>
      <c r="BK77" s="73">
        <v>766</v>
      </c>
      <c r="BO77" s="185" t="s">
        <v>3794</v>
      </c>
      <c r="BP77" s="185" t="s">
        <v>126</v>
      </c>
      <c r="BQ77" s="185" t="s">
        <v>3794</v>
      </c>
      <c r="BW77" s="73"/>
      <c r="BX77" s="73">
        <v>-766</v>
      </c>
      <c r="BY77" s="185" t="s">
        <v>126</v>
      </c>
      <c r="CD77" s="73">
        <v>-766</v>
      </c>
      <c r="CE77" s="65" t="s">
        <v>126</v>
      </c>
      <c r="CJ77" t="s">
        <v>25</v>
      </c>
      <c r="CK77" t="s">
        <v>25</v>
      </c>
      <c r="CL77" t="s">
        <v>25</v>
      </c>
      <c r="CM77" t="s">
        <v>25</v>
      </c>
      <c r="CN77" t="s">
        <v>25</v>
      </c>
      <c r="CO77" t="s">
        <v>25</v>
      </c>
      <c r="CP77" t="s">
        <v>25</v>
      </c>
      <c r="CQ77" t="s">
        <v>25</v>
      </c>
      <c r="CR77" t="s">
        <v>25</v>
      </c>
      <c r="CS77" t="s">
        <v>25</v>
      </c>
      <c r="CT77" t="s">
        <v>25</v>
      </c>
      <c r="CU77" t="s">
        <v>25</v>
      </c>
      <c r="CV77" t="s">
        <v>25</v>
      </c>
      <c r="CW77" t="s">
        <v>25</v>
      </c>
      <c r="CX77" t="s">
        <v>25</v>
      </c>
      <c r="CY77" t="s">
        <v>25</v>
      </c>
      <c r="CZ77" t="s">
        <v>25</v>
      </c>
      <c r="DA77" t="s">
        <v>25</v>
      </c>
      <c r="DB77" t="s">
        <v>31</v>
      </c>
      <c r="DC77" t="s">
        <v>25</v>
      </c>
      <c r="DD77" t="s">
        <v>25</v>
      </c>
      <c r="DE77" t="s">
        <v>25</v>
      </c>
      <c r="DF77" t="s">
        <v>25</v>
      </c>
      <c r="DG77" t="s">
        <v>25</v>
      </c>
      <c r="DH77" t="s">
        <v>25</v>
      </c>
      <c r="DI77" t="s">
        <v>25</v>
      </c>
      <c r="DJ77" s="76">
        <v>0</v>
      </c>
      <c r="DK77" s="73">
        <v>0</v>
      </c>
      <c r="DL77" s="73">
        <v>766</v>
      </c>
      <c r="DM77" s="73">
        <v>-766</v>
      </c>
      <c r="DU77"/>
      <c r="DZ77" s="73">
        <v>766</v>
      </c>
      <c r="EA77" s="73">
        <v>0</v>
      </c>
      <c r="EB77" s="73">
        <v>766</v>
      </c>
      <c r="EC77" s="65" t="s">
        <v>126</v>
      </c>
    </row>
    <row r="78" spans="1:133" ht="12" customHeight="1" x14ac:dyDescent="0.2">
      <c r="A78" t="s">
        <v>2938</v>
      </c>
      <c r="B78" t="s">
        <v>2946</v>
      </c>
      <c r="C78" t="str">
        <f t="shared" si="3"/>
        <v>Full</v>
      </c>
      <c r="E78" s="65">
        <v>1587</v>
      </c>
      <c r="F78" t="s">
        <v>1454</v>
      </c>
      <c r="G78" s="71" t="s">
        <v>2904</v>
      </c>
      <c r="H78" s="67">
        <v>8.9999996125698107E-3</v>
      </c>
      <c r="I78" s="65">
        <v>526103</v>
      </c>
      <c r="J78" s="65">
        <v>173307</v>
      </c>
      <c r="L78" s="65" t="s">
        <v>1455</v>
      </c>
      <c r="M78" s="65" t="s">
        <v>172</v>
      </c>
      <c r="N78" s="69">
        <v>43168</v>
      </c>
      <c r="R78" s="65" t="s">
        <v>28</v>
      </c>
      <c r="U78" t="s">
        <v>1456</v>
      </c>
      <c r="V78" t="s">
        <v>3070</v>
      </c>
      <c r="W78" s="65" t="s">
        <v>34</v>
      </c>
      <c r="X78" s="65" t="s">
        <v>29</v>
      </c>
      <c r="Y78" s="65" t="s">
        <v>69</v>
      </c>
      <c r="AD78" s="65" t="s">
        <v>173</v>
      </c>
      <c r="AE78" s="65" t="s">
        <v>24</v>
      </c>
      <c r="BF78" s="73">
        <v>72</v>
      </c>
      <c r="BK78" s="73">
        <v>72</v>
      </c>
      <c r="BO78" s="185" t="s">
        <v>3794</v>
      </c>
      <c r="BP78" s="185" t="s">
        <v>126</v>
      </c>
      <c r="BQ78" s="185" t="s">
        <v>3794</v>
      </c>
      <c r="BW78" s="73"/>
      <c r="BX78" s="73">
        <v>-72</v>
      </c>
      <c r="BY78" s="185" t="s">
        <v>126</v>
      </c>
      <c r="CD78" s="73">
        <v>-72</v>
      </c>
      <c r="CE78" s="65" t="s">
        <v>126</v>
      </c>
      <c r="CJ78" t="s">
        <v>25</v>
      </c>
      <c r="CK78" t="s">
        <v>25</v>
      </c>
      <c r="CL78" t="s">
        <v>25</v>
      </c>
      <c r="CM78" t="s">
        <v>25</v>
      </c>
      <c r="CN78" t="s">
        <v>25</v>
      </c>
      <c r="CO78" t="s">
        <v>25</v>
      </c>
      <c r="CP78" t="s">
        <v>25</v>
      </c>
      <c r="CQ78" t="s">
        <v>25</v>
      </c>
      <c r="CR78" t="s">
        <v>25</v>
      </c>
      <c r="CS78" t="s">
        <v>25</v>
      </c>
      <c r="CT78" t="s">
        <v>25</v>
      </c>
      <c r="CU78" t="s">
        <v>25</v>
      </c>
      <c r="CV78" t="s">
        <v>25</v>
      </c>
      <c r="CW78" t="s">
        <v>25</v>
      </c>
      <c r="CX78" t="s">
        <v>25</v>
      </c>
      <c r="CY78" t="s">
        <v>25</v>
      </c>
      <c r="CZ78" t="s">
        <v>25</v>
      </c>
      <c r="DA78" t="s">
        <v>25</v>
      </c>
      <c r="DB78" t="s">
        <v>31</v>
      </c>
      <c r="DC78" t="s">
        <v>25</v>
      </c>
      <c r="DD78" t="s">
        <v>25</v>
      </c>
      <c r="DE78" t="s">
        <v>25</v>
      </c>
      <c r="DF78" t="s">
        <v>25</v>
      </c>
      <c r="DG78" t="s">
        <v>25</v>
      </c>
      <c r="DH78" t="s">
        <v>25</v>
      </c>
      <c r="DI78" t="s">
        <v>25</v>
      </c>
      <c r="DJ78" s="76">
        <v>9.9999923259020025E-4</v>
      </c>
      <c r="DK78" s="73">
        <v>0</v>
      </c>
      <c r="DL78" s="73">
        <v>72</v>
      </c>
      <c r="DM78" s="73">
        <v>-72</v>
      </c>
      <c r="DU78"/>
      <c r="DZ78" s="73">
        <v>79</v>
      </c>
      <c r="EA78" s="73">
        <v>0</v>
      </c>
      <c r="EB78" s="73">
        <v>79</v>
      </c>
      <c r="EC78" s="65" t="s">
        <v>126</v>
      </c>
    </row>
    <row r="79" spans="1:133" ht="12" customHeight="1" x14ac:dyDescent="0.2">
      <c r="A79" t="s">
        <v>2936</v>
      </c>
      <c r="B79" t="s">
        <v>2949</v>
      </c>
      <c r="C79" t="str">
        <f t="shared" si="3"/>
        <v>Certificate of Lawful Development</v>
      </c>
      <c r="D79" t="s">
        <v>2943</v>
      </c>
      <c r="E79" s="65">
        <v>1667</v>
      </c>
      <c r="F79" t="s">
        <v>1457</v>
      </c>
      <c r="G79" s="71" t="s">
        <v>3944</v>
      </c>
      <c r="H79" s="67">
        <v>8.9999996125698107E-3</v>
      </c>
      <c r="I79" s="65">
        <v>526823</v>
      </c>
      <c r="J79" s="65">
        <v>175309</v>
      </c>
      <c r="L79" s="65" t="s">
        <v>1458</v>
      </c>
      <c r="M79" s="65" t="s">
        <v>436</v>
      </c>
      <c r="N79" s="69">
        <v>42907</v>
      </c>
      <c r="O79" s="69">
        <v>42963</v>
      </c>
      <c r="P79" s="65" t="s">
        <v>126</v>
      </c>
      <c r="R79" s="65" t="s">
        <v>28</v>
      </c>
      <c r="U79" t="s">
        <v>1459</v>
      </c>
      <c r="V79" t="s">
        <v>3071</v>
      </c>
      <c r="W79" s="65" t="s">
        <v>21</v>
      </c>
      <c r="X79" s="65" t="s">
        <v>21</v>
      </c>
      <c r="Y79" s="65" t="s">
        <v>35</v>
      </c>
      <c r="AA79" s="69">
        <v>38507</v>
      </c>
      <c r="AB79" s="69">
        <v>42963</v>
      </c>
      <c r="AC79" s="69">
        <v>42963</v>
      </c>
      <c r="AD79" s="65" t="s">
        <v>23</v>
      </c>
      <c r="AE79" s="65" t="s">
        <v>24</v>
      </c>
      <c r="AH79" s="69">
        <f t="shared" si="5"/>
        <v>38507</v>
      </c>
      <c r="AI79" s="69">
        <f t="shared" si="4"/>
        <v>42963</v>
      </c>
      <c r="AZ79" s="73">
        <v>66</v>
      </c>
      <c r="BE79" s="73">
        <v>66</v>
      </c>
      <c r="BO79" s="185" t="s">
        <v>126</v>
      </c>
      <c r="BP79" s="185" t="s">
        <v>3794</v>
      </c>
      <c r="BQ79" s="185" t="s">
        <v>3794</v>
      </c>
      <c r="BR79" s="73">
        <v>-66</v>
      </c>
      <c r="BW79" s="73">
        <v>-66</v>
      </c>
      <c r="BY79" s="185" t="s">
        <v>3794</v>
      </c>
      <c r="CJ79" t="s">
        <v>25</v>
      </c>
      <c r="CK79" t="s">
        <v>25</v>
      </c>
      <c r="CL79" t="s">
        <v>25</v>
      </c>
      <c r="CM79" t="s">
        <v>25</v>
      </c>
      <c r="CN79" t="s">
        <v>25</v>
      </c>
      <c r="CO79" t="s">
        <v>25</v>
      </c>
      <c r="CP79" t="s">
        <v>25</v>
      </c>
      <c r="CQ79" t="s">
        <v>25</v>
      </c>
      <c r="CR79" t="s">
        <v>25</v>
      </c>
      <c r="CS79" t="s">
        <v>25</v>
      </c>
      <c r="CT79" t="s">
        <v>25</v>
      </c>
      <c r="CU79" t="s">
        <v>25</v>
      </c>
      <c r="CV79" t="s">
        <v>25</v>
      </c>
      <c r="CW79" t="s">
        <v>31</v>
      </c>
      <c r="CX79" t="s">
        <v>25</v>
      </c>
      <c r="CY79" t="s">
        <v>25</v>
      </c>
      <c r="CZ79" t="s">
        <v>25</v>
      </c>
      <c r="DA79" t="s">
        <v>25</v>
      </c>
      <c r="DB79" t="s">
        <v>25</v>
      </c>
      <c r="DC79" t="s">
        <v>25</v>
      </c>
      <c r="DD79" t="s">
        <v>25</v>
      </c>
      <c r="DE79" t="s">
        <v>25</v>
      </c>
      <c r="DF79" t="s">
        <v>25</v>
      </c>
      <c r="DG79" t="s">
        <v>25</v>
      </c>
      <c r="DH79" t="s">
        <v>25</v>
      </c>
      <c r="DI79" t="s">
        <v>25</v>
      </c>
      <c r="DJ79" s="76">
        <v>4.9999994225800003E-3</v>
      </c>
      <c r="DK79" s="73">
        <v>0</v>
      </c>
      <c r="DL79" s="73">
        <v>66</v>
      </c>
      <c r="DM79" s="73">
        <v>-66</v>
      </c>
      <c r="DU79"/>
      <c r="DZ79" s="73">
        <v>66</v>
      </c>
      <c r="EA79" s="73">
        <v>0</v>
      </c>
      <c r="EB79" s="73">
        <v>66</v>
      </c>
      <c r="EC79" s="65" t="s">
        <v>126</v>
      </c>
    </row>
    <row r="80" spans="1:133" ht="12" customHeight="1" x14ac:dyDescent="0.2">
      <c r="A80" t="s">
        <v>2936</v>
      </c>
      <c r="B80" t="s">
        <v>2946</v>
      </c>
      <c r="C80" t="str">
        <f t="shared" si="3"/>
        <v>Full</v>
      </c>
      <c r="D80" t="s">
        <v>2942</v>
      </c>
      <c r="E80" s="65">
        <v>1721</v>
      </c>
      <c r="F80" t="s">
        <v>1460</v>
      </c>
      <c r="G80" s="71" t="s">
        <v>3944</v>
      </c>
      <c r="H80" s="67">
        <v>1.4999999664723899E-2</v>
      </c>
      <c r="I80" s="65">
        <v>526198</v>
      </c>
      <c r="J80" s="65">
        <v>174779</v>
      </c>
      <c r="L80" s="65" t="s">
        <v>1461</v>
      </c>
      <c r="M80" s="65" t="s">
        <v>27</v>
      </c>
      <c r="N80" s="69">
        <v>43010</v>
      </c>
      <c r="O80" s="69">
        <v>43063</v>
      </c>
      <c r="P80" s="65" t="s">
        <v>126</v>
      </c>
      <c r="R80" s="65" t="s">
        <v>28</v>
      </c>
      <c r="U80" t="s">
        <v>1462</v>
      </c>
      <c r="V80" t="s">
        <v>3072</v>
      </c>
      <c r="W80" s="65" t="s">
        <v>21</v>
      </c>
      <c r="X80" s="65" t="s">
        <v>21</v>
      </c>
      <c r="Y80" s="65" t="s">
        <v>22</v>
      </c>
      <c r="AA80" s="69">
        <v>43063</v>
      </c>
      <c r="AB80" s="69">
        <v>43190</v>
      </c>
      <c r="AD80" s="65" t="s">
        <v>23</v>
      </c>
      <c r="AE80" s="65" t="s">
        <v>24</v>
      </c>
      <c r="AH80" s="69">
        <f t="shared" si="5"/>
        <v>43063</v>
      </c>
      <c r="AI80" s="69">
        <f t="shared" si="4"/>
        <v>43190</v>
      </c>
      <c r="AW80" s="73">
        <v>113</v>
      </c>
      <c r="AY80" s="73">
        <v>113</v>
      </c>
      <c r="AZ80" s="73">
        <v>113</v>
      </c>
      <c r="BE80" s="73">
        <v>113</v>
      </c>
      <c r="BO80" s="185" t="s">
        <v>126</v>
      </c>
      <c r="BP80" s="185" t="s">
        <v>3794</v>
      </c>
      <c r="BQ80" s="185" t="s">
        <v>126</v>
      </c>
      <c r="BR80" s="73">
        <v>-113</v>
      </c>
      <c r="BW80" s="73">
        <v>-113</v>
      </c>
      <c r="BY80" s="185" t="s">
        <v>3794</v>
      </c>
      <c r="CG80" s="73">
        <v>113</v>
      </c>
      <c r="CI80" s="73">
        <v>113</v>
      </c>
      <c r="CJ80" t="s">
        <v>25</v>
      </c>
      <c r="CK80" t="s">
        <v>25</v>
      </c>
      <c r="CL80" t="s">
        <v>25</v>
      </c>
      <c r="CM80" t="s">
        <v>25</v>
      </c>
      <c r="CN80" t="s">
        <v>25</v>
      </c>
      <c r="CO80" t="s">
        <v>25</v>
      </c>
      <c r="CP80" t="s">
        <v>25</v>
      </c>
      <c r="CQ80" t="s">
        <v>25</v>
      </c>
      <c r="CR80" t="s">
        <v>25</v>
      </c>
      <c r="CS80" t="s">
        <v>25</v>
      </c>
      <c r="CT80" t="s">
        <v>25</v>
      </c>
      <c r="CU80" t="s">
        <v>49</v>
      </c>
      <c r="CV80" t="s">
        <v>25</v>
      </c>
      <c r="CW80" t="s">
        <v>31</v>
      </c>
      <c r="CX80" t="s">
        <v>25</v>
      </c>
      <c r="CY80" t="s">
        <v>25</v>
      </c>
      <c r="CZ80" t="s">
        <v>25</v>
      </c>
      <c r="DA80" t="s">
        <v>25</v>
      </c>
      <c r="DB80" t="s">
        <v>25</v>
      </c>
      <c r="DC80" t="s">
        <v>25</v>
      </c>
      <c r="DD80" t="s">
        <v>25</v>
      </c>
      <c r="DE80" t="s">
        <v>25</v>
      </c>
      <c r="DF80" t="s">
        <v>25</v>
      </c>
      <c r="DG80" t="s">
        <v>25</v>
      </c>
      <c r="DH80" t="s">
        <v>25</v>
      </c>
      <c r="DI80" t="s">
        <v>25</v>
      </c>
      <c r="DJ80" s="76">
        <v>1.4999999664723899E-2</v>
      </c>
      <c r="DK80" s="73">
        <v>113</v>
      </c>
      <c r="DL80" s="73">
        <v>113</v>
      </c>
      <c r="DM80" s="73">
        <v>0</v>
      </c>
      <c r="DU80"/>
      <c r="DZ80" s="73">
        <v>0</v>
      </c>
      <c r="EA80" s="73">
        <v>0</v>
      </c>
      <c r="EB80" s="73">
        <v>0</v>
      </c>
    </row>
    <row r="81" spans="1:133" ht="12" customHeight="1" x14ac:dyDescent="0.2">
      <c r="A81" t="s">
        <v>2937</v>
      </c>
      <c r="B81" t="s">
        <v>2946</v>
      </c>
      <c r="C81" t="str">
        <f t="shared" si="3"/>
        <v>Full</v>
      </c>
      <c r="E81" s="65">
        <v>1822</v>
      </c>
      <c r="F81" t="s">
        <v>1463</v>
      </c>
      <c r="G81" s="71" t="s">
        <v>149</v>
      </c>
      <c r="H81" s="67">
        <v>0.31900000572204601</v>
      </c>
      <c r="I81" s="65">
        <v>528652</v>
      </c>
      <c r="J81" s="65">
        <v>174118</v>
      </c>
      <c r="L81" s="65" t="s">
        <v>1279</v>
      </c>
      <c r="M81" s="65" t="s">
        <v>27</v>
      </c>
      <c r="N81" s="69">
        <v>42789</v>
      </c>
      <c r="O81" s="69">
        <v>42879</v>
      </c>
      <c r="P81" s="65" t="s">
        <v>126</v>
      </c>
      <c r="R81" s="65" t="s">
        <v>28</v>
      </c>
      <c r="U81" t="s">
        <v>1280</v>
      </c>
      <c r="V81" t="s">
        <v>3073</v>
      </c>
      <c r="W81" s="65" t="s">
        <v>29</v>
      </c>
      <c r="X81" s="65" t="s">
        <v>29</v>
      </c>
      <c r="Y81" s="65" t="s">
        <v>69</v>
      </c>
      <c r="AD81" s="65" t="s">
        <v>23</v>
      </c>
      <c r="AE81" s="65" t="s">
        <v>24</v>
      </c>
      <c r="AW81" s="73">
        <v>15</v>
      </c>
      <c r="AY81" s="73">
        <v>15</v>
      </c>
      <c r="BO81" s="185" t="s">
        <v>3794</v>
      </c>
      <c r="BP81" s="185" t="s">
        <v>3794</v>
      </c>
      <c r="BQ81" s="185" t="s">
        <v>126</v>
      </c>
      <c r="BW81" s="73"/>
      <c r="BY81" s="185" t="s">
        <v>3794</v>
      </c>
      <c r="CG81" s="73">
        <v>15</v>
      </c>
      <c r="CI81" s="73">
        <v>15</v>
      </c>
      <c r="CJ81" t="s">
        <v>25</v>
      </c>
      <c r="CK81" t="s">
        <v>25</v>
      </c>
      <c r="CL81" t="s">
        <v>25</v>
      </c>
      <c r="CM81" t="s">
        <v>25</v>
      </c>
      <c r="CN81" t="s">
        <v>25</v>
      </c>
      <c r="CO81" t="s">
        <v>25</v>
      </c>
      <c r="CP81" t="s">
        <v>25</v>
      </c>
      <c r="CQ81" t="s">
        <v>25</v>
      </c>
      <c r="CR81" t="s">
        <v>25</v>
      </c>
      <c r="CS81" t="s">
        <v>25</v>
      </c>
      <c r="CT81" t="s">
        <v>25</v>
      </c>
      <c r="CU81" t="s">
        <v>60</v>
      </c>
      <c r="CV81" t="s">
        <v>25</v>
      </c>
      <c r="CW81" t="s">
        <v>25</v>
      </c>
      <c r="CX81" t="s">
        <v>25</v>
      </c>
      <c r="CY81" t="s">
        <v>25</v>
      </c>
      <c r="CZ81" t="s">
        <v>25</v>
      </c>
      <c r="DA81" t="s">
        <v>25</v>
      </c>
      <c r="DB81" t="s">
        <v>25</v>
      </c>
      <c r="DC81" t="s">
        <v>25</v>
      </c>
      <c r="DD81" t="s">
        <v>25</v>
      </c>
      <c r="DE81" t="s">
        <v>25</v>
      </c>
      <c r="DF81" t="s">
        <v>25</v>
      </c>
      <c r="DG81" t="s">
        <v>25</v>
      </c>
      <c r="DH81" t="s">
        <v>25</v>
      </c>
      <c r="DI81" t="s">
        <v>25</v>
      </c>
      <c r="DJ81" s="76">
        <v>0.31900000572204601</v>
      </c>
      <c r="DK81" s="73">
        <v>15</v>
      </c>
      <c r="DL81" s="73">
        <v>0</v>
      </c>
      <c r="DM81" s="73">
        <v>15</v>
      </c>
      <c r="DU81"/>
      <c r="DZ81" s="73">
        <v>0</v>
      </c>
      <c r="EA81" s="73">
        <v>0</v>
      </c>
      <c r="EB81" s="73">
        <v>0</v>
      </c>
    </row>
    <row r="82" spans="1:133" ht="12" customHeight="1" x14ac:dyDescent="0.2">
      <c r="A82" t="s">
        <v>2937</v>
      </c>
      <c r="B82" t="s">
        <v>2946</v>
      </c>
      <c r="C82" t="str">
        <f t="shared" si="3"/>
        <v>Full</v>
      </c>
      <c r="E82" s="65">
        <v>1846</v>
      </c>
      <c r="F82" t="s">
        <v>1464</v>
      </c>
      <c r="G82" s="71" t="s">
        <v>2904</v>
      </c>
      <c r="H82" s="67">
        <v>7.9999998211860698E-2</v>
      </c>
      <c r="I82" s="65">
        <v>525688</v>
      </c>
      <c r="J82" s="65">
        <v>173643</v>
      </c>
      <c r="L82" s="65" t="s">
        <v>1166</v>
      </c>
      <c r="M82" s="65" t="s">
        <v>27</v>
      </c>
      <c r="N82" s="69">
        <v>42720</v>
      </c>
      <c r="O82" s="69">
        <v>42879</v>
      </c>
      <c r="P82" s="65" t="s">
        <v>126</v>
      </c>
      <c r="R82" s="65" t="s">
        <v>28</v>
      </c>
      <c r="U82" t="s">
        <v>1167</v>
      </c>
      <c r="V82" t="s">
        <v>3074</v>
      </c>
      <c r="W82" s="65" t="s">
        <v>39</v>
      </c>
      <c r="X82" s="65" t="s">
        <v>39</v>
      </c>
      <c r="Y82" s="65" t="s">
        <v>69</v>
      </c>
      <c r="AD82" s="65" t="s">
        <v>23</v>
      </c>
      <c r="AE82" s="65" t="s">
        <v>24</v>
      </c>
      <c r="AP82" s="73">
        <v>67</v>
      </c>
      <c r="AS82" s="73">
        <v>67</v>
      </c>
      <c r="AV82" s="73">
        <v>67</v>
      </c>
      <c r="BO82" s="185" t="s">
        <v>3794</v>
      </c>
      <c r="BP82" s="185" t="s">
        <v>126</v>
      </c>
      <c r="BQ82" s="185" t="s">
        <v>3794</v>
      </c>
      <c r="BW82" s="73"/>
      <c r="BX82" s="73">
        <v>67</v>
      </c>
      <c r="BY82" s="185" t="s">
        <v>3794</v>
      </c>
      <c r="CD82" s="73">
        <v>67</v>
      </c>
      <c r="CJ82" t="s">
        <v>25</v>
      </c>
      <c r="CK82" t="s">
        <v>25</v>
      </c>
      <c r="CL82" t="s">
        <v>25</v>
      </c>
      <c r="CM82" t="s">
        <v>25</v>
      </c>
      <c r="CN82" t="s">
        <v>25</v>
      </c>
      <c r="CO82" t="s">
        <v>47</v>
      </c>
      <c r="CP82" t="s">
        <v>25</v>
      </c>
      <c r="CQ82" t="s">
        <v>25</v>
      </c>
      <c r="CR82" t="s">
        <v>25</v>
      </c>
      <c r="CS82" t="s">
        <v>25</v>
      </c>
      <c r="CT82" t="s">
        <v>25</v>
      </c>
      <c r="CU82" t="s">
        <v>25</v>
      </c>
      <c r="CV82" t="s">
        <v>25</v>
      </c>
      <c r="CW82" t="s">
        <v>25</v>
      </c>
      <c r="CX82" t="s">
        <v>25</v>
      </c>
      <c r="CY82" t="s">
        <v>25</v>
      </c>
      <c r="CZ82" t="s">
        <v>25</v>
      </c>
      <c r="DA82" t="s">
        <v>25</v>
      </c>
      <c r="DB82" t="s">
        <v>25</v>
      </c>
      <c r="DC82" t="s">
        <v>25</v>
      </c>
      <c r="DD82" t="s">
        <v>25</v>
      </c>
      <c r="DE82" t="s">
        <v>25</v>
      </c>
      <c r="DF82" t="s">
        <v>25</v>
      </c>
      <c r="DG82" t="s">
        <v>25</v>
      </c>
      <c r="DH82" t="s">
        <v>25</v>
      </c>
      <c r="DI82" t="s">
        <v>25</v>
      </c>
      <c r="DJ82" s="76">
        <v>7.9999998211860698E-2</v>
      </c>
      <c r="DK82" s="73">
        <v>67</v>
      </c>
      <c r="DL82" s="73">
        <v>0</v>
      </c>
      <c r="DM82" s="73">
        <v>67</v>
      </c>
      <c r="DQ82" s="65" t="s">
        <v>126</v>
      </c>
      <c r="DR82" t="s">
        <v>2905</v>
      </c>
      <c r="DU82"/>
      <c r="DZ82" s="73">
        <v>0</v>
      </c>
      <c r="EA82" s="73">
        <v>0</v>
      </c>
      <c r="EB82" s="73">
        <v>0</v>
      </c>
    </row>
    <row r="83" spans="1:133" ht="12" customHeight="1" x14ac:dyDescent="0.2">
      <c r="A83" t="s">
        <v>2938</v>
      </c>
      <c r="B83" t="s">
        <v>2959</v>
      </c>
      <c r="C83" t="str">
        <f t="shared" si="3"/>
        <v>Appeal</v>
      </c>
      <c r="E83" s="65">
        <v>1847</v>
      </c>
      <c r="F83" t="s">
        <v>1465</v>
      </c>
      <c r="G83" s="71" t="s">
        <v>3951</v>
      </c>
      <c r="H83" s="67">
        <v>3.4000001847744002E-2</v>
      </c>
      <c r="I83" s="65">
        <v>527213</v>
      </c>
      <c r="J83" s="65">
        <v>170860</v>
      </c>
      <c r="L83" s="65" t="s">
        <v>1466</v>
      </c>
      <c r="M83" s="65" t="s">
        <v>19</v>
      </c>
      <c r="N83" s="69">
        <v>42877</v>
      </c>
      <c r="O83" s="69">
        <v>42933</v>
      </c>
      <c r="P83" s="65" t="s">
        <v>126</v>
      </c>
      <c r="R83" s="65" t="s">
        <v>987</v>
      </c>
      <c r="S83" s="69">
        <v>43110</v>
      </c>
      <c r="U83" t="s">
        <v>1467</v>
      </c>
      <c r="V83" t="s">
        <v>3075</v>
      </c>
      <c r="W83" s="65" t="s">
        <v>29</v>
      </c>
      <c r="X83" s="65" t="s">
        <v>29</v>
      </c>
      <c r="Y83" s="65" t="s">
        <v>69</v>
      </c>
      <c r="AD83" s="65" t="s">
        <v>23</v>
      </c>
      <c r="AE83" s="65" t="s">
        <v>54</v>
      </c>
      <c r="BO83" s="185" t="s">
        <v>3794</v>
      </c>
      <c r="BP83" s="185" t="s">
        <v>3794</v>
      </c>
      <c r="BQ83" s="185" t="s">
        <v>3794</v>
      </c>
      <c r="BW83" s="73"/>
      <c r="BY83" s="185" t="s">
        <v>3794</v>
      </c>
      <c r="CJ83" t="s">
        <v>25</v>
      </c>
      <c r="CK83" t="s">
        <v>25</v>
      </c>
      <c r="CL83" t="s">
        <v>25</v>
      </c>
      <c r="CM83" t="s">
        <v>25</v>
      </c>
      <c r="CN83" t="s">
        <v>25</v>
      </c>
      <c r="CO83" t="s">
        <v>25</v>
      </c>
      <c r="CP83" t="s">
        <v>25</v>
      </c>
      <c r="CQ83" t="s">
        <v>25</v>
      </c>
      <c r="CR83" t="s">
        <v>25</v>
      </c>
      <c r="CS83" t="s">
        <v>25</v>
      </c>
      <c r="CT83" t="s">
        <v>25</v>
      </c>
      <c r="CU83" t="s">
        <v>25</v>
      </c>
      <c r="CV83" t="s">
        <v>25</v>
      </c>
      <c r="CW83" t="s">
        <v>25</v>
      </c>
      <c r="CX83" t="s">
        <v>25</v>
      </c>
      <c r="CY83" t="s">
        <v>25</v>
      </c>
      <c r="CZ83" t="s">
        <v>25</v>
      </c>
      <c r="DA83" t="s">
        <v>25</v>
      </c>
      <c r="DB83" t="s">
        <v>25</v>
      </c>
      <c r="DC83" t="s">
        <v>25</v>
      </c>
      <c r="DD83" t="s">
        <v>25</v>
      </c>
      <c r="DE83" t="s">
        <v>25</v>
      </c>
      <c r="DF83" t="s">
        <v>25</v>
      </c>
      <c r="DG83" t="s">
        <v>25</v>
      </c>
      <c r="DH83" t="s">
        <v>25</v>
      </c>
      <c r="DI83" t="s">
        <v>25</v>
      </c>
      <c r="DJ83" s="76">
        <v>0</v>
      </c>
      <c r="DK83" s="73">
        <v>0</v>
      </c>
      <c r="DL83" s="73">
        <v>223</v>
      </c>
      <c r="DM83" s="73">
        <v>-223</v>
      </c>
      <c r="DU83"/>
      <c r="DZ83" s="73">
        <v>73</v>
      </c>
      <c r="EA83" s="73">
        <v>0</v>
      </c>
      <c r="EB83" s="73">
        <v>73</v>
      </c>
      <c r="EC83" s="65" t="s">
        <v>126</v>
      </c>
    </row>
    <row r="84" spans="1:133" ht="12" customHeight="1" x14ac:dyDescent="0.2">
      <c r="A84" t="s">
        <v>2938</v>
      </c>
      <c r="B84" t="s">
        <v>2946</v>
      </c>
      <c r="C84" t="str">
        <f t="shared" si="3"/>
        <v>Full</v>
      </c>
      <c r="E84" s="65">
        <v>1867</v>
      </c>
      <c r="F84" t="s">
        <v>1468</v>
      </c>
      <c r="G84" s="71" t="s">
        <v>2904</v>
      </c>
      <c r="H84" s="67">
        <v>2.9999999329447701E-2</v>
      </c>
      <c r="I84" s="65">
        <v>526162</v>
      </c>
      <c r="J84" s="65">
        <v>172667</v>
      </c>
      <c r="L84" s="65" t="s">
        <v>1469</v>
      </c>
      <c r="M84" s="65" t="s">
        <v>172</v>
      </c>
      <c r="N84" s="69">
        <v>43117</v>
      </c>
      <c r="R84" s="65" t="s">
        <v>28</v>
      </c>
      <c r="U84" t="s">
        <v>1470</v>
      </c>
      <c r="V84" t="s">
        <v>3076</v>
      </c>
      <c r="W84" s="65" t="s">
        <v>29</v>
      </c>
      <c r="X84" s="65" t="s">
        <v>29</v>
      </c>
      <c r="Y84" s="65" t="s">
        <v>69</v>
      </c>
      <c r="AD84" s="65" t="s">
        <v>173</v>
      </c>
      <c r="AE84" s="65" t="s">
        <v>24</v>
      </c>
      <c r="BJ84" s="73">
        <v>122</v>
      </c>
      <c r="BK84" s="73">
        <v>122</v>
      </c>
      <c r="BO84" s="185" t="s">
        <v>3794</v>
      </c>
      <c r="BP84" s="185" t="s">
        <v>126</v>
      </c>
      <c r="BQ84" s="185" t="s">
        <v>3794</v>
      </c>
      <c r="BW84" s="73"/>
      <c r="BY84" s="185" t="s">
        <v>3794</v>
      </c>
      <c r="CC84" s="73">
        <v>-122</v>
      </c>
      <c r="CD84" s="73">
        <v>-122</v>
      </c>
      <c r="CE84" s="65" t="s">
        <v>126</v>
      </c>
      <c r="CJ84" t="s">
        <v>25</v>
      </c>
      <c r="CK84" t="s">
        <v>25</v>
      </c>
      <c r="CL84" t="s">
        <v>25</v>
      </c>
      <c r="CM84" t="s">
        <v>25</v>
      </c>
      <c r="CN84" t="s">
        <v>25</v>
      </c>
      <c r="CO84" t="s">
        <v>25</v>
      </c>
      <c r="CP84" t="s">
        <v>25</v>
      </c>
      <c r="CQ84" t="s">
        <v>25</v>
      </c>
      <c r="CR84" t="s">
        <v>25</v>
      </c>
      <c r="CS84" t="s">
        <v>25</v>
      </c>
      <c r="CT84" t="s">
        <v>25</v>
      </c>
      <c r="CU84" t="s">
        <v>25</v>
      </c>
      <c r="CV84" t="s">
        <v>25</v>
      </c>
      <c r="CW84" t="s">
        <v>25</v>
      </c>
      <c r="CX84" t="s">
        <v>25</v>
      </c>
      <c r="CY84" t="s">
        <v>25</v>
      </c>
      <c r="CZ84" t="s">
        <v>25</v>
      </c>
      <c r="DA84" t="s">
        <v>25</v>
      </c>
      <c r="DB84" t="s">
        <v>25</v>
      </c>
      <c r="DC84" t="s">
        <v>25</v>
      </c>
      <c r="DD84" t="s">
        <v>25</v>
      </c>
      <c r="DE84" t="s">
        <v>25</v>
      </c>
      <c r="DF84" t="s">
        <v>53</v>
      </c>
      <c r="DG84" t="s">
        <v>25</v>
      </c>
      <c r="DH84" t="s">
        <v>25</v>
      </c>
      <c r="DI84" t="s">
        <v>25</v>
      </c>
      <c r="DJ84" s="76">
        <v>0</v>
      </c>
      <c r="DK84" s="73">
        <v>0</v>
      </c>
      <c r="DL84" s="73">
        <v>122</v>
      </c>
      <c r="DM84" s="73">
        <v>-122</v>
      </c>
      <c r="DU84"/>
      <c r="DZ84" s="73">
        <v>403</v>
      </c>
      <c r="EA84" s="73">
        <v>0</v>
      </c>
      <c r="EB84" s="73">
        <v>403</v>
      </c>
      <c r="EC84" s="65" t="s">
        <v>126</v>
      </c>
    </row>
    <row r="85" spans="1:133" ht="12" customHeight="1" x14ac:dyDescent="0.2">
      <c r="A85" t="s">
        <v>2937</v>
      </c>
      <c r="B85" t="s">
        <v>2948</v>
      </c>
      <c r="C85" t="str">
        <f t="shared" si="3"/>
        <v>Prior Approval</v>
      </c>
      <c r="E85" s="65">
        <v>1877</v>
      </c>
      <c r="F85" t="s">
        <v>1471</v>
      </c>
      <c r="G85" s="71" t="s">
        <v>3943</v>
      </c>
      <c r="H85" s="67">
        <v>0.12800000607967399</v>
      </c>
      <c r="I85" s="65">
        <v>526819</v>
      </c>
      <c r="J85" s="65">
        <v>176644</v>
      </c>
      <c r="L85" s="65" t="s">
        <v>563</v>
      </c>
      <c r="M85" s="65" t="s">
        <v>244</v>
      </c>
      <c r="N85" s="69">
        <v>42293</v>
      </c>
      <c r="O85" s="69">
        <v>42348</v>
      </c>
      <c r="R85" s="65" t="s">
        <v>28</v>
      </c>
      <c r="U85" t="s">
        <v>564</v>
      </c>
      <c r="V85" t="s">
        <v>3077</v>
      </c>
      <c r="W85" s="65" t="s">
        <v>21</v>
      </c>
      <c r="X85" s="65" t="s">
        <v>21</v>
      </c>
      <c r="Y85" s="65" t="s">
        <v>69</v>
      </c>
      <c r="AD85" s="65" t="s">
        <v>23</v>
      </c>
      <c r="AE85" s="65" t="s">
        <v>24</v>
      </c>
      <c r="BF85" s="73">
        <v>228</v>
      </c>
      <c r="BK85" s="73">
        <v>228</v>
      </c>
      <c r="BO85" s="185" t="s">
        <v>3794</v>
      </c>
      <c r="BP85" s="185" t="s">
        <v>126</v>
      </c>
      <c r="BQ85" s="185" t="s">
        <v>3794</v>
      </c>
      <c r="BW85" s="73"/>
      <c r="BX85" s="73">
        <v>-228</v>
      </c>
      <c r="BY85" s="185" t="s">
        <v>126</v>
      </c>
      <c r="CD85" s="73">
        <v>-228</v>
      </c>
      <c r="CE85" s="65" t="s">
        <v>126</v>
      </c>
      <c r="CJ85" t="s">
        <v>25</v>
      </c>
      <c r="CK85" t="s">
        <v>25</v>
      </c>
      <c r="CL85" t="s">
        <v>25</v>
      </c>
      <c r="CM85" t="s">
        <v>25</v>
      </c>
      <c r="CN85" t="s">
        <v>25</v>
      </c>
      <c r="CO85" t="s">
        <v>25</v>
      </c>
      <c r="CP85" t="s">
        <v>25</v>
      </c>
      <c r="CQ85" t="s">
        <v>25</v>
      </c>
      <c r="CR85" t="s">
        <v>25</v>
      </c>
      <c r="CS85" t="s">
        <v>25</v>
      </c>
      <c r="CT85" t="s">
        <v>25</v>
      </c>
      <c r="CU85" t="s">
        <v>25</v>
      </c>
      <c r="CV85" t="s">
        <v>25</v>
      </c>
      <c r="CW85" t="s">
        <v>25</v>
      </c>
      <c r="CX85" t="s">
        <v>25</v>
      </c>
      <c r="CY85" t="s">
        <v>25</v>
      </c>
      <c r="CZ85" t="s">
        <v>25</v>
      </c>
      <c r="DA85" t="s">
        <v>25</v>
      </c>
      <c r="DB85" t="s">
        <v>47</v>
      </c>
      <c r="DC85" t="s">
        <v>25</v>
      </c>
      <c r="DD85" t="s">
        <v>25</v>
      </c>
      <c r="DE85" t="s">
        <v>25</v>
      </c>
      <c r="DF85" t="s">
        <v>25</v>
      </c>
      <c r="DG85" t="s">
        <v>25</v>
      </c>
      <c r="DH85" t="s">
        <v>25</v>
      </c>
      <c r="DI85" t="s">
        <v>25</v>
      </c>
      <c r="DJ85" s="76">
        <v>9.1000005602836789E-2</v>
      </c>
      <c r="DK85" s="73">
        <v>0</v>
      </c>
      <c r="DL85" s="73">
        <v>228</v>
      </c>
      <c r="DM85" s="73">
        <v>-228</v>
      </c>
      <c r="DU85"/>
      <c r="DZ85" s="73">
        <v>228</v>
      </c>
      <c r="EA85" s="73">
        <v>0</v>
      </c>
      <c r="EB85" s="73">
        <v>228</v>
      </c>
      <c r="EC85" s="65" t="s">
        <v>126</v>
      </c>
    </row>
    <row r="86" spans="1:133" ht="12" customHeight="1" x14ac:dyDescent="0.2">
      <c r="A86" t="s">
        <v>2937</v>
      </c>
      <c r="B86" t="s">
        <v>2946</v>
      </c>
      <c r="C86" t="str">
        <f t="shared" si="3"/>
        <v>Full</v>
      </c>
      <c r="E86" s="65">
        <v>1882</v>
      </c>
      <c r="F86" t="s">
        <v>1472</v>
      </c>
      <c r="G86" s="71" t="s">
        <v>2907</v>
      </c>
      <c r="H86" s="67">
        <v>1.9700000062584901E-2</v>
      </c>
      <c r="I86" s="65">
        <v>525371</v>
      </c>
      <c r="J86" s="65">
        <v>174659</v>
      </c>
      <c r="L86" s="65" t="s">
        <v>1080</v>
      </c>
      <c r="M86" s="65" t="s">
        <v>27</v>
      </c>
      <c r="N86" s="69">
        <v>42657</v>
      </c>
      <c r="O86" s="69">
        <v>42713</v>
      </c>
      <c r="R86" s="65" t="s">
        <v>28</v>
      </c>
      <c r="U86" t="s">
        <v>1081</v>
      </c>
      <c r="V86" t="s">
        <v>3078</v>
      </c>
      <c r="W86" s="65" t="s">
        <v>21</v>
      </c>
      <c r="X86" s="65" t="s">
        <v>21</v>
      </c>
      <c r="Y86" s="65" t="s">
        <v>59</v>
      </c>
      <c r="AD86" s="65" t="s">
        <v>23</v>
      </c>
      <c r="AE86" s="65" t="s">
        <v>24</v>
      </c>
      <c r="AP86" s="73">
        <v>360</v>
      </c>
      <c r="AS86" s="73">
        <v>360</v>
      </c>
      <c r="AV86" s="73">
        <v>360</v>
      </c>
      <c r="BB86" s="73">
        <v>336</v>
      </c>
      <c r="BE86" s="73">
        <v>336</v>
      </c>
      <c r="BO86" s="185" t="s">
        <v>126</v>
      </c>
      <c r="BP86" s="185" t="s">
        <v>126</v>
      </c>
      <c r="BQ86" s="185" t="s">
        <v>3794</v>
      </c>
      <c r="BT86" s="73">
        <v>-336</v>
      </c>
      <c r="BW86" s="73">
        <v>-336</v>
      </c>
      <c r="BX86" s="73">
        <v>360</v>
      </c>
      <c r="BY86" s="185" t="s">
        <v>3794</v>
      </c>
      <c r="CD86" s="73">
        <v>360</v>
      </c>
      <c r="CJ86" t="s">
        <v>25</v>
      </c>
      <c r="CK86" t="s">
        <v>25</v>
      </c>
      <c r="CL86" t="s">
        <v>25</v>
      </c>
      <c r="CM86" t="s">
        <v>25</v>
      </c>
      <c r="CN86" t="s">
        <v>25</v>
      </c>
      <c r="CO86" t="s">
        <v>31</v>
      </c>
      <c r="CP86" t="s">
        <v>25</v>
      </c>
      <c r="CQ86" t="s">
        <v>25</v>
      </c>
      <c r="CR86" t="s">
        <v>25</v>
      </c>
      <c r="CS86" t="s">
        <v>25</v>
      </c>
      <c r="CT86" t="s">
        <v>25</v>
      </c>
      <c r="CU86" t="s">
        <v>25</v>
      </c>
      <c r="CV86" t="s">
        <v>25</v>
      </c>
      <c r="CW86" t="s">
        <v>25</v>
      </c>
      <c r="CX86" t="s">
        <v>25</v>
      </c>
      <c r="CY86" t="s">
        <v>38</v>
      </c>
      <c r="CZ86" t="s">
        <v>25</v>
      </c>
      <c r="DA86" t="s">
        <v>25</v>
      </c>
      <c r="DB86" t="s">
        <v>25</v>
      </c>
      <c r="DC86" t="s">
        <v>25</v>
      </c>
      <c r="DD86" t="s">
        <v>25</v>
      </c>
      <c r="DE86" t="s">
        <v>25</v>
      </c>
      <c r="DF86" t="s">
        <v>25</v>
      </c>
      <c r="DG86" t="s">
        <v>25</v>
      </c>
      <c r="DH86" t="s">
        <v>25</v>
      </c>
      <c r="DI86" t="s">
        <v>25</v>
      </c>
      <c r="DJ86" s="76">
        <v>1.9700000062584901E-2</v>
      </c>
      <c r="DK86" s="73">
        <v>360</v>
      </c>
      <c r="DL86" s="73">
        <v>336</v>
      </c>
      <c r="DM86" s="73">
        <v>24</v>
      </c>
      <c r="DU86"/>
      <c r="DV86" s="65" t="s">
        <v>126</v>
      </c>
      <c r="DW86" t="s">
        <v>151</v>
      </c>
      <c r="DZ86" s="73">
        <v>0</v>
      </c>
      <c r="EA86" s="73">
        <v>0</v>
      </c>
      <c r="EB86" s="73">
        <v>0</v>
      </c>
    </row>
    <row r="87" spans="1:133" ht="12" customHeight="1" x14ac:dyDescent="0.2">
      <c r="A87" t="s">
        <v>2937</v>
      </c>
      <c r="B87" t="s">
        <v>2946</v>
      </c>
      <c r="C87" t="str">
        <f t="shared" si="3"/>
        <v>Full</v>
      </c>
      <c r="E87" s="65">
        <v>1912</v>
      </c>
      <c r="F87" t="s">
        <v>1473</v>
      </c>
      <c r="G87" s="71" t="s">
        <v>149</v>
      </c>
      <c r="H87" s="67">
        <v>6.8999998271465302E-2</v>
      </c>
      <c r="I87" s="65">
        <v>528924</v>
      </c>
      <c r="J87" s="65">
        <v>173571</v>
      </c>
      <c r="L87" s="65" t="s">
        <v>1474</v>
      </c>
      <c r="M87" s="65" t="s">
        <v>27</v>
      </c>
      <c r="N87" s="69">
        <v>42879</v>
      </c>
      <c r="O87" s="69">
        <v>43003</v>
      </c>
      <c r="P87" s="65" t="s">
        <v>126</v>
      </c>
      <c r="R87" s="65" t="s">
        <v>28</v>
      </c>
      <c r="U87" t="s">
        <v>1475</v>
      </c>
      <c r="V87" t="s">
        <v>3079</v>
      </c>
      <c r="W87" s="65" t="s">
        <v>29</v>
      </c>
      <c r="X87" s="65" t="s">
        <v>29</v>
      </c>
      <c r="Y87" s="65" t="s">
        <v>59</v>
      </c>
      <c r="AD87" s="65" t="s">
        <v>23</v>
      </c>
      <c r="AE87" s="65" t="s">
        <v>24</v>
      </c>
      <c r="BO87" s="185" t="s">
        <v>3794</v>
      </c>
      <c r="BP87" s="185" t="s">
        <v>3794</v>
      </c>
      <c r="BQ87" s="185" t="s">
        <v>3794</v>
      </c>
      <c r="BW87" s="73"/>
      <c r="BY87" s="185" t="s">
        <v>3794</v>
      </c>
      <c r="CJ87" t="s">
        <v>25</v>
      </c>
      <c r="CK87" t="s">
        <v>25</v>
      </c>
      <c r="CL87" t="s">
        <v>25</v>
      </c>
      <c r="CM87" t="s">
        <v>25</v>
      </c>
      <c r="CN87" t="s">
        <v>25</v>
      </c>
      <c r="CO87" t="s">
        <v>25</v>
      </c>
      <c r="CP87" t="s">
        <v>25</v>
      </c>
      <c r="CQ87" t="s">
        <v>25</v>
      </c>
      <c r="CR87" t="s">
        <v>25</v>
      </c>
      <c r="CS87" t="s">
        <v>25</v>
      </c>
      <c r="CT87" t="s">
        <v>25</v>
      </c>
      <c r="CU87" t="s">
        <v>25</v>
      </c>
      <c r="CV87" t="s">
        <v>25</v>
      </c>
      <c r="CW87" t="s">
        <v>25</v>
      </c>
      <c r="CX87" t="s">
        <v>25</v>
      </c>
      <c r="CY87" t="s">
        <v>25</v>
      </c>
      <c r="CZ87" t="s">
        <v>25</v>
      </c>
      <c r="DA87" t="s">
        <v>25</v>
      </c>
      <c r="DB87" t="s">
        <v>25</v>
      </c>
      <c r="DC87" t="s">
        <v>25</v>
      </c>
      <c r="DD87" t="s">
        <v>25</v>
      </c>
      <c r="DE87" t="s">
        <v>25</v>
      </c>
      <c r="DF87" t="s">
        <v>25</v>
      </c>
      <c r="DG87" t="s">
        <v>25</v>
      </c>
      <c r="DH87" t="s">
        <v>25</v>
      </c>
      <c r="DI87" t="s">
        <v>25</v>
      </c>
      <c r="DJ87" s="76">
        <v>0</v>
      </c>
      <c r="DK87" s="73">
        <v>0</v>
      </c>
      <c r="DL87" s="73">
        <v>316</v>
      </c>
      <c r="DM87" s="73">
        <v>-316</v>
      </c>
      <c r="DU87"/>
      <c r="DZ87" s="73">
        <v>1379</v>
      </c>
      <c r="EA87" s="73">
        <v>0</v>
      </c>
      <c r="EB87" s="73">
        <v>1379</v>
      </c>
      <c r="EC87" s="65" t="s">
        <v>126</v>
      </c>
    </row>
    <row r="88" spans="1:133" ht="12" customHeight="1" x14ac:dyDescent="0.2">
      <c r="A88" t="s">
        <v>2935</v>
      </c>
      <c r="B88" t="s">
        <v>2946</v>
      </c>
      <c r="C88" t="str">
        <f t="shared" si="3"/>
        <v>Full</v>
      </c>
      <c r="E88" s="65">
        <v>1952</v>
      </c>
      <c r="F88" t="s">
        <v>1476</v>
      </c>
      <c r="G88" s="71" t="s">
        <v>3947</v>
      </c>
      <c r="H88" s="67">
        <v>0.17100000381469699</v>
      </c>
      <c r="I88" s="65">
        <v>528781</v>
      </c>
      <c r="J88" s="65">
        <v>177000</v>
      </c>
      <c r="L88" s="65" t="s">
        <v>251</v>
      </c>
      <c r="M88" s="65" t="s">
        <v>33</v>
      </c>
      <c r="N88" s="69">
        <v>41701</v>
      </c>
      <c r="O88" s="69">
        <v>41940</v>
      </c>
      <c r="Q88" s="69">
        <v>41837</v>
      </c>
      <c r="R88" s="65" t="s">
        <v>28</v>
      </c>
      <c r="U88" t="s">
        <v>697</v>
      </c>
      <c r="V88" t="s">
        <v>3080</v>
      </c>
      <c r="W88" s="65" t="s">
        <v>29</v>
      </c>
      <c r="X88" s="65" t="s">
        <v>29</v>
      </c>
      <c r="Y88" s="65" t="s">
        <v>30</v>
      </c>
      <c r="Z88" s="69">
        <v>39903</v>
      </c>
      <c r="AA88" s="69">
        <v>42907</v>
      </c>
      <c r="AD88" s="65" t="s">
        <v>23</v>
      </c>
      <c r="AE88" s="65" t="s">
        <v>24</v>
      </c>
      <c r="AH88" s="69">
        <f t="shared" si="5"/>
        <v>42907</v>
      </c>
      <c r="AJ88" s="73">
        <v>488</v>
      </c>
      <c r="AO88" s="73">
        <v>488</v>
      </c>
      <c r="AW88" s="73">
        <v>793</v>
      </c>
      <c r="AY88" s="73">
        <v>793</v>
      </c>
      <c r="BL88" s="73">
        <v>1036</v>
      </c>
      <c r="BN88" s="73">
        <v>1036</v>
      </c>
      <c r="BO88" s="185" t="s">
        <v>126</v>
      </c>
      <c r="BP88" s="185" t="s">
        <v>3794</v>
      </c>
      <c r="BQ88" s="185" t="s">
        <v>126</v>
      </c>
      <c r="BR88" s="73">
        <v>488</v>
      </c>
      <c r="BW88" s="73">
        <v>488</v>
      </c>
      <c r="BY88" s="185" t="s">
        <v>3794</v>
      </c>
      <c r="CG88" s="73">
        <v>-243</v>
      </c>
      <c r="CI88" s="73">
        <v>-243</v>
      </c>
      <c r="CJ88" t="s">
        <v>31</v>
      </c>
      <c r="CK88" t="s">
        <v>25</v>
      </c>
      <c r="CL88" t="s">
        <v>25</v>
      </c>
      <c r="CM88" t="s">
        <v>25</v>
      </c>
      <c r="CN88" t="s">
        <v>25</v>
      </c>
      <c r="CO88" t="s">
        <v>25</v>
      </c>
      <c r="CP88" t="s">
        <v>25</v>
      </c>
      <c r="CQ88" t="s">
        <v>25</v>
      </c>
      <c r="CR88" t="s">
        <v>25</v>
      </c>
      <c r="CS88" t="s">
        <v>25</v>
      </c>
      <c r="CT88" t="s">
        <v>25</v>
      </c>
      <c r="CU88" t="s">
        <v>37</v>
      </c>
      <c r="CV88" t="s">
        <v>25</v>
      </c>
      <c r="CW88" t="s">
        <v>25</v>
      </c>
      <c r="CX88" t="s">
        <v>25</v>
      </c>
      <c r="CY88" t="s">
        <v>25</v>
      </c>
      <c r="CZ88" t="s">
        <v>25</v>
      </c>
      <c r="DA88" t="s">
        <v>25</v>
      </c>
      <c r="DB88" t="s">
        <v>25</v>
      </c>
      <c r="DC88" t="s">
        <v>25</v>
      </c>
      <c r="DD88" t="s">
        <v>25</v>
      </c>
      <c r="DE88" t="s">
        <v>25</v>
      </c>
      <c r="DF88" t="s">
        <v>25</v>
      </c>
      <c r="DG88" t="s">
        <v>25</v>
      </c>
      <c r="DH88" t="s">
        <v>37</v>
      </c>
      <c r="DI88" t="s">
        <v>25</v>
      </c>
      <c r="DJ88" s="76">
        <v>0</v>
      </c>
      <c r="DK88" s="73">
        <v>1281</v>
      </c>
      <c r="DL88" s="73">
        <v>1036</v>
      </c>
      <c r="DM88" s="73">
        <v>245</v>
      </c>
      <c r="DU88" s="65" t="s">
        <v>126</v>
      </c>
      <c r="DZ88" s="73">
        <v>2150</v>
      </c>
      <c r="EA88" s="73">
        <v>0</v>
      </c>
      <c r="EB88" s="73">
        <v>2150</v>
      </c>
      <c r="EC88" s="65" t="s">
        <v>126</v>
      </c>
    </row>
    <row r="89" spans="1:133" ht="12" customHeight="1" x14ac:dyDescent="0.2">
      <c r="A89" t="s">
        <v>2937</v>
      </c>
      <c r="B89" t="s">
        <v>2946</v>
      </c>
      <c r="C89" t="str">
        <f t="shared" si="3"/>
        <v>Full</v>
      </c>
      <c r="E89" s="65">
        <v>1962</v>
      </c>
      <c r="F89" t="s">
        <v>1477</v>
      </c>
      <c r="G89" s="71" t="s">
        <v>3942</v>
      </c>
      <c r="H89" s="67">
        <v>8.0000003799796104E-3</v>
      </c>
      <c r="I89" s="65">
        <v>527618</v>
      </c>
      <c r="J89" s="65">
        <v>174574</v>
      </c>
      <c r="L89" s="65" t="s">
        <v>1478</v>
      </c>
      <c r="M89" s="65" t="s">
        <v>27</v>
      </c>
      <c r="N89" s="69">
        <v>42984</v>
      </c>
      <c r="O89" s="69">
        <v>43040</v>
      </c>
      <c r="P89" s="65" t="s">
        <v>126</v>
      </c>
      <c r="R89" s="65" t="s">
        <v>28</v>
      </c>
      <c r="U89" t="s">
        <v>1479</v>
      </c>
      <c r="V89" t="s">
        <v>3081</v>
      </c>
      <c r="W89" s="65" t="s">
        <v>29</v>
      </c>
      <c r="X89" s="65" t="s">
        <v>29</v>
      </c>
      <c r="Y89" s="65" t="s">
        <v>69</v>
      </c>
      <c r="AD89" s="65" t="s">
        <v>23</v>
      </c>
      <c r="AE89" s="65" t="s">
        <v>24</v>
      </c>
      <c r="AP89" s="73">
        <v>70</v>
      </c>
      <c r="AS89" s="73">
        <v>70</v>
      </c>
      <c r="AV89" s="73">
        <v>70</v>
      </c>
      <c r="BI89" s="73">
        <v>31</v>
      </c>
      <c r="BK89" s="73">
        <v>31</v>
      </c>
      <c r="BO89" s="185" t="s">
        <v>3794</v>
      </c>
      <c r="BP89" s="185" t="s">
        <v>126</v>
      </c>
      <c r="BQ89" s="185" t="s">
        <v>3794</v>
      </c>
      <c r="BW89" s="73"/>
      <c r="BX89" s="73">
        <v>70</v>
      </c>
      <c r="BY89" s="185" t="s">
        <v>3794</v>
      </c>
      <c r="CB89" s="73">
        <v>-31</v>
      </c>
      <c r="CD89" s="73">
        <v>39</v>
      </c>
      <c r="CJ89" t="s">
        <v>25</v>
      </c>
      <c r="CK89" t="s">
        <v>25</v>
      </c>
      <c r="CL89" t="s">
        <v>25</v>
      </c>
      <c r="CM89" t="s">
        <v>25</v>
      </c>
      <c r="CN89" t="s">
        <v>25</v>
      </c>
      <c r="CO89" t="s">
        <v>31</v>
      </c>
      <c r="CP89" t="s">
        <v>25</v>
      </c>
      <c r="CQ89" t="s">
        <v>25</v>
      </c>
      <c r="CR89" t="s">
        <v>25</v>
      </c>
      <c r="CS89" t="s">
        <v>25</v>
      </c>
      <c r="CT89" t="s">
        <v>25</v>
      </c>
      <c r="CU89" t="s">
        <v>25</v>
      </c>
      <c r="CV89" t="s">
        <v>25</v>
      </c>
      <c r="CW89" t="s">
        <v>25</v>
      </c>
      <c r="CX89" t="s">
        <v>25</v>
      </c>
      <c r="CY89" t="s">
        <v>25</v>
      </c>
      <c r="CZ89" t="s">
        <v>25</v>
      </c>
      <c r="DA89" t="s">
        <v>25</v>
      </c>
      <c r="DB89" t="s">
        <v>25</v>
      </c>
      <c r="DC89" t="s">
        <v>25</v>
      </c>
      <c r="DD89" t="s">
        <v>25</v>
      </c>
      <c r="DE89" t="s">
        <v>47</v>
      </c>
      <c r="DF89" t="s">
        <v>25</v>
      </c>
      <c r="DG89" t="s">
        <v>25</v>
      </c>
      <c r="DH89" t="s">
        <v>25</v>
      </c>
      <c r="DI89" t="s">
        <v>25</v>
      </c>
      <c r="DJ89" s="76">
        <v>8.0000003799796104E-3</v>
      </c>
      <c r="DK89" s="73">
        <v>70</v>
      </c>
      <c r="DL89" s="73">
        <v>31</v>
      </c>
      <c r="DM89" s="73">
        <v>39</v>
      </c>
      <c r="DU89"/>
      <c r="DZ89" s="73">
        <v>0</v>
      </c>
      <c r="EA89" s="73">
        <v>0</v>
      </c>
      <c r="EB89" s="73">
        <v>0</v>
      </c>
    </row>
    <row r="90" spans="1:133" ht="12" customHeight="1" x14ac:dyDescent="0.2">
      <c r="A90" t="s">
        <v>2937</v>
      </c>
      <c r="B90" t="s">
        <v>2946</v>
      </c>
      <c r="C90" t="str">
        <f t="shared" si="3"/>
        <v>Full</v>
      </c>
      <c r="E90" s="65">
        <v>1971</v>
      </c>
      <c r="F90" t="s">
        <v>1480</v>
      </c>
      <c r="G90" s="71" t="s">
        <v>150</v>
      </c>
      <c r="H90" s="67">
        <v>9.6000000834464999E-2</v>
      </c>
      <c r="I90" s="65">
        <v>527831</v>
      </c>
      <c r="J90" s="65">
        <v>172116</v>
      </c>
      <c r="L90" s="65" t="s">
        <v>1062</v>
      </c>
      <c r="M90" s="65" t="s">
        <v>33</v>
      </c>
      <c r="N90" s="69">
        <v>42635</v>
      </c>
      <c r="O90" s="69">
        <v>43089</v>
      </c>
      <c r="P90" s="65" t="s">
        <v>126</v>
      </c>
      <c r="Q90" s="69">
        <v>42851</v>
      </c>
      <c r="R90" s="65" t="s">
        <v>28</v>
      </c>
      <c r="U90" t="s">
        <v>1063</v>
      </c>
      <c r="V90" t="s">
        <v>3082</v>
      </c>
      <c r="W90" s="65" t="s">
        <v>29</v>
      </c>
      <c r="X90" s="65" t="s">
        <v>29</v>
      </c>
      <c r="Y90" s="65" t="s">
        <v>69</v>
      </c>
      <c r="AD90" s="65" t="s">
        <v>23</v>
      </c>
      <c r="AE90" s="65" t="s">
        <v>24</v>
      </c>
      <c r="AW90" s="73">
        <v>77</v>
      </c>
      <c r="AY90" s="73">
        <v>77</v>
      </c>
      <c r="BO90" s="185" t="s">
        <v>3794</v>
      </c>
      <c r="BP90" s="185" t="s">
        <v>3794</v>
      </c>
      <c r="BQ90" s="185" t="s">
        <v>126</v>
      </c>
      <c r="BW90" s="73"/>
      <c r="BY90" s="185" t="s">
        <v>3794</v>
      </c>
      <c r="CG90" s="73">
        <v>77</v>
      </c>
      <c r="CI90" s="73">
        <v>77</v>
      </c>
      <c r="CJ90" t="s">
        <v>25</v>
      </c>
      <c r="CK90" t="s">
        <v>25</v>
      </c>
      <c r="CL90" t="s">
        <v>25</v>
      </c>
      <c r="CM90" t="s">
        <v>25</v>
      </c>
      <c r="CN90" t="s">
        <v>25</v>
      </c>
      <c r="CO90" t="s">
        <v>25</v>
      </c>
      <c r="CP90" t="s">
        <v>25</v>
      </c>
      <c r="CQ90" t="s">
        <v>25</v>
      </c>
      <c r="CR90" t="s">
        <v>25</v>
      </c>
      <c r="CS90" t="s">
        <v>25</v>
      </c>
      <c r="CT90" t="s">
        <v>25</v>
      </c>
      <c r="CU90" t="s">
        <v>41</v>
      </c>
      <c r="CV90" t="s">
        <v>25</v>
      </c>
      <c r="CW90" t="s">
        <v>25</v>
      </c>
      <c r="CX90" t="s">
        <v>25</v>
      </c>
      <c r="CY90" t="s">
        <v>25</v>
      </c>
      <c r="CZ90" t="s">
        <v>25</v>
      </c>
      <c r="DA90" t="s">
        <v>25</v>
      </c>
      <c r="DB90" t="s">
        <v>25</v>
      </c>
      <c r="DC90" t="s">
        <v>25</v>
      </c>
      <c r="DD90" t="s">
        <v>25</v>
      </c>
      <c r="DE90" t="s">
        <v>25</v>
      </c>
      <c r="DF90" t="s">
        <v>25</v>
      </c>
      <c r="DG90" t="s">
        <v>25</v>
      </c>
      <c r="DH90" t="s">
        <v>25</v>
      </c>
      <c r="DI90" t="s">
        <v>25</v>
      </c>
      <c r="DJ90" s="76">
        <v>8.9999996125697951E-3</v>
      </c>
      <c r="DK90" s="73">
        <v>77</v>
      </c>
      <c r="DL90" s="73">
        <v>81</v>
      </c>
      <c r="DM90" s="73">
        <v>-4</v>
      </c>
      <c r="DU90"/>
      <c r="DZ90" s="73">
        <v>1283</v>
      </c>
      <c r="EA90" s="73">
        <v>0</v>
      </c>
      <c r="EB90" s="73">
        <v>1283</v>
      </c>
      <c r="EC90" s="65" t="s">
        <v>126</v>
      </c>
    </row>
    <row r="91" spans="1:133" ht="12" customHeight="1" x14ac:dyDescent="0.2">
      <c r="A91" t="s">
        <v>2936</v>
      </c>
      <c r="B91" t="s">
        <v>2946</v>
      </c>
      <c r="C91" t="str">
        <f t="shared" si="3"/>
        <v>Full</v>
      </c>
      <c r="D91" t="s">
        <v>2943</v>
      </c>
      <c r="E91" s="65">
        <v>1975</v>
      </c>
      <c r="F91" t="s">
        <v>1481</v>
      </c>
      <c r="G91" s="71" t="s">
        <v>3949</v>
      </c>
      <c r="H91" s="67">
        <v>0.49900001287460299</v>
      </c>
      <c r="I91" s="65">
        <v>524443</v>
      </c>
      <c r="J91" s="65">
        <v>174930</v>
      </c>
      <c r="K91" s="65" t="s">
        <v>1482</v>
      </c>
      <c r="L91" s="65" t="s">
        <v>1252</v>
      </c>
      <c r="M91" s="65" t="s">
        <v>1363</v>
      </c>
      <c r="N91" s="69">
        <v>42773</v>
      </c>
      <c r="O91" s="69">
        <v>42796</v>
      </c>
      <c r="R91" s="65" t="s">
        <v>28</v>
      </c>
      <c r="U91" t="s">
        <v>1483</v>
      </c>
      <c r="V91" t="s">
        <v>3083</v>
      </c>
      <c r="W91" s="65" t="s">
        <v>29</v>
      </c>
      <c r="X91" s="65" t="s">
        <v>29</v>
      </c>
      <c r="Y91" s="65" t="s">
        <v>35</v>
      </c>
      <c r="AA91" s="69">
        <v>42826</v>
      </c>
      <c r="AB91" s="69">
        <v>43190</v>
      </c>
      <c r="AC91" s="69">
        <v>43190</v>
      </c>
      <c r="AD91" s="65" t="s">
        <v>23</v>
      </c>
      <c r="AE91" s="65" t="s">
        <v>24</v>
      </c>
      <c r="AH91" s="69">
        <f t="shared" si="5"/>
        <v>42826</v>
      </c>
      <c r="AI91" s="69">
        <f t="shared" si="4"/>
        <v>43190</v>
      </c>
      <c r="AP91" s="73">
        <v>83</v>
      </c>
      <c r="AS91" s="73">
        <v>83</v>
      </c>
      <c r="AV91" s="73">
        <v>83</v>
      </c>
      <c r="AW91" s="73">
        <v>83</v>
      </c>
      <c r="AY91" s="73">
        <v>83</v>
      </c>
      <c r="BL91" s="73">
        <v>166</v>
      </c>
      <c r="BN91" s="73">
        <v>166</v>
      </c>
      <c r="BO91" s="185" t="s">
        <v>3794</v>
      </c>
      <c r="BP91" s="185" t="s">
        <v>126</v>
      </c>
      <c r="BQ91" s="185" t="s">
        <v>126</v>
      </c>
      <c r="BW91" s="73"/>
      <c r="BX91" s="73">
        <v>83</v>
      </c>
      <c r="BY91" s="185" t="s">
        <v>3794</v>
      </c>
      <c r="CD91" s="73">
        <v>83</v>
      </c>
      <c r="CG91" s="73">
        <v>-83</v>
      </c>
      <c r="CI91" s="73">
        <v>-83</v>
      </c>
      <c r="CJ91" t="s">
        <v>25</v>
      </c>
      <c r="CK91" t="s">
        <v>25</v>
      </c>
      <c r="CL91" t="s">
        <v>25</v>
      </c>
      <c r="CM91" t="s">
        <v>25</v>
      </c>
      <c r="CN91" t="s">
        <v>25</v>
      </c>
      <c r="CO91" t="s">
        <v>31</v>
      </c>
      <c r="CP91" t="s">
        <v>25</v>
      </c>
      <c r="CQ91" t="s">
        <v>25</v>
      </c>
      <c r="CR91" t="s">
        <v>25</v>
      </c>
      <c r="CS91" t="s">
        <v>25</v>
      </c>
      <c r="CT91" t="s">
        <v>25</v>
      </c>
      <c r="CU91" t="s">
        <v>31</v>
      </c>
      <c r="CV91" t="s">
        <v>25</v>
      </c>
      <c r="CW91" t="s">
        <v>25</v>
      </c>
      <c r="CX91" t="s">
        <v>25</v>
      </c>
      <c r="CY91" t="s">
        <v>25</v>
      </c>
      <c r="CZ91" t="s">
        <v>25</v>
      </c>
      <c r="DA91" t="s">
        <v>25</v>
      </c>
      <c r="DB91" t="s">
        <v>25</v>
      </c>
      <c r="DC91" t="s">
        <v>25</v>
      </c>
      <c r="DD91" t="s">
        <v>25</v>
      </c>
      <c r="DE91" t="s">
        <v>25</v>
      </c>
      <c r="DF91" t="s">
        <v>25</v>
      </c>
      <c r="DG91" t="s">
        <v>25</v>
      </c>
      <c r="DH91" t="s">
        <v>49</v>
      </c>
      <c r="DI91" t="s">
        <v>25</v>
      </c>
      <c r="DJ91" s="76">
        <v>0.49900001287460299</v>
      </c>
      <c r="DK91" s="73">
        <v>166</v>
      </c>
      <c r="DL91" s="73">
        <v>166</v>
      </c>
      <c r="DM91" s="73">
        <v>0</v>
      </c>
      <c r="DU91"/>
      <c r="DV91" s="65" t="s">
        <v>126</v>
      </c>
      <c r="DW91" t="s">
        <v>131</v>
      </c>
      <c r="DZ91" s="73">
        <v>0</v>
      </c>
      <c r="EA91" s="73">
        <v>0</v>
      </c>
      <c r="EB91" s="73">
        <v>0</v>
      </c>
    </row>
    <row r="92" spans="1:133" ht="12" customHeight="1" x14ac:dyDescent="0.2">
      <c r="A92" t="s">
        <v>2937</v>
      </c>
      <c r="B92" t="s">
        <v>2946</v>
      </c>
      <c r="C92" t="str">
        <f t="shared" si="3"/>
        <v>Full</v>
      </c>
      <c r="E92" s="65">
        <v>1998</v>
      </c>
      <c r="F92" t="s">
        <v>1484</v>
      </c>
      <c r="G92" s="71" t="s">
        <v>3952</v>
      </c>
      <c r="H92" s="67">
        <v>6.5999999642372104E-2</v>
      </c>
      <c r="I92" s="65">
        <v>529304</v>
      </c>
      <c r="J92" s="65">
        <v>172598</v>
      </c>
      <c r="L92" s="65" t="s">
        <v>1485</v>
      </c>
      <c r="M92" s="65" t="s">
        <v>27</v>
      </c>
      <c r="N92" s="69">
        <v>42814</v>
      </c>
      <c r="O92" s="69">
        <v>42919</v>
      </c>
      <c r="P92" s="65" t="s">
        <v>126</v>
      </c>
      <c r="R92" s="65" t="s">
        <v>28</v>
      </c>
      <c r="U92" t="s">
        <v>1486</v>
      </c>
      <c r="V92" t="s">
        <v>3084</v>
      </c>
      <c r="W92" s="65" t="s">
        <v>29</v>
      </c>
      <c r="X92" s="65" t="s">
        <v>29</v>
      </c>
      <c r="Y92" s="65" t="s">
        <v>69</v>
      </c>
      <c r="AD92" s="65" t="s">
        <v>23</v>
      </c>
      <c r="AE92" s="65" t="s">
        <v>24</v>
      </c>
      <c r="AU92" s="73">
        <v>31</v>
      </c>
      <c r="AV92" s="73">
        <v>31</v>
      </c>
      <c r="BO92" s="185" t="s">
        <v>3794</v>
      </c>
      <c r="BP92" s="185" t="s">
        <v>126</v>
      </c>
      <c r="BQ92" s="185" t="s">
        <v>3794</v>
      </c>
      <c r="BW92" s="73"/>
      <c r="BY92" s="185" t="s">
        <v>3794</v>
      </c>
      <c r="CC92" s="73">
        <v>31</v>
      </c>
      <c r="CD92" s="73">
        <v>31</v>
      </c>
      <c r="CJ92" t="s">
        <v>25</v>
      </c>
      <c r="CK92" t="s">
        <v>25</v>
      </c>
      <c r="CL92" t="s">
        <v>25</v>
      </c>
      <c r="CM92" t="s">
        <v>25</v>
      </c>
      <c r="CN92" t="s">
        <v>25</v>
      </c>
      <c r="CO92" t="s">
        <v>25</v>
      </c>
      <c r="CP92" t="s">
        <v>25</v>
      </c>
      <c r="CQ92" t="s">
        <v>25</v>
      </c>
      <c r="CR92" t="s">
        <v>25</v>
      </c>
      <c r="CS92" t="s">
        <v>232</v>
      </c>
      <c r="CT92" t="s">
        <v>25</v>
      </c>
      <c r="CU92" t="s">
        <v>25</v>
      </c>
      <c r="CV92" t="s">
        <v>25</v>
      </c>
      <c r="CW92" t="s">
        <v>25</v>
      </c>
      <c r="CX92" t="s">
        <v>25</v>
      </c>
      <c r="CY92" t="s">
        <v>25</v>
      </c>
      <c r="CZ92" t="s">
        <v>25</v>
      </c>
      <c r="DA92" t="s">
        <v>25</v>
      </c>
      <c r="DB92" t="s">
        <v>25</v>
      </c>
      <c r="DC92" t="s">
        <v>25</v>
      </c>
      <c r="DD92" t="s">
        <v>25</v>
      </c>
      <c r="DE92" t="s">
        <v>25</v>
      </c>
      <c r="DF92" t="s">
        <v>25</v>
      </c>
      <c r="DG92" t="s">
        <v>25</v>
      </c>
      <c r="DH92" t="s">
        <v>25</v>
      </c>
      <c r="DI92" t="s">
        <v>25</v>
      </c>
      <c r="DJ92" s="76">
        <v>0</v>
      </c>
      <c r="DK92" s="73">
        <v>31</v>
      </c>
      <c r="DL92" s="73">
        <v>200</v>
      </c>
      <c r="DM92" s="73">
        <v>-169</v>
      </c>
      <c r="DU92"/>
      <c r="DZ92" s="73">
        <v>380</v>
      </c>
      <c r="EA92" s="73">
        <v>0</v>
      </c>
      <c r="EB92" s="73">
        <v>380</v>
      </c>
      <c r="EC92" s="65" t="s">
        <v>126</v>
      </c>
    </row>
    <row r="93" spans="1:133" ht="12" customHeight="1" x14ac:dyDescent="0.2">
      <c r="A93" t="s">
        <v>2937</v>
      </c>
      <c r="B93" t="s">
        <v>2946</v>
      </c>
      <c r="C93" t="str">
        <f t="shared" si="3"/>
        <v>Full</v>
      </c>
      <c r="E93" s="65">
        <v>2032</v>
      </c>
      <c r="F93" t="s">
        <v>1487</v>
      </c>
      <c r="G93" s="71" t="s">
        <v>3952</v>
      </c>
      <c r="H93" s="67">
        <v>6.8000003695488004E-2</v>
      </c>
      <c r="I93" s="65">
        <v>528095</v>
      </c>
      <c r="J93" s="65">
        <v>172380</v>
      </c>
      <c r="L93" s="65" t="s">
        <v>859</v>
      </c>
      <c r="M93" s="65" t="s">
        <v>27</v>
      </c>
      <c r="N93" s="69">
        <v>42585</v>
      </c>
      <c r="O93" s="69">
        <v>42641</v>
      </c>
      <c r="R93" s="65" t="s">
        <v>28</v>
      </c>
      <c r="U93" t="s">
        <v>860</v>
      </c>
      <c r="V93" t="s">
        <v>3085</v>
      </c>
      <c r="W93" s="65" t="s">
        <v>21</v>
      </c>
      <c r="X93" s="65" t="s">
        <v>21</v>
      </c>
      <c r="Y93" s="65" t="s">
        <v>59</v>
      </c>
      <c r="AD93" s="65" t="s">
        <v>23</v>
      </c>
      <c r="AE93" s="65" t="s">
        <v>24</v>
      </c>
      <c r="AW93" s="73">
        <v>62</v>
      </c>
      <c r="AY93" s="73">
        <v>62</v>
      </c>
      <c r="BF93" s="73">
        <v>62</v>
      </c>
      <c r="BK93" s="73">
        <v>62</v>
      </c>
      <c r="BO93" s="185" t="s">
        <v>3794</v>
      </c>
      <c r="BP93" s="185" t="s">
        <v>126</v>
      </c>
      <c r="BQ93" s="185" t="s">
        <v>126</v>
      </c>
      <c r="BW93" s="73"/>
      <c r="BX93" s="73">
        <v>-62</v>
      </c>
      <c r="BY93" s="185" t="s">
        <v>126</v>
      </c>
      <c r="CD93" s="73">
        <v>-62</v>
      </c>
      <c r="CE93" s="65" t="s">
        <v>126</v>
      </c>
      <c r="CG93" s="73">
        <v>62</v>
      </c>
      <c r="CI93" s="73">
        <v>62</v>
      </c>
      <c r="CJ93" t="s">
        <v>25</v>
      </c>
      <c r="CK93" t="s">
        <v>25</v>
      </c>
      <c r="CL93" t="s">
        <v>25</v>
      </c>
      <c r="CM93" t="s">
        <v>25</v>
      </c>
      <c r="CN93" t="s">
        <v>25</v>
      </c>
      <c r="CO93" t="s">
        <v>25</v>
      </c>
      <c r="CP93" t="s">
        <v>25</v>
      </c>
      <c r="CQ93" t="s">
        <v>25</v>
      </c>
      <c r="CR93" t="s">
        <v>25</v>
      </c>
      <c r="CS93" t="s">
        <v>25</v>
      </c>
      <c r="CT93" t="s">
        <v>25</v>
      </c>
      <c r="CU93" t="s">
        <v>49</v>
      </c>
      <c r="CV93" t="s">
        <v>25</v>
      </c>
      <c r="CW93" t="s">
        <v>25</v>
      </c>
      <c r="CX93" t="s">
        <v>25</v>
      </c>
      <c r="CY93" t="s">
        <v>25</v>
      </c>
      <c r="CZ93" t="s">
        <v>25</v>
      </c>
      <c r="DA93" t="s">
        <v>25</v>
      </c>
      <c r="DB93" t="s">
        <v>47</v>
      </c>
      <c r="DC93" t="s">
        <v>25</v>
      </c>
      <c r="DD93" t="s">
        <v>25</v>
      </c>
      <c r="DE93" t="s">
        <v>25</v>
      </c>
      <c r="DF93" t="s">
        <v>25</v>
      </c>
      <c r="DG93" t="s">
        <v>25</v>
      </c>
      <c r="DH93" t="s">
        <v>25</v>
      </c>
      <c r="DI93" t="s">
        <v>25</v>
      </c>
      <c r="DJ93" s="76">
        <v>6.8000003695488004E-2</v>
      </c>
      <c r="DK93" s="73">
        <v>62</v>
      </c>
      <c r="DL93" s="73">
        <v>62</v>
      </c>
      <c r="DM93" s="73">
        <v>0</v>
      </c>
      <c r="DU93"/>
      <c r="DZ93" s="73">
        <v>0</v>
      </c>
      <c r="EA93" s="73">
        <v>0</v>
      </c>
      <c r="EB93" s="73">
        <v>0</v>
      </c>
    </row>
    <row r="94" spans="1:133" ht="12" customHeight="1" x14ac:dyDescent="0.2">
      <c r="A94" t="s">
        <v>2937</v>
      </c>
      <c r="B94" t="s">
        <v>2946</v>
      </c>
      <c r="C94" t="str">
        <f t="shared" si="3"/>
        <v>Full</v>
      </c>
      <c r="E94" s="65">
        <v>2088</v>
      </c>
      <c r="F94" t="s">
        <v>1488</v>
      </c>
      <c r="G94" s="71" t="s">
        <v>3951</v>
      </c>
      <c r="H94" s="67">
        <v>7.0000000298023196E-2</v>
      </c>
      <c r="I94" s="65">
        <v>527545</v>
      </c>
      <c r="J94" s="65">
        <v>170687</v>
      </c>
      <c r="L94" s="65" t="s">
        <v>1489</v>
      </c>
      <c r="M94" s="65" t="s">
        <v>27</v>
      </c>
      <c r="N94" s="69">
        <v>42927</v>
      </c>
      <c r="O94" s="69">
        <v>43063</v>
      </c>
      <c r="P94" s="65" t="s">
        <v>126</v>
      </c>
      <c r="R94" s="65" t="s">
        <v>28</v>
      </c>
      <c r="U94" t="s">
        <v>1490</v>
      </c>
      <c r="V94" t="s">
        <v>3086</v>
      </c>
      <c r="W94" s="65" t="s">
        <v>29</v>
      </c>
      <c r="X94" s="65" t="s">
        <v>29</v>
      </c>
      <c r="Y94" s="65" t="s">
        <v>69</v>
      </c>
      <c r="AD94" s="65" t="s">
        <v>23</v>
      </c>
      <c r="AE94" s="65" t="s">
        <v>24</v>
      </c>
      <c r="BH94" s="73">
        <v>83</v>
      </c>
      <c r="BK94" s="73">
        <v>83</v>
      </c>
      <c r="BO94" s="185" t="s">
        <v>3794</v>
      </c>
      <c r="BP94" s="185" t="s">
        <v>126</v>
      </c>
      <c r="BQ94" s="185" t="s">
        <v>3794</v>
      </c>
      <c r="BW94" s="73"/>
      <c r="BY94" s="185" t="s">
        <v>3794</v>
      </c>
      <c r="CA94" s="73">
        <v>-83</v>
      </c>
      <c r="CD94" s="73">
        <v>-83</v>
      </c>
      <c r="CE94" s="65" t="s">
        <v>126</v>
      </c>
      <c r="CJ94" t="s">
        <v>25</v>
      </c>
      <c r="CK94" t="s">
        <v>25</v>
      </c>
      <c r="CL94" t="s">
        <v>25</v>
      </c>
      <c r="CM94" t="s">
        <v>25</v>
      </c>
      <c r="CN94" t="s">
        <v>25</v>
      </c>
      <c r="CO94" t="s">
        <v>25</v>
      </c>
      <c r="CP94" t="s">
        <v>25</v>
      </c>
      <c r="CQ94" t="s">
        <v>25</v>
      </c>
      <c r="CR94" t="s">
        <v>25</v>
      </c>
      <c r="CS94" t="s">
        <v>25</v>
      </c>
      <c r="CT94" t="s">
        <v>25</v>
      </c>
      <c r="CU94" t="s">
        <v>25</v>
      </c>
      <c r="CV94" t="s">
        <v>25</v>
      </c>
      <c r="CW94" t="s">
        <v>25</v>
      </c>
      <c r="CX94" t="s">
        <v>25</v>
      </c>
      <c r="CY94" t="s">
        <v>25</v>
      </c>
      <c r="CZ94" t="s">
        <v>25</v>
      </c>
      <c r="DA94" t="s">
        <v>25</v>
      </c>
      <c r="DB94" t="s">
        <v>25</v>
      </c>
      <c r="DC94" t="s">
        <v>25</v>
      </c>
      <c r="DD94" t="s">
        <v>51</v>
      </c>
      <c r="DE94" t="s">
        <v>25</v>
      </c>
      <c r="DF94" t="s">
        <v>25</v>
      </c>
      <c r="DG94" t="s">
        <v>25</v>
      </c>
      <c r="DH94" t="s">
        <v>25</v>
      </c>
      <c r="DI94" t="s">
        <v>25</v>
      </c>
      <c r="DJ94" s="76">
        <v>0</v>
      </c>
      <c r="DK94" s="73">
        <v>0</v>
      </c>
      <c r="DL94" s="73">
        <v>83</v>
      </c>
      <c r="DM94" s="73">
        <v>-83</v>
      </c>
      <c r="DU94"/>
      <c r="DZ94" s="73">
        <v>671</v>
      </c>
      <c r="EA94" s="73">
        <v>75</v>
      </c>
      <c r="EB94" s="73">
        <v>596</v>
      </c>
      <c r="EC94" s="65" t="s">
        <v>126</v>
      </c>
    </row>
    <row r="95" spans="1:133" ht="12" customHeight="1" x14ac:dyDescent="0.2">
      <c r="A95" t="s">
        <v>2936</v>
      </c>
      <c r="B95" t="s">
        <v>2946</v>
      </c>
      <c r="C95" t="str">
        <f t="shared" si="3"/>
        <v>Full</v>
      </c>
      <c r="D95" t="s">
        <v>2943</v>
      </c>
      <c r="E95" s="65">
        <v>2097</v>
      </c>
      <c r="F95" t="s">
        <v>1491</v>
      </c>
      <c r="G95" s="71" t="s">
        <v>2907</v>
      </c>
      <c r="H95" s="67">
        <v>3.9999999105930301E-2</v>
      </c>
      <c r="I95" s="65">
        <v>525308</v>
      </c>
      <c r="J95" s="65">
        <v>173997</v>
      </c>
      <c r="L95" s="65" t="s">
        <v>951</v>
      </c>
      <c r="M95" s="65" t="s">
        <v>434</v>
      </c>
      <c r="N95" s="69">
        <v>42541</v>
      </c>
      <c r="O95" s="69">
        <v>42597</v>
      </c>
      <c r="R95" s="65" t="s">
        <v>28</v>
      </c>
      <c r="U95" t="s">
        <v>1492</v>
      </c>
      <c r="V95" t="s">
        <v>3087</v>
      </c>
      <c r="W95" s="65" t="s">
        <v>21</v>
      </c>
      <c r="X95" s="65" t="s">
        <v>21</v>
      </c>
      <c r="Y95" s="65" t="s">
        <v>35</v>
      </c>
      <c r="AA95" s="69">
        <v>42538</v>
      </c>
      <c r="AB95" s="69">
        <v>42936</v>
      </c>
      <c r="AC95" s="69">
        <v>42936</v>
      </c>
      <c r="AD95" s="65" t="s">
        <v>23</v>
      </c>
      <c r="AE95" s="65" t="s">
        <v>24</v>
      </c>
      <c r="AH95" s="69">
        <f t="shared" si="5"/>
        <v>42538</v>
      </c>
      <c r="AI95" s="69">
        <f t="shared" si="4"/>
        <v>42936</v>
      </c>
      <c r="BA95" s="73">
        <v>195</v>
      </c>
      <c r="BE95" s="73">
        <v>195</v>
      </c>
      <c r="BO95" s="185" t="s">
        <v>126</v>
      </c>
      <c r="BP95" s="185" t="s">
        <v>3794</v>
      </c>
      <c r="BQ95" s="185" t="s">
        <v>3794</v>
      </c>
      <c r="BS95" s="73">
        <v>-195</v>
      </c>
      <c r="BW95" s="73">
        <v>-195</v>
      </c>
      <c r="BY95" s="185" t="s">
        <v>3794</v>
      </c>
      <c r="CJ95" t="s">
        <v>25</v>
      </c>
      <c r="CK95" t="s">
        <v>25</v>
      </c>
      <c r="CL95" t="s">
        <v>25</v>
      </c>
      <c r="CM95" t="s">
        <v>25</v>
      </c>
      <c r="CN95" t="s">
        <v>25</v>
      </c>
      <c r="CO95" t="s">
        <v>25</v>
      </c>
      <c r="CP95" t="s">
        <v>25</v>
      </c>
      <c r="CQ95" t="s">
        <v>25</v>
      </c>
      <c r="CR95" t="s">
        <v>25</v>
      </c>
      <c r="CS95" t="s">
        <v>25</v>
      </c>
      <c r="CT95" t="s">
        <v>25</v>
      </c>
      <c r="CU95" t="s">
        <v>25</v>
      </c>
      <c r="CV95" t="s">
        <v>25</v>
      </c>
      <c r="CW95" t="s">
        <v>25</v>
      </c>
      <c r="CX95" t="s">
        <v>47</v>
      </c>
      <c r="CY95" t="s">
        <v>25</v>
      </c>
      <c r="CZ95" t="s">
        <v>25</v>
      </c>
      <c r="DA95" t="s">
        <v>25</v>
      </c>
      <c r="DB95" t="s">
        <v>25</v>
      </c>
      <c r="DC95" t="s">
        <v>25</v>
      </c>
      <c r="DD95" t="s">
        <v>25</v>
      </c>
      <c r="DE95" t="s">
        <v>25</v>
      </c>
      <c r="DF95" t="s">
        <v>25</v>
      </c>
      <c r="DG95" t="s">
        <v>25</v>
      </c>
      <c r="DH95" t="s">
        <v>25</v>
      </c>
      <c r="DI95" t="s">
        <v>25</v>
      </c>
      <c r="DJ95" s="76">
        <v>2.19999998807907E-2</v>
      </c>
      <c r="DK95" s="73">
        <v>0</v>
      </c>
      <c r="DL95" s="73">
        <v>195</v>
      </c>
      <c r="DM95" s="73">
        <v>-195</v>
      </c>
      <c r="DU95"/>
      <c r="DZ95" s="73">
        <v>195</v>
      </c>
      <c r="EA95" s="73">
        <v>0</v>
      </c>
      <c r="EB95" s="73">
        <v>195</v>
      </c>
      <c r="EC95" s="65" t="s">
        <v>126</v>
      </c>
    </row>
    <row r="96" spans="1:133" ht="12" customHeight="1" x14ac:dyDescent="0.2">
      <c r="A96" t="s">
        <v>2937</v>
      </c>
      <c r="B96" t="s">
        <v>2946</v>
      </c>
      <c r="C96" t="str">
        <f t="shared" si="3"/>
        <v>Full</v>
      </c>
      <c r="E96" s="65">
        <v>2137</v>
      </c>
      <c r="F96" t="s">
        <v>1493</v>
      </c>
      <c r="G96" s="71" t="s">
        <v>3944</v>
      </c>
      <c r="H96" s="67">
        <v>5.4999999701976802E-3</v>
      </c>
      <c r="I96" s="65">
        <v>526736</v>
      </c>
      <c r="J96" s="65">
        <v>175098</v>
      </c>
      <c r="L96" s="65" t="s">
        <v>1015</v>
      </c>
      <c r="M96" s="65" t="s">
        <v>27</v>
      </c>
      <c r="N96" s="69">
        <v>42605</v>
      </c>
      <c r="O96" s="69">
        <v>42691</v>
      </c>
      <c r="R96" s="65" t="s">
        <v>28</v>
      </c>
      <c r="U96" t="s">
        <v>1016</v>
      </c>
      <c r="V96" t="s">
        <v>3088</v>
      </c>
      <c r="W96" s="65" t="s">
        <v>34</v>
      </c>
      <c r="X96" s="65" t="s">
        <v>29</v>
      </c>
      <c r="Y96" s="65" t="s">
        <v>69</v>
      </c>
      <c r="AD96" s="65" t="s">
        <v>23</v>
      </c>
      <c r="AE96" s="65" t="s">
        <v>24</v>
      </c>
      <c r="AP96" s="73">
        <v>128</v>
      </c>
      <c r="AS96" s="73">
        <v>128</v>
      </c>
      <c r="AV96" s="73">
        <v>128</v>
      </c>
      <c r="BO96" s="185" t="s">
        <v>3794</v>
      </c>
      <c r="BP96" s="185" t="s">
        <v>126</v>
      </c>
      <c r="BQ96" s="185" t="s">
        <v>3794</v>
      </c>
      <c r="BW96" s="73"/>
      <c r="BX96" s="73">
        <v>128</v>
      </c>
      <c r="BY96" s="185" t="s">
        <v>3794</v>
      </c>
      <c r="CD96" s="73">
        <v>128</v>
      </c>
      <c r="CJ96" t="s">
        <v>25</v>
      </c>
      <c r="CK96" t="s">
        <v>25</v>
      </c>
      <c r="CL96" t="s">
        <v>25</v>
      </c>
      <c r="CM96" t="s">
        <v>25</v>
      </c>
      <c r="CN96" t="s">
        <v>25</v>
      </c>
      <c r="CO96" t="s">
        <v>49</v>
      </c>
      <c r="CP96" t="s">
        <v>25</v>
      </c>
      <c r="CQ96" t="s">
        <v>25</v>
      </c>
      <c r="CR96" t="s">
        <v>25</v>
      </c>
      <c r="CS96" t="s">
        <v>25</v>
      </c>
      <c r="CT96" t="s">
        <v>25</v>
      </c>
      <c r="CU96" t="s">
        <v>25</v>
      </c>
      <c r="CV96" t="s">
        <v>25</v>
      </c>
      <c r="CW96" t="s">
        <v>25</v>
      </c>
      <c r="CX96" t="s">
        <v>25</v>
      </c>
      <c r="CY96" t="s">
        <v>25</v>
      </c>
      <c r="CZ96" t="s">
        <v>25</v>
      </c>
      <c r="DA96" t="s">
        <v>25</v>
      </c>
      <c r="DB96" t="s">
        <v>25</v>
      </c>
      <c r="DC96" t="s">
        <v>25</v>
      </c>
      <c r="DD96" t="s">
        <v>25</v>
      </c>
      <c r="DE96" t="s">
        <v>25</v>
      </c>
      <c r="DF96" t="s">
        <v>25</v>
      </c>
      <c r="DG96" t="s">
        <v>25</v>
      </c>
      <c r="DH96" t="s">
        <v>25</v>
      </c>
      <c r="DI96" t="s">
        <v>25</v>
      </c>
      <c r="DJ96" s="76">
        <v>5.4999999701976802E-3</v>
      </c>
      <c r="DK96" s="73">
        <v>128</v>
      </c>
      <c r="DL96" s="73">
        <v>50</v>
      </c>
      <c r="DM96" s="73">
        <v>78</v>
      </c>
      <c r="DU96"/>
      <c r="DZ96" s="73">
        <v>0</v>
      </c>
      <c r="EA96" s="73">
        <v>0</v>
      </c>
      <c r="EB96" s="73">
        <v>0</v>
      </c>
    </row>
    <row r="97" spans="1:133" ht="12" customHeight="1" x14ac:dyDescent="0.2">
      <c r="A97" t="s">
        <v>2937</v>
      </c>
      <c r="B97" t="s">
        <v>2946</v>
      </c>
      <c r="C97" t="str">
        <f t="shared" si="3"/>
        <v>Full</v>
      </c>
      <c r="E97" s="65">
        <v>2142</v>
      </c>
      <c r="F97" t="s">
        <v>1494</v>
      </c>
      <c r="G97" s="71" t="s">
        <v>3943</v>
      </c>
      <c r="H97" s="67">
        <v>0.49399998784065202</v>
      </c>
      <c r="I97" s="65">
        <v>526669</v>
      </c>
      <c r="J97" s="65">
        <v>176190</v>
      </c>
      <c r="L97" s="65" t="s">
        <v>1034</v>
      </c>
      <c r="M97" s="65" t="s">
        <v>27</v>
      </c>
      <c r="N97" s="69">
        <v>42615</v>
      </c>
      <c r="O97" s="69">
        <v>42671</v>
      </c>
      <c r="R97" s="65" t="s">
        <v>28</v>
      </c>
      <c r="U97" t="s">
        <v>1035</v>
      </c>
      <c r="V97" t="s">
        <v>3089</v>
      </c>
      <c r="W97" s="65" t="s">
        <v>21</v>
      </c>
      <c r="X97" s="65" t="s">
        <v>21</v>
      </c>
      <c r="Y97" s="65" t="s">
        <v>59</v>
      </c>
      <c r="AD97" s="65" t="s">
        <v>23</v>
      </c>
      <c r="AE97" s="65" t="s">
        <v>24</v>
      </c>
      <c r="AZ97" s="73">
        <v>11</v>
      </c>
      <c r="BE97" s="73">
        <v>11</v>
      </c>
      <c r="BO97" s="185" t="s">
        <v>126</v>
      </c>
      <c r="BP97" s="185" t="s">
        <v>3794</v>
      </c>
      <c r="BQ97" s="185" t="s">
        <v>3794</v>
      </c>
      <c r="BR97" s="73">
        <v>-11</v>
      </c>
      <c r="BW97" s="73">
        <v>-11</v>
      </c>
      <c r="BY97" s="185" t="s">
        <v>3794</v>
      </c>
      <c r="CJ97" t="s">
        <v>25</v>
      </c>
      <c r="CK97" t="s">
        <v>25</v>
      </c>
      <c r="CL97" t="s">
        <v>25</v>
      </c>
      <c r="CM97" t="s">
        <v>25</v>
      </c>
      <c r="CN97" t="s">
        <v>25</v>
      </c>
      <c r="CO97" t="s">
        <v>25</v>
      </c>
      <c r="CP97" t="s">
        <v>25</v>
      </c>
      <c r="CQ97" t="s">
        <v>25</v>
      </c>
      <c r="CR97" t="s">
        <v>25</v>
      </c>
      <c r="CS97" t="s">
        <v>25</v>
      </c>
      <c r="CT97" t="s">
        <v>25</v>
      </c>
      <c r="CU97" t="s">
        <v>25</v>
      </c>
      <c r="CV97" t="s">
        <v>25</v>
      </c>
      <c r="CW97" t="s">
        <v>46</v>
      </c>
      <c r="CX97" t="s">
        <v>25</v>
      </c>
      <c r="CY97" t="s">
        <v>25</v>
      </c>
      <c r="CZ97" t="s">
        <v>25</v>
      </c>
      <c r="DA97" t="s">
        <v>25</v>
      </c>
      <c r="DB97" t="s">
        <v>25</v>
      </c>
      <c r="DC97" t="s">
        <v>25</v>
      </c>
      <c r="DD97" t="s">
        <v>25</v>
      </c>
      <c r="DE97" t="s">
        <v>25</v>
      </c>
      <c r="DF97" t="s">
        <v>25</v>
      </c>
      <c r="DG97" t="s">
        <v>25</v>
      </c>
      <c r="DH97" t="s">
        <v>25</v>
      </c>
      <c r="DI97" t="s">
        <v>25</v>
      </c>
      <c r="DJ97" s="76">
        <v>0.49399998784065202</v>
      </c>
      <c r="DK97" s="73">
        <v>11</v>
      </c>
      <c r="DL97" s="73">
        <v>11</v>
      </c>
      <c r="DM97" s="73">
        <v>0</v>
      </c>
      <c r="DN97" s="65" t="s">
        <v>126</v>
      </c>
      <c r="DU97"/>
      <c r="DZ97" s="73">
        <v>0</v>
      </c>
      <c r="EA97" s="73">
        <v>0</v>
      </c>
      <c r="EB97" s="73">
        <v>0</v>
      </c>
    </row>
    <row r="98" spans="1:133" ht="12" customHeight="1" x14ac:dyDescent="0.2">
      <c r="A98" t="s">
        <v>2935</v>
      </c>
      <c r="B98" t="s">
        <v>2946</v>
      </c>
      <c r="C98" t="str">
        <f t="shared" si="3"/>
        <v>Full</v>
      </c>
      <c r="E98" s="65">
        <v>2144</v>
      </c>
      <c r="F98" t="s">
        <v>1495</v>
      </c>
      <c r="G98" s="71" t="s">
        <v>3941</v>
      </c>
      <c r="H98" s="67">
        <v>1.7000000923872001E-2</v>
      </c>
      <c r="I98" s="65">
        <v>527982</v>
      </c>
      <c r="J98" s="65">
        <v>172413</v>
      </c>
      <c r="L98" s="65" t="s">
        <v>1496</v>
      </c>
      <c r="M98" s="65" t="s">
        <v>27</v>
      </c>
      <c r="N98" s="69">
        <v>42829</v>
      </c>
      <c r="O98" s="69">
        <v>42978</v>
      </c>
      <c r="P98" s="65" t="s">
        <v>126</v>
      </c>
      <c r="R98" s="65" t="s">
        <v>28</v>
      </c>
      <c r="U98" t="s">
        <v>1497</v>
      </c>
      <c r="V98" t="s">
        <v>3090</v>
      </c>
      <c r="W98" s="65" t="s">
        <v>29</v>
      </c>
      <c r="X98" s="65" t="s">
        <v>29</v>
      </c>
      <c r="Y98" s="65" t="s">
        <v>30</v>
      </c>
      <c r="Z98" s="69">
        <v>43190</v>
      </c>
      <c r="AA98" s="69">
        <v>43190</v>
      </c>
      <c r="AD98" s="65" t="s">
        <v>23</v>
      </c>
      <c r="AE98" s="65" t="s">
        <v>24</v>
      </c>
      <c r="AH98" s="69">
        <f t="shared" si="5"/>
        <v>43190</v>
      </c>
      <c r="BJ98" s="73">
        <v>66</v>
      </c>
      <c r="BK98" s="73">
        <v>66</v>
      </c>
      <c r="BO98" s="185" t="s">
        <v>3794</v>
      </c>
      <c r="BP98" s="185" t="s">
        <v>126</v>
      </c>
      <c r="BQ98" s="185" t="s">
        <v>3794</v>
      </c>
      <c r="BW98" s="73"/>
      <c r="BY98" s="185" t="s">
        <v>3794</v>
      </c>
      <c r="CC98" s="73">
        <v>-66</v>
      </c>
      <c r="CD98" s="73">
        <v>-66</v>
      </c>
      <c r="CE98" s="65" t="s">
        <v>126</v>
      </c>
      <c r="CJ98" t="s">
        <v>25</v>
      </c>
      <c r="CK98" t="s">
        <v>25</v>
      </c>
      <c r="CL98" t="s">
        <v>25</v>
      </c>
      <c r="CM98" t="s">
        <v>25</v>
      </c>
      <c r="CN98" t="s">
        <v>25</v>
      </c>
      <c r="CO98" t="s">
        <v>25</v>
      </c>
      <c r="CP98" t="s">
        <v>25</v>
      </c>
      <c r="CQ98" t="s">
        <v>25</v>
      </c>
      <c r="CR98" t="s">
        <v>25</v>
      </c>
      <c r="CS98" t="s">
        <v>25</v>
      </c>
      <c r="CT98" t="s">
        <v>25</v>
      </c>
      <c r="CU98" t="s">
        <v>25</v>
      </c>
      <c r="CV98" t="s">
        <v>25</v>
      </c>
      <c r="CW98" t="s">
        <v>25</v>
      </c>
      <c r="CX98" t="s">
        <v>25</v>
      </c>
      <c r="CY98" t="s">
        <v>25</v>
      </c>
      <c r="CZ98" t="s">
        <v>25</v>
      </c>
      <c r="DA98" t="s">
        <v>25</v>
      </c>
      <c r="DB98" t="s">
        <v>25</v>
      </c>
      <c r="DC98" t="s">
        <v>25</v>
      </c>
      <c r="DD98" t="s">
        <v>25</v>
      </c>
      <c r="DE98" t="s">
        <v>25</v>
      </c>
      <c r="DF98" t="s">
        <v>47</v>
      </c>
      <c r="DG98" t="s">
        <v>25</v>
      </c>
      <c r="DH98" t="s">
        <v>25</v>
      </c>
      <c r="DI98" t="s">
        <v>25</v>
      </c>
      <c r="DJ98" s="76">
        <v>0</v>
      </c>
      <c r="DK98" s="73">
        <v>0</v>
      </c>
      <c r="DL98" s="73">
        <v>66</v>
      </c>
      <c r="DM98" s="73">
        <v>-66</v>
      </c>
      <c r="DU98"/>
      <c r="DX98" s="65" t="s">
        <v>126</v>
      </c>
      <c r="DY98" t="s">
        <v>2906</v>
      </c>
      <c r="DZ98" s="73">
        <v>168</v>
      </c>
      <c r="EA98" s="73">
        <v>0</v>
      </c>
      <c r="EB98" s="73">
        <v>168</v>
      </c>
      <c r="EC98" s="65" t="s">
        <v>126</v>
      </c>
    </row>
    <row r="99" spans="1:133" ht="12" customHeight="1" x14ac:dyDescent="0.2">
      <c r="A99" t="s">
        <v>2935</v>
      </c>
      <c r="B99" t="s">
        <v>2946</v>
      </c>
      <c r="C99" t="str">
        <f t="shared" si="3"/>
        <v>Full</v>
      </c>
      <c r="E99" s="65">
        <v>2154</v>
      </c>
      <c r="F99" t="s">
        <v>1498</v>
      </c>
      <c r="G99" s="71" t="s">
        <v>150</v>
      </c>
      <c r="H99" s="67">
        <v>1.8999999389052401E-2</v>
      </c>
      <c r="I99" s="65">
        <v>527691</v>
      </c>
      <c r="J99" s="65">
        <v>171695</v>
      </c>
      <c r="L99" s="65" t="s">
        <v>391</v>
      </c>
      <c r="M99" s="65" t="s">
        <v>27</v>
      </c>
      <c r="N99" s="69">
        <v>41765</v>
      </c>
      <c r="O99" s="69">
        <v>41838</v>
      </c>
      <c r="R99" s="65" t="s">
        <v>28</v>
      </c>
      <c r="U99" t="s">
        <v>392</v>
      </c>
      <c r="V99" t="s">
        <v>3091</v>
      </c>
      <c r="W99" s="65" t="s">
        <v>34</v>
      </c>
      <c r="X99" s="65" t="s">
        <v>29</v>
      </c>
      <c r="Y99" s="65" t="s">
        <v>30</v>
      </c>
      <c r="AA99" s="69">
        <v>42989</v>
      </c>
      <c r="AD99" s="65" t="s">
        <v>23</v>
      </c>
      <c r="AE99" s="65" t="s">
        <v>24</v>
      </c>
      <c r="AH99" s="69">
        <f t="shared" si="5"/>
        <v>42989</v>
      </c>
      <c r="BL99" s="73">
        <v>190</v>
      </c>
      <c r="BN99" s="73">
        <v>190</v>
      </c>
      <c r="BO99" s="185" t="s">
        <v>3794</v>
      </c>
      <c r="BP99" s="185" t="s">
        <v>3794</v>
      </c>
      <c r="BQ99" s="185" t="s">
        <v>126</v>
      </c>
      <c r="BW99" s="73"/>
      <c r="BY99" s="185" t="s">
        <v>3794</v>
      </c>
      <c r="CG99" s="73">
        <v>-190</v>
      </c>
      <c r="CI99" s="73">
        <v>-190</v>
      </c>
      <c r="CJ99" t="s">
        <v>25</v>
      </c>
      <c r="CK99" t="s">
        <v>25</v>
      </c>
      <c r="CL99" t="s">
        <v>25</v>
      </c>
      <c r="CM99" t="s">
        <v>25</v>
      </c>
      <c r="CN99" t="s">
        <v>25</v>
      </c>
      <c r="CO99" t="s">
        <v>25</v>
      </c>
      <c r="CP99" t="s">
        <v>25</v>
      </c>
      <c r="CQ99" t="s">
        <v>25</v>
      </c>
      <c r="CR99" t="s">
        <v>25</v>
      </c>
      <c r="CS99" t="s">
        <v>25</v>
      </c>
      <c r="CT99" t="s">
        <v>25</v>
      </c>
      <c r="CU99" t="s">
        <v>25</v>
      </c>
      <c r="CV99" t="s">
        <v>25</v>
      </c>
      <c r="CW99" t="s">
        <v>25</v>
      </c>
      <c r="CX99" t="s">
        <v>25</v>
      </c>
      <c r="CY99" t="s">
        <v>25</v>
      </c>
      <c r="CZ99" t="s">
        <v>25</v>
      </c>
      <c r="DA99" t="s">
        <v>25</v>
      </c>
      <c r="DB99" t="s">
        <v>25</v>
      </c>
      <c r="DC99" t="s">
        <v>25</v>
      </c>
      <c r="DD99" t="s">
        <v>25</v>
      </c>
      <c r="DE99" t="s">
        <v>25</v>
      </c>
      <c r="DF99" t="s">
        <v>25</v>
      </c>
      <c r="DG99" t="s">
        <v>25</v>
      </c>
      <c r="DH99" t="s">
        <v>41</v>
      </c>
      <c r="DI99" t="s">
        <v>25</v>
      </c>
      <c r="DJ99" s="76">
        <v>0</v>
      </c>
      <c r="DK99" s="73">
        <v>0</v>
      </c>
      <c r="DL99" s="73">
        <v>190</v>
      </c>
      <c r="DM99" s="73">
        <v>-190</v>
      </c>
      <c r="DU99"/>
      <c r="DZ99" s="73">
        <v>355</v>
      </c>
      <c r="EA99" s="73">
        <v>0</v>
      </c>
      <c r="EB99" s="73">
        <v>355</v>
      </c>
      <c r="EC99" s="65" t="s">
        <v>126</v>
      </c>
    </row>
    <row r="100" spans="1:133" ht="12" customHeight="1" x14ac:dyDescent="0.2">
      <c r="A100" t="s">
        <v>2935</v>
      </c>
      <c r="B100" t="s">
        <v>2946</v>
      </c>
      <c r="C100" t="str">
        <f t="shared" si="3"/>
        <v>Full</v>
      </c>
      <c r="E100" s="65">
        <v>2157</v>
      </c>
      <c r="F100" t="s">
        <v>1499</v>
      </c>
      <c r="G100" s="71" t="s">
        <v>3952</v>
      </c>
      <c r="H100" s="67">
        <v>6.1999998986720997E-2</v>
      </c>
      <c r="I100" s="65">
        <v>528141</v>
      </c>
      <c r="J100" s="65">
        <v>172013</v>
      </c>
      <c r="L100" s="65" t="s">
        <v>376</v>
      </c>
      <c r="M100" s="65" t="s">
        <v>27</v>
      </c>
      <c r="N100" s="69">
        <v>41870</v>
      </c>
      <c r="O100" s="69">
        <v>41992</v>
      </c>
      <c r="R100" s="65" t="s">
        <v>28</v>
      </c>
      <c r="U100" t="s">
        <v>377</v>
      </c>
      <c r="V100" t="s">
        <v>3092</v>
      </c>
      <c r="W100" s="65" t="s">
        <v>29</v>
      </c>
      <c r="X100" s="65" t="s">
        <v>29</v>
      </c>
      <c r="Y100" s="65" t="s">
        <v>30</v>
      </c>
      <c r="Z100" s="69">
        <v>43010</v>
      </c>
      <c r="AA100" s="69">
        <v>43087</v>
      </c>
      <c r="AD100" s="65" t="s">
        <v>23</v>
      </c>
      <c r="AE100" s="65" t="s">
        <v>24</v>
      </c>
      <c r="AH100" s="69">
        <f t="shared" si="5"/>
        <v>43087</v>
      </c>
      <c r="BO100" s="185" t="s">
        <v>3794</v>
      </c>
      <c r="BP100" s="185" t="s">
        <v>3794</v>
      </c>
      <c r="BQ100" s="185" t="s">
        <v>3794</v>
      </c>
      <c r="BW100" s="73"/>
      <c r="BY100" s="185" t="s">
        <v>3794</v>
      </c>
      <c r="CJ100" t="s">
        <v>25</v>
      </c>
      <c r="CK100" t="s">
        <v>25</v>
      </c>
      <c r="CL100" t="s">
        <v>25</v>
      </c>
      <c r="CM100" t="s">
        <v>25</v>
      </c>
      <c r="CN100" t="s">
        <v>25</v>
      </c>
      <c r="CO100" t="s">
        <v>25</v>
      </c>
      <c r="CP100" t="s">
        <v>25</v>
      </c>
      <c r="CQ100" t="s">
        <v>25</v>
      </c>
      <c r="CR100" t="s">
        <v>25</v>
      </c>
      <c r="CS100" t="s">
        <v>25</v>
      </c>
      <c r="CT100" t="s">
        <v>25</v>
      </c>
      <c r="CU100" t="s">
        <v>25</v>
      </c>
      <c r="CV100" t="s">
        <v>25</v>
      </c>
      <c r="CW100" t="s">
        <v>25</v>
      </c>
      <c r="CX100" t="s">
        <v>25</v>
      </c>
      <c r="CY100" t="s">
        <v>25</v>
      </c>
      <c r="CZ100" t="s">
        <v>25</v>
      </c>
      <c r="DA100" t="s">
        <v>25</v>
      </c>
      <c r="DB100" t="s">
        <v>25</v>
      </c>
      <c r="DC100" t="s">
        <v>25</v>
      </c>
      <c r="DD100" t="s">
        <v>25</v>
      </c>
      <c r="DE100" t="s">
        <v>25</v>
      </c>
      <c r="DF100" t="s">
        <v>25</v>
      </c>
      <c r="DG100" t="s">
        <v>25</v>
      </c>
      <c r="DH100" t="s">
        <v>25</v>
      </c>
      <c r="DI100" t="s">
        <v>25</v>
      </c>
      <c r="DJ100" s="76">
        <v>0</v>
      </c>
      <c r="DK100" s="73">
        <v>0</v>
      </c>
      <c r="DL100" s="73">
        <v>305</v>
      </c>
      <c r="DM100" s="73">
        <v>-305</v>
      </c>
      <c r="DU100"/>
      <c r="DZ100" s="73">
        <v>367</v>
      </c>
      <c r="EA100" s="73">
        <v>0</v>
      </c>
      <c r="EB100" s="73">
        <v>367</v>
      </c>
      <c r="EC100" s="65" t="s">
        <v>126</v>
      </c>
    </row>
    <row r="101" spans="1:133" ht="12" customHeight="1" x14ac:dyDescent="0.2">
      <c r="A101" t="s">
        <v>2937</v>
      </c>
      <c r="B101" t="s">
        <v>2946</v>
      </c>
      <c r="C101" t="str">
        <f t="shared" si="3"/>
        <v>Full</v>
      </c>
      <c r="E101" s="65">
        <v>2202</v>
      </c>
      <c r="F101" t="s">
        <v>1500</v>
      </c>
      <c r="G101" s="71" t="s">
        <v>3941</v>
      </c>
      <c r="H101" s="67">
        <v>8.0000003799796104E-3</v>
      </c>
      <c r="I101" s="65">
        <v>528351</v>
      </c>
      <c r="J101" s="65">
        <v>173235</v>
      </c>
      <c r="L101" s="65" t="s">
        <v>1178</v>
      </c>
      <c r="M101" s="65" t="s">
        <v>27</v>
      </c>
      <c r="N101" s="69">
        <v>42716</v>
      </c>
      <c r="O101" s="69">
        <v>42822</v>
      </c>
      <c r="R101" s="65" t="s">
        <v>28</v>
      </c>
      <c r="U101" t="s">
        <v>1179</v>
      </c>
      <c r="V101" t="s">
        <v>3093</v>
      </c>
      <c r="W101" s="65" t="s">
        <v>29</v>
      </c>
      <c r="X101" s="65" t="s">
        <v>29</v>
      </c>
      <c r="Y101" s="65" t="s">
        <v>59</v>
      </c>
      <c r="AD101" s="65" t="s">
        <v>23</v>
      </c>
      <c r="AE101" s="65" t="s">
        <v>24</v>
      </c>
      <c r="BO101" s="185" t="s">
        <v>3794</v>
      </c>
      <c r="BP101" s="185" t="s">
        <v>3794</v>
      </c>
      <c r="BQ101" s="185" t="s">
        <v>3794</v>
      </c>
      <c r="BW101" s="73"/>
      <c r="BY101" s="185" t="s">
        <v>3794</v>
      </c>
      <c r="CJ101" t="s">
        <v>25</v>
      </c>
      <c r="CK101" t="s">
        <v>25</v>
      </c>
      <c r="CL101" t="s">
        <v>25</v>
      </c>
      <c r="CM101" t="s">
        <v>25</v>
      </c>
      <c r="CN101" t="s">
        <v>25</v>
      </c>
      <c r="CO101" t="s">
        <v>25</v>
      </c>
      <c r="CP101" t="s">
        <v>25</v>
      </c>
      <c r="CQ101" t="s">
        <v>25</v>
      </c>
      <c r="CR101" t="s">
        <v>25</v>
      </c>
      <c r="CS101" t="s">
        <v>25</v>
      </c>
      <c r="CT101" t="s">
        <v>25</v>
      </c>
      <c r="CU101" t="s">
        <v>25</v>
      </c>
      <c r="CV101" t="s">
        <v>25</v>
      </c>
      <c r="CW101" t="s">
        <v>25</v>
      </c>
      <c r="CX101" t="s">
        <v>25</v>
      </c>
      <c r="CY101" t="s">
        <v>25</v>
      </c>
      <c r="CZ101" t="s">
        <v>25</v>
      </c>
      <c r="DA101" t="s">
        <v>25</v>
      </c>
      <c r="DB101" t="s">
        <v>25</v>
      </c>
      <c r="DC101" t="s">
        <v>25</v>
      </c>
      <c r="DD101" t="s">
        <v>25</v>
      </c>
      <c r="DE101" t="s">
        <v>25</v>
      </c>
      <c r="DF101" t="s">
        <v>25</v>
      </c>
      <c r="DG101" t="s">
        <v>25</v>
      </c>
      <c r="DH101" t="s">
        <v>25</v>
      </c>
      <c r="DI101" t="s">
        <v>25</v>
      </c>
      <c r="DJ101" s="76">
        <v>0</v>
      </c>
      <c r="DK101" s="73">
        <v>0</v>
      </c>
      <c r="DL101" s="73">
        <v>81</v>
      </c>
      <c r="DM101" s="73">
        <v>-81</v>
      </c>
      <c r="DU101"/>
      <c r="DZ101" s="73">
        <v>95</v>
      </c>
      <c r="EA101" s="73">
        <v>0</v>
      </c>
      <c r="EB101" s="73">
        <v>95</v>
      </c>
      <c r="EC101" s="65" t="s">
        <v>126</v>
      </c>
    </row>
    <row r="102" spans="1:133" ht="12" customHeight="1" x14ac:dyDescent="0.2">
      <c r="A102" t="s">
        <v>2936</v>
      </c>
      <c r="B102" t="s">
        <v>2946</v>
      </c>
      <c r="C102" t="str">
        <f t="shared" si="3"/>
        <v>Full</v>
      </c>
      <c r="D102" t="s">
        <v>2943</v>
      </c>
      <c r="E102" s="65">
        <v>2230</v>
      </c>
      <c r="F102" t="s">
        <v>1501</v>
      </c>
      <c r="G102" s="71" t="s">
        <v>3954</v>
      </c>
      <c r="H102" s="67">
        <v>7.5999997556209606E-2</v>
      </c>
      <c r="I102" s="65">
        <v>523081</v>
      </c>
      <c r="J102" s="65">
        <v>175252</v>
      </c>
      <c r="L102" s="65" t="s">
        <v>280</v>
      </c>
      <c r="M102" s="65" t="s">
        <v>27</v>
      </c>
      <c r="N102" s="69">
        <v>41970</v>
      </c>
      <c r="O102" s="69">
        <v>42054</v>
      </c>
      <c r="R102" s="65" t="s">
        <v>28</v>
      </c>
      <c r="U102" t="s">
        <v>281</v>
      </c>
      <c r="V102" t="s">
        <v>3094</v>
      </c>
      <c r="W102" s="65" t="s">
        <v>29</v>
      </c>
      <c r="X102" s="65" t="s">
        <v>29</v>
      </c>
      <c r="Y102" s="65" t="s">
        <v>35</v>
      </c>
      <c r="AA102" s="69">
        <v>42233</v>
      </c>
      <c r="AB102" s="69">
        <v>43054</v>
      </c>
      <c r="AC102" s="69">
        <v>43054</v>
      </c>
      <c r="AD102" s="65" t="s">
        <v>23</v>
      </c>
      <c r="AE102" s="65" t="s">
        <v>24</v>
      </c>
      <c r="AH102" s="69">
        <f t="shared" si="5"/>
        <v>42233</v>
      </c>
      <c r="AI102" s="69">
        <f t="shared" si="4"/>
        <v>43054</v>
      </c>
      <c r="BH102" s="73">
        <v>500</v>
      </c>
      <c r="BK102" s="73">
        <v>500</v>
      </c>
      <c r="BO102" s="185" t="s">
        <v>3794</v>
      </c>
      <c r="BP102" s="185" t="s">
        <v>126</v>
      </c>
      <c r="BQ102" s="185" t="s">
        <v>3794</v>
      </c>
      <c r="BW102" s="73"/>
      <c r="BY102" s="185" t="s">
        <v>3794</v>
      </c>
      <c r="CA102" s="73">
        <v>-500</v>
      </c>
      <c r="CD102" s="73">
        <v>-500</v>
      </c>
      <c r="CE102" s="65" t="s">
        <v>126</v>
      </c>
      <c r="CJ102" t="s">
        <v>25</v>
      </c>
      <c r="CK102" t="s">
        <v>25</v>
      </c>
      <c r="CL102" t="s">
        <v>25</v>
      </c>
      <c r="CM102" t="s">
        <v>25</v>
      </c>
      <c r="CN102" t="s">
        <v>25</v>
      </c>
      <c r="CO102" t="s">
        <v>25</v>
      </c>
      <c r="CP102" t="s">
        <v>25</v>
      </c>
      <c r="CQ102" t="s">
        <v>25</v>
      </c>
      <c r="CR102" t="s">
        <v>25</v>
      </c>
      <c r="CS102" t="s">
        <v>25</v>
      </c>
      <c r="CT102" t="s">
        <v>25</v>
      </c>
      <c r="CU102" t="s">
        <v>25</v>
      </c>
      <c r="CV102" t="s">
        <v>25</v>
      </c>
      <c r="CW102" t="s">
        <v>25</v>
      </c>
      <c r="CX102" t="s">
        <v>25</v>
      </c>
      <c r="CY102" t="s">
        <v>25</v>
      </c>
      <c r="CZ102" t="s">
        <v>25</v>
      </c>
      <c r="DA102" t="s">
        <v>25</v>
      </c>
      <c r="DB102" t="s">
        <v>25</v>
      </c>
      <c r="DC102" t="s">
        <v>25</v>
      </c>
      <c r="DD102" t="s">
        <v>51</v>
      </c>
      <c r="DE102" t="s">
        <v>25</v>
      </c>
      <c r="DF102" t="s">
        <v>25</v>
      </c>
      <c r="DG102" t="s">
        <v>25</v>
      </c>
      <c r="DH102" t="s">
        <v>25</v>
      </c>
      <c r="DI102" t="s">
        <v>25</v>
      </c>
      <c r="DJ102" s="76">
        <v>0</v>
      </c>
      <c r="DK102" s="73">
        <v>0</v>
      </c>
      <c r="DL102" s="73">
        <v>500</v>
      </c>
      <c r="DM102" s="73">
        <v>-500</v>
      </c>
      <c r="DU102"/>
      <c r="DZ102" s="73">
        <v>1041</v>
      </c>
      <c r="EA102" s="73">
        <v>0</v>
      </c>
      <c r="EB102" s="73">
        <v>1041</v>
      </c>
      <c r="EC102" s="65" t="s">
        <v>126</v>
      </c>
    </row>
    <row r="103" spans="1:133" ht="12" customHeight="1" x14ac:dyDescent="0.2">
      <c r="A103" t="s">
        <v>2935</v>
      </c>
      <c r="B103" t="s">
        <v>2946</v>
      </c>
      <c r="C103" t="str">
        <f t="shared" si="3"/>
        <v>Full</v>
      </c>
      <c r="E103" s="65">
        <v>2237</v>
      </c>
      <c r="F103" t="s">
        <v>1502</v>
      </c>
      <c r="G103" s="71" t="s">
        <v>3952</v>
      </c>
      <c r="H103" s="67">
        <v>7.0000000298023196E-2</v>
      </c>
      <c r="I103" s="65">
        <v>528388</v>
      </c>
      <c r="J103" s="65">
        <v>173003</v>
      </c>
      <c r="L103" s="65" t="s">
        <v>569</v>
      </c>
      <c r="M103" s="65" t="s">
        <v>27</v>
      </c>
      <c r="N103" s="69">
        <v>42320</v>
      </c>
      <c r="O103" s="69">
        <v>42433</v>
      </c>
      <c r="R103" s="65" t="s">
        <v>28</v>
      </c>
      <c r="U103" t="s">
        <v>781</v>
      </c>
      <c r="V103" t="s">
        <v>3095</v>
      </c>
      <c r="W103" s="65" t="s">
        <v>34</v>
      </c>
      <c r="X103" s="65" t="s">
        <v>29</v>
      </c>
      <c r="Y103" s="65" t="s">
        <v>30</v>
      </c>
      <c r="AA103" s="69">
        <v>42927</v>
      </c>
      <c r="AD103" s="65" t="s">
        <v>23</v>
      </c>
      <c r="AE103" s="65" t="s">
        <v>24</v>
      </c>
      <c r="AH103" s="69">
        <f t="shared" si="5"/>
        <v>42927</v>
      </c>
      <c r="AJ103" s="73">
        <v>130</v>
      </c>
      <c r="AL103" s="73">
        <v>130</v>
      </c>
      <c r="AO103" s="73">
        <v>260</v>
      </c>
      <c r="AX103" s="73">
        <v>130</v>
      </c>
      <c r="AY103" s="73">
        <v>130</v>
      </c>
      <c r="AZ103" s="73">
        <v>165</v>
      </c>
      <c r="BA103" s="73">
        <v>244</v>
      </c>
      <c r="BE103" s="73">
        <v>409</v>
      </c>
      <c r="BO103" s="185" t="s">
        <v>126</v>
      </c>
      <c r="BP103" s="185" t="s">
        <v>3794</v>
      </c>
      <c r="BQ103" s="185" t="s">
        <v>126</v>
      </c>
      <c r="BR103" s="73">
        <v>-35</v>
      </c>
      <c r="BS103" s="73">
        <v>-244</v>
      </c>
      <c r="BT103" s="73">
        <v>130</v>
      </c>
      <c r="BW103" s="73">
        <v>-149</v>
      </c>
      <c r="BY103" s="185" t="s">
        <v>3794</v>
      </c>
      <c r="CH103" s="73">
        <v>130</v>
      </c>
      <c r="CI103" s="73">
        <v>130</v>
      </c>
      <c r="CJ103" t="s">
        <v>31</v>
      </c>
      <c r="CK103" t="s">
        <v>25</v>
      </c>
      <c r="CL103" t="s">
        <v>31</v>
      </c>
      <c r="CM103" t="s">
        <v>25</v>
      </c>
      <c r="CN103" t="s">
        <v>25</v>
      </c>
      <c r="CO103" t="s">
        <v>25</v>
      </c>
      <c r="CP103" t="s">
        <v>25</v>
      </c>
      <c r="CQ103" t="s">
        <v>25</v>
      </c>
      <c r="CR103" t="s">
        <v>25</v>
      </c>
      <c r="CS103" t="s">
        <v>25</v>
      </c>
      <c r="CT103" t="s">
        <v>25</v>
      </c>
      <c r="CU103" t="s">
        <v>25</v>
      </c>
      <c r="CV103" t="s">
        <v>49</v>
      </c>
      <c r="CW103" t="s">
        <v>47</v>
      </c>
      <c r="CX103" t="s">
        <v>238</v>
      </c>
      <c r="CY103" t="s">
        <v>25</v>
      </c>
      <c r="CZ103" t="s">
        <v>25</v>
      </c>
      <c r="DA103" t="s">
        <v>25</v>
      </c>
      <c r="DB103" t="s">
        <v>25</v>
      </c>
      <c r="DC103" t="s">
        <v>25</v>
      </c>
      <c r="DD103" t="s">
        <v>25</v>
      </c>
      <c r="DE103" t="s">
        <v>25</v>
      </c>
      <c r="DF103" t="s">
        <v>25</v>
      </c>
      <c r="DG103" t="s">
        <v>25</v>
      </c>
      <c r="DH103" t="s">
        <v>25</v>
      </c>
      <c r="DI103" t="s">
        <v>25</v>
      </c>
      <c r="DJ103" s="76">
        <v>2.0999999716877896E-2</v>
      </c>
      <c r="DK103" s="73">
        <v>390</v>
      </c>
      <c r="DL103" s="73">
        <v>866</v>
      </c>
      <c r="DM103" s="73">
        <v>-476</v>
      </c>
      <c r="DU103"/>
      <c r="DZ103" s="73">
        <v>812</v>
      </c>
      <c r="EA103" s="73">
        <v>0</v>
      </c>
      <c r="EB103" s="73">
        <v>812</v>
      </c>
      <c r="EC103" s="65" t="s">
        <v>126</v>
      </c>
    </row>
    <row r="104" spans="1:133" ht="12" customHeight="1" x14ac:dyDescent="0.2">
      <c r="A104" t="s">
        <v>2938</v>
      </c>
      <c r="B104" t="s">
        <v>2946</v>
      </c>
      <c r="C104" t="str">
        <f t="shared" si="3"/>
        <v>Full</v>
      </c>
      <c r="E104" s="65">
        <v>2250</v>
      </c>
      <c r="F104" t="s">
        <v>1503</v>
      </c>
      <c r="G104" s="71" t="s">
        <v>3946</v>
      </c>
      <c r="H104" s="67">
        <v>8.79999995231628E-2</v>
      </c>
      <c r="I104" s="65">
        <v>524120</v>
      </c>
      <c r="J104" s="65">
        <v>175462</v>
      </c>
      <c r="K104" s="65" t="s">
        <v>1504</v>
      </c>
      <c r="L104" s="65" t="s">
        <v>1505</v>
      </c>
      <c r="M104" s="65" t="s">
        <v>172</v>
      </c>
      <c r="N104" s="69">
        <v>43067</v>
      </c>
      <c r="R104" s="65" t="s">
        <v>28</v>
      </c>
      <c r="U104" t="s">
        <v>1506</v>
      </c>
      <c r="V104" t="s">
        <v>3096</v>
      </c>
      <c r="W104" s="65" t="s">
        <v>29</v>
      </c>
      <c r="X104" s="65" t="s">
        <v>29</v>
      </c>
      <c r="Y104" s="65" t="s">
        <v>69</v>
      </c>
      <c r="AD104" s="65" t="s">
        <v>173</v>
      </c>
      <c r="AE104" s="65" t="s">
        <v>24</v>
      </c>
      <c r="AJ104" s="73">
        <v>320</v>
      </c>
      <c r="AK104" s="73">
        <v>320</v>
      </c>
      <c r="AL104" s="73">
        <v>321</v>
      </c>
      <c r="AO104" s="73">
        <v>961</v>
      </c>
      <c r="AP104" s="73">
        <v>431</v>
      </c>
      <c r="AS104" s="73">
        <v>431</v>
      </c>
      <c r="AV104" s="73">
        <v>431</v>
      </c>
      <c r="AZ104" s="73">
        <v>1088</v>
      </c>
      <c r="BE104" s="73">
        <v>1088</v>
      </c>
      <c r="BF104" s="73">
        <v>460</v>
      </c>
      <c r="BK104" s="73">
        <v>460</v>
      </c>
      <c r="BO104" s="185" t="s">
        <v>126</v>
      </c>
      <c r="BP104" s="185" t="s">
        <v>126</v>
      </c>
      <c r="BQ104" s="185" t="s">
        <v>3794</v>
      </c>
      <c r="BR104" s="73">
        <v>-768</v>
      </c>
      <c r="BS104" s="73">
        <v>320</v>
      </c>
      <c r="BT104" s="73">
        <v>321</v>
      </c>
      <c r="BW104" s="73">
        <v>-127</v>
      </c>
      <c r="BX104" s="73">
        <v>-29</v>
      </c>
      <c r="BY104" s="185" t="s">
        <v>126</v>
      </c>
      <c r="CD104" s="73">
        <v>-29</v>
      </c>
      <c r="CE104" s="65" t="s">
        <v>126</v>
      </c>
      <c r="CF104" s="73">
        <v>4889</v>
      </c>
      <c r="CJ104" t="s">
        <v>31</v>
      </c>
      <c r="CK104" t="s">
        <v>31</v>
      </c>
      <c r="CL104" t="s">
        <v>31</v>
      </c>
      <c r="CM104" t="s">
        <v>25</v>
      </c>
      <c r="CN104" t="s">
        <v>25</v>
      </c>
      <c r="CO104" t="s">
        <v>31</v>
      </c>
      <c r="CP104" t="s">
        <v>25</v>
      </c>
      <c r="CQ104" t="s">
        <v>25</v>
      </c>
      <c r="CR104" t="s">
        <v>25</v>
      </c>
      <c r="CS104" t="s">
        <v>25</v>
      </c>
      <c r="CT104" t="s">
        <v>63</v>
      </c>
      <c r="CU104" t="s">
        <v>25</v>
      </c>
      <c r="CV104" t="s">
        <v>25</v>
      </c>
      <c r="CW104" t="s">
        <v>46</v>
      </c>
      <c r="CX104" t="s">
        <v>25</v>
      </c>
      <c r="CY104" t="s">
        <v>25</v>
      </c>
      <c r="CZ104" t="s">
        <v>25</v>
      </c>
      <c r="DA104" t="s">
        <v>25</v>
      </c>
      <c r="DB104" t="s">
        <v>31</v>
      </c>
      <c r="DC104" t="s">
        <v>25</v>
      </c>
      <c r="DD104" t="s">
        <v>25</v>
      </c>
      <c r="DE104" t="s">
        <v>25</v>
      </c>
      <c r="DF104" t="s">
        <v>25</v>
      </c>
      <c r="DG104" t="s">
        <v>25</v>
      </c>
      <c r="DH104" t="s">
        <v>25</v>
      </c>
      <c r="DI104" t="s">
        <v>25</v>
      </c>
      <c r="DJ104" s="76">
        <v>8.79999995231628E-2</v>
      </c>
      <c r="DK104" s="73">
        <v>6281</v>
      </c>
      <c r="DL104" s="73">
        <v>1568</v>
      </c>
      <c r="DM104" s="73">
        <v>4713</v>
      </c>
      <c r="DU104"/>
      <c r="DV104" s="65" t="s">
        <v>126</v>
      </c>
      <c r="DW104" t="s">
        <v>131</v>
      </c>
      <c r="DZ104" s="73">
        <v>0</v>
      </c>
      <c r="EA104" s="73">
        <v>0</v>
      </c>
      <c r="EB104" s="73">
        <v>0</v>
      </c>
    </row>
    <row r="105" spans="1:133" ht="12" customHeight="1" x14ac:dyDescent="0.2">
      <c r="A105" t="s">
        <v>2937</v>
      </c>
      <c r="B105" t="s">
        <v>2946</v>
      </c>
      <c r="C105" t="str">
        <f t="shared" si="3"/>
        <v>Full</v>
      </c>
      <c r="E105" s="65">
        <v>2258</v>
      </c>
      <c r="F105" t="s">
        <v>1507</v>
      </c>
      <c r="G105" s="71" t="s">
        <v>3951</v>
      </c>
      <c r="H105" s="67">
        <v>6.0000000521540598E-3</v>
      </c>
      <c r="I105" s="65">
        <v>527574</v>
      </c>
      <c r="J105" s="65">
        <v>171046</v>
      </c>
      <c r="L105" s="65" t="s">
        <v>1233</v>
      </c>
      <c r="M105" s="65" t="s">
        <v>27</v>
      </c>
      <c r="N105" s="69">
        <v>42760</v>
      </c>
      <c r="O105" s="69">
        <v>42831</v>
      </c>
      <c r="P105" s="65" t="s">
        <v>126</v>
      </c>
      <c r="R105" s="65" t="s">
        <v>28</v>
      </c>
      <c r="U105" t="s">
        <v>1234</v>
      </c>
      <c r="V105" t="s">
        <v>3097</v>
      </c>
      <c r="W105" s="65" t="s">
        <v>21</v>
      </c>
      <c r="X105" s="65" t="s">
        <v>21</v>
      </c>
      <c r="Y105" s="65" t="s">
        <v>69</v>
      </c>
      <c r="AD105" s="65" t="s">
        <v>23</v>
      </c>
      <c r="AE105" s="65" t="s">
        <v>24</v>
      </c>
      <c r="BF105" s="73">
        <v>56</v>
      </c>
      <c r="BK105" s="73">
        <v>56</v>
      </c>
      <c r="BO105" s="185" t="s">
        <v>3794</v>
      </c>
      <c r="BP105" s="185" t="s">
        <v>126</v>
      </c>
      <c r="BQ105" s="185" t="s">
        <v>3794</v>
      </c>
      <c r="BW105" s="73"/>
      <c r="BX105" s="73">
        <v>-56</v>
      </c>
      <c r="BY105" s="185" t="s">
        <v>126</v>
      </c>
      <c r="CD105" s="73">
        <v>-56</v>
      </c>
      <c r="CE105" s="65" t="s">
        <v>126</v>
      </c>
      <c r="CJ105" t="s">
        <v>25</v>
      </c>
      <c r="CK105" t="s">
        <v>25</v>
      </c>
      <c r="CL105" t="s">
        <v>25</v>
      </c>
      <c r="CM105" t="s">
        <v>25</v>
      </c>
      <c r="CN105" t="s">
        <v>25</v>
      </c>
      <c r="CO105" t="s">
        <v>25</v>
      </c>
      <c r="CP105" t="s">
        <v>25</v>
      </c>
      <c r="CQ105" t="s">
        <v>25</v>
      </c>
      <c r="CR105" t="s">
        <v>25</v>
      </c>
      <c r="CS105" t="s">
        <v>25</v>
      </c>
      <c r="CT105" t="s">
        <v>25</v>
      </c>
      <c r="CU105" t="s">
        <v>25</v>
      </c>
      <c r="CV105" t="s">
        <v>25</v>
      </c>
      <c r="CW105" t="s">
        <v>25</v>
      </c>
      <c r="CX105" t="s">
        <v>25</v>
      </c>
      <c r="CY105" t="s">
        <v>25</v>
      </c>
      <c r="CZ105" t="s">
        <v>25</v>
      </c>
      <c r="DA105" t="s">
        <v>25</v>
      </c>
      <c r="DB105" t="s">
        <v>47</v>
      </c>
      <c r="DC105" t="s">
        <v>25</v>
      </c>
      <c r="DD105" t="s">
        <v>25</v>
      </c>
      <c r="DE105" t="s">
        <v>25</v>
      </c>
      <c r="DF105" t="s">
        <v>25</v>
      </c>
      <c r="DG105" t="s">
        <v>25</v>
      </c>
      <c r="DH105" t="s">
        <v>25</v>
      </c>
      <c r="DI105" t="s">
        <v>25</v>
      </c>
      <c r="DJ105" s="76">
        <v>0</v>
      </c>
      <c r="DK105" s="73">
        <v>0</v>
      </c>
      <c r="DL105" s="73">
        <v>56</v>
      </c>
      <c r="DM105" s="73">
        <v>-56</v>
      </c>
      <c r="DU105"/>
      <c r="DZ105" s="73">
        <v>59</v>
      </c>
      <c r="EA105" s="73">
        <v>0</v>
      </c>
      <c r="EB105" s="73">
        <v>59</v>
      </c>
      <c r="EC105" s="65" t="s">
        <v>126</v>
      </c>
    </row>
    <row r="106" spans="1:133" ht="12" customHeight="1" x14ac:dyDescent="0.2">
      <c r="A106" t="s">
        <v>2935</v>
      </c>
      <c r="B106" t="s">
        <v>2946</v>
      </c>
      <c r="C106" t="str">
        <f t="shared" si="3"/>
        <v>Full</v>
      </c>
      <c r="E106" s="65">
        <v>2266</v>
      </c>
      <c r="F106" t="s">
        <v>1508</v>
      </c>
      <c r="G106" s="71" t="s">
        <v>3946</v>
      </c>
      <c r="H106" s="67">
        <v>6.5999999642372104E-2</v>
      </c>
      <c r="I106" s="65">
        <v>524066</v>
      </c>
      <c r="J106" s="65">
        <v>175324</v>
      </c>
      <c r="L106" s="65" t="s">
        <v>474</v>
      </c>
      <c r="M106" s="65" t="s">
        <v>33</v>
      </c>
      <c r="N106" s="69">
        <v>42142</v>
      </c>
      <c r="O106" s="69">
        <v>42494</v>
      </c>
      <c r="Q106" s="69">
        <v>42353</v>
      </c>
      <c r="R106" s="65" t="s">
        <v>28</v>
      </c>
      <c r="U106" t="s">
        <v>745</v>
      </c>
      <c r="V106" t="s">
        <v>3098</v>
      </c>
      <c r="W106" s="65" t="s">
        <v>29</v>
      </c>
      <c r="X106" s="65" t="s">
        <v>29</v>
      </c>
      <c r="Y106" s="65" t="s">
        <v>30</v>
      </c>
      <c r="AA106" s="69">
        <v>42825</v>
      </c>
      <c r="AD106" s="65" t="s">
        <v>23</v>
      </c>
      <c r="AE106" s="65" t="s">
        <v>24</v>
      </c>
      <c r="AH106" s="69">
        <f t="shared" si="5"/>
        <v>42825</v>
      </c>
      <c r="AJ106" s="73">
        <v>914</v>
      </c>
      <c r="AO106" s="73">
        <v>914</v>
      </c>
      <c r="AZ106" s="73">
        <v>1154</v>
      </c>
      <c r="BE106" s="73">
        <v>1154</v>
      </c>
      <c r="BF106" s="73">
        <v>409</v>
      </c>
      <c r="BK106" s="73">
        <v>409</v>
      </c>
      <c r="BO106" s="185" t="s">
        <v>126</v>
      </c>
      <c r="BP106" s="185" t="s">
        <v>126</v>
      </c>
      <c r="BQ106" s="185" t="s">
        <v>3794</v>
      </c>
      <c r="BR106" s="73">
        <v>-240</v>
      </c>
      <c r="BW106" s="570">
        <v>-240</v>
      </c>
      <c r="BX106" s="73">
        <v>-409</v>
      </c>
      <c r="BY106" s="185" t="s">
        <v>126</v>
      </c>
      <c r="CD106" s="73">
        <v>-409</v>
      </c>
      <c r="CE106" s="65" t="s">
        <v>126</v>
      </c>
      <c r="CJ106" t="s">
        <v>31</v>
      </c>
      <c r="CK106" t="s">
        <v>25</v>
      </c>
      <c r="CL106" t="s">
        <v>25</v>
      </c>
      <c r="CM106" t="s">
        <v>25</v>
      </c>
      <c r="CN106" t="s">
        <v>25</v>
      </c>
      <c r="CO106" t="s">
        <v>25</v>
      </c>
      <c r="CP106" t="s">
        <v>25</v>
      </c>
      <c r="CQ106" t="s">
        <v>25</v>
      </c>
      <c r="CR106" t="s">
        <v>25</v>
      </c>
      <c r="CS106" t="s">
        <v>25</v>
      </c>
      <c r="CT106" t="s">
        <v>25</v>
      </c>
      <c r="CU106" t="s">
        <v>25</v>
      </c>
      <c r="CV106" t="s">
        <v>25</v>
      </c>
      <c r="CW106" t="s">
        <v>31</v>
      </c>
      <c r="CX106" t="s">
        <v>25</v>
      </c>
      <c r="CY106" t="s">
        <v>25</v>
      </c>
      <c r="CZ106" t="s">
        <v>25</v>
      </c>
      <c r="DA106" t="s">
        <v>25</v>
      </c>
      <c r="DB106" t="s">
        <v>31</v>
      </c>
      <c r="DC106" t="s">
        <v>25</v>
      </c>
      <c r="DD106" t="s">
        <v>25</v>
      </c>
      <c r="DE106" t="s">
        <v>25</v>
      </c>
      <c r="DF106" t="s">
        <v>25</v>
      </c>
      <c r="DG106" t="s">
        <v>25</v>
      </c>
      <c r="DH106" t="s">
        <v>25</v>
      </c>
      <c r="DI106" t="s">
        <v>25</v>
      </c>
      <c r="DJ106" s="76">
        <v>1.3000000268220901E-2</v>
      </c>
      <c r="DK106" s="73">
        <v>914</v>
      </c>
      <c r="DL106" s="73">
        <v>1563</v>
      </c>
      <c r="DM106" s="73">
        <v>-649</v>
      </c>
      <c r="DU106"/>
      <c r="DV106" s="65" t="s">
        <v>126</v>
      </c>
      <c r="DW106" t="s">
        <v>131</v>
      </c>
      <c r="DZ106" s="73">
        <v>1315</v>
      </c>
      <c r="EA106" s="73">
        <v>0</v>
      </c>
      <c r="EB106" s="73">
        <v>1315</v>
      </c>
      <c r="EC106" s="65" t="s">
        <v>126</v>
      </c>
    </row>
    <row r="107" spans="1:133" ht="12" customHeight="1" x14ac:dyDescent="0.2">
      <c r="A107" t="s">
        <v>2935</v>
      </c>
      <c r="B107" t="s">
        <v>2946</v>
      </c>
      <c r="C107" t="str">
        <f t="shared" si="3"/>
        <v>Full</v>
      </c>
      <c r="E107" s="65">
        <v>2266</v>
      </c>
      <c r="F107" t="s">
        <v>1508</v>
      </c>
      <c r="G107" s="71" t="s">
        <v>3946</v>
      </c>
      <c r="H107" s="67">
        <v>6.5999999642372104E-2</v>
      </c>
      <c r="I107" s="65">
        <v>524066</v>
      </c>
      <c r="J107" s="65">
        <v>175324</v>
      </c>
      <c r="L107" s="65" t="s">
        <v>670</v>
      </c>
      <c r="M107" s="65" t="s">
        <v>434</v>
      </c>
      <c r="N107" s="69">
        <v>42601</v>
      </c>
      <c r="O107" s="69">
        <v>42762</v>
      </c>
      <c r="R107" s="65" t="s">
        <v>28</v>
      </c>
      <c r="U107" t="s">
        <v>1509</v>
      </c>
      <c r="V107" t="s">
        <v>3099</v>
      </c>
      <c r="W107" s="65" t="s">
        <v>21</v>
      </c>
      <c r="X107" s="65" t="s">
        <v>21</v>
      </c>
      <c r="Y107" s="65" t="s">
        <v>30</v>
      </c>
      <c r="AA107" s="69">
        <v>42825</v>
      </c>
      <c r="AD107" s="65" t="s">
        <v>23</v>
      </c>
      <c r="AE107" s="65" t="s">
        <v>24</v>
      </c>
      <c r="AH107" s="69">
        <f t="shared" si="5"/>
        <v>42825</v>
      </c>
      <c r="AJ107" s="73">
        <v>457</v>
      </c>
      <c r="AK107" s="73">
        <v>457</v>
      </c>
      <c r="AO107" s="73">
        <v>914</v>
      </c>
      <c r="AZ107" s="73">
        <v>914</v>
      </c>
      <c r="BE107" s="73">
        <v>914</v>
      </c>
      <c r="BO107" s="185" t="s">
        <v>126</v>
      </c>
      <c r="BP107" s="185" t="s">
        <v>3794</v>
      </c>
      <c r="BQ107" s="185" t="s">
        <v>3794</v>
      </c>
      <c r="BR107" s="73">
        <v>-457</v>
      </c>
      <c r="BS107" s="73">
        <v>457</v>
      </c>
      <c r="BY107" s="185" t="s">
        <v>3794</v>
      </c>
      <c r="CJ107" t="s">
        <v>31</v>
      </c>
      <c r="CK107" t="s">
        <v>31</v>
      </c>
      <c r="CL107" t="s">
        <v>25</v>
      </c>
      <c r="CM107" t="s">
        <v>25</v>
      </c>
      <c r="CN107" t="s">
        <v>25</v>
      </c>
      <c r="CO107" t="s">
        <v>25</v>
      </c>
      <c r="CP107" t="s">
        <v>25</v>
      </c>
      <c r="CQ107" t="s">
        <v>25</v>
      </c>
      <c r="CR107" t="s">
        <v>25</v>
      </c>
      <c r="CS107" t="s">
        <v>25</v>
      </c>
      <c r="CT107" t="s">
        <v>25</v>
      </c>
      <c r="CU107" t="s">
        <v>25</v>
      </c>
      <c r="CV107" t="s">
        <v>25</v>
      </c>
      <c r="CW107" t="s">
        <v>25</v>
      </c>
      <c r="CX107" t="s">
        <v>25</v>
      </c>
      <c r="CY107" t="s">
        <v>25</v>
      </c>
      <c r="CZ107" t="s">
        <v>25</v>
      </c>
      <c r="DA107" t="s">
        <v>25</v>
      </c>
      <c r="DB107" t="s">
        <v>25</v>
      </c>
      <c r="DC107" t="s">
        <v>25</v>
      </c>
      <c r="DD107" t="s">
        <v>25</v>
      </c>
      <c r="DE107" t="s">
        <v>25</v>
      </c>
      <c r="DF107" t="s">
        <v>25</v>
      </c>
      <c r="DG107" t="s">
        <v>25</v>
      </c>
      <c r="DH107" t="s">
        <v>25</v>
      </c>
      <c r="DI107" t="s">
        <v>25</v>
      </c>
      <c r="DJ107" s="76">
        <v>0</v>
      </c>
      <c r="DK107" s="73">
        <v>914</v>
      </c>
      <c r="DL107" s="73">
        <v>914</v>
      </c>
      <c r="DM107" s="73">
        <v>0</v>
      </c>
      <c r="DU107"/>
      <c r="DV107" s="65" t="s">
        <v>126</v>
      </c>
      <c r="DW107" t="s">
        <v>131</v>
      </c>
      <c r="DZ107" s="73">
        <v>0</v>
      </c>
      <c r="EA107" s="73">
        <v>0</v>
      </c>
      <c r="EB107" s="73">
        <v>0</v>
      </c>
    </row>
    <row r="108" spans="1:133" ht="12" customHeight="1" x14ac:dyDescent="0.2">
      <c r="A108" t="s">
        <v>2935</v>
      </c>
      <c r="B108" t="s">
        <v>2946</v>
      </c>
      <c r="C108" t="str">
        <f t="shared" si="3"/>
        <v>Full</v>
      </c>
      <c r="E108" s="65">
        <v>2266</v>
      </c>
      <c r="F108" t="s">
        <v>1508</v>
      </c>
      <c r="G108" s="71" t="s">
        <v>3946</v>
      </c>
      <c r="H108" s="67">
        <v>6.5999999642372104E-2</v>
      </c>
      <c r="I108" s="65">
        <v>524066</v>
      </c>
      <c r="J108" s="65">
        <v>175324</v>
      </c>
      <c r="L108" s="65" t="s">
        <v>1241</v>
      </c>
      <c r="M108" s="65" t="s">
        <v>434</v>
      </c>
      <c r="N108" s="69">
        <v>42790</v>
      </c>
      <c r="O108" s="69">
        <v>42984</v>
      </c>
      <c r="P108" s="65" t="s">
        <v>126</v>
      </c>
      <c r="Q108" s="69">
        <v>42871</v>
      </c>
      <c r="R108" s="65" t="s">
        <v>28</v>
      </c>
      <c r="U108" t="s">
        <v>1510</v>
      </c>
      <c r="V108" t="s">
        <v>3100</v>
      </c>
      <c r="W108" s="65" t="s">
        <v>45</v>
      </c>
      <c r="X108" s="65" t="s">
        <v>21</v>
      </c>
      <c r="Y108" s="65" t="s">
        <v>30</v>
      </c>
      <c r="AA108" s="69">
        <v>42985</v>
      </c>
      <c r="AD108" s="65" t="s">
        <v>23</v>
      </c>
      <c r="AE108" s="65" t="s">
        <v>24</v>
      </c>
      <c r="AH108" s="69">
        <f t="shared" si="5"/>
        <v>42985</v>
      </c>
      <c r="AJ108" s="73">
        <v>460</v>
      </c>
      <c r="AK108" s="73">
        <v>460</v>
      </c>
      <c r="AO108" s="73">
        <v>920</v>
      </c>
      <c r="AZ108" s="73">
        <v>457</v>
      </c>
      <c r="BA108" s="73">
        <v>457</v>
      </c>
      <c r="BE108" s="73">
        <v>914</v>
      </c>
      <c r="BO108" s="185" t="s">
        <v>126</v>
      </c>
      <c r="BP108" s="185" t="s">
        <v>3794</v>
      </c>
      <c r="BQ108" s="185" t="s">
        <v>3794</v>
      </c>
      <c r="BR108" s="73">
        <v>3</v>
      </c>
      <c r="BS108" s="73">
        <v>3</v>
      </c>
      <c r="BW108" s="570">
        <v>6</v>
      </c>
      <c r="BY108" s="185" t="s">
        <v>3794</v>
      </c>
      <c r="CJ108" t="s">
        <v>31</v>
      </c>
      <c r="CK108" t="s">
        <v>31</v>
      </c>
      <c r="CL108" t="s">
        <v>25</v>
      </c>
      <c r="CM108" t="s">
        <v>25</v>
      </c>
      <c r="CN108" t="s">
        <v>25</v>
      </c>
      <c r="CO108" t="s">
        <v>25</v>
      </c>
      <c r="CP108" t="s">
        <v>25</v>
      </c>
      <c r="CQ108" t="s">
        <v>25</v>
      </c>
      <c r="CR108" t="s">
        <v>25</v>
      </c>
      <c r="CS108" t="s">
        <v>25</v>
      </c>
      <c r="CT108" t="s">
        <v>25</v>
      </c>
      <c r="CU108" t="s">
        <v>25</v>
      </c>
      <c r="CV108" t="s">
        <v>25</v>
      </c>
      <c r="CW108" t="s">
        <v>31</v>
      </c>
      <c r="CX108" t="s">
        <v>31</v>
      </c>
      <c r="CY108" t="s">
        <v>25</v>
      </c>
      <c r="CZ108" t="s">
        <v>25</v>
      </c>
      <c r="DA108" t="s">
        <v>25</v>
      </c>
      <c r="DB108" t="s">
        <v>25</v>
      </c>
      <c r="DC108" t="s">
        <v>25</v>
      </c>
      <c r="DD108" t="s">
        <v>25</v>
      </c>
      <c r="DE108" t="s">
        <v>25</v>
      </c>
      <c r="DF108" t="s">
        <v>25</v>
      </c>
      <c r="DG108" t="s">
        <v>25</v>
      </c>
      <c r="DH108" t="s">
        <v>25</v>
      </c>
      <c r="DI108" t="s">
        <v>25</v>
      </c>
      <c r="DJ108" s="76">
        <v>0</v>
      </c>
      <c r="DK108" s="73">
        <v>920</v>
      </c>
      <c r="DL108" s="73">
        <v>914</v>
      </c>
      <c r="DM108" s="73">
        <v>6</v>
      </c>
      <c r="DU108"/>
      <c r="DV108" s="65" t="s">
        <v>126</v>
      </c>
      <c r="DW108" t="s">
        <v>131</v>
      </c>
      <c r="DZ108" s="73">
        <v>26</v>
      </c>
      <c r="EA108" s="73">
        <v>0</v>
      </c>
      <c r="EB108" s="73">
        <v>26</v>
      </c>
      <c r="EC108" s="65" t="s">
        <v>126</v>
      </c>
    </row>
    <row r="109" spans="1:133" ht="12" customHeight="1" x14ac:dyDescent="0.2">
      <c r="A109" t="s">
        <v>2936</v>
      </c>
      <c r="B109" t="s">
        <v>2946</v>
      </c>
      <c r="C109" t="str">
        <f t="shared" si="3"/>
        <v>Full</v>
      </c>
      <c r="D109" t="s">
        <v>2942</v>
      </c>
      <c r="E109" s="65">
        <v>2302</v>
      </c>
      <c r="F109" t="s">
        <v>1511</v>
      </c>
      <c r="G109" s="71" t="s">
        <v>3951</v>
      </c>
      <c r="H109" s="67">
        <v>6.3000001013279003E-2</v>
      </c>
      <c r="I109" s="65">
        <v>527958</v>
      </c>
      <c r="J109" s="65">
        <v>170935</v>
      </c>
      <c r="L109" s="65" t="s">
        <v>637</v>
      </c>
      <c r="M109" s="65" t="s">
        <v>27</v>
      </c>
      <c r="N109" s="69">
        <v>39382</v>
      </c>
      <c r="O109" s="69">
        <v>39527</v>
      </c>
      <c r="R109" s="65" t="s">
        <v>28</v>
      </c>
      <c r="U109" t="s">
        <v>638</v>
      </c>
      <c r="V109" t="s">
        <v>3101</v>
      </c>
      <c r="W109" s="65" t="s">
        <v>29</v>
      </c>
      <c r="X109" s="65" t="s">
        <v>29</v>
      </c>
      <c r="Y109" s="65" t="s">
        <v>22</v>
      </c>
      <c r="AA109" s="69">
        <v>42825</v>
      </c>
      <c r="AB109" s="69">
        <v>43190</v>
      </c>
      <c r="AD109" s="65" t="s">
        <v>23</v>
      </c>
      <c r="AE109" s="65" t="s">
        <v>24</v>
      </c>
      <c r="AH109" s="69">
        <f t="shared" si="5"/>
        <v>42825</v>
      </c>
      <c r="AI109" s="69">
        <f t="shared" si="4"/>
        <v>43190</v>
      </c>
      <c r="AJ109" s="73">
        <v>79</v>
      </c>
      <c r="AK109" s="73">
        <v>79</v>
      </c>
      <c r="AL109" s="73">
        <v>79</v>
      </c>
      <c r="AM109" s="73">
        <v>79</v>
      </c>
      <c r="AN109" s="73">
        <v>79</v>
      </c>
      <c r="AO109" s="73">
        <v>395</v>
      </c>
      <c r="BO109" s="185" t="s">
        <v>126</v>
      </c>
      <c r="BP109" s="185" t="s">
        <v>3794</v>
      </c>
      <c r="BQ109" s="185" t="s">
        <v>3794</v>
      </c>
      <c r="BR109" s="73">
        <v>79</v>
      </c>
      <c r="BS109" s="73">
        <v>79</v>
      </c>
      <c r="BT109" s="73">
        <v>79</v>
      </c>
      <c r="BU109" s="73">
        <v>79</v>
      </c>
      <c r="BV109" s="73">
        <v>79</v>
      </c>
      <c r="BW109" s="73">
        <v>395</v>
      </c>
      <c r="BY109" s="185" t="s">
        <v>3794</v>
      </c>
      <c r="CJ109" t="s">
        <v>31</v>
      </c>
      <c r="CK109" t="s">
        <v>31</v>
      </c>
      <c r="CL109" t="s">
        <v>31</v>
      </c>
      <c r="CM109" t="s">
        <v>31</v>
      </c>
      <c r="CN109" t="s">
        <v>31</v>
      </c>
      <c r="CO109" t="s">
        <v>25</v>
      </c>
      <c r="CP109" t="s">
        <v>25</v>
      </c>
      <c r="CQ109" t="s">
        <v>25</v>
      </c>
      <c r="CR109" t="s">
        <v>25</v>
      </c>
      <c r="CS109" t="s">
        <v>25</v>
      </c>
      <c r="CT109" t="s">
        <v>25</v>
      </c>
      <c r="CU109" t="s">
        <v>25</v>
      </c>
      <c r="CV109" t="s">
        <v>25</v>
      </c>
      <c r="CW109" t="s">
        <v>25</v>
      </c>
      <c r="CX109" t="s">
        <v>25</v>
      </c>
      <c r="CY109" t="s">
        <v>25</v>
      </c>
      <c r="CZ109" t="s">
        <v>25</v>
      </c>
      <c r="DA109" t="s">
        <v>25</v>
      </c>
      <c r="DB109" t="s">
        <v>25</v>
      </c>
      <c r="DC109" t="s">
        <v>25</v>
      </c>
      <c r="DD109" t="s">
        <v>25</v>
      </c>
      <c r="DE109" t="s">
        <v>25</v>
      </c>
      <c r="DF109" t="s">
        <v>25</v>
      </c>
      <c r="DG109" t="s">
        <v>25</v>
      </c>
      <c r="DH109" t="s">
        <v>25</v>
      </c>
      <c r="DI109" t="s">
        <v>25</v>
      </c>
      <c r="DJ109" s="76">
        <v>1.6000002622604405E-2</v>
      </c>
      <c r="DK109" s="73">
        <v>395</v>
      </c>
      <c r="DL109" s="73">
        <v>0</v>
      </c>
      <c r="DM109" s="73">
        <v>395</v>
      </c>
      <c r="DU109"/>
      <c r="DZ109" s="73">
        <v>957</v>
      </c>
      <c r="EA109" s="73">
        <v>322</v>
      </c>
      <c r="EB109" s="73">
        <v>635</v>
      </c>
      <c r="EC109" s="65" t="s">
        <v>126</v>
      </c>
    </row>
    <row r="110" spans="1:133" ht="12" customHeight="1" x14ac:dyDescent="0.2">
      <c r="A110" t="s">
        <v>2938</v>
      </c>
      <c r="B110" t="s">
        <v>2946</v>
      </c>
      <c r="C110" t="str">
        <f t="shared" si="3"/>
        <v>Full</v>
      </c>
      <c r="E110" s="65">
        <v>2302</v>
      </c>
      <c r="F110" t="s">
        <v>1511</v>
      </c>
      <c r="G110" s="71" t="s">
        <v>3951</v>
      </c>
      <c r="H110" s="67">
        <v>6.3000001013279003E-2</v>
      </c>
      <c r="I110" s="65">
        <v>527958</v>
      </c>
      <c r="J110" s="65">
        <v>170935</v>
      </c>
      <c r="L110" s="65" t="s">
        <v>1512</v>
      </c>
      <c r="M110" s="65" t="s">
        <v>172</v>
      </c>
      <c r="N110" s="69">
        <v>43187</v>
      </c>
      <c r="R110" s="65" t="s">
        <v>28</v>
      </c>
      <c r="U110" t="s">
        <v>1513</v>
      </c>
      <c r="V110" t="s">
        <v>3102</v>
      </c>
      <c r="W110" s="65" t="s">
        <v>21</v>
      </c>
      <c r="X110" s="65" t="s">
        <v>21</v>
      </c>
      <c r="Y110" s="65" t="s">
        <v>69</v>
      </c>
      <c r="AD110" s="65" t="s">
        <v>173</v>
      </c>
      <c r="AE110" s="65" t="s">
        <v>24</v>
      </c>
      <c r="AJ110" s="73">
        <v>66</v>
      </c>
      <c r="AK110" s="73">
        <v>66</v>
      </c>
      <c r="AL110" s="73">
        <v>66</v>
      </c>
      <c r="AM110" s="73">
        <v>66</v>
      </c>
      <c r="AN110" s="73">
        <v>66</v>
      </c>
      <c r="AO110" s="73">
        <v>330</v>
      </c>
      <c r="AX110" s="73">
        <v>65</v>
      </c>
      <c r="AY110" s="73">
        <v>65</v>
      </c>
      <c r="AZ110" s="73">
        <v>79</v>
      </c>
      <c r="BA110" s="73">
        <v>79</v>
      </c>
      <c r="BB110" s="73">
        <v>79</v>
      </c>
      <c r="BC110" s="73">
        <v>79</v>
      </c>
      <c r="BD110" s="73">
        <v>79</v>
      </c>
      <c r="BE110" s="73">
        <v>395</v>
      </c>
      <c r="BO110" s="185" t="s">
        <v>126</v>
      </c>
      <c r="BP110" s="185" t="s">
        <v>3794</v>
      </c>
      <c r="BQ110" s="185" t="s">
        <v>126</v>
      </c>
      <c r="BR110" s="73">
        <v>-13</v>
      </c>
      <c r="BS110" s="73">
        <v>-13</v>
      </c>
      <c r="BT110" s="73">
        <v>-13</v>
      </c>
      <c r="BU110" s="73">
        <v>-13</v>
      </c>
      <c r="BV110" s="73">
        <v>-13</v>
      </c>
      <c r="BW110" s="73">
        <v>-65</v>
      </c>
      <c r="BY110" s="185" t="s">
        <v>3794</v>
      </c>
      <c r="CH110" s="73">
        <v>65</v>
      </c>
      <c r="CI110" s="73">
        <v>65</v>
      </c>
      <c r="CJ110" t="s">
        <v>31</v>
      </c>
      <c r="CK110" t="s">
        <v>31</v>
      </c>
      <c r="CL110" t="s">
        <v>31</v>
      </c>
      <c r="CM110" t="s">
        <v>31</v>
      </c>
      <c r="CN110" t="s">
        <v>31</v>
      </c>
      <c r="CO110" t="s">
        <v>25</v>
      </c>
      <c r="CP110" t="s">
        <v>25</v>
      </c>
      <c r="CQ110" t="s">
        <v>25</v>
      </c>
      <c r="CR110" t="s">
        <v>25</v>
      </c>
      <c r="CS110" t="s">
        <v>25</v>
      </c>
      <c r="CT110" t="s">
        <v>25</v>
      </c>
      <c r="CU110" t="s">
        <v>25</v>
      </c>
      <c r="CV110" t="s">
        <v>49</v>
      </c>
      <c r="CW110" t="s">
        <v>31</v>
      </c>
      <c r="CX110" t="s">
        <v>31</v>
      </c>
      <c r="CY110" t="s">
        <v>31</v>
      </c>
      <c r="CZ110" t="s">
        <v>31</v>
      </c>
      <c r="DA110" t="s">
        <v>31</v>
      </c>
      <c r="DB110" t="s">
        <v>25</v>
      </c>
      <c r="DC110" t="s">
        <v>25</v>
      </c>
      <c r="DD110" t="s">
        <v>25</v>
      </c>
      <c r="DE110" t="s">
        <v>25</v>
      </c>
      <c r="DF110" t="s">
        <v>25</v>
      </c>
      <c r="DG110" t="s">
        <v>25</v>
      </c>
      <c r="DH110" t="s">
        <v>25</v>
      </c>
      <c r="DI110" t="s">
        <v>25</v>
      </c>
      <c r="DJ110" s="76">
        <v>6.3000001013279003E-2</v>
      </c>
      <c r="DK110" s="73">
        <v>395</v>
      </c>
      <c r="DL110" s="73">
        <v>395</v>
      </c>
      <c r="DM110" s="73">
        <v>0</v>
      </c>
      <c r="DU110"/>
      <c r="DZ110" s="73">
        <v>0</v>
      </c>
      <c r="EA110" s="73">
        <v>0</v>
      </c>
      <c r="EB110" s="73">
        <v>0</v>
      </c>
    </row>
    <row r="111" spans="1:133" ht="12" customHeight="1" x14ac:dyDescent="0.2">
      <c r="A111" t="s">
        <v>2935</v>
      </c>
      <c r="B111" t="s">
        <v>2946</v>
      </c>
      <c r="C111" t="str">
        <f t="shared" si="3"/>
        <v>Full</v>
      </c>
      <c r="E111" s="65">
        <v>2320</v>
      </c>
      <c r="F111" t="s">
        <v>1517</v>
      </c>
      <c r="G111" s="71" t="s">
        <v>3943</v>
      </c>
      <c r="H111" s="67">
        <v>0.53700000047683705</v>
      </c>
      <c r="I111" s="65">
        <v>527260</v>
      </c>
      <c r="J111" s="65">
        <v>177215</v>
      </c>
      <c r="K111" s="65" t="s">
        <v>1518</v>
      </c>
      <c r="L111" s="65" t="s">
        <v>367</v>
      </c>
      <c r="M111" s="65" t="s">
        <v>33</v>
      </c>
      <c r="N111" s="69">
        <v>41855</v>
      </c>
      <c r="O111" s="69">
        <v>42185</v>
      </c>
      <c r="Q111" s="69">
        <v>41928</v>
      </c>
      <c r="R111" s="65" t="s">
        <v>28</v>
      </c>
      <c r="U111" t="s">
        <v>705</v>
      </c>
      <c r="V111" t="s">
        <v>3103</v>
      </c>
      <c r="W111" s="65" t="s">
        <v>29</v>
      </c>
      <c r="X111" s="65" t="s">
        <v>29</v>
      </c>
      <c r="Y111" s="65" t="s">
        <v>30</v>
      </c>
      <c r="AA111" s="69">
        <v>43190</v>
      </c>
      <c r="AD111" s="65" t="s">
        <v>23</v>
      </c>
      <c r="AE111" s="65" t="s">
        <v>24</v>
      </c>
      <c r="AH111" s="69">
        <f t="shared" si="5"/>
        <v>43190</v>
      </c>
      <c r="AJ111" s="73">
        <v>526</v>
      </c>
      <c r="AL111" s="73">
        <v>117</v>
      </c>
      <c r="AM111" s="73">
        <v>353</v>
      </c>
      <c r="AO111" s="73">
        <v>996</v>
      </c>
      <c r="AP111" s="73">
        <v>240</v>
      </c>
      <c r="AS111" s="73">
        <v>240</v>
      </c>
      <c r="AV111" s="73">
        <v>240</v>
      </c>
      <c r="AW111" s="73">
        <v>301</v>
      </c>
      <c r="AY111" s="73">
        <v>301</v>
      </c>
      <c r="AZ111" s="73">
        <v>135</v>
      </c>
      <c r="BE111" s="73">
        <v>135</v>
      </c>
      <c r="BF111" s="73">
        <v>4491</v>
      </c>
      <c r="BK111" s="73">
        <v>4491</v>
      </c>
      <c r="BL111" s="73">
        <v>362</v>
      </c>
      <c r="BM111" s="73">
        <v>363</v>
      </c>
      <c r="BN111" s="73">
        <v>725</v>
      </c>
      <c r="BO111" s="185" t="s">
        <v>126</v>
      </c>
      <c r="BP111" s="185" t="s">
        <v>126</v>
      </c>
      <c r="BQ111" s="185" t="s">
        <v>126</v>
      </c>
      <c r="BR111" s="73">
        <v>391</v>
      </c>
      <c r="BT111" s="73">
        <v>117</v>
      </c>
      <c r="BU111" s="73">
        <v>353</v>
      </c>
      <c r="BW111" s="73">
        <v>861</v>
      </c>
      <c r="BX111" s="73">
        <v>-4251</v>
      </c>
      <c r="BY111" s="185" t="s">
        <v>126</v>
      </c>
      <c r="CD111" s="73">
        <v>-4251</v>
      </c>
      <c r="CE111" s="65" t="s">
        <v>126</v>
      </c>
      <c r="CG111" s="73">
        <v>-61</v>
      </c>
      <c r="CH111" s="73">
        <v>-363</v>
      </c>
      <c r="CI111" s="73">
        <v>-424</v>
      </c>
      <c r="CJ111" t="s">
        <v>31</v>
      </c>
      <c r="CK111" t="s">
        <v>25</v>
      </c>
      <c r="CL111" t="s">
        <v>31</v>
      </c>
      <c r="CM111" t="s">
        <v>31</v>
      </c>
      <c r="CN111" t="s">
        <v>25</v>
      </c>
      <c r="CO111" t="s">
        <v>31</v>
      </c>
      <c r="CP111" t="s">
        <v>25</v>
      </c>
      <c r="CQ111" t="s">
        <v>25</v>
      </c>
      <c r="CR111" t="s">
        <v>25</v>
      </c>
      <c r="CS111" t="s">
        <v>25</v>
      </c>
      <c r="CT111" t="s">
        <v>25</v>
      </c>
      <c r="CU111" t="s">
        <v>31</v>
      </c>
      <c r="CV111" t="s">
        <v>25</v>
      </c>
      <c r="CW111" t="s">
        <v>47</v>
      </c>
      <c r="CX111" t="s">
        <v>25</v>
      </c>
      <c r="CY111" t="s">
        <v>25</v>
      </c>
      <c r="CZ111" t="s">
        <v>25</v>
      </c>
      <c r="DA111" t="s">
        <v>25</v>
      </c>
      <c r="DB111" t="s">
        <v>47</v>
      </c>
      <c r="DC111" t="s">
        <v>25</v>
      </c>
      <c r="DD111" t="s">
        <v>25</v>
      </c>
      <c r="DE111" t="s">
        <v>25</v>
      </c>
      <c r="DF111" t="s">
        <v>25</v>
      </c>
      <c r="DG111" t="s">
        <v>25</v>
      </c>
      <c r="DH111" t="s">
        <v>47</v>
      </c>
      <c r="DI111" t="s">
        <v>47</v>
      </c>
      <c r="DJ111" s="76">
        <v>4.1000001132488029E-2</v>
      </c>
      <c r="DK111" s="73">
        <v>2282</v>
      </c>
      <c r="DL111" s="73">
        <v>5351</v>
      </c>
      <c r="DM111" s="73">
        <v>-3069</v>
      </c>
      <c r="DN111" s="65" t="s">
        <v>126</v>
      </c>
      <c r="DU111"/>
      <c r="DZ111" s="73">
        <v>17225</v>
      </c>
      <c r="EA111" s="73">
        <v>0</v>
      </c>
      <c r="EB111" s="73">
        <v>17225</v>
      </c>
      <c r="EC111" s="65" t="s">
        <v>126</v>
      </c>
    </row>
    <row r="112" spans="1:133" ht="12" customHeight="1" x14ac:dyDescent="0.2">
      <c r="A112" t="s">
        <v>2937</v>
      </c>
      <c r="B112" t="s">
        <v>2946</v>
      </c>
      <c r="C112" t="str">
        <f t="shared" si="3"/>
        <v>Full</v>
      </c>
      <c r="E112" s="65">
        <v>2356</v>
      </c>
      <c r="F112" t="s">
        <v>1519</v>
      </c>
      <c r="G112" s="71" t="s">
        <v>3944</v>
      </c>
      <c r="H112" s="67">
        <v>2.19999998807907E-2</v>
      </c>
      <c r="I112" s="65">
        <v>525955</v>
      </c>
      <c r="J112" s="65">
        <v>174077</v>
      </c>
      <c r="L112" s="65" t="s">
        <v>630</v>
      </c>
      <c r="M112" s="65" t="s">
        <v>27</v>
      </c>
      <c r="N112" s="69">
        <v>42439</v>
      </c>
      <c r="O112" s="69">
        <v>42495</v>
      </c>
      <c r="R112" s="65" t="s">
        <v>28</v>
      </c>
      <c r="U112" t="s">
        <v>631</v>
      </c>
      <c r="V112" t="s">
        <v>3104</v>
      </c>
      <c r="W112" s="65" t="s">
        <v>21</v>
      </c>
      <c r="X112" s="65" t="s">
        <v>21</v>
      </c>
      <c r="Y112" s="65" t="s">
        <v>69</v>
      </c>
      <c r="AD112" s="65" t="s">
        <v>23</v>
      </c>
      <c r="AE112" s="65" t="s">
        <v>24</v>
      </c>
      <c r="BL112" s="73">
        <v>173</v>
      </c>
      <c r="BN112" s="73">
        <v>173</v>
      </c>
      <c r="BO112" s="185" t="s">
        <v>3794</v>
      </c>
      <c r="BP112" s="185" t="s">
        <v>3794</v>
      </c>
      <c r="BQ112" s="185" t="s">
        <v>126</v>
      </c>
      <c r="BW112" s="73"/>
      <c r="BY112" s="185" t="s">
        <v>3794</v>
      </c>
      <c r="CG112" s="73">
        <v>-173</v>
      </c>
      <c r="CI112" s="73">
        <v>-173</v>
      </c>
      <c r="CJ112" t="s">
        <v>25</v>
      </c>
      <c r="CK112" t="s">
        <v>25</v>
      </c>
      <c r="CL112" t="s">
        <v>25</v>
      </c>
      <c r="CM112" t="s">
        <v>25</v>
      </c>
      <c r="CN112" t="s">
        <v>25</v>
      </c>
      <c r="CO112" t="s">
        <v>25</v>
      </c>
      <c r="CP112" t="s">
        <v>25</v>
      </c>
      <c r="CQ112" t="s">
        <v>25</v>
      </c>
      <c r="CR112" t="s">
        <v>25</v>
      </c>
      <c r="CS112" t="s">
        <v>25</v>
      </c>
      <c r="CT112" t="s">
        <v>25</v>
      </c>
      <c r="CU112" t="s">
        <v>25</v>
      </c>
      <c r="CV112" t="s">
        <v>25</v>
      </c>
      <c r="CW112" t="s">
        <v>25</v>
      </c>
      <c r="CX112" t="s">
        <v>25</v>
      </c>
      <c r="CY112" t="s">
        <v>25</v>
      </c>
      <c r="CZ112" t="s">
        <v>25</v>
      </c>
      <c r="DA112" t="s">
        <v>25</v>
      </c>
      <c r="DB112" t="s">
        <v>25</v>
      </c>
      <c r="DC112" t="s">
        <v>25</v>
      </c>
      <c r="DD112" t="s">
        <v>25</v>
      </c>
      <c r="DE112" t="s">
        <v>25</v>
      </c>
      <c r="DF112" t="s">
        <v>25</v>
      </c>
      <c r="DG112" t="s">
        <v>25</v>
      </c>
      <c r="DH112" t="s">
        <v>49</v>
      </c>
      <c r="DI112" t="s">
        <v>25</v>
      </c>
      <c r="DJ112" s="76">
        <v>0</v>
      </c>
      <c r="DK112" s="73">
        <v>0</v>
      </c>
      <c r="DL112" s="73">
        <v>173</v>
      </c>
      <c r="DM112" s="73">
        <v>-173</v>
      </c>
      <c r="DU112"/>
      <c r="DZ112" s="73">
        <v>273</v>
      </c>
      <c r="EA112" s="73">
        <v>0</v>
      </c>
      <c r="EB112" s="73">
        <v>273</v>
      </c>
      <c r="EC112" s="65" t="s">
        <v>126</v>
      </c>
    </row>
    <row r="113" spans="1:133" ht="12" customHeight="1" x14ac:dyDescent="0.2">
      <c r="A113" t="s">
        <v>2936</v>
      </c>
      <c r="B113" t="s">
        <v>2946</v>
      </c>
      <c r="C113" t="str">
        <f t="shared" si="3"/>
        <v>Full</v>
      </c>
      <c r="D113" t="s">
        <v>2943</v>
      </c>
      <c r="E113" s="65">
        <v>2375</v>
      </c>
      <c r="F113" t="s">
        <v>1520</v>
      </c>
      <c r="G113" s="71" t="s">
        <v>3944</v>
      </c>
      <c r="H113" s="67">
        <v>1.7999999225139601E-2</v>
      </c>
      <c r="I113" s="65">
        <v>525994</v>
      </c>
      <c r="J113" s="65">
        <v>175053</v>
      </c>
      <c r="L113" s="65" t="s">
        <v>1218</v>
      </c>
      <c r="M113" s="65" t="s">
        <v>27</v>
      </c>
      <c r="N113" s="69">
        <v>42752</v>
      </c>
      <c r="O113" s="69">
        <v>42808</v>
      </c>
      <c r="R113" s="65" t="s">
        <v>28</v>
      </c>
      <c r="U113" t="s">
        <v>1219</v>
      </c>
      <c r="V113" t="s">
        <v>1219</v>
      </c>
      <c r="W113" s="65" t="s">
        <v>21</v>
      </c>
      <c r="X113" s="65" t="s">
        <v>21</v>
      </c>
      <c r="Y113" s="65" t="s">
        <v>35</v>
      </c>
      <c r="AA113" s="69">
        <v>42948</v>
      </c>
      <c r="AB113" s="69">
        <v>43040</v>
      </c>
      <c r="AC113" s="69">
        <v>43040</v>
      </c>
      <c r="AD113" s="65" t="s">
        <v>23</v>
      </c>
      <c r="AE113" s="65" t="s">
        <v>24</v>
      </c>
      <c r="AH113" s="69">
        <f t="shared" si="5"/>
        <v>42948</v>
      </c>
      <c r="AI113" s="69">
        <f t="shared" si="4"/>
        <v>43040</v>
      </c>
      <c r="AX113" s="73">
        <v>200</v>
      </c>
      <c r="AY113" s="73">
        <v>200</v>
      </c>
      <c r="BG113" s="73">
        <v>200</v>
      </c>
      <c r="BK113" s="73">
        <v>200</v>
      </c>
      <c r="BO113" s="185" t="s">
        <v>3794</v>
      </c>
      <c r="BP113" s="185" t="s">
        <v>126</v>
      </c>
      <c r="BQ113" s="185" t="s">
        <v>126</v>
      </c>
      <c r="BW113" s="73"/>
      <c r="BY113" s="185" t="s">
        <v>3794</v>
      </c>
      <c r="BZ113" s="73">
        <v>-200</v>
      </c>
      <c r="CH113" s="73">
        <v>200</v>
      </c>
      <c r="CI113" s="73">
        <v>200</v>
      </c>
      <c r="CJ113" t="s">
        <v>25</v>
      </c>
      <c r="CK113" t="s">
        <v>25</v>
      </c>
      <c r="CL113" t="s">
        <v>25</v>
      </c>
      <c r="CM113" t="s">
        <v>25</v>
      </c>
      <c r="CN113" t="s">
        <v>25</v>
      </c>
      <c r="CO113" t="s">
        <v>25</v>
      </c>
      <c r="CP113" t="s">
        <v>25</v>
      </c>
      <c r="CQ113" t="s">
        <v>25</v>
      </c>
      <c r="CR113" t="s">
        <v>25</v>
      </c>
      <c r="CS113" t="s">
        <v>25</v>
      </c>
      <c r="CT113" t="s">
        <v>25</v>
      </c>
      <c r="CU113" t="s">
        <v>25</v>
      </c>
      <c r="CV113" t="s">
        <v>49</v>
      </c>
      <c r="CW113" t="s">
        <v>25</v>
      </c>
      <c r="CX113" t="s">
        <v>25</v>
      </c>
      <c r="CY113" t="s">
        <v>25</v>
      </c>
      <c r="CZ113" t="s">
        <v>25</v>
      </c>
      <c r="DA113" t="s">
        <v>25</v>
      </c>
      <c r="DB113" t="s">
        <v>25</v>
      </c>
      <c r="DC113" t="s">
        <v>49</v>
      </c>
      <c r="DD113" t="s">
        <v>25</v>
      </c>
      <c r="DE113" t="s">
        <v>25</v>
      </c>
      <c r="DF113" t="s">
        <v>25</v>
      </c>
      <c r="DG113" t="s">
        <v>25</v>
      </c>
      <c r="DH113" t="s">
        <v>25</v>
      </c>
      <c r="DI113" t="s">
        <v>25</v>
      </c>
      <c r="DJ113" s="76">
        <v>1.7999999225139601E-2</v>
      </c>
      <c r="DL113" s="73">
        <v>200</v>
      </c>
      <c r="DU113"/>
      <c r="DZ113" s="73">
        <v>0</v>
      </c>
      <c r="EA113" s="73">
        <v>0</v>
      </c>
      <c r="EB113" s="73">
        <v>0</v>
      </c>
    </row>
    <row r="114" spans="1:133" ht="12" customHeight="1" x14ac:dyDescent="0.2">
      <c r="A114" t="s">
        <v>2937</v>
      </c>
      <c r="B114" t="s">
        <v>2946</v>
      </c>
      <c r="C114" t="str">
        <f t="shared" si="3"/>
        <v>Full</v>
      </c>
      <c r="E114" s="65">
        <v>2376</v>
      </c>
      <c r="F114" t="s">
        <v>1521</v>
      </c>
      <c r="G114" s="71" t="s">
        <v>2907</v>
      </c>
      <c r="H114" s="67">
        <v>0.20999999344348899</v>
      </c>
      <c r="I114" s="65">
        <v>525050</v>
      </c>
      <c r="J114" s="65">
        <v>173510</v>
      </c>
      <c r="L114" s="65" t="s">
        <v>1005</v>
      </c>
      <c r="M114" s="65" t="s">
        <v>27</v>
      </c>
      <c r="N114" s="69">
        <v>42583</v>
      </c>
      <c r="O114" s="69">
        <v>42636</v>
      </c>
      <c r="R114" s="65" t="s">
        <v>28</v>
      </c>
      <c r="U114" t="s">
        <v>1006</v>
      </c>
      <c r="V114" t="s">
        <v>3105</v>
      </c>
      <c r="W114" s="65" t="s">
        <v>39</v>
      </c>
      <c r="X114" s="65" t="s">
        <v>39</v>
      </c>
      <c r="Y114" s="65" t="s">
        <v>69</v>
      </c>
      <c r="AD114" s="65" t="s">
        <v>23</v>
      </c>
      <c r="AE114" s="65" t="s">
        <v>24</v>
      </c>
      <c r="BO114" s="185" t="s">
        <v>3794</v>
      </c>
      <c r="BP114" s="185" t="s">
        <v>3794</v>
      </c>
      <c r="BQ114" s="185" t="s">
        <v>3794</v>
      </c>
      <c r="BW114" s="73"/>
      <c r="BY114" s="185" t="s">
        <v>3794</v>
      </c>
      <c r="CJ114" t="s">
        <v>25</v>
      </c>
      <c r="CK114" t="s">
        <v>25</v>
      </c>
      <c r="CL114" t="s">
        <v>25</v>
      </c>
      <c r="CM114" t="s">
        <v>25</v>
      </c>
      <c r="CN114" t="s">
        <v>25</v>
      </c>
      <c r="CO114" t="s">
        <v>25</v>
      </c>
      <c r="CP114" t="s">
        <v>25</v>
      </c>
      <c r="CQ114" t="s">
        <v>25</v>
      </c>
      <c r="CR114" t="s">
        <v>25</v>
      </c>
      <c r="CS114" t="s">
        <v>25</v>
      </c>
      <c r="CT114" t="s">
        <v>25</v>
      </c>
      <c r="CU114" t="s">
        <v>25</v>
      </c>
      <c r="CV114" t="s">
        <v>25</v>
      </c>
      <c r="CW114" t="s">
        <v>25</v>
      </c>
      <c r="CX114" t="s">
        <v>25</v>
      </c>
      <c r="CY114" t="s">
        <v>25</v>
      </c>
      <c r="CZ114" t="s">
        <v>25</v>
      </c>
      <c r="DA114" t="s">
        <v>25</v>
      </c>
      <c r="DB114" t="s">
        <v>25</v>
      </c>
      <c r="DC114" t="s">
        <v>25</v>
      </c>
      <c r="DD114" t="s">
        <v>25</v>
      </c>
      <c r="DE114" t="s">
        <v>25</v>
      </c>
      <c r="DF114" t="s">
        <v>25</v>
      </c>
      <c r="DG114" t="s">
        <v>25</v>
      </c>
      <c r="DH114" t="s">
        <v>25</v>
      </c>
      <c r="DI114" t="s">
        <v>25</v>
      </c>
      <c r="DJ114" s="76">
        <v>0.20999999344348899</v>
      </c>
      <c r="DK114" s="73">
        <v>75</v>
      </c>
      <c r="DL114" s="73">
        <v>38</v>
      </c>
      <c r="DM114" s="73">
        <v>37</v>
      </c>
      <c r="DU114"/>
      <c r="DZ114" s="73">
        <v>0</v>
      </c>
      <c r="EA114" s="73">
        <v>0</v>
      </c>
      <c r="EB114" s="73">
        <v>0</v>
      </c>
    </row>
    <row r="115" spans="1:133" ht="12" customHeight="1" x14ac:dyDescent="0.2">
      <c r="A115" t="s">
        <v>2938</v>
      </c>
      <c r="B115" t="s">
        <v>2946</v>
      </c>
      <c r="C115" t="str">
        <f t="shared" si="3"/>
        <v>Full</v>
      </c>
      <c r="E115" s="65">
        <v>2390</v>
      </c>
      <c r="F115" t="s">
        <v>1522</v>
      </c>
      <c r="G115" s="71" t="s">
        <v>2907</v>
      </c>
      <c r="H115" s="67">
        <v>1.7000000923872001E-2</v>
      </c>
      <c r="I115" s="65">
        <v>525245</v>
      </c>
      <c r="J115" s="65">
        <v>174192</v>
      </c>
      <c r="L115" s="65" t="s">
        <v>1523</v>
      </c>
      <c r="M115" s="65" t="s">
        <v>172</v>
      </c>
      <c r="N115" s="69">
        <v>43063</v>
      </c>
      <c r="R115" s="65" t="s">
        <v>28</v>
      </c>
      <c r="U115" t="s">
        <v>1524</v>
      </c>
      <c r="V115" t="s">
        <v>3106</v>
      </c>
      <c r="W115" s="65" t="s">
        <v>29</v>
      </c>
      <c r="X115" s="65" t="s">
        <v>29</v>
      </c>
      <c r="Y115" s="65" t="s">
        <v>69</v>
      </c>
      <c r="AD115" s="65" t="s">
        <v>173</v>
      </c>
      <c r="AE115" s="65" t="s">
        <v>54</v>
      </c>
      <c r="BO115" s="185" t="s">
        <v>3794</v>
      </c>
      <c r="BP115" s="185" t="s">
        <v>3794</v>
      </c>
      <c r="BQ115" s="185" t="s">
        <v>3794</v>
      </c>
      <c r="BW115" s="73"/>
      <c r="BY115" s="185" t="s">
        <v>3794</v>
      </c>
      <c r="CJ115" t="s">
        <v>25</v>
      </c>
      <c r="CK115" t="s">
        <v>25</v>
      </c>
      <c r="CL115" t="s">
        <v>25</v>
      </c>
      <c r="CM115" t="s">
        <v>25</v>
      </c>
      <c r="CN115" t="s">
        <v>25</v>
      </c>
      <c r="CO115" t="s">
        <v>25</v>
      </c>
      <c r="CP115" t="s">
        <v>25</v>
      </c>
      <c r="CQ115" t="s">
        <v>25</v>
      </c>
      <c r="CR115" t="s">
        <v>25</v>
      </c>
      <c r="CS115" t="s">
        <v>25</v>
      </c>
      <c r="CT115" t="s">
        <v>25</v>
      </c>
      <c r="CU115" t="s">
        <v>25</v>
      </c>
      <c r="CV115" t="s">
        <v>25</v>
      </c>
      <c r="CW115" t="s">
        <v>25</v>
      </c>
      <c r="CX115" t="s">
        <v>25</v>
      </c>
      <c r="CY115" t="s">
        <v>25</v>
      </c>
      <c r="CZ115" t="s">
        <v>25</v>
      </c>
      <c r="DA115" t="s">
        <v>25</v>
      </c>
      <c r="DB115" t="s">
        <v>25</v>
      </c>
      <c r="DC115" t="s">
        <v>25</v>
      </c>
      <c r="DD115" t="s">
        <v>25</v>
      </c>
      <c r="DE115" t="s">
        <v>25</v>
      </c>
      <c r="DF115" t="s">
        <v>25</v>
      </c>
      <c r="DG115" t="s">
        <v>25</v>
      </c>
      <c r="DH115" t="s">
        <v>25</v>
      </c>
      <c r="DI115" t="s">
        <v>25</v>
      </c>
      <c r="DJ115" s="76">
        <v>0</v>
      </c>
      <c r="DK115" s="73">
        <v>0</v>
      </c>
      <c r="DL115" s="73">
        <v>160</v>
      </c>
      <c r="DM115" s="73">
        <v>-160</v>
      </c>
      <c r="DU115"/>
      <c r="DZ115" s="73">
        <v>157</v>
      </c>
      <c r="EA115" s="73">
        <v>0</v>
      </c>
      <c r="EB115" s="73">
        <v>157</v>
      </c>
      <c r="EC115" s="65" t="s">
        <v>126</v>
      </c>
    </row>
    <row r="116" spans="1:133" ht="12" customHeight="1" x14ac:dyDescent="0.2">
      <c r="A116" t="s">
        <v>2937</v>
      </c>
      <c r="B116" t="s">
        <v>2947</v>
      </c>
      <c r="C116" t="str">
        <f t="shared" si="3"/>
        <v>Outline</v>
      </c>
      <c r="E116" s="65">
        <v>2411</v>
      </c>
      <c r="F116" t="s">
        <v>1525</v>
      </c>
      <c r="G116" s="71" t="s">
        <v>3947</v>
      </c>
      <c r="H116" s="67">
        <v>15.800000190734901</v>
      </c>
      <c r="I116" s="65">
        <v>528934</v>
      </c>
      <c r="J116" s="65">
        <v>177496</v>
      </c>
      <c r="K116" s="65" t="s">
        <v>1526</v>
      </c>
      <c r="L116" s="65" t="s">
        <v>428</v>
      </c>
      <c r="M116" s="65" t="s">
        <v>434</v>
      </c>
      <c r="N116" s="69">
        <v>41779</v>
      </c>
      <c r="O116" s="69">
        <v>41978</v>
      </c>
      <c r="Q116" s="69">
        <v>41978</v>
      </c>
      <c r="R116" s="65" t="s">
        <v>28</v>
      </c>
      <c r="U116" t="s">
        <v>700</v>
      </c>
      <c r="V116" t="s">
        <v>3107</v>
      </c>
      <c r="W116" s="65" t="s">
        <v>34</v>
      </c>
      <c r="X116" s="65" t="s">
        <v>29</v>
      </c>
      <c r="Y116" s="65" t="s">
        <v>59</v>
      </c>
      <c r="AD116" s="65" t="s">
        <v>23</v>
      </c>
      <c r="AE116" s="65" t="s">
        <v>24</v>
      </c>
      <c r="AF116" s="71" t="s">
        <v>1527</v>
      </c>
      <c r="AG116" s="65" t="s">
        <v>23</v>
      </c>
      <c r="AL116" s="73">
        <v>278</v>
      </c>
      <c r="AM116" s="73">
        <v>278</v>
      </c>
      <c r="AN116" s="73">
        <v>279</v>
      </c>
      <c r="AO116" s="73">
        <v>835</v>
      </c>
      <c r="BO116" s="185" t="s">
        <v>126</v>
      </c>
      <c r="BP116" s="185" t="s">
        <v>3794</v>
      </c>
      <c r="BQ116" s="185" t="s">
        <v>3794</v>
      </c>
      <c r="BT116" s="73">
        <v>278</v>
      </c>
      <c r="BU116" s="73">
        <v>278</v>
      </c>
      <c r="BV116" s="73">
        <v>279</v>
      </c>
      <c r="BW116" s="73">
        <v>835</v>
      </c>
      <c r="BY116" s="185" t="s">
        <v>3794</v>
      </c>
      <c r="CJ116" t="s">
        <v>25</v>
      </c>
      <c r="CK116" t="s">
        <v>25</v>
      </c>
      <c r="CL116" t="s">
        <v>25</v>
      </c>
      <c r="CM116" t="s">
        <v>25</v>
      </c>
      <c r="CN116" t="s">
        <v>25</v>
      </c>
      <c r="CO116" t="s">
        <v>25</v>
      </c>
      <c r="CP116" t="s">
        <v>25</v>
      </c>
      <c r="CQ116" t="s">
        <v>25</v>
      </c>
      <c r="CR116" t="s">
        <v>25</v>
      </c>
      <c r="CS116" t="s">
        <v>25</v>
      </c>
      <c r="CT116" t="s">
        <v>25</v>
      </c>
      <c r="CU116" t="s">
        <v>25</v>
      </c>
      <c r="CV116" t="s">
        <v>25</v>
      </c>
      <c r="CW116" t="s">
        <v>25</v>
      </c>
      <c r="CX116" t="s">
        <v>25</v>
      </c>
      <c r="CY116" t="s">
        <v>25</v>
      </c>
      <c r="CZ116" t="s">
        <v>25</v>
      </c>
      <c r="DA116" t="s">
        <v>25</v>
      </c>
      <c r="DB116" t="s">
        <v>25</v>
      </c>
      <c r="DC116" t="s">
        <v>25</v>
      </c>
      <c r="DD116" t="s">
        <v>25</v>
      </c>
      <c r="DE116" t="s">
        <v>25</v>
      </c>
      <c r="DF116" t="s">
        <v>25</v>
      </c>
      <c r="DG116" t="s">
        <v>25</v>
      </c>
      <c r="DH116" t="s">
        <v>25</v>
      </c>
      <c r="DI116" t="s">
        <v>25</v>
      </c>
      <c r="DJ116" s="76">
        <v>0</v>
      </c>
      <c r="DK116" s="73">
        <v>835</v>
      </c>
      <c r="DL116" s="73">
        <v>0</v>
      </c>
      <c r="DM116" s="73">
        <v>835</v>
      </c>
      <c r="DN116" s="65" t="s">
        <v>126</v>
      </c>
      <c r="DU116" s="65" t="s">
        <v>126</v>
      </c>
      <c r="DV116" s="65" t="s">
        <v>126</v>
      </c>
      <c r="DW116" t="s">
        <v>427</v>
      </c>
      <c r="DZ116" s="73">
        <v>19522</v>
      </c>
      <c r="EA116" s="73">
        <v>0</v>
      </c>
      <c r="EB116" s="73">
        <v>19522</v>
      </c>
      <c r="EC116" s="65" t="s">
        <v>126</v>
      </c>
    </row>
    <row r="117" spans="1:133" ht="12" customHeight="1" x14ac:dyDescent="0.2">
      <c r="A117" t="s">
        <v>2935</v>
      </c>
      <c r="B117" t="s">
        <v>2946</v>
      </c>
      <c r="C117" t="str">
        <f t="shared" si="3"/>
        <v>Full</v>
      </c>
      <c r="E117" s="65">
        <v>2411</v>
      </c>
      <c r="F117" t="s">
        <v>1525</v>
      </c>
      <c r="G117" s="71" t="s">
        <v>3947</v>
      </c>
      <c r="H117" s="67">
        <v>15.800000190734901</v>
      </c>
      <c r="I117" s="65">
        <v>528934</v>
      </c>
      <c r="J117" s="65">
        <v>177496</v>
      </c>
      <c r="K117" s="65" t="s">
        <v>1526</v>
      </c>
      <c r="L117" s="65" t="s">
        <v>1528</v>
      </c>
      <c r="M117" s="65" t="s">
        <v>1363</v>
      </c>
      <c r="N117" s="69">
        <v>42296</v>
      </c>
      <c r="O117" s="69">
        <v>42426</v>
      </c>
      <c r="R117" s="65" t="s">
        <v>28</v>
      </c>
      <c r="U117" t="s">
        <v>1529</v>
      </c>
      <c r="V117" t="s">
        <v>3108</v>
      </c>
      <c r="W117" s="65" t="s">
        <v>29</v>
      </c>
      <c r="X117" s="65" t="s">
        <v>29</v>
      </c>
      <c r="Y117" s="65" t="s">
        <v>30</v>
      </c>
      <c r="AA117" s="69">
        <v>42506</v>
      </c>
      <c r="AD117" s="65" t="s">
        <v>23</v>
      </c>
      <c r="AE117" s="65" t="s">
        <v>24</v>
      </c>
      <c r="AF117" s="71" t="s">
        <v>1530</v>
      </c>
      <c r="AG117" s="65" t="s">
        <v>23</v>
      </c>
      <c r="AH117" s="69">
        <v>42506</v>
      </c>
      <c r="AJ117" s="73">
        <v>4485</v>
      </c>
      <c r="AK117" s="73">
        <v>4486</v>
      </c>
      <c r="AL117" s="73">
        <v>282</v>
      </c>
      <c r="AM117" s="73">
        <v>282</v>
      </c>
      <c r="AN117" s="73">
        <v>282</v>
      </c>
      <c r="AO117" s="73">
        <v>9817</v>
      </c>
      <c r="AW117" s="73">
        <v>2031</v>
      </c>
      <c r="AX117" s="73">
        <v>2031</v>
      </c>
      <c r="AY117" s="73">
        <v>4062</v>
      </c>
      <c r="BO117" s="185" t="s">
        <v>126</v>
      </c>
      <c r="BP117" s="185" t="s">
        <v>3794</v>
      </c>
      <c r="BQ117" s="185" t="s">
        <v>126</v>
      </c>
      <c r="BR117" s="73">
        <v>4485</v>
      </c>
      <c r="BS117" s="73">
        <v>4486</v>
      </c>
      <c r="BT117" s="73">
        <v>282</v>
      </c>
      <c r="BU117" s="73">
        <v>282</v>
      </c>
      <c r="BV117" s="73">
        <v>282</v>
      </c>
      <c r="BW117" s="570">
        <v>9817</v>
      </c>
      <c r="BY117" s="185" t="s">
        <v>3794</v>
      </c>
      <c r="CF117" s="73">
        <v>10750</v>
      </c>
      <c r="CG117" s="73">
        <v>2031</v>
      </c>
      <c r="CH117" s="73">
        <v>2031</v>
      </c>
      <c r="CI117" s="73">
        <v>4062</v>
      </c>
      <c r="CJ117" t="s">
        <v>25</v>
      </c>
      <c r="CK117" t="s">
        <v>25</v>
      </c>
      <c r="CL117" t="s">
        <v>25</v>
      </c>
      <c r="CM117" t="s">
        <v>25</v>
      </c>
      <c r="CN117" t="s">
        <v>25</v>
      </c>
      <c r="CO117" t="s">
        <v>25</v>
      </c>
      <c r="CP117" t="s">
        <v>25</v>
      </c>
      <c r="CQ117" t="s">
        <v>25</v>
      </c>
      <c r="CR117" t="s">
        <v>25</v>
      </c>
      <c r="CS117" t="s">
        <v>25</v>
      </c>
      <c r="CT117" t="s">
        <v>25</v>
      </c>
      <c r="CU117" t="s">
        <v>25</v>
      </c>
      <c r="CV117" t="s">
        <v>25</v>
      </c>
      <c r="CW117" t="s">
        <v>25</v>
      </c>
      <c r="CX117" t="s">
        <v>25</v>
      </c>
      <c r="CY117" t="s">
        <v>25</v>
      </c>
      <c r="CZ117" t="s">
        <v>25</v>
      </c>
      <c r="DA117" t="s">
        <v>25</v>
      </c>
      <c r="DB117" t="s">
        <v>25</v>
      </c>
      <c r="DC117" t="s">
        <v>25</v>
      </c>
      <c r="DD117" t="s">
        <v>25</v>
      </c>
      <c r="DE117" t="s">
        <v>25</v>
      </c>
      <c r="DF117" t="s">
        <v>25</v>
      </c>
      <c r="DG117" t="s">
        <v>25</v>
      </c>
      <c r="DH117" t="s">
        <v>25</v>
      </c>
      <c r="DI117" t="s">
        <v>25</v>
      </c>
      <c r="DJ117" s="76">
        <v>0</v>
      </c>
      <c r="DK117" s="73">
        <v>24629</v>
      </c>
      <c r="DL117" s="73">
        <v>0</v>
      </c>
      <c r="DM117" s="73">
        <v>24629</v>
      </c>
      <c r="DN117" s="65" t="s">
        <v>126</v>
      </c>
      <c r="DU117" s="65" t="s">
        <v>126</v>
      </c>
      <c r="DV117" s="65" t="s">
        <v>126</v>
      </c>
      <c r="DW117" t="s">
        <v>427</v>
      </c>
      <c r="DZ117" s="73">
        <v>63741</v>
      </c>
      <c r="EA117" s="73">
        <v>0</v>
      </c>
      <c r="EB117" s="73">
        <v>63741</v>
      </c>
      <c r="EC117" s="65" t="s">
        <v>126</v>
      </c>
    </row>
    <row r="118" spans="1:133" ht="12" customHeight="1" x14ac:dyDescent="0.2">
      <c r="A118" t="s">
        <v>2935</v>
      </c>
      <c r="B118" t="s">
        <v>2946</v>
      </c>
      <c r="C118" t="str">
        <f t="shared" si="3"/>
        <v>Full</v>
      </c>
      <c r="E118" s="65">
        <v>2411</v>
      </c>
      <c r="F118" t="s">
        <v>1525</v>
      </c>
      <c r="G118" s="71" t="s">
        <v>3947</v>
      </c>
      <c r="H118" s="67">
        <v>15.800000190734901</v>
      </c>
      <c r="I118" s="65">
        <v>528934</v>
      </c>
      <c r="J118" s="65">
        <v>177496</v>
      </c>
      <c r="K118" s="65" t="s">
        <v>1526</v>
      </c>
      <c r="L118" s="65" t="s">
        <v>1528</v>
      </c>
      <c r="M118" s="65" t="s">
        <v>1363</v>
      </c>
      <c r="N118" s="69">
        <v>42296</v>
      </c>
      <c r="O118" s="69">
        <v>42426</v>
      </c>
      <c r="R118" s="65" t="s">
        <v>28</v>
      </c>
      <c r="U118" t="s">
        <v>1529</v>
      </c>
      <c r="V118" t="s">
        <v>3108</v>
      </c>
      <c r="W118" s="65" t="s">
        <v>29</v>
      </c>
      <c r="X118" s="65" t="s">
        <v>29</v>
      </c>
      <c r="Y118" s="65" t="s">
        <v>30</v>
      </c>
      <c r="AA118" s="69">
        <v>42506</v>
      </c>
      <c r="AD118" s="65" t="s">
        <v>23</v>
      </c>
      <c r="AE118" s="65" t="s">
        <v>24</v>
      </c>
      <c r="AF118" s="71" t="s">
        <v>1531</v>
      </c>
      <c r="AG118" s="65" t="s">
        <v>23</v>
      </c>
      <c r="AH118" s="69">
        <v>42506</v>
      </c>
      <c r="AJ118" s="73">
        <v>6704</v>
      </c>
      <c r="AK118" s="73">
        <v>6704</v>
      </c>
      <c r="AL118" s="73">
        <v>1913</v>
      </c>
      <c r="AM118" s="73">
        <v>1913</v>
      </c>
      <c r="AN118" s="73">
        <v>1913</v>
      </c>
      <c r="AO118" s="73">
        <v>19147</v>
      </c>
      <c r="AW118" s="73">
        <v>2810</v>
      </c>
      <c r="AX118" s="73">
        <v>2810</v>
      </c>
      <c r="AY118" s="73">
        <v>5620</v>
      </c>
      <c r="BO118" s="185" t="s">
        <v>126</v>
      </c>
      <c r="BP118" s="185" t="s">
        <v>3794</v>
      </c>
      <c r="BQ118" s="185" t="s">
        <v>126</v>
      </c>
      <c r="BR118" s="73">
        <v>6704</v>
      </c>
      <c r="BS118" s="73">
        <v>6704</v>
      </c>
      <c r="BT118" s="73">
        <v>1913</v>
      </c>
      <c r="BU118" s="73">
        <v>1913</v>
      </c>
      <c r="BV118" s="73">
        <v>1913</v>
      </c>
      <c r="BW118" s="570">
        <v>19147</v>
      </c>
      <c r="BY118" s="185" t="s">
        <v>3794</v>
      </c>
      <c r="CG118" s="73">
        <v>2810</v>
      </c>
      <c r="CH118" s="73">
        <v>2810</v>
      </c>
      <c r="CI118" s="73">
        <v>5620</v>
      </c>
      <c r="CJ118" t="s">
        <v>25</v>
      </c>
      <c r="CK118" t="s">
        <v>25</v>
      </c>
      <c r="CL118" t="s">
        <v>25</v>
      </c>
      <c r="CM118" t="s">
        <v>25</v>
      </c>
      <c r="CN118" t="s">
        <v>25</v>
      </c>
      <c r="CO118" t="s">
        <v>25</v>
      </c>
      <c r="CP118" t="s">
        <v>25</v>
      </c>
      <c r="CQ118" t="s">
        <v>25</v>
      </c>
      <c r="CR118" t="s">
        <v>25</v>
      </c>
      <c r="CS118" t="s">
        <v>25</v>
      </c>
      <c r="CT118" t="s">
        <v>25</v>
      </c>
      <c r="CU118" t="s">
        <v>25</v>
      </c>
      <c r="CV118" t="s">
        <v>25</v>
      </c>
      <c r="CW118" t="s">
        <v>25</v>
      </c>
      <c r="CX118" t="s">
        <v>25</v>
      </c>
      <c r="CY118" t="s">
        <v>25</v>
      </c>
      <c r="CZ118" t="s">
        <v>25</v>
      </c>
      <c r="DA118" t="s">
        <v>25</v>
      </c>
      <c r="DB118" t="s">
        <v>25</v>
      </c>
      <c r="DC118" t="s">
        <v>25</v>
      </c>
      <c r="DD118" t="s">
        <v>25</v>
      </c>
      <c r="DE118" t="s">
        <v>25</v>
      </c>
      <c r="DF118" t="s">
        <v>25</v>
      </c>
      <c r="DG118" t="s">
        <v>25</v>
      </c>
      <c r="DH118" t="s">
        <v>25</v>
      </c>
      <c r="DI118" t="s">
        <v>25</v>
      </c>
      <c r="DJ118" s="76">
        <v>0</v>
      </c>
      <c r="DK118" s="73">
        <v>24767</v>
      </c>
      <c r="DL118" s="73">
        <v>0</v>
      </c>
      <c r="DM118" s="73">
        <v>24767</v>
      </c>
      <c r="DN118" s="65" t="s">
        <v>126</v>
      </c>
      <c r="DU118" s="65" t="s">
        <v>126</v>
      </c>
      <c r="DV118" s="65" t="s">
        <v>126</v>
      </c>
      <c r="DW118" t="s">
        <v>427</v>
      </c>
      <c r="DZ118" s="73">
        <v>83968</v>
      </c>
      <c r="EA118" s="73">
        <v>0</v>
      </c>
      <c r="EB118" s="73">
        <v>83968</v>
      </c>
      <c r="EC118" s="65" t="s">
        <v>126</v>
      </c>
    </row>
    <row r="119" spans="1:133" ht="12" customHeight="1" x14ac:dyDescent="0.2">
      <c r="A119" t="s">
        <v>2937</v>
      </c>
      <c r="B119" t="s">
        <v>2947</v>
      </c>
      <c r="C119" t="str">
        <f t="shared" si="3"/>
        <v>Outline</v>
      </c>
      <c r="E119" s="65">
        <v>2411</v>
      </c>
      <c r="F119" t="s">
        <v>1525</v>
      </c>
      <c r="G119" s="71" t="s">
        <v>3947</v>
      </c>
      <c r="H119" s="67">
        <v>15.800000190734901</v>
      </c>
      <c r="I119" s="65">
        <v>528934</v>
      </c>
      <c r="J119" s="65">
        <v>177496</v>
      </c>
      <c r="K119" s="65" t="s">
        <v>1526</v>
      </c>
      <c r="L119" s="65" t="s">
        <v>653</v>
      </c>
      <c r="M119" s="65" t="s">
        <v>434</v>
      </c>
      <c r="N119" s="69">
        <v>42431</v>
      </c>
      <c r="O119" s="69">
        <v>42682</v>
      </c>
      <c r="Q119" s="69">
        <v>42481</v>
      </c>
      <c r="R119" s="65" t="s">
        <v>28</v>
      </c>
      <c r="U119" t="s">
        <v>654</v>
      </c>
      <c r="V119" t="s">
        <v>3109</v>
      </c>
      <c r="W119" s="65" t="s">
        <v>29</v>
      </c>
      <c r="X119" s="65" t="s">
        <v>29</v>
      </c>
      <c r="Y119" s="65" t="s">
        <v>59</v>
      </c>
      <c r="AD119" s="65" t="s">
        <v>23</v>
      </c>
      <c r="AE119" s="65" t="s">
        <v>24</v>
      </c>
      <c r="AF119" s="71" t="s">
        <v>1532</v>
      </c>
      <c r="AG119" s="65" t="s">
        <v>23</v>
      </c>
      <c r="AJ119" s="73">
        <v>3341</v>
      </c>
      <c r="AK119" s="73">
        <v>3341</v>
      </c>
      <c r="AL119" s="73">
        <v>192</v>
      </c>
      <c r="AM119" s="73">
        <v>192</v>
      </c>
      <c r="AN119" s="73">
        <v>193</v>
      </c>
      <c r="AO119" s="73">
        <v>7259</v>
      </c>
      <c r="AP119" s="73">
        <v>39791</v>
      </c>
      <c r="AS119" s="73">
        <v>39791</v>
      </c>
      <c r="AV119" s="73">
        <v>39791</v>
      </c>
      <c r="AW119" s="73">
        <v>1648</v>
      </c>
      <c r="AX119" s="73">
        <v>1649</v>
      </c>
      <c r="AY119" s="73">
        <v>3297</v>
      </c>
      <c r="BO119" s="185" t="s">
        <v>126</v>
      </c>
      <c r="BP119" s="185" t="s">
        <v>126</v>
      </c>
      <c r="BQ119" s="185" t="s">
        <v>126</v>
      </c>
      <c r="BR119" s="73">
        <v>3341</v>
      </c>
      <c r="BS119" s="73">
        <v>3341</v>
      </c>
      <c r="BT119" s="73">
        <v>192</v>
      </c>
      <c r="BU119" s="73">
        <v>192</v>
      </c>
      <c r="BV119" s="73">
        <v>193</v>
      </c>
      <c r="BW119" s="73">
        <v>7259</v>
      </c>
      <c r="BX119" s="73">
        <v>39791</v>
      </c>
      <c r="BY119" s="185" t="s">
        <v>3794</v>
      </c>
      <c r="CD119" s="73">
        <v>39791</v>
      </c>
      <c r="CG119" s="73">
        <v>1648</v>
      </c>
      <c r="CH119" s="73">
        <v>1649</v>
      </c>
      <c r="CI119" s="73">
        <v>3297</v>
      </c>
      <c r="CJ119" t="s">
        <v>25</v>
      </c>
      <c r="CK119" t="s">
        <v>25</v>
      </c>
      <c r="CL119" t="s">
        <v>25</v>
      </c>
      <c r="CM119" t="s">
        <v>25</v>
      </c>
      <c r="CN119" t="s">
        <v>25</v>
      </c>
      <c r="CO119" t="s">
        <v>25</v>
      </c>
      <c r="CP119" t="s">
        <v>25</v>
      </c>
      <c r="CQ119" t="s">
        <v>25</v>
      </c>
      <c r="CR119" t="s">
        <v>25</v>
      </c>
      <c r="CS119" t="s">
        <v>25</v>
      </c>
      <c r="CT119" t="s">
        <v>25</v>
      </c>
      <c r="CU119" t="s">
        <v>25</v>
      </c>
      <c r="CV119" t="s">
        <v>25</v>
      </c>
      <c r="CW119" t="s">
        <v>25</v>
      </c>
      <c r="CX119" t="s">
        <v>25</v>
      </c>
      <c r="CY119" t="s">
        <v>25</v>
      </c>
      <c r="CZ119" t="s">
        <v>25</v>
      </c>
      <c r="DA119" t="s">
        <v>25</v>
      </c>
      <c r="DB119" t="s">
        <v>25</v>
      </c>
      <c r="DC119" t="s">
        <v>25</v>
      </c>
      <c r="DD119" t="s">
        <v>25</v>
      </c>
      <c r="DE119" t="s">
        <v>25</v>
      </c>
      <c r="DF119" t="s">
        <v>25</v>
      </c>
      <c r="DG119" t="s">
        <v>25</v>
      </c>
      <c r="DH119" t="s">
        <v>25</v>
      </c>
      <c r="DI119" t="s">
        <v>25</v>
      </c>
      <c r="DJ119" s="76">
        <v>0</v>
      </c>
      <c r="DK119" s="73">
        <v>50347</v>
      </c>
      <c r="DL119" s="73">
        <v>0</v>
      </c>
      <c r="DM119" s="73">
        <v>50347</v>
      </c>
      <c r="DN119" s="65" t="s">
        <v>126</v>
      </c>
      <c r="DU119" s="65" t="s">
        <v>126</v>
      </c>
      <c r="DV119" s="65" t="s">
        <v>126</v>
      </c>
      <c r="DW119" t="s">
        <v>427</v>
      </c>
      <c r="DZ119" s="73">
        <v>52267</v>
      </c>
      <c r="EA119" s="73">
        <v>0</v>
      </c>
      <c r="EB119" s="73">
        <v>52267</v>
      </c>
      <c r="EC119" s="65" t="s">
        <v>126</v>
      </c>
    </row>
    <row r="120" spans="1:133" ht="12" customHeight="1" x14ac:dyDescent="0.2">
      <c r="A120" t="s">
        <v>2937</v>
      </c>
      <c r="B120" t="s">
        <v>2947</v>
      </c>
      <c r="C120" t="str">
        <f t="shared" si="3"/>
        <v>Outline</v>
      </c>
      <c r="E120" s="65">
        <v>2411</v>
      </c>
      <c r="F120" t="s">
        <v>1525</v>
      </c>
      <c r="G120" s="71" t="s">
        <v>3947</v>
      </c>
      <c r="H120" s="67">
        <v>15.800000190734901</v>
      </c>
      <c r="I120" s="65">
        <v>528934</v>
      </c>
      <c r="J120" s="65">
        <v>177496</v>
      </c>
      <c r="K120" s="65" t="s">
        <v>1526</v>
      </c>
      <c r="L120" s="65" t="s">
        <v>653</v>
      </c>
      <c r="M120" s="65" t="s">
        <v>434</v>
      </c>
      <c r="N120" s="69">
        <v>42431</v>
      </c>
      <c r="O120" s="69">
        <v>42682</v>
      </c>
      <c r="Q120" s="69">
        <v>42481</v>
      </c>
      <c r="R120" s="65" t="s">
        <v>28</v>
      </c>
      <c r="U120" t="s">
        <v>654</v>
      </c>
      <c r="V120" t="s">
        <v>3109</v>
      </c>
      <c r="W120" s="65" t="s">
        <v>29</v>
      </c>
      <c r="X120" s="65" t="s">
        <v>29</v>
      </c>
      <c r="Y120" s="65" t="s">
        <v>59</v>
      </c>
      <c r="AD120" s="65" t="s">
        <v>23</v>
      </c>
      <c r="AE120" s="65" t="s">
        <v>24</v>
      </c>
      <c r="AF120" s="71" t="s">
        <v>1533</v>
      </c>
      <c r="AG120" s="65" t="s">
        <v>23</v>
      </c>
      <c r="AW120" s="73">
        <v>737</v>
      </c>
      <c r="AX120" s="73">
        <v>738</v>
      </c>
      <c r="AY120" s="73">
        <v>1475</v>
      </c>
      <c r="BO120" s="185" t="s">
        <v>3794</v>
      </c>
      <c r="BP120" s="185" t="s">
        <v>3794</v>
      </c>
      <c r="BQ120" s="185" t="s">
        <v>126</v>
      </c>
      <c r="BW120" s="73"/>
      <c r="BY120" s="185" t="s">
        <v>3794</v>
      </c>
      <c r="CG120" s="73">
        <v>737</v>
      </c>
      <c r="CH120" s="73">
        <v>738</v>
      </c>
      <c r="CI120" s="73">
        <v>1475</v>
      </c>
      <c r="CJ120" t="s">
        <v>25</v>
      </c>
      <c r="CK120" t="s">
        <v>25</v>
      </c>
      <c r="CL120" t="s">
        <v>25</v>
      </c>
      <c r="CM120" t="s">
        <v>25</v>
      </c>
      <c r="CN120" t="s">
        <v>25</v>
      </c>
      <c r="CO120" t="s">
        <v>25</v>
      </c>
      <c r="CP120" t="s">
        <v>25</v>
      </c>
      <c r="CQ120" t="s">
        <v>25</v>
      </c>
      <c r="CR120" t="s">
        <v>25</v>
      </c>
      <c r="CS120" t="s">
        <v>25</v>
      </c>
      <c r="CT120" t="s">
        <v>25</v>
      </c>
      <c r="CU120" t="s">
        <v>25</v>
      </c>
      <c r="CV120" t="s">
        <v>25</v>
      </c>
      <c r="CW120" t="s">
        <v>25</v>
      </c>
      <c r="CX120" t="s">
        <v>25</v>
      </c>
      <c r="CY120" t="s">
        <v>25</v>
      </c>
      <c r="CZ120" t="s">
        <v>25</v>
      </c>
      <c r="DA120" t="s">
        <v>25</v>
      </c>
      <c r="DB120" t="s">
        <v>25</v>
      </c>
      <c r="DC120" t="s">
        <v>25</v>
      </c>
      <c r="DD120" t="s">
        <v>25</v>
      </c>
      <c r="DE120" t="s">
        <v>25</v>
      </c>
      <c r="DF120" t="s">
        <v>25</v>
      </c>
      <c r="DG120" t="s">
        <v>25</v>
      </c>
      <c r="DH120" t="s">
        <v>25</v>
      </c>
      <c r="DI120" t="s">
        <v>25</v>
      </c>
      <c r="DJ120" s="76">
        <v>0</v>
      </c>
      <c r="DK120" s="73">
        <v>1475</v>
      </c>
      <c r="DL120" s="73">
        <v>0</v>
      </c>
      <c r="DM120" s="73">
        <v>1475</v>
      </c>
      <c r="DN120" s="65" t="s">
        <v>126</v>
      </c>
      <c r="DU120" s="65" t="s">
        <v>126</v>
      </c>
      <c r="DV120" s="65" t="s">
        <v>126</v>
      </c>
      <c r="DW120" t="s">
        <v>427</v>
      </c>
      <c r="DZ120" s="73">
        <v>13310</v>
      </c>
      <c r="EA120" s="73">
        <v>0</v>
      </c>
      <c r="EB120" s="73">
        <v>13310</v>
      </c>
      <c r="EC120" s="65" t="s">
        <v>126</v>
      </c>
    </row>
    <row r="121" spans="1:133" ht="12" customHeight="1" x14ac:dyDescent="0.2">
      <c r="A121" t="s">
        <v>2937</v>
      </c>
      <c r="B121" t="s">
        <v>2947</v>
      </c>
      <c r="C121" t="str">
        <f t="shared" si="3"/>
        <v>Outline</v>
      </c>
      <c r="E121" s="65">
        <v>2411</v>
      </c>
      <c r="F121" t="s">
        <v>1525</v>
      </c>
      <c r="G121" s="71" t="s">
        <v>3947</v>
      </c>
      <c r="H121" s="67">
        <v>15.800000190734901</v>
      </c>
      <c r="I121" s="65">
        <v>528934</v>
      </c>
      <c r="J121" s="65">
        <v>177496</v>
      </c>
      <c r="K121" s="65" t="s">
        <v>1526</v>
      </c>
      <c r="L121" s="65" t="s">
        <v>653</v>
      </c>
      <c r="M121" s="65" t="s">
        <v>434</v>
      </c>
      <c r="N121" s="69">
        <v>42431</v>
      </c>
      <c r="O121" s="69">
        <v>42682</v>
      </c>
      <c r="Q121" s="69">
        <v>42481</v>
      </c>
      <c r="R121" s="65" t="s">
        <v>28</v>
      </c>
      <c r="U121" t="s">
        <v>654</v>
      </c>
      <c r="V121" t="s">
        <v>3109</v>
      </c>
      <c r="W121" s="65" t="s">
        <v>29</v>
      </c>
      <c r="X121" s="65" t="s">
        <v>29</v>
      </c>
      <c r="Y121" s="65" t="s">
        <v>59</v>
      </c>
      <c r="AD121" s="65" t="s">
        <v>23</v>
      </c>
      <c r="AE121" s="65" t="s">
        <v>24</v>
      </c>
      <c r="AF121" s="71" t="s">
        <v>1534</v>
      </c>
      <c r="AG121" s="65" t="s">
        <v>23</v>
      </c>
      <c r="AL121" s="73">
        <v>599</v>
      </c>
      <c r="AM121" s="73">
        <v>599</v>
      </c>
      <c r="AN121" s="73">
        <v>599</v>
      </c>
      <c r="AO121" s="73">
        <v>1797</v>
      </c>
      <c r="AP121" s="73">
        <v>47596</v>
      </c>
      <c r="AS121" s="73">
        <v>47596</v>
      </c>
      <c r="AV121" s="73">
        <v>47596</v>
      </c>
      <c r="AW121" s="73">
        <v>1577</v>
      </c>
      <c r="AX121" s="73">
        <v>1578</v>
      </c>
      <c r="AY121" s="73">
        <v>3155</v>
      </c>
      <c r="BO121" s="185" t="s">
        <v>126</v>
      </c>
      <c r="BP121" s="185" t="s">
        <v>126</v>
      </c>
      <c r="BQ121" s="185" t="s">
        <v>126</v>
      </c>
      <c r="BT121" s="73">
        <v>599</v>
      </c>
      <c r="BU121" s="73">
        <v>599</v>
      </c>
      <c r="BV121" s="73">
        <v>599</v>
      </c>
      <c r="BW121" s="73">
        <v>1797</v>
      </c>
      <c r="BX121" s="73">
        <v>47596</v>
      </c>
      <c r="BY121" s="185" t="s">
        <v>3794</v>
      </c>
      <c r="CD121" s="73">
        <v>47596</v>
      </c>
      <c r="CF121" s="73">
        <v>9872</v>
      </c>
      <c r="CG121" s="73">
        <v>1577</v>
      </c>
      <c r="CH121" s="73">
        <v>1578</v>
      </c>
      <c r="CI121" s="73">
        <v>3155</v>
      </c>
      <c r="CJ121" t="s">
        <v>25</v>
      </c>
      <c r="CK121" t="s">
        <v>25</v>
      </c>
      <c r="CL121" t="s">
        <v>25</v>
      </c>
      <c r="CM121" t="s">
        <v>25</v>
      </c>
      <c r="CN121" t="s">
        <v>25</v>
      </c>
      <c r="CO121" t="s">
        <v>25</v>
      </c>
      <c r="CP121" t="s">
        <v>25</v>
      </c>
      <c r="CQ121" t="s">
        <v>25</v>
      </c>
      <c r="CR121" t="s">
        <v>25</v>
      </c>
      <c r="CS121" t="s">
        <v>25</v>
      </c>
      <c r="CT121" t="s">
        <v>25</v>
      </c>
      <c r="CU121" t="s">
        <v>25</v>
      </c>
      <c r="CV121" t="s">
        <v>25</v>
      </c>
      <c r="CW121" t="s">
        <v>25</v>
      </c>
      <c r="CX121" t="s">
        <v>25</v>
      </c>
      <c r="CY121" t="s">
        <v>25</v>
      </c>
      <c r="CZ121" t="s">
        <v>25</v>
      </c>
      <c r="DA121" t="s">
        <v>25</v>
      </c>
      <c r="DB121" t="s">
        <v>25</v>
      </c>
      <c r="DC121" t="s">
        <v>25</v>
      </c>
      <c r="DD121" t="s">
        <v>25</v>
      </c>
      <c r="DE121" t="s">
        <v>25</v>
      </c>
      <c r="DF121" t="s">
        <v>25</v>
      </c>
      <c r="DG121" t="s">
        <v>25</v>
      </c>
      <c r="DH121" t="s">
        <v>25</v>
      </c>
      <c r="DI121" t="s">
        <v>25</v>
      </c>
      <c r="DJ121" s="76">
        <v>0</v>
      </c>
      <c r="DK121" s="73">
        <v>62420</v>
      </c>
      <c r="DL121" s="73">
        <v>0</v>
      </c>
      <c r="DM121" s="73">
        <v>62420</v>
      </c>
      <c r="DN121" s="65" t="s">
        <v>126</v>
      </c>
      <c r="DU121" s="65" t="s">
        <v>126</v>
      </c>
      <c r="DV121" s="65" t="s">
        <v>126</v>
      </c>
      <c r="DW121" t="s">
        <v>427</v>
      </c>
      <c r="DZ121" s="73">
        <v>51168</v>
      </c>
      <c r="EA121" s="73">
        <v>0</v>
      </c>
      <c r="EB121" s="73">
        <v>51168</v>
      </c>
      <c r="EC121" s="65" t="s">
        <v>126</v>
      </c>
    </row>
    <row r="122" spans="1:133" ht="12" customHeight="1" x14ac:dyDescent="0.2">
      <c r="A122" t="s">
        <v>2936</v>
      </c>
      <c r="B122" t="s">
        <v>2946</v>
      </c>
      <c r="C122" t="str">
        <f t="shared" si="3"/>
        <v>Full</v>
      </c>
      <c r="D122" t="s">
        <v>2942</v>
      </c>
      <c r="E122" s="65">
        <v>2411</v>
      </c>
      <c r="F122" t="s">
        <v>1525</v>
      </c>
      <c r="G122" s="71" t="s">
        <v>3947</v>
      </c>
      <c r="H122" s="67">
        <v>15.800000190734901</v>
      </c>
      <c r="I122" s="65">
        <v>528934</v>
      </c>
      <c r="J122" s="65">
        <v>177496</v>
      </c>
      <c r="K122" s="65" t="s">
        <v>1526</v>
      </c>
      <c r="L122" s="65" t="s">
        <v>1535</v>
      </c>
      <c r="M122" s="65" t="s">
        <v>1536</v>
      </c>
      <c r="N122" s="69">
        <v>42654</v>
      </c>
      <c r="O122" s="69">
        <v>42682</v>
      </c>
      <c r="R122" s="65" t="s">
        <v>28</v>
      </c>
      <c r="U122" t="s">
        <v>1537</v>
      </c>
      <c r="V122" t="s">
        <v>3110</v>
      </c>
      <c r="W122" s="65" t="s">
        <v>29</v>
      </c>
      <c r="X122" s="65" t="s">
        <v>29</v>
      </c>
      <c r="Y122" s="65" t="s">
        <v>22</v>
      </c>
      <c r="AA122" s="69">
        <v>41599</v>
      </c>
      <c r="AB122" s="69">
        <v>43190</v>
      </c>
      <c r="AD122" s="65" t="s">
        <v>23</v>
      </c>
      <c r="AE122" s="65" t="s">
        <v>24</v>
      </c>
      <c r="AF122" s="71" t="s">
        <v>1538</v>
      </c>
      <c r="AG122" s="65" t="s">
        <v>23</v>
      </c>
      <c r="AH122" s="69">
        <v>41601</v>
      </c>
      <c r="AI122" s="69">
        <v>43190</v>
      </c>
      <c r="AJ122" s="73">
        <v>1112</v>
      </c>
      <c r="AK122" s="73">
        <v>781</v>
      </c>
      <c r="AL122" s="73">
        <v>1073</v>
      </c>
      <c r="AM122" s="73">
        <v>1073</v>
      </c>
      <c r="AN122" s="73">
        <v>1073</v>
      </c>
      <c r="AO122" s="73">
        <v>5112</v>
      </c>
      <c r="AP122" s="73">
        <v>2913</v>
      </c>
      <c r="AS122" s="73">
        <v>2913</v>
      </c>
      <c r="AV122" s="73">
        <v>2913</v>
      </c>
      <c r="AW122" s="73">
        <v>509</v>
      </c>
      <c r="AX122" s="73">
        <v>936</v>
      </c>
      <c r="AY122" s="73">
        <v>1445</v>
      </c>
      <c r="BO122" s="185" t="s">
        <v>126</v>
      </c>
      <c r="BP122" s="185" t="s">
        <v>126</v>
      </c>
      <c r="BQ122" s="185" t="s">
        <v>126</v>
      </c>
      <c r="BR122" s="73">
        <v>1112</v>
      </c>
      <c r="BS122" s="73">
        <v>781</v>
      </c>
      <c r="BT122" s="73">
        <v>1073</v>
      </c>
      <c r="BU122" s="73">
        <v>1073</v>
      </c>
      <c r="BV122" s="73">
        <v>1073</v>
      </c>
      <c r="BW122" s="73">
        <v>5112</v>
      </c>
      <c r="BX122" s="73">
        <v>2913</v>
      </c>
      <c r="BY122" s="185" t="s">
        <v>3794</v>
      </c>
      <c r="CD122" s="73">
        <v>2913</v>
      </c>
      <c r="CG122" s="73">
        <v>509</v>
      </c>
      <c r="CH122" s="73">
        <v>936</v>
      </c>
      <c r="CI122" s="73">
        <v>1445</v>
      </c>
      <c r="CJ122" t="s">
        <v>25</v>
      </c>
      <c r="CK122" t="s">
        <v>25</v>
      </c>
      <c r="CL122" t="s">
        <v>25</v>
      </c>
      <c r="CM122" t="s">
        <v>25</v>
      </c>
      <c r="CN122" t="s">
        <v>25</v>
      </c>
      <c r="CO122" t="s">
        <v>25</v>
      </c>
      <c r="CP122" t="s">
        <v>25</v>
      </c>
      <c r="CQ122" t="s">
        <v>25</v>
      </c>
      <c r="CR122" t="s">
        <v>25</v>
      </c>
      <c r="CS122" t="s">
        <v>25</v>
      </c>
      <c r="CT122" t="s">
        <v>25</v>
      </c>
      <c r="CU122" t="s">
        <v>25</v>
      </c>
      <c r="CV122" t="s">
        <v>25</v>
      </c>
      <c r="CW122" t="s">
        <v>25</v>
      </c>
      <c r="CX122" t="s">
        <v>25</v>
      </c>
      <c r="CY122" t="s">
        <v>25</v>
      </c>
      <c r="CZ122" t="s">
        <v>25</v>
      </c>
      <c r="DA122" t="s">
        <v>25</v>
      </c>
      <c r="DB122" t="s">
        <v>25</v>
      </c>
      <c r="DC122" t="s">
        <v>25</v>
      </c>
      <c r="DD122" t="s">
        <v>25</v>
      </c>
      <c r="DE122" t="s">
        <v>25</v>
      </c>
      <c r="DF122" t="s">
        <v>25</v>
      </c>
      <c r="DG122" t="s">
        <v>25</v>
      </c>
      <c r="DH122" t="s">
        <v>25</v>
      </c>
      <c r="DI122" t="s">
        <v>25</v>
      </c>
      <c r="DJ122" s="76">
        <v>0</v>
      </c>
      <c r="DK122" s="73">
        <v>9470</v>
      </c>
      <c r="DL122" s="73">
        <v>0</v>
      </c>
      <c r="DM122" s="73">
        <v>9470</v>
      </c>
      <c r="DN122" s="65" t="s">
        <v>126</v>
      </c>
      <c r="DU122" s="65" t="s">
        <v>126</v>
      </c>
      <c r="DV122" s="65" t="s">
        <v>126</v>
      </c>
      <c r="DW122" t="s">
        <v>427</v>
      </c>
      <c r="DZ122" s="73">
        <v>88164</v>
      </c>
      <c r="EA122" s="73">
        <v>0</v>
      </c>
      <c r="EB122" s="73">
        <v>88164</v>
      </c>
      <c r="EC122" s="65" t="s">
        <v>126</v>
      </c>
    </row>
    <row r="123" spans="1:133" ht="12" customHeight="1" x14ac:dyDescent="0.2">
      <c r="A123" t="s">
        <v>2937</v>
      </c>
      <c r="B123" t="s">
        <v>2946</v>
      </c>
      <c r="C123" t="str">
        <f t="shared" si="3"/>
        <v>Full</v>
      </c>
      <c r="E123" s="65">
        <v>2411</v>
      </c>
      <c r="F123" t="s">
        <v>1525</v>
      </c>
      <c r="G123" s="71" t="s">
        <v>3947</v>
      </c>
      <c r="H123" s="67">
        <v>15.800000190734901</v>
      </c>
      <c r="I123" s="65">
        <v>528934</v>
      </c>
      <c r="J123" s="65">
        <v>177496</v>
      </c>
      <c r="K123" s="65" t="s">
        <v>1526</v>
      </c>
      <c r="L123" s="65" t="s">
        <v>1287</v>
      </c>
      <c r="M123" s="65" t="s">
        <v>1363</v>
      </c>
      <c r="N123" s="69">
        <v>42817</v>
      </c>
      <c r="O123" s="69">
        <v>42873</v>
      </c>
      <c r="P123" s="65" t="s">
        <v>126</v>
      </c>
      <c r="R123" s="65" t="s">
        <v>28</v>
      </c>
      <c r="U123" t="s">
        <v>1539</v>
      </c>
      <c r="V123" t="s">
        <v>3111</v>
      </c>
      <c r="W123" s="65" t="s">
        <v>34</v>
      </c>
      <c r="X123" s="65" t="s">
        <v>29</v>
      </c>
      <c r="Y123" s="65" t="s">
        <v>30</v>
      </c>
      <c r="AA123" s="69">
        <v>41698</v>
      </c>
      <c r="AD123" s="65" t="s">
        <v>23</v>
      </c>
      <c r="AE123" s="65" t="s">
        <v>24</v>
      </c>
      <c r="AF123" s="71" t="s">
        <v>1540</v>
      </c>
      <c r="AG123" s="65" t="s">
        <v>23</v>
      </c>
      <c r="AH123" s="69">
        <f>AA123</f>
        <v>41698</v>
      </c>
      <c r="BO123" s="185" t="s">
        <v>3794</v>
      </c>
      <c r="BP123" s="185" t="s">
        <v>3794</v>
      </c>
      <c r="BQ123" s="185" t="s">
        <v>3794</v>
      </c>
      <c r="BW123" s="73"/>
      <c r="BY123" s="185" t="s">
        <v>3794</v>
      </c>
      <c r="CJ123" t="s">
        <v>25</v>
      </c>
      <c r="CK123" t="s">
        <v>25</v>
      </c>
      <c r="CL123" t="s">
        <v>25</v>
      </c>
      <c r="CM123" t="s">
        <v>25</v>
      </c>
      <c r="CN123" t="s">
        <v>25</v>
      </c>
      <c r="CO123" t="s">
        <v>25</v>
      </c>
      <c r="CP123" t="s">
        <v>25</v>
      </c>
      <c r="CQ123" t="s">
        <v>25</v>
      </c>
      <c r="CR123" t="s">
        <v>25</v>
      </c>
      <c r="CS123" t="s">
        <v>25</v>
      </c>
      <c r="CT123" t="s">
        <v>25</v>
      </c>
      <c r="CU123" t="s">
        <v>25</v>
      </c>
      <c r="CV123" t="s">
        <v>25</v>
      </c>
      <c r="CW123" t="s">
        <v>25</v>
      </c>
      <c r="CX123" t="s">
        <v>25</v>
      </c>
      <c r="CY123" t="s">
        <v>25</v>
      </c>
      <c r="CZ123" t="s">
        <v>25</v>
      </c>
      <c r="DA123" t="s">
        <v>25</v>
      </c>
      <c r="DB123" t="s">
        <v>25</v>
      </c>
      <c r="DC123" t="s">
        <v>25</v>
      </c>
      <c r="DD123" t="s">
        <v>25</v>
      </c>
      <c r="DE123" t="s">
        <v>25</v>
      </c>
      <c r="DF123" t="s">
        <v>25</v>
      </c>
      <c r="DG123" t="s">
        <v>25</v>
      </c>
      <c r="DH123" t="s">
        <v>25</v>
      </c>
      <c r="DI123" t="s">
        <v>25</v>
      </c>
      <c r="DJ123" s="76">
        <v>0</v>
      </c>
      <c r="DK123" s="73">
        <v>240</v>
      </c>
      <c r="DL123" s="73">
        <v>0</v>
      </c>
      <c r="DM123" s="73">
        <v>240</v>
      </c>
      <c r="DN123" s="65" t="s">
        <v>126</v>
      </c>
      <c r="DU123" s="65" t="s">
        <v>126</v>
      </c>
      <c r="DV123" s="65" t="s">
        <v>126</v>
      </c>
      <c r="DW123" t="s">
        <v>427</v>
      </c>
      <c r="DZ123" s="73">
        <v>0</v>
      </c>
      <c r="EA123" s="73">
        <v>0</v>
      </c>
      <c r="EB123" s="73">
        <v>0</v>
      </c>
    </row>
    <row r="124" spans="1:133" ht="12" customHeight="1" x14ac:dyDescent="0.2">
      <c r="A124" t="s">
        <v>2935</v>
      </c>
      <c r="B124" t="s">
        <v>2946</v>
      </c>
      <c r="C124" t="str">
        <f t="shared" si="3"/>
        <v>Full</v>
      </c>
      <c r="E124" s="65">
        <v>2411</v>
      </c>
      <c r="F124" t="s">
        <v>1525</v>
      </c>
      <c r="G124" s="71" t="s">
        <v>3947</v>
      </c>
      <c r="H124" s="67">
        <v>15.800000190734901</v>
      </c>
      <c r="I124" s="65">
        <v>528934</v>
      </c>
      <c r="J124" s="65">
        <v>177496</v>
      </c>
      <c r="K124" s="65" t="s">
        <v>1526</v>
      </c>
      <c r="L124" s="65" t="s">
        <v>1287</v>
      </c>
      <c r="M124" s="65" t="s">
        <v>1363</v>
      </c>
      <c r="N124" s="69">
        <v>42817</v>
      </c>
      <c r="O124" s="69">
        <v>42873</v>
      </c>
      <c r="P124" s="65" t="s">
        <v>126</v>
      </c>
      <c r="R124" s="65" t="s">
        <v>28</v>
      </c>
      <c r="U124" t="s">
        <v>1539</v>
      </c>
      <c r="V124" t="s">
        <v>3111</v>
      </c>
      <c r="W124" s="65" t="s">
        <v>34</v>
      </c>
      <c r="X124" s="65" t="s">
        <v>29</v>
      </c>
      <c r="Y124" s="65" t="s">
        <v>30</v>
      </c>
      <c r="AA124" s="69">
        <v>41698</v>
      </c>
      <c r="AD124" s="65" t="s">
        <v>23</v>
      </c>
      <c r="AE124" s="65" t="s">
        <v>24</v>
      </c>
      <c r="AF124" s="71" t="s">
        <v>2819</v>
      </c>
      <c r="AG124" s="65" t="s">
        <v>23</v>
      </c>
      <c r="AH124" s="69">
        <v>41698</v>
      </c>
      <c r="AJ124" s="73">
        <v>17998</v>
      </c>
      <c r="AK124" s="73">
        <v>17930</v>
      </c>
      <c r="AL124" s="73">
        <v>2351</v>
      </c>
      <c r="AM124" s="73">
        <v>2351</v>
      </c>
      <c r="AN124" s="73">
        <v>2283</v>
      </c>
      <c r="AO124" s="73">
        <v>42913</v>
      </c>
      <c r="AP124" s="73">
        <v>63038</v>
      </c>
      <c r="AS124" s="73">
        <v>63038</v>
      </c>
      <c r="AV124" s="73">
        <v>63038</v>
      </c>
      <c r="AW124" s="73">
        <v>4453</v>
      </c>
      <c r="AX124" s="73">
        <v>4454</v>
      </c>
      <c r="AY124" s="73">
        <v>8907</v>
      </c>
      <c r="BO124" s="185" t="s">
        <v>126</v>
      </c>
      <c r="BP124" s="185" t="s">
        <v>126</v>
      </c>
      <c r="BQ124" s="185" t="s">
        <v>126</v>
      </c>
      <c r="BR124" s="73">
        <v>17998</v>
      </c>
      <c r="BS124" s="73">
        <v>17930</v>
      </c>
      <c r="BT124" s="73">
        <v>2351</v>
      </c>
      <c r="BU124" s="73">
        <v>2351</v>
      </c>
      <c r="BV124" s="73">
        <v>2283</v>
      </c>
      <c r="BW124" s="570">
        <v>42913</v>
      </c>
      <c r="BX124" s="73">
        <v>63038</v>
      </c>
      <c r="BY124" s="185" t="s">
        <v>3794</v>
      </c>
      <c r="CD124" s="73">
        <v>63038</v>
      </c>
      <c r="CG124" s="73">
        <v>4453</v>
      </c>
      <c r="CH124" s="73">
        <v>4454</v>
      </c>
      <c r="CI124" s="73">
        <v>8907</v>
      </c>
      <c r="CJ124" t="s">
        <v>31</v>
      </c>
      <c r="CK124" t="s">
        <v>31</v>
      </c>
      <c r="CL124" t="s">
        <v>31</v>
      </c>
      <c r="CM124" t="s">
        <v>31</v>
      </c>
      <c r="CN124" t="s">
        <v>25</v>
      </c>
      <c r="CO124" t="s">
        <v>31</v>
      </c>
      <c r="CP124" t="s">
        <v>25</v>
      </c>
      <c r="CQ124" t="s">
        <v>25</v>
      </c>
      <c r="CR124" t="s">
        <v>25</v>
      </c>
      <c r="CS124" t="s">
        <v>25</v>
      </c>
      <c r="CT124" t="s">
        <v>25</v>
      </c>
      <c r="CU124" t="s">
        <v>25</v>
      </c>
      <c r="CV124" t="s">
        <v>25</v>
      </c>
      <c r="CW124" t="s">
        <v>25</v>
      </c>
      <c r="CX124" t="s">
        <v>25</v>
      </c>
      <c r="CY124" t="s">
        <v>25</v>
      </c>
      <c r="CZ124" t="s">
        <v>25</v>
      </c>
      <c r="DA124" t="s">
        <v>25</v>
      </c>
      <c r="DB124" t="s">
        <v>25</v>
      </c>
      <c r="DC124" t="s">
        <v>25</v>
      </c>
      <c r="DD124" t="s">
        <v>25</v>
      </c>
      <c r="DE124" t="s">
        <v>25</v>
      </c>
      <c r="DF124" t="s">
        <v>25</v>
      </c>
      <c r="DG124" t="s">
        <v>25</v>
      </c>
      <c r="DH124" t="s">
        <v>25</v>
      </c>
      <c r="DI124" t="s">
        <v>25</v>
      </c>
      <c r="DJ124" s="76">
        <v>0</v>
      </c>
      <c r="DK124" s="73">
        <v>114858</v>
      </c>
      <c r="DL124" s="73">
        <v>0</v>
      </c>
      <c r="DM124" s="73">
        <v>114858</v>
      </c>
      <c r="DN124" s="65" t="s">
        <v>126</v>
      </c>
      <c r="DU124" s="65" t="s">
        <v>126</v>
      </c>
      <c r="DV124" s="65" t="s">
        <v>126</v>
      </c>
      <c r="DW124" t="s">
        <v>427</v>
      </c>
      <c r="DZ124" s="73">
        <v>41967</v>
      </c>
      <c r="EA124" s="73">
        <v>0</v>
      </c>
      <c r="EB124" s="73">
        <v>41967</v>
      </c>
      <c r="EC124" s="65" t="s">
        <v>126</v>
      </c>
    </row>
    <row r="125" spans="1:133" ht="12" customHeight="1" x14ac:dyDescent="0.2">
      <c r="A125" t="s">
        <v>2936</v>
      </c>
      <c r="B125" t="s">
        <v>2946</v>
      </c>
      <c r="C125" t="str">
        <f t="shared" si="3"/>
        <v>Full</v>
      </c>
      <c r="D125" t="s">
        <v>2943</v>
      </c>
      <c r="E125" s="65">
        <v>2471</v>
      </c>
      <c r="F125" t="s">
        <v>1541</v>
      </c>
      <c r="G125" s="71" t="s">
        <v>150</v>
      </c>
      <c r="H125" s="67">
        <v>0.17000000178813901</v>
      </c>
      <c r="I125" s="65">
        <v>527798</v>
      </c>
      <c r="J125" s="65">
        <v>172157</v>
      </c>
      <c r="L125" s="65" t="s">
        <v>1542</v>
      </c>
      <c r="M125" s="65" t="s">
        <v>27</v>
      </c>
      <c r="N125" s="69">
        <v>42894</v>
      </c>
      <c r="O125" s="69">
        <v>42949</v>
      </c>
      <c r="P125" s="65" t="s">
        <v>126</v>
      </c>
      <c r="R125" s="65" t="s">
        <v>28</v>
      </c>
      <c r="U125" t="s">
        <v>1543</v>
      </c>
      <c r="V125" t="s">
        <v>3112</v>
      </c>
      <c r="W125" s="65" t="s">
        <v>21</v>
      </c>
      <c r="X125" s="65" t="s">
        <v>21</v>
      </c>
      <c r="Y125" s="65" t="s">
        <v>35</v>
      </c>
      <c r="AA125" s="69">
        <v>42949</v>
      </c>
      <c r="AB125" s="69">
        <v>43190</v>
      </c>
      <c r="AC125" s="69">
        <v>43190</v>
      </c>
      <c r="AD125" s="65" t="s">
        <v>23</v>
      </c>
      <c r="AE125" s="65" t="s">
        <v>24</v>
      </c>
      <c r="AH125" s="69">
        <f t="shared" ref="AH125:AH188" si="6">AA125</f>
        <v>42949</v>
      </c>
      <c r="AI125" s="69">
        <f t="shared" ref="AI125:AI186" si="7">AB125</f>
        <v>43190</v>
      </c>
      <c r="AW125" s="73">
        <v>157</v>
      </c>
      <c r="AY125" s="73">
        <v>157</v>
      </c>
      <c r="BL125" s="73">
        <v>157</v>
      </c>
      <c r="BN125" s="73">
        <v>157</v>
      </c>
      <c r="BO125" s="185" t="s">
        <v>3794</v>
      </c>
      <c r="BP125" s="185" t="s">
        <v>3794</v>
      </c>
      <c r="BQ125" s="185" t="s">
        <v>126</v>
      </c>
      <c r="BW125" s="73"/>
      <c r="BY125" s="185" t="s">
        <v>3794</v>
      </c>
      <c r="CJ125" t="s">
        <v>25</v>
      </c>
      <c r="CK125" t="s">
        <v>25</v>
      </c>
      <c r="CL125" t="s">
        <v>25</v>
      </c>
      <c r="CM125" t="s">
        <v>25</v>
      </c>
      <c r="CN125" t="s">
        <v>25</v>
      </c>
      <c r="CO125" t="s">
        <v>25</v>
      </c>
      <c r="CP125" t="s">
        <v>25</v>
      </c>
      <c r="CQ125" t="s">
        <v>25</v>
      </c>
      <c r="CR125" t="s">
        <v>25</v>
      </c>
      <c r="CS125" t="s">
        <v>25</v>
      </c>
      <c r="CT125" t="s">
        <v>25</v>
      </c>
      <c r="CU125" t="s">
        <v>49</v>
      </c>
      <c r="CV125" t="s">
        <v>25</v>
      </c>
      <c r="CW125" t="s">
        <v>25</v>
      </c>
      <c r="CX125" t="s">
        <v>25</v>
      </c>
      <c r="CY125" t="s">
        <v>25</v>
      </c>
      <c r="CZ125" t="s">
        <v>25</v>
      </c>
      <c r="DA125" t="s">
        <v>25</v>
      </c>
      <c r="DB125" t="s">
        <v>25</v>
      </c>
      <c r="DC125" t="s">
        <v>25</v>
      </c>
      <c r="DD125" t="s">
        <v>25</v>
      </c>
      <c r="DE125" t="s">
        <v>25</v>
      </c>
      <c r="DF125" t="s">
        <v>25</v>
      </c>
      <c r="DG125" t="s">
        <v>25</v>
      </c>
      <c r="DH125" t="s">
        <v>47</v>
      </c>
      <c r="DI125" t="s">
        <v>25</v>
      </c>
      <c r="DJ125" s="76">
        <v>0.17000000178813901</v>
      </c>
      <c r="DK125" s="73">
        <v>157</v>
      </c>
      <c r="DL125" s="73">
        <v>157</v>
      </c>
      <c r="DM125" s="73">
        <v>0</v>
      </c>
      <c r="DU125"/>
      <c r="DZ125" s="73">
        <v>0</v>
      </c>
      <c r="EA125" s="73">
        <v>0</v>
      </c>
      <c r="EB125" s="73">
        <v>0</v>
      </c>
    </row>
    <row r="126" spans="1:133" ht="12" customHeight="1" x14ac:dyDescent="0.2">
      <c r="A126" t="s">
        <v>2936</v>
      </c>
      <c r="B126" t="s">
        <v>2946</v>
      </c>
      <c r="C126" t="str">
        <f t="shared" si="3"/>
        <v>Full</v>
      </c>
      <c r="D126" t="s">
        <v>2942</v>
      </c>
      <c r="E126" s="65">
        <v>2490</v>
      </c>
      <c r="F126" t="s">
        <v>1544</v>
      </c>
      <c r="G126" s="71" t="s">
        <v>3946</v>
      </c>
      <c r="H126" s="67">
        <v>2.1670000553131099</v>
      </c>
      <c r="I126" s="65">
        <v>525385</v>
      </c>
      <c r="J126" s="65">
        <v>175234</v>
      </c>
      <c r="K126" s="65" t="s">
        <v>1545</v>
      </c>
      <c r="L126" s="65" t="s">
        <v>62</v>
      </c>
      <c r="M126" s="65" t="s">
        <v>33</v>
      </c>
      <c r="N126" s="69">
        <v>40113</v>
      </c>
      <c r="O126" s="69">
        <v>40434</v>
      </c>
      <c r="Q126" s="69">
        <v>40226</v>
      </c>
      <c r="R126" s="65" t="s">
        <v>28</v>
      </c>
      <c r="U126" t="s">
        <v>640</v>
      </c>
      <c r="V126" t="s">
        <v>3113</v>
      </c>
      <c r="W126" s="65" t="s">
        <v>29</v>
      </c>
      <c r="X126" s="65" t="s">
        <v>29</v>
      </c>
      <c r="Y126" s="65" t="s">
        <v>22</v>
      </c>
      <c r="AA126" s="69">
        <v>40633</v>
      </c>
      <c r="AB126" s="69">
        <v>43190</v>
      </c>
      <c r="AD126" s="65" t="s">
        <v>23</v>
      </c>
      <c r="AE126" s="65" t="s">
        <v>24</v>
      </c>
      <c r="AH126" s="69">
        <f t="shared" si="6"/>
        <v>40633</v>
      </c>
      <c r="AI126" s="69">
        <f t="shared" si="7"/>
        <v>43190</v>
      </c>
      <c r="AJ126" s="73">
        <v>110</v>
      </c>
      <c r="AL126" s="73">
        <v>110</v>
      </c>
      <c r="AM126" s="73">
        <v>100</v>
      </c>
      <c r="AO126" s="73">
        <v>320</v>
      </c>
      <c r="AP126" s="73">
        <v>6574</v>
      </c>
      <c r="AS126" s="73">
        <v>6574</v>
      </c>
      <c r="AV126" s="73">
        <v>6574</v>
      </c>
      <c r="AW126" s="73">
        <v>497</v>
      </c>
      <c r="AX126" s="73">
        <v>1321</v>
      </c>
      <c r="AY126" s="73">
        <v>1818</v>
      </c>
      <c r="BO126" s="185" t="s">
        <v>126</v>
      </c>
      <c r="BP126" s="185" t="s">
        <v>126</v>
      </c>
      <c r="BQ126" s="185" t="s">
        <v>126</v>
      </c>
      <c r="BR126" s="73">
        <v>110</v>
      </c>
      <c r="BT126" s="73">
        <v>110</v>
      </c>
      <c r="BU126" s="73">
        <v>100</v>
      </c>
      <c r="BW126" s="73">
        <v>320</v>
      </c>
      <c r="BX126" s="73">
        <v>6574</v>
      </c>
      <c r="BY126" s="185" t="s">
        <v>3794</v>
      </c>
      <c r="CD126" s="73">
        <v>6574</v>
      </c>
      <c r="CG126" s="73">
        <v>497</v>
      </c>
      <c r="CH126" s="73">
        <v>1321</v>
      </c>
      <c r="CI126" s="73">
        <v>1818</v>
      </c>
      <c r="CJ126" t="s">
        <v>31</v>
      </c>
      <c r="CK126" t="s">
        <v>25</v>
      </c>
      <c r="CL126" t="s">
        <v>31</v>
      </c>
      <c r="CM126" t="s">
        <v>31</v>
      </c>
      <c r="CN126" t="s">
        <v>25</v>
      </c>
      <c r="CO126" t="s">
        <v>31</v>
      </c>
      <c r="CP126" t="s">
        <v>25</v>
      </c>
      <c r="CQ126" t="s">
        <v>25</v>
      </c>
      <c r="CR126" t="s">
        <v>25</v>
      </c>
      <c r="CS126" t="s">
        <v>25</v>
      </c>
      <c r="CT126" t="s">
        <v>25</v>
      </c>
      <c r="CU126" t="s">
        <v>31</v>
      </c>
      <c r="CV126" t="s">
        <v>31</v>
      </c>
      <c r="CW126" t="s">
        <v>25</v>
      </c>
      <c r="CX126" t="s">
        <v>25</v>
      </c>
      <c r="CY126" t="s">
        <v>25</v>
      </c>
      <c r="CZ126" t="s">
        <v>25</v>
      </c>
      <c r="DA126" t="s">
        <v>25</v>
      </c>
      <c r="DB126" t="s">
        <v>25</v>
      </c>
      <c r="DC126" t="s">
        <v>25</v>
      </c>
      <c r="DD126" t="s">
        <v>25</v>
      </c>
      <c r="DE126" t="s">
        <v>25</v>
      </c>
      <c r="DF126" t="s">
        <v>25</v>
      </c>
      <c r="DG126" t="s">
        <v>25</v>
      </c>
      <c r="DH126" t="s">
        <v>25</v>
      </c>
      <c r="DI126" t="s">
        <v>25</v>
      </c>
      <c r="DJ126" s="76">
        <v>0.36100007593631878</v>
      </c>
      <c r="DK126" s="73">
        <v>8712</v>
      </c>
      <c r="DL126" s="73">
        <v>0</v>
      </c>
      <c r="DM126" s="73">
        <v>8712</v>
      </c>
      <c r="DN126" s="65" t="s">
        <v>126</v>
      </c>
      <c r="DU126"/>
      <c r="DZ126" s="73">
        <v>48309</v>
      </c>
      <c r="EA126" s="73">
        <v>0</v>
      </c>
      <c r="EB126" s="73">
        <v>48309</v>
      </c>
      <c r="EC126" s="65" t="s">
        <v>126</v>
      </c>
    </row>
    <row r="127" spans="1:133" ht="12" customHeight="1" x14ac:dyDescent="0.2">
      <c r="A127" t="s">
        <v>2935</v>
      </c>
      <c r="B127" t="s">
        <v>2946</v>
      </c>
      <c r="C127" t="str">
        <f t="shared" si="3"/>
        <v>Full</v>
      </c>
      <c r="E127" s="65">
        <v>2502</v>
      </c>
      <c r="F127" t="s">
        <v>1546</v>
      </c>
      <c r="G127" s="71" t="s">
        <v>3953</v>
      </c>
      <c r="H127" s="67">
        <v>33.259998321533203</v>
      </c>
      <c r="I127" s="65">
        <v>527221</v>
      </c>
      <c r="J127" s="65">
        <v>172443</v>
      </c>
      <c r="K127" s="65" t="s">
        <v>1547</v>
      </c>
      <c r="L127" s="65" t="s">
        <v>68</v>
      </c>
      <c r="M127" s="65" t="s">
        <v>19</v>
      </c>
      <c r="N127" s="69">
        <v>40431</v>
      </c>
      <c r="O127" s="69">
        <v>40587</v>
      </c>
      <c r="R127" s="65" t="s">
        <v>20</v>
      </c>
      <c r="S127" s="69">
        <v>40745</v>
      </c>
      <c r="T127" s="69">
        <v>41082</v>
      </c>
      <c r="U127" t="s">
        <v>642</v>
      </c>
      <c r="V127" t="s">
        <v>3114</v>
      </c>
      <c r="W127" s="65" t="s">
        <v>34</v>
      </c>
      <c r="X127" s="65" t="s">
        <v>29</v>
      </c>
      <c r="Y127" s="65" t="s">
        <v>30</v>
      </c>
      <c r="AA127" s="69">
        <v>42244</v>
      </c>
      <c r="AD127" s="65" t="s">
        <v>23</v>
      </c>
      <c r="AE127" s="65" t="s">
        <v>24</v>
      </c>
      <c r="AH127" s="69">
        <f t="shared" si="6"/>
        <v>42244</v>
      </c>
      <c r="AJ127" s="73">
        <v>400</v>
      </c>
      <c r="AK127" s="73">
        <v>200</v>
      </c>
      <c r="AL127" s="73">
        <v>300</v>
      </c>
      <c r="AM127" s="73">
        <v>250</v>
      </c>
      <c r="AO127" s="73">
        <v>1150</v>
      </c>
      <c r="AP127" s="73">
        <v>200</v>
      </c>
      <c r="AS127" s="73">
        <v>200</v>
      </c>
      <c r="AV127" s="73">
        <v>200</v>
      </c>
      <c r="AW127" s="73">
        <v>4098</v>
      </c>
      <c r="AX127" s="73">
        <v>597</v>
      </c>
      <c r="AY127" s="73">
        <v>4695</v>
      </c>
      <c r="BB127" s="73">
        <v>768</v>
      </c>
      <c r="BE127" s="73">
        <v>768</v>
      </c>
      <c r="BL127" s="73">
        <v>1198</v>
      </c>
      <c r="BM127" s="73">
        <v>472</v>
      </c>
      <c r="BN127" s="73">
        <v>1670</v>
      </c>
      <c r="BO127" s="185" t="s">
        <v>126</v>
      </c>
      <c r="BP127" s="185" t="s">
        <v>126</v>
      </c>
      <c r="BQ127" s="185" t="s">
        <v>126</v>
      </c>
      <c r="BR127" s="73">
        <v>400</v>
      </c>
      <c r="BS127" s="73">
        <v>200</v>
      </c>
      <c r="BT127" s="73">
        <v>-468</v>
      </c>
      <c r="BU127" s="73">
        <v>250</v>
      </c>
      <c r="BW127" s="73">
        <v>382</v>
      </c>
      <c r="BX127" s="73">
        <v>200</v>
      </c>
      <c r="BY127" s="185" t="s">
        <v>3794</v>
      </c>
      <c r="CD127" s="73">
        <v>200</v>
      </c>
      <c r="CG127" s="73">
        <v>2900</v>
      </c>
      <c r="CH127" s="73">
        <v>125</v>
      </c>
      <c r="CI127" s="73">
        <v>3025</v>
      </c>
      <c r="CJ127" t="s">
        <v>31</v>
      </c>
      <c r="CK127" t="s">
        <v>31</v>
      </c>
      <c r="CL127" t="s">
        <v>31</v>
      </c>
      <c r="CM127" t="s">
        <v>31</v>
      </c>
      <c r="CN127" t="s">
        <v>25</v>
      </c>
      <c r="CO127" t="s">
        <v>31</v>
      </c>
      <c r="CP127" t="s">
        <v>25</v>
      </c>
      <c r="CQ127" t="s">
        <v>25</v>
      </c>
      <c r="CR127" t="s">
        <v>25</v>
      </c>
      <c r="CS127" t="s">
        <v>25</v>
      </c>
      <c r="CT127" t="s">
        <v>25</v>
      </c>
      <c r="CU127" t="s">
        <v>31</v>
      </c>
      <c r="CV127" t="s">
        <v>31</v>
      </c>
      <c r="CW127" t="s">
        <v>25</v>
      </c>
      <c r="CX127" t="s">
        <v>25</v>
      </c>
      <c r="CY127" t="s">
        <v>38</v>
      </c>
      <c r="CZ127" t="s">
        <v>25</v>
      </c>
      <c r="DA127" t="s">
        <v>25</v>
      </c>
      <c r="DB127" t="s">
        <v>25</v>
      </c>
      <c r="DC127" t="s">
        <v>25</v>
      </c>
      <c r="DD127" t="s">
        <v>25</v>
      </c>
      <c r="DE127" t="s">
        <v>25</v>
      </c>
      <c r="DF127" t="s">
        <v>25</v>
      </c>
      <c r="DG127" t="s">
        <v>25</v>
      </c>
      <c r="DH127" t="s">
        <v>49</v>
      </c>
      <c r="DI127" t="s">
        <v>44</v>
      </c>
      <c r="DJ127" s="76">
        <v>4.5159986596555033</v>
      </c>
      <c r="DK127" s="73">
        <v>6215</v>
      </c>
      <c r="DL127" s="73">
        <v>2438</v>
      </c>
      <c r="DM127" s="73">
        <v>3777</v>
      </c>
      <c r="DU127"/>
      <c r="DZ127" s="73">
        <v>111500</v>
      </c>
      <c r="EA127" s="73">
        <v>0</v>
      </c>
      <c r="EB127" s="73">
        <v>111500</v>
      </c>
      <c r="EC127" s="65" t="s">
        <v>126</v>
      </c>
    </row>
    <row r="128" spans="1:133" ht="12" customHeight="1" x14ac:dyDescent="0.2">
      <c r="A128" t="s">
        <v>2938</v>
      </c>
      <c r="B128" t="s">
        <v>2946</v>
      </c>
      <c r="C128" t="str">
        <f t="shared" si="3"/>
        <v>Full</v>
      </c>
      <c r="E128" s="65">
        <v>2504</v>
      </c>
      <c r="F128" t="s">
        <v>1552</v>
      </c>
      <c r="G128" s="71" t="s">
        <v>3949</v>
      </c>
      <c r="H128" s="67">
        <v>4.9999998882412902E-3</v>
      </c>
      <c r="I128" s="65">
        <v>524835</v>
      </c>
      <c r="J128" s="65">
        <v>173907</v>
      </c>
      <c r="L128" s="65" t="s">
        <v>1553</v>
      </c>
      <c r="M128" s="65" t="s">
        <v>172</v>
      </c>
      <c r="N128" s="69">
        <v>43075</v>
      </c>
      <c r="R128" s="65" t="s">
        <v>28</v>
      </c>
      <c r="U128" t="s">
        <v>1554</v>
      </c>
      <c r="V128" t="s">
        <v>3115</v>
      </c>
      <c r="W128" s="65" t="s">
        <v>29</v>
      </c>
      <c r="X128" s="65" t="s">
        <v>29</v>
      </c>
      <c r="Y128" s="65" t="s">
        <v>69</v>
      </c>
      <c r="AD128" s="65" t="s">
        <v>173</v>
      </c>
      <c r="AE128" s="65" t="s">
        <v>24</v>
      </c>
      <c r="BO128" s="185" t="s">
        <v>3794</v>
      </c>
      <c r="BP128" s="185" t="s">
        <v>3794</v>
      </c>
      <c r="BQ128" s="185" t="s">
        <v>3794</v>
      </c>
      <c r="BW128" s="73"/>
      <c r="BY128" s="185" t="s">
        <v>3794</v>
      </c>
      <c r="CJ128" t="s">
        <v>25</v>
      </c>
      <c r="CK128" t="s">
        <v>25</v>
      </c>
      <c r="CL128" t="s">
        <v>25</v>
      </c>
      <c r="CM128" t="s">
        <v>25</v>
      </c>
      <c r="CN128" t="s">
        <v>25</v>
      </c>
      <c r="CO128" t="s">
        <v>25</v>
      </c>
      <c r="CP128" t="s">
        <v>25</v>
      </c>
      <c r="CQ128" t="s">
        <v>25</v>
      </c>
      <c r="CR128" t="s">
        <v>25</v>
      </c>
      <c r="CS128" t="s">
        <v>25</v>
      </c>
      <c r="CT128" t="s">
        <v>25</v>
      </c>
      <c r="CU128" t="s">
        <v>25</v>
      </c>
      <c r="CV128" t="s">
        <v>25</v>
      </c>
      <c r="CW128" t="s">
        <v>25</v>
      </c>
      <c r="CX128" t="s">
        <v>25</v>
      </c>
      <c r="CY128" t="s">
        <v>25</v>
      </c>
      <c r="CZ128" t="s">
        <v>25</v>
      </c>
      <c r="DA128" t="s">
        <v>25</v>
      </c>
      <c r="DB128" t="s">
        <v>25</v>
      </c>
      <c r="DC128" t="s">
        <v>25</v>
      </c>
      <c r="DD128" t="s">
        <v>25</v>
      </c>
      <c r="DE128" t="s">
        <v>25</v>
      </c>
      <c r="DF128" t="s">
        <v>25</v>
      </c>
      <c r="DG128" t="s">
        <v>25</v>
      </c>
      <c r="DH128" t="s">
        <v>25</v>
      </c>
      <c r="DI128" t="s">
        <v>25</v>
      </c>
      <c r="DJ128" s="76">
        <v>0</v>
      </c>
      <c r="DK128" s="73">
        <v>0</v>
      </c>
      <c r="DL128" s="73">
        <v>42</v>
      </c>
      <c r="DM128" s="73">
        <v>-42</v>
      </c>
      <c r="DU128"/>
      <c r="DZ128" s="73">
        <v>63</v>
      </c>
      <c r="EA128" s="73">
        <v>0</v>
      </c>
      <c r="EB128" s="73">
        <v>63</v>
      </c>
      <c r="EC128" s="65" t="s">
        <v>126</v>
      </c>
    </row>
    <row r="129" spans="1:133" ht="12" customHeight="1" x14ac:dyDescent="0.2">
      <c r="A129" t="s">
        <v>2936</v>
      </c>
      <c r="B129" t="s">
        <v>2946</v>
      </c>
      <c r="C129" t="str">
        <f t="shared" si="3"/>
        <v>Full</v>
      </c>
      <c r="D129" t="s">
        <v>2943</v>
      </c>
      <c r="E129" s="65">
        <v>2511</v>
      </c>
      <c r="F129" t="s">
        <v>1555</v>
      </c>
      <c r="G129" s="71" t="s">
        <v>149</v>
      </c>
      <c r="H129" s="67">
        <v>2.60000005364418E-2</v>
      </c>
      <c r="I129" s="65">
        <v>528763</v>
      </c>
      <c r="J129" s="65">
        <v>173586</v>
      </c>
      <c r="L129" s="65" t="s">
        <v>464</v>
      </c>
      <c r="M129" s="65" t="s">
        <v>27</v>
      </c>
      <c r="N129" s="69">
        <v>42146</v>
      </c>
      <c r="O129" s="69">
        <v>42202</v>
      </c>
      <c r="R129" s="65" t="s">
        <v>28</v>
      </c>
      <c r="U129" t="s">
        <v>465</v>
      </c>
      <c r="V129" t="s">
        <v>3116</v>
      </c>
      <c r="W129" s="65" t="s">
        <v>21</v>
      </c>
      <c r="X129" s="65" t="s">
        <v>21</v>
      </c>
      <c r="Y129" s="65" t="s">
        <v>35</v>
      </c>
      <c r="AA129" s="69">
        <v>42217</v>
      </c>
      <c r="AB129" s="69">
        <v>42948</v>
      </c>
      <c r="AC129" s="69">
        <v>42948</v>
      </c>
      <c r="AD129" s="65" t="s">
        <v>23</v>
      </c>
      <c r="AE129" s="65" t="s">
        <v>24</v>
      </c>
      <c r="AH129" s="69">
        <f t="shared" si="6"/>
        <v>42217</v>
      </c>
      <c r="AI129" s="69">
        <f t="shared" si="7"/>
        <v>42948</v>
      </c>
      <c r="AJ129" s="73">
        <v>191</v>
      </c>
      <c r="AO129" s="73">
        <v>191</v>
      </c>
      <c r="AU129" s="73">
        <v>50</v>
      </c>
      <c r="AV129" s="73">
        <v>50</v>
      </c>
      <c r="BJ129" s="73">
        <v>241</v>
      </c>
      <c r="BK129" s="73">
        <v>241</v>
      </c>
      <c r="BO129" s="185" t="s">
        <v>126</v>
      </c>
      <c r="BP129" s="185" t="s">
        <v>126</v>
      </c>
      <c r="BQ129" s="185" t="s">
        <v>3794</v>
      </c>
      <c r="BR129" s="73">
        <v>191</v>
      </c>
      <c r="BW129" s="73">
        <v>191</v>
      </c>
      <c r="BY129" s="185" t="s">
        <v>3794</v>
      </c>
      <c r="CC129" s="73">
        <v>-191</v>
      </c>
      <c r="CD129" s="73">
        <v>-191</v>
      </c>
      <c r="CE129" s="65" t="s">
        <v>126</v>
      </c>
      <c r="CJ129" t="s">
        <v>49</v>
      </c>
      <c r="CK129" t="s">
        <v>25</v>
      </c>
      <c r="CL129" t="s">
        <v>25</v>
      </c>
      <c r="CM129" t="s">
        <v>25</v>
      </c>
      <c r="CN129" t="s">
        <v>25</v>
      </c>
      <c r="CO129" t="s">
        <v>25</v>
      </c>
      <c r="CP129" t="s">
        <v>25</v>
      </c>
      <c r="CQ129" t="s">
        <v>25</v>
      </c>
      <c r="CR129" t="s">
        <v>25</v>
      </c>
      <c r="CS129" t="s">
        <v>53</v>
      </c>
      <c r="CT129" t="s">
        <v>25</v>
      </c>
      <c r="CU129" t="s">
        <v>25</v>
      </c>
      <c r="CV129" t="s">
        <v>25</v>
      </c>
      <c r="CW129" t="s">
        <v>25</v>
      </c>
      <c r="CX129" t="s">
        <v>25</v>
      </c>
      <c r="CY129" t="s">
        <v>25</v>
      </c>
      <c r="CZ129" t="s">
        <v>25</v>
      </c>
      <c r="DA129" t="s">
        <v>25</v>
      </c>
      <c r="DB129" t="s">
        <v>25</v>
      </c>
      <c r="DC129" t="s">
        <v>25</v>
      </c>
      <c r="DD129" t="s">
        <v>25</v>
      </c>
      <c r="DE129" t="s">
        <v>25</v>
      </c>
      <c r="DF129" t="s">
        <v>53</v>
      </c>
      <c r="DG129" t="s">
        <v>25</v>
      </c>
      <c r="DH129" t="s">
        <v>25</v>
      </c>
      <c r="DI129" t="s">
        <v>25</v>
      </c>
      <c r="DJ129" s="76">
        <v>2.60000005364418E-2</v>
      </c>
      <c r="DK129" s="73">
        <v>241</v>
      </c>
      <c r="DL129" s="73">
        <v>241</v>
      </c>
      <c r="DM129" s="73">
        <v>0</v>
      </c>
      <c r="DU129"/>
      <c r="DZ129" s="73">
        <v>0</v>
      </c>
      <c r="EA129" s="73">
        <v>0</v>
      </c>
      <c r="EB129" s="73">
        <v>0</v>
      </c>
    </row>
    <row r="130" spans="1:133" ht="12" customHeight="1" x14ac:dyDescent="0.2">
      <c r="A130" t="s">
        <v>2937</v>
      </c>
      <c r="B130" t="s">
        <v>2946</v>
      </c>
      <c r="C130" t="str">
        <f t="shared" si="3"/>
        <v>Full</v>
      </c>
      <c r="E130" s="65">
        <v>2566</v>
      </c>
      <c r="F130" t="s">
        <v>1556</v>
      </c>
      <c r="G130" s="71" t="s">
        <v>3942</v>
      </c>
      <c r="H130" s="67">
        <v>3.4000001847744002E-2</v>
      </c>
      <c r="I130" s="65">
        <v>527216</v>
      </c>
      <c r="J130" s="65">
        <v>175354</v>
      </c>
      <c r="L130" s="65" t="s">
        <v>1557</v>
      </c>
      <c r="M130" s="65" t="s">
        <v>27</v>
      </c>
      <c r="N130" s="69">
        <v>43042</v>
      </c>
      <c r="O130" s="69">
        <v>43147</v>
      </c>
      <c r="P130" s="65" t="s">
        <v>126</v>
      </c>
      <c r="R130" s="65" t="s">
        <v>28</v>
      </c>
      <c r="U130" t="s">
        <v>1558</v>
      </c>
      <c r="V130" t="s">
        <v>3117</v>
      </c>
      <c r="W130" s="65" t="s">
        <v>34</v>
      </c>
      <c r="X130" s="65" t="s">
        <v>29</v>
      </c>
      <c r="Y130" s="65" t="s">
        <v>69</v>
      </c>
      <c r="AD130" s="65" t="s">
        <v>23</v>
      </c>
      <c r="AE130" s="65" t="s">
        <v>24</v>
      </c>
      <c r="AW130" s="73">
        <v>161</v>
      </c>
      <c r="AY130" s="73">
        <v>161</v>
      </c>
      <c r="BO130" s="185" t="s">
        <v>3794</v>
      </c>
      <c r="BP130" s="185" t="s">
        <v>3794</v>
      </c>
      <c r="BQ130" s="185" t="s">
        <v>126</v>
      </c>
      <c r="BW130" s="73"/>
      <c r="BY130" s="185" t="s">
        <v>3794</v>
      </c>
      <c r="CG130" s="73">
        <v>161</v>
      </c>
      <c r="CI130" s="73">
        <v>161</v>
      </c>
      <c r="CJ130" t="s">
        <v>25</v>
      </c>
      <c r="CK130" t="s">
        <v>25</v>
      </c>
      <c r="CL130" t="s">
        <v>25</v>
      </c>
      <c r="CM130" t="s">
        <v>25</v>
      </c>
      <c r="CN130" t="s">
        <v>25</v>
      </c>
      <c r="CO130" t="s">
        <v>25</v>
      </c>
      <c r="CP130" t="s">
        <v>25</v>
      </c>
      <c r="CQ130" t="s">
        <v>25</v>
      </c>
      <c r="CR130" t="s">
        <v>25</v>
      </c>
      <c r="CS130" t="s">
        <v>25</v>
      </c>
      <c r="CT130" t="s">
        <v>25</v>
      </c>
      <c r="CU130" t="s">
        <v>49</v>
      </c>
      <c r="CV130" t="s">
        <v>25</v>
      </c>
      <c r="CW130" t="s">
        <v>25</v>
      </c>
      <c r="CX130" t="s">
        <v>25</v>
      </c>
      <c r="CY130" t="s">
        <v>25</v>
      </c>
      <c r="CZ130" t="s">
        <v>25</v>
      </c>
      <c r="DA130" t="s">
        <v>25</v>
      </c>
      <c r="DB130" t="s">
        <v>25</v>
      </c>
      <c r="DC130" t="s">
        <v>25</v>
      </c>
      <c r="DD130" t="s">
        <v>25</v>
      </c>
      <c r="DE130" t="s">
        <v>25</v>
      </c>
      <c r="DF130" t="s">
        <v>25</v>
      </c>
      <c r="DG130" t="s">
        <v>25</v>
      </c>
      <c r="DH130" t="s">
        <v>25</v>
      </c>
      <c r="DI130" t="s">
        <v>25</v>
      </c>
      <c r="DJ130" s="76">
        <v>2.7000001631677161E-2</v>
      </c>
      <c r="DK130" s="73">
        <v>161</v>
      </c>
      <c r="DL130" s="73">
        <v>121</v>
      </c>
      <c r="DM130" s="73">
        <v>40</v>
      </c>
      <c r="DU130"/>
      <c r="DV130" s="65" t="s">
        <v>126</v>
      </c>
      <c r="DW130" t="s">
        <v>132</v>
      </c>
      <c r="DZ130" s="73">
        <v>122</v>
      </c>
      <c r="EA130" s="73">
        <v>0</v>
      </c>
      <c r="EB130" s="73">
        <v>122</v>
      </c>
      <c r="EC130" s="65" t="s">
        <v>126</v>
      </c>
    </row>
    <row r="131" spans="1:133" ht="12" customHeight="1" x14ac:dyDescent="0.2">
      <c r="A131" t="s">
        <v>2937</v>
      </c>
      <c r="B131" t="s">
        <v>2946</v>
      </c>
      <c r="C131" t="str">
        <f t="shared" ref="C131:C194" si="8">RIGHT(B131,LEN(B131)-3)</f>
        <v>Full</v>
      </c>
      <c r="E131" s="65">
        <v>2634</v>
      </c>
      <c r="F131" t="s">
        <v>1559</v>
      </c>
      <c r="G131" s="71" t="s">
        <v>3944</v>
      </c>
      <c r="H131" s="67">
        <v>1.60000007599592E-2</v>
      </c>
      <c r="I131" s="65">
        <v>525348</v>
      </c>
      <c r="J131" s="65">
        <v>174690</v>
      </c>
      <c r="L131" s="65" t="s">
        <v>1560</v>
      </c>
      <c r="M131" s="65" t="s">
        <v>27</v>
      </c>
      <c r="N131" s="69">
        <v>43108</v>
      </c>
      <c r="O131" s="69">
        <v>43182</v>
      </c>
      <c r="P131" s="65" t="s">
        <v>126</v>
      </c>
      <c r="R131" s="65" t="s">
        <v>28</v>
      </c>
      <c r="U131" t="s">
        <v>1561</v>
      </c>
      <c r="V131" t="s">
        <v>3118</v>
      </c>
      <c r="W131" s="65" t="s">
        <v>29</v>
      </c>
      <c r="X131" s="65" t="s">
        <v>29</v>
      </c>
      <c r="Y131" s="65" t="s">
        <v>69</v>
      </c>
      <c r="AD131" s="65" t="s">
        <v>23</v>
      </c>
      <c r="AE131" s="65" t="s">
        <v>24</v>
      </c>
      <c r="AJ131" s="73">
        <v>13</v>
      </c>
      <c r="AK131" s="73">
        <v>13</v>
      </c>
      <c r="AL131" s="73">
        <v>13</v>
      </c>
      <c r="AM131" s="73">
        <v>13</v>
      </c>
      <c r="AN131" s="73">
        <v>14</v>
      </c>
      <c r="AO131" s="73">
        <v>66</v>
      </c>
      <c r="AX131" s="73">
        <v>14</v>
      </c>
      <c r="AY131" s="73">
        <v>14</v>
      </c>
      <c r="BB131" s="73">
        <v>198</v>
      </c>
      <c r="BE131" s="73">
        <v>198</v>
      </c>
      <c r="BO131" s="185" t="s">
        <v>126</v>
      </c>
      <c r="BP131" s="185" t="s">
        <v>3794</v>
      </c>
      <c r="BQ131" s="185" t="s">
        <v>126</v>
      </c>
      <c r="BR131" s="73">
        <v>13</v>
      </c>
      <c r="BS131" s="73">
        <v>13</v>
      </c>
      <c r="BT131" s="73">
        <v>-185</v>
      </c>
      <c r="BU131" s="73">
        <v>13</v>
      </c>
      <c r="BV131" s="73">
        <v>14</v>
      </c>
      <c r="BW131" s="73">
        <v>-132</v>
      </c>
      <c r="BY131" s="185" t="s">
        <v>3794</v>
      </c>
      <c r="CH131" s="73">
        <v>14</v>
      </c>
      <c r="CI131" s="73">
        <v>14</v>
      </c>
      <c r="CJ131" t="s">
        <v>31</v>
      </c>
      <c r="CK131" t="s">
        <v>31</v>
      </c>
      <c r="CL131" t="s">
        <v>31</v>
      </c>
      <c r="CM131" t="s">
        <v>31</v>
      </c>
      <c r="CN131" t="s">
        <v>31</v>
      </c>
      <c r="CO131" t="s">
        <v>25</v>
      </c>
      <c r="CP131" t="s">
        <v>25</v>
      </c>
      <c r="CQ131" t="s">
        <v>25</v>
      </c>
      <c r="CR131" t="s">
        <v>25</v>
      </c>
      <c r="CS131" t="s">
        <v>25</v>
      </c>
      <c r="CT131" t="s">
        <v>25</v>
      </c>
      <c r="CU131" t="s">
        <v>25</v>
      </c>
      <c r="CV131" t="s">
        <v>31</v>
      </c>
      <c r="CW131" t="s">
        <v>25</v>
      </c>
      <c r="CX131" t="s">
        <v>25</v>
      </c>
      <c r="CY131" t="s">
        <v>50</v>
      </c>
      <c r="CZ131" t="s">
        <v>25</v>
      </c>
      <c r="DA131" t="s">
        <v>25</v>
      </c>
      <c r="DB131" t="s">
        <v>25</v>
      </c>
      <c r="DC131" t="s">
        <v>25</v>
      </c>
      <c r="DD131" t="s">
        <v>25</v>
      </c>
      <c r="DE131" t="s">
        <v>25</v>
      </c>
      <c r="DF131" t="s">
        <v>25</v>
      </c>
      <c r="DG131" t="s">
        <v>25</v>
      </c>
      <c r="DH131" t="s">
        <v>25</v>
      </c>
      <c r="DI131" t="s">
        <v>25</v>
      </c>
      <c r="DJ131" s="76">
        <v>2.0000003278254994E-3</v>
      </c>
      <c r="DK131" s="73">
        <v>80</v>
      </c>
      <c r="DL131" s="73">
        <v>198</v>
      </c>
      <c r="DM131" s="73">
        <v>-118</v>
      </c>
      <c r="DU131"/>
      <c r="DV131" s="65" t="s">
        <v>126</v>
      </c>
      <c r="DW131" t="s">
        <v>151</v>
      </c>
      <c r="DZ131" s="73">
        <v>609</v>
      </c>
      <c r="EA131" s="73">
        <v>73</v>
      </c>
      <c r="EB131" s="73">
        <v>536</v>
      </c>
      <c r="EC131" s="65" t="s">
        <v>126</v>
      </c>
    </row>
    <row r="132" spans="1:133" ht="12" customHeight="1" x14ac:dyDescent="0.2">
      <c r="A132" t="s">
        <v>2935</v>
      </c>
      <c r="B132" t="s">
        <v>2946</v>
      </c>
      <c r="C132" t="str">
        <f t="shared" si="8"/>
        <v>Full</v>
      </c>
      <c r="E132" s="65">
        <v>2641</v>
      </c>
      <c r="F132" t="s">
        <v>1562</v>
      </c>
      <c r="G132" s="71" t="s">
        <v>3941</v>
      </c>
      <c r="H132" s="67">
        <v>4.1999999433755902E-2</v>
      </c>
      <c r="I132" s="65">
        <v>527902</v>
      </c>
      <c r="J132" s="65">
        <v>173411</v>
      </c>
      <c r="L132" s="65" t="s">
        <v>184</v>
      </c>
      <c r="M132" s="65" t="s">
        <v>27</v>
      </c>
      <c r="N132" s="69">
        <v>41166</v>
      </c>
      <c r="O132" s="69">
        <v>41262</v>
      </c>
      <c r="R132" s="65" t="s">
        <v>28</v>
      </c>
      <c r="U132" t="s">
        <v>677</v>
      </c>
      <c r="V132" t="s">
        <v>3119</v>
      </c>
      <c r="W132" s="65" t="s">
        <v>29</v>
      </c>
      <c r="X132" s="65" t="s">
        <v>29</v>
      </c>
      <c r="Y132" s="65" t="s">
        <v>30</v>
      </c>
      <c r="AA132" s="69">
        <v>42332</v>
      </c>
      <c r="AD132" s="65" t="s">
        <v>23</v>
      </c>
      <c r="AE132" s="65" t="s">
        <v>24</v>
      </c>
      <c r="AH132" s="69">
        <f t="shared" si="6"/>
        <v>42332</v>
      </c>
      <c r="BO132" s="185" t="s">
        <v>3794</v>
      </c>
      <c r="BP132" s="185" t="s">
        <v>3794</v>
      </c>
      <c r="BQ132" s="185" t="s">
        <v>3794</v>
      </c>
      <c r="BW132" s="73"/>
      <c r="BY132" s="185" t="s">
        <v>3794</v>
      </c>
      <c r="CJ132" t="s">
        <v>25</v>
      </c>
      <c r="CK132" t="s">
        <v>25</v>
      </c>
      <c r="CL132" t="s">
        <v>25</v>
      </c>
      <c r="CM132" t="s">
        <v>25</v>
      </c>
      <c r="CN132" t="s">
        <v>25</v>
      </c>
      <c r="CO132" t="s">
        <v>25</v>
      </c>
      <c r="CP132" t="s">
        <v>25</v>
      </c>
      <c r="CQ132" t="s">
        <v>25</v>
      </c>
      <c r="CR132" t="s">
        <v>25</v>
      </c>
      <c r="CS132" t="s">
        <v>25</v>
      </c>
      <c r="CT132" t="s">
        <v>25</v>
      </c>
      <c r="CU132" t="s">
        <v>25</v>
      </c>
      <c r="CV132" t="s">
        <v>25</v>
      </c>
      <c r="CW132" t="s">
        <v>25</v>
      </c>
      <c r="CX132" t="s">
        <v>25</v>
      </c>
      <c r="CY132" t="s">
        <v>25</v>
      </c>
      <c r="CZ132" t="s">
        <v>25</v>
      </c>
      <c r="DA132" t="s">
        <v>25</v>
      </c>
      <c r="DB132" t="s">
        <v>25</v>
      </c>
      <c r="DC132" t="s">
        <v>25</v>
      </c>
      <c r="DD132" t="s">
        <v>25</v>
      </c>
      <c r="DE132" t="s">
        <v>25</v>
      </c>
      <c r="DF132" t="s">
        <v>25</v>
      </c>
      <c r="DG132" t="s">
        <v>25</v>
      </c>
      <c r="DH132" t="s">
        <v>25</v>
      </c>
      <c r="DI132" t="s">
        <v>25</v>
      </c>
      <c r="DJ132" s="76">
        <v>0</v>
      </c>
      <c r="DK132" s="73">
        <v>0</v>
      </c>
      <c r="DL132" s="73">
        <v>69</v>
      </c>
      <c r="DM132" s="73">
        <v>-69</v>
      </c>
      <c r="DU132"/>
      <c r="DZ132" s="73">
        <v>364</v>
      </c>
      <c r="EA132" s="73">
        <v>0</v>
      </c>
      <c r="EB132" s="73">
        <v>364</v>
      </c>
      <c r="EC132" s="65" t="s">
        <v>126</v>
      </c>
    </row>
    <row r="133" spans="1:133" ht="12" customHeight="1" x14ac:dyDescent="0.2">
      <c r="A133" t="s">
        <v>2937</v>
      </c>
      <c r="B133" t="s">
        <v>2946</v>
      </c>
      <c r="C133" t="str">
        <f t="shared" si="8"/>
        <v>Full</v>
      </c>
      <c r="E133" s="65">
        <v>2661</v>
      </c>
      <c r="F133" t="s">
        <v>1563</v>
      </c>
      <c r="G133" s="71" t="s">
        <v>3947</v>
      </c>
      <c r="H133" s="67">
        <v>2.1440000534057599</v>
      </c>
      <c r="I133" s="65">
        <v>528917</v>
      </c>
      <c r="J133" s="65">
        <v>177126</v>
      </c>
      <c r="K133" s="65" t="s">
        <v>1564</v>
      </c>
      <c r="L133" s="65" t="s">
        <v>1192</v>
      </c>
      <c r="M133" s="65" t="s">
        <v>27</v>
      </c>
      <c r="N133" s="69">
        <v>42723</v>
      </c>
      <c r="O133" s="69">
        <v>42776</v>
      </c>
      <c r="R133" s="65" t="s">
        <v>28</v>
      </c>
      <c r="U133" t="s">
        <v>1193</v>
      </c>
      <c r="V133" t="s">
        <v>3120</v>
      </c>
      <c r="W133" s="65" t="s">
        <v>34</v>
      </c>
      <c r="X133" s="65" t="s">
        <v>29</v>
      </c>
      <c r="Y133" s="65" t="s">
        <v>59</v>
      </c>
      <c r="AD133" s="65" t="s">
        <v>23</v>
      </c>
      <c r="AE133" s="65" t="s">
        <v>24</v>
      </c>
      <c r="AU133" s="73">
        <v>182</v>
      </c>
      <c r="AV133" s="73">
        <v>182</v>
      </c>
      <c r="BB133" s="73">
        <v>91</v>
      </c>
      <c r="BE133" s="73">
        <v>91</v>
      </c>
      <c r="BF133" s="73">
        <v>177</v>
      </c>
      <c r="BK133" s="73">
        <v>177</v>
      </c>
      <c r="BO133" s="185" t="s">
        <v>126</v>
      </c>
      <c r="BP133" s="185" t="s">
        <v>126</v>
      </c>
      <c r="BQ133" s="185" t="s">
        <v>3794</v>
      </c>
      <c r="BT133" s="73">
        <v>-91</v>
      </c>
      <c r="BW133" s="73">
        <v>-91</v>
      </c>
      <c r="BX133" s="73">
        <v>-177</v>
      </c>
      <c r="BY133" s="185" t="s">
        <v>126</v>
      </c>
      <c r="CC133" s="73">
        <v>182</v>
      </c>
      <c r="CD133" s="73">
        <v>5</v>
      </c>
      <c r="CJ133" t="s">
        <v>25</v>
      </c>
      <c r="CK133" t="s">
        <v>25</v>
      </c>
      <c r="CL133" t="s">
        <v>25</v>
      </c>
      <c r="CM133" t="s">
        <v>25</v>
      </c>
      <c r="CN133" t="s">
        <v>25</v>
      </c>
      <c r="CO133" t="s">
        <v>25</v>
      </c>
      <c r="CP133" t="s">
        <v>25</v>
      </c>
      <c r="CQ133" t="s">
        <v>25</v>
      </c>
      <c r="CR133" t="s">
        <v>25</v>
      </c>
      <c r="CS133" t="s">
        <v>53</v>
      </c>
      <c r="CT133" t="s">
        <v>25</v>
      </c>
      <c r="CU133" t="s">
        <v>25</v>
      </c>
      <c r="CV133" t="s">
        <v>25</v>
      </c>
      <c r="CW133" t="s">
        <v>25</v>
      </c>
      <c r="CX133" t="s">
        <v>25</v>
      </c>
      <c r="CY133" t="s">
        <v>50</v>
      </c>
      <c r="CZ133" t="s">
        <v>25</v>
      </c>
      <c r="DA133" t="s">
        <v>25</v>
      </c>
      <c r="DB133" t="s">
        <v>49</v>
      </c>
      <c r="DC133" t="s">
        <v>25</v>
      </c>
      <c r="DD133" t="s">
        <v>25</v>
      </c>
      <c r="DE133" t="s">
        <v>25</v>
      </c>
      <c r="DF133" t="s">
        <v>25</v>
      </c>
      <c r="DG133" t="s">
        <v>25</v>
      </c>
      <c r="DH133" t="s">
        <v>25</v>
      </c>
      <c r="DI133" t="s">
        <v>25</v>
      </c>
      <c r="DJ133" s="76">
        <v>2.1440000534057599</v>
      </c>
      <c r="DK133" s="73">
        <v>359</v>
      </c>
      <c r="DL133" s="73">
        <v>445</v>
      </c>
      <c r="DM133" s="73">
        <v>-86</v>
      </c>
      <c r="DN133" s="65" t="s">
        <v>126</v>
      </c>
      <c r="DU133" s="65" t="s">
        <v>126</v>
      </c>
      <c r="DZ133" s="73">
        <v>0</v>
      </c>
      <c r="EA133" s="73">
        <v>0</v>
      </c>
      <c r="EB133" s="73">
        <v>0</v>
      </c>
    </row>
    <row r="134" spans="1:133" ht="12" customHeight="1" x14ac:dyDescent="0.2">
      <c r="A134" t="s">
        <v>2937</v>
      </c>
      <c r="B134" t="s">
        <v>2948</v>
      </c>
      <c r="C134" t="str">
        <f t="shared" si="8"/>
        <v>Prior Approval</v>
      </c>
      <c r="E134" s="65">
        <v>2667</v>
      </c>
      <c r="F134" t="s">
        <v>1565</v>
      </c>
      <c r="G134" s="71" t="s">
        <v>149</v>
      </c>
      <c r="H134" s="67">
        <v>2.9999999329447701E-2</v>
      </c>
      <c r="I134" s="65">
        <v>528661</v>
      </c>
      <c r="J134" s="65">
        <v>173289</v>
      </c>
      <c r="L134" s="65" t="s">
        <v>957</v>
      </c>
      <c r="M134" s="65" t="s">
        <v>243</v>
      </c>
      <c r="N134" s="69">
        <v>42541</v>
      </c>
      <c r="O134" s="69">
        <v>42597</v>
      </c>
      <c r="R134" s="65" t="s">
        <v>28</v>
      </c>
      <c r="U134" t="s">
        <v>958</v>
      </c>
      <c r="V134" t="s">
        <v>3121</v>
      </c>
      <c r="W134" s="65" t="s">
        <v>21</v>
      </c>
      <c r="X134" s="65" t="s">
        <v>21</v>
      </c>
      <c r="Y134" s="65" t="s">
        <v>69</v>
      </c>
      <c r="AD134" s="65" t="s">
        <v>23</v>
      </c>
      <c r="AE134" s="65" t="s">
        <v>24</v>
      </c>
      <c r="AL134" s="73">
        <v>150</v>
      </c>
      <c r="AO134" s="73">
        <v>150</v>
      </c>
      <c r="AZ134" s="73">
        <v>150</v>
      </c>
      <c r="BE134" s="73">
        <v>150</v>
      </c>
      <c r="BO134" s="185" t="s">
        <v>126</v>
      </c>
      <c r="BP134" s="185" t="s">
        <v>3794</v>
      </c>
      <c r="BQ134" s="185" t="s">
        <v>3794</v>
      </c>
      <c r="BR134" s="73">
        <v>-150</v>
      </c>
      <c r="BT134" s="73">
        <v>150</v>
      </c>
      <c r="BW134" s="73"/>
      <c r="BY134" s="185" t="s">
        <v>3794</v>
      </c>
      <c r="CJ134" t="s">
        <v>25</v>
      </c>
      <c r="CK134" t="s">
        <v>25</v>
      </c>
      <c r="CL134" t="s">
        <v>50</v>
      </c>
      <c r="CM134" t="s">
        <v>25</v>
      </c>
      <c r="CN134" t="s">
        <v>25</v>
      </c>
      <c r="CO134" t="s">
        <v>25</v>
      </c>
      <c r="CP134" t="s">
        <v>25</v>
      </c>
      <c r="CQ134" t="s">
        <v>25</v>
      </c>
      <c r="CR134" t="s">
        <v>25</v>
      </c>
      <c r="CS134" t="s">
        <v>25</v>
      </c>
      <c r="CT134" t="s">
        <v>25</v>
      </c>
      <c r="CU134" t="s">
        <v>25</v>
      </c>
      <c r="CV134" t="s">
        <v>25</v>
      </c>
      <c r="CW134" t="s">
        <v>40</v>
      </c>
      <c r="CX134" t="s">
        <v>25</v>
      </c>
      <c r="CY134" t="s">
        <v>25</v>
      </c>
      <c r="CZ134" t="s">
        <v>25</v>
      </c>
      <c r="DA134" t="s">
        <v>25</v>
      </c>
      <c r="DB134" t="s">
        <v>25</v>
      </c>
      <c r="DC134" t="s">
        <v>25</v>
      </c>
      <c r="DD134" t="s">
        <v>25</v>
      </c>
      <c r="DE134" t="s">
        <v>25</v>
      </c>
      <c r="DF134" t="s">
        <v>25</v>
      </c>
      <c r="DG134" t="s">
        <v>25</v>
      </c>
      <c r="DH134" t="s">
        <v>25</v>
      </c>
      <c r="DI134" t="s">
        <v>25</v>
      </c>
      <c r="DJ134" s="76">
        <v>2.9999999329447701E-2</v>
      </c>
      <c r="DK134" s="73">
        <v>150</v>
      </c>
      <c r="DL134" s="73">
        <v>150</v>
      </c>
      <c r="DM134" s="73">
        <v>0</v>
      </c>
      <c r="DU134"/>
      <c r="DV134" s="65" t="s">
        <v>126</v>
      </c>
      <c r="DW134" t="s">
        <v>149</v>
      </c>
      <c r="DZ134" s="73">
        <v>0</v>
      </c>
      <c r="EA134" s="73">
        <v>0</v>
      </c>
      <c r="EB134" s="73">
        <v>0</v>
      </c>
    </row>
    <row r="135" spans="1:133" ht="12" customHeight="1" x14ac:dyDescent="0.2">
      <c r="A135" t="s">
        <v>2938</v>
      </c>
      <c r="B135" t="s">
        <v>2946</v>
      </c>
      <c r="C135" t="str">
        <f t="shared" si="8"/>
        <v>Full</v>
      </c>
      <c r="E135" s="65">
        <v>2681</v>
      </c>
      <c r="F135" t="s">
        <v>1569</v>
      </c>
      <c r="G135" s="71" t="s">
        <v>3944</v>
      </c>
      <c r="H135" s="67">
        <v>8.0000003799796104E-3</v>
      </c>
      <c r="I135" s="65">
        <v>526030</v>
      </c>
      <c r="J135" s="65">
        <v>174684</v>
      </c>
      <c r="L135" s="65" t="s">
        <v>1570</v>
      </c>
      <c r="M135" s="65" t="s">
        <v>172</v>
      </c>
      <c r="N135" s="69">
        <v>43119</v>
      </c>
      <c r="R135" s="65" t="s">
        <v>28</v>
      </c>
      <c r="U135" t="s">
        <v>1571</v>
      </c>
      <c r="V135" t="s">
        <v>3122</v>
      </c>
      <c r="W135" s="65" t="s">
        <v>21</v>
      </c>
      <c r="X135" s="65" t="s">
        <v>21</v>
      </c>
      <c r="Y135" s="65" t="s">
        <v>69</v>
      </c>
      <c r="AD135" s="65" t="s">
        <v>173</v>
      </c>
      <c r="AE135" s="65" t="s">
        <v>24</v>
      </c>
      <c r="AJ135" s="73">
        <v>25</v>
      </c>
      <c r="AL135" s="73">
        <v>28</v>
      </c>
      <c r="AO135" s="73">
        <v>53</v>
      </c>
      <c r="BB135" s="73">
        <v>97</v>
      </c>
      <c r="BE135" s="73">
        <v>97</v>
      </c>
      <c r="BO135" s="185" t="s">
        <v>126</v>
      </c>
      <c r="BP135" s="185" t="s">
        <v>3794</v>
      </c>
      <c r="BQ135" s="185" t="s">
        <v>3794</v>
      </c>
      <c r="BR135" s="73">
        <v>25</v>
      </c>
      <c r="BT135" s="73">
        <v>-69</v>
      </c>
      <c r="BW135" s="73">
        <v>-44</v>
      </c>
      <c r="BY135" s="185" t="s">
        <v>3794</v>
      </c>
      <c r="CJ135" t="s">
        <v>31</v>
      </c>
      <c r="CK135" t="s">
        <v>25</v>
      </c>
      <c r="CL135" t="s">
        <v>31</v>
      </c>
      <c r="CM135" t="s">
        <v>25</v>
      </c>
      <c r="CN135" t="s">
        <v>25</v>
      </c>
      <c r="CO135" t="s">
        <v>25</v>
      </c>
      <c r="CP135" t="s">
        <v>25</v>
      </c>
      <c r="CQ135" t="s">
        <v>25</v>
      </c>
      <c r="CR135" t="s">
        <v>25</v>
      </c>
      <c r="CS135" t="s">
        <v>25</v>
      </c>
      <c r="CT135" t="s">
        <v>25</v>
      </c>
      <c r="CU135" t="s">
        <v>25</v>
      </c>
      <c r="CV135" t="s">
        <v>25</v>
      </c>
      <c r="CW135" t="s">
        <v>25</v>
      </c>
      <c r="CX135" t="s">
        <v>25</v>
      </c>
      <c r="CY135" t="s">
        <v>38</v>
      </c>
      <c r="CZ135" t="s">
        <v>25</v>
      </c>
      <c r="DA135" t="s">
        <v>25</v>
      </c>
      <c r="DB135" t="s">
        <v>25</v>
      </c>
      <c r="DC135" t="s">
        <v>25</v>
      </c>
      <c r="DD135" t="s">
        <v>25</v>
      </c>
      <c r="DE135" t="s">
        <v>25</v>
      </c>
      <c r="DF135" t="s">
        <v>25</v>
      </c>
      <c r="DG135" t="s">
        <v>25</v>
      </c>
      <c r="DH135" t="s">
        <v>25</v>
      </c>
      <c r="DI135" t="s">
        <v>25</v>
      </c>
      <c r="DJ135" s="76">
        <v>4.0000001899898E-3</v>
      </c>
      <c r="DK135" s="73">
        <v>53</v>
      </c>
      <c r="DL135" s="73">
        <v>97</v>
      </c>
      <c r="DM135" s="73">
        <v>-44</v>
      </c>
      <c r="DU135"/>
      <c r="DZ135" s="73">
        <v>44</v>
      </c>
      <c r="EA135" s="73">
        <v>0</v>
      </c>
      <c r="EB135" s="73">
        <v>44</v>
      </c>
      <c r="EC135" s="65" t="s">
        <v>126</v>
      </c>
    </row>
    <row r="136" spans="1:133" ht="12" customHeight="1" x14ac:dyDescent="0.2">
      <c r="A136" t="s">
        <v>2935</v>
      </c>
      <c r="B136" t="s">
        <v>2946</v>
      </c>
      <c r="C136" t="str">
        <f t="shared" si="8"/>
        <v>Full</v>
      </c>
      <c r="E136" s="65">
        <v>2682</v>
      </c>
      <c r="F136" t="s">
        <v>1572</v>
      </c>
      <c r="G136" s="71" t="s">
        <v>3946</v>
      </c>
      <c r="H136" s="67">
        <v>0.16599999368190799</v>
      </c>
      <c r="I136" s="65">
        <v>523769</v>
      </c>
      <c r="J136" s="65">
        <v>175918</v>
      </c>
      <c r="L136" s="65" t="s">
        <v>602</v>
      </c>
      <c r="M136" s="65" t="s">
        <v>27</v>
      </c>
      <c r="N136" s="69">
        <v>42408</v>
      </c>
      <c r="O136" s="69">
        <v>42481</v>
      </c>
      <c r="R136" s="65" t="s">
        <v>28</v>
      </c>
      <c r="U136" t="s">
        <v>603</v>
      </c>
      <c r="V136" t="s">
        <v>3123</v>
      </c>
      <c r="W136" s="65" t="s">
        <v>29</v>
      </c>
      <c r="X136" s="65" t="s">
        <v>29</v>
      </c>
      <c r="Y136" s="65" t="s">
        <v>30</v>
      </c>
      <c r="AA136" s="69">
        <v>43190</v>
      </c>
      <c r="AD136" s="65" t="s">
        <v>23</v>
      </c>
      <c r="AE136" s="65" t="s">
        <v>24</v>
      </c>
      <c r="AH136" s="69">
        <f t="shared" si="6"/>
        <v>43190</v>
      </c>
      <c r="AX136" s="73">
        <v>106</v>
      </c>
      <c r="AY136" s="73">
        <v>106</v>
      </c>
      <c r="BO136" s="185" t="s">
        <v>3794</v>
      </c>
      <c r="BP136" s="185" t="s">
        <v>3794</v>
      </c>
      <c r="BQ136" s="185" t="s">
        <v>126</v>
      </c>
      <c r="BW136" s="73"/>
      <c r="BY136" s="185" t="s">
        <v>3794</v>
      </c>
      <c r="CH136" s="73">
        <v>106</v>
      </c>
      <c r="CI136" s="73">
        <v>106</v>
      </c>
      <c r="CJ136" t="s">
        <v>25</v>
      </c>
      <c r="CK136" t="s">
        <v>25</v>
      </c>
      <c r="CL136" t="s">
        <v>25</v>
      </c>
      <c r="CM136" t="s">
        <v>25</v>
      </c>
      <c r="CN136" t="s">
        <v>25</v>
      </c>
      <c r="CO136" t="s">
        <v>25</v>
      </c>
      <c r="CP136" t="s">
        <v>25</v>
      </c>
      <c r="CQ136" t="s">
        <v>25</v>
      </c>
      <c r="CR136" t="s">
        <v>25</v>
      </c>
      <c r="CS136" t="s">
        <v>25</v>
      </c>
      <c r="CT136" t="s">
        <v>25</v>
      </c>
      <c r="CU136" t="s">
        <v>25</v>
      </c>
      <c r="CV136" t="s">
        <v>49</v>
      </c>
      <c r="CW136" t="s">
        <v>25</v>
      </c>
      <c r="CX136" t="s">
        <v>25</v>
      </c>
      <c r="CY136" t="s">
        <v>25</v>
      </c>
      <c r="CZ136" t="s">
        <v>25</v>
      </c>
      <c r="DA136" t="s">
        <v>25</v>
      </c>
      <c r="DB136" t="s">
        <v>25</v>
      </c>
      <c r="DC136" t="s">
        <v>25</v>
      </c>
      <c r="DD136" t="s">
        <v>25</v>
      </c>
      <c r="DE136" t="s">
        <v>25</v>
      </c>
      <c r="DF136" t="s">
        <v>25</v>
      </c>
      <c r="DG136" t="s">
        <v>25</v>
      </c>
      <c r="DH136" t="s">
        <v>25</v>
      </c>
      <c r="DI136" t="s">
        <v>25</v>
      </c>
      <c r="DJ136" s="76">
        <v>0.16599999368190799</v>
      </c>
      <c r="DK136" s="73">
        <v>106</v>
      </c>
      <c r="DL136" s="73">
        <v>0</v>
      </c>
      <c r="DM136" s="73">
        <v>106</v>
      </c>
      <c r="DN136" s="65" t="s">
        <v>126</v>
      </c>
      <c r="DU136"/>
      <c r="DZ136" s="73">
        <v>0</v>
      </c>
      <c r="EA136" s="73">
        <v>0</v>
      </c>
      <c r="EB136" s="73">
        <v>0</v>
      </c>
    </row>
    <row r="137" spans="1:133" ht="12" customHeight="1" x14ac:dyDescent="0.2">
      <c r="A137" t="s">
        <v>2936</v>
      </c>
      <c r="B137" t="s">
        <v>2949</v>
      </c>
      <c r="C137" t="str">
        <f t="shared" si="8"/>
        <v>Certificate of Lawful Development</v>
      </c>
      <c r="D137" t="s">
        <v>2943</v>
      </c>
      <c r="E137" s="65">
        <v>2698</v>
      </c>
      <c r="F137" t="s">
        <v>1573</v>
      </c>
      <c r="G137" s="71" t="s">
        <v>3947</v>
      </c>
      <c r="H137" s="67">
        <v>0.122000001370907</v>
      </c>
      <c r="I137" s="65">
        <v>528840</v>
      </c>
      <c r="J137" s="65">
        <v>176651</v>
      </c>
      <c r="L137" s="65" t="s">
        <v>1574</v>
      </c>
      <c r="M137" s="65" t="s">
        <v>430</v>
      </c>
      <c r="N137" s="69">
        <v>42859</v>
      </c>
      <c r="O137" s="69">
        <v>42922</v>
      </c>
      <c r="P137" s="65" t="s">
        <v>126</v>
      </c>
      <c r="R137" s="65" t="s">
        <v>28</v>
      </c>
      <c r="U137" t="s">
        <v>1575</v>
      </c>
      <c r="V137" t="s">
        <v>3124</v>
      </c>
      <c r="W137" s="65" t="s">
        <v>21</v>
      </c>
      <c r="X137" s="65" t="s">
        <v>21</v>
      </c>
      <c r="Y137" s="65" t="s">
        <v>35</v>
      </c>
      <c r="AA137" s="69">
        <v>42557</v>
      </c>
      <c r="AB137" s="69">
        <v>42922</v>
      </c>
      <c r="AC137" s="69">
        <v>42922</v>
      </c>
      <c r="AD137" s="65" t="s">
        <v>23</v>
      </c>
      <c r="AE137" s="65" t="s">
        <v>24</v>
      </c>
      <c r="AH137" s="69">
        <f t="shared" si="6"/>
        <v>42557</v>
      </c>
      <c r="AI137" s="69">
        <f t="shared" si="7"/>
        <v>42922</v>
      </c>
      <c r="AP137" s="73">
        <v>894</v>
      </c>
      <c r="AS137" s="73">
        <v>894</v>
      </c>
      <c r="AV137" s="73">
        <v>894</v>
      </c>
      <c r="BH137" s="73">
        <v>894</v>
      </c>
      <c r="BK137" s="73">
        <v>894</v>
      </c>
      <c r="BO137" s="185" t="s">
        <v>3794</v>
      </c>
      <c r="BP137" s="185" t="s">
        <v>126</v>
      </c>
      <c r="BQ137" s="185" t="s">
        <v>3794</v>
      </c>
      <c r="BW137" s="73"/>
      <c r="BX137" s="73">
        <v>894</v>
      </c>
      <c r="BY137" s="185" t="s">
        <v>3794</v>
      </c>
      <c r="CA137" s="73">
        <v>-894</v>
      </c>
      <c r="CJ137" t="s">
        <v>25</v>
      </c>
      <c r="CK137" t="s">
        <v>25</v>
      </c>
      <c r="CL137" t="s">
        <v>25</v>
      </c>
      <c r="CM137" t="s">
        <v>25</v>
      </c>
      <c r="CN137" t="s">
        <v>25</v>
      </c>
      <c r="CO137" t="s">
        <v>49</v>
      </c>
      <c r="CP137" t="s">
        <v>25</v>
      </c>
      <c r="CQ137" t="s">
        <v>25</v>
      </c>
      <c r="CR137" t="s">
        <v>25</v>
      </c>
      <c r="CS137" t="s">
        <v>25</v>
      </c>
      <c r="CT137" t="s">
        <v>25</v>
      </c>
      <c r="CU137" t="s">
        <v>25</v>
      </c>
      <c r="CV137" t="s">
        <v>25</v>
      </c>
      <c r="CW137" t="s">
        <v>25</v>
      </c>
      <c r="CX137" t="s">
        <v>25</v>
      </c>
      <c r="CY137" t="s">
        <v>25</v>
      </c>
      <c r="CZ137" t="s">
        <v>25</v>
      </c>
      <c r="DA137" t="s">
        <v>25</v>
      </c>
      <c r="DB137" t="s">
        <v>25</v>
      </c>
      <c r="DC137" t="s">
        <v>25</v>
      </c>
      <c r="DD137" t="s">
        <v>49</v>
      </c>
      <c r="DE137" t="s">
        <v>25</v>
      </c>
      <c r="DF137" t="s">
        <v>25</v>
      </c>
      <c r="DG137" t="s">
        <v>25</v>
      </c>
      <c r="DH137" t="s">
        <v>25</v>
      </c>
      <c r="DI137" t="s">
        <v>25</v>
      </c>
      <c r="DJ137" s="76">
        <v>0.122000001370907</v>
      </c>
      <c r="DK137" s="73">
        <v>894</v>
      </c>
      <c r="DL137" s="73">
        <v>894</v>
      </c>
      <c r="DM137" s="73">
        <v>0</v>
      </c>
      <c r="DO137" s="65" t="s">
        <v>126</v>
      </c>
      <c r="DP137" t="s">
        <v>74</v>
      </c>
      <c r="DU137" s="65" t="s">
        <v>126</v>
      </c>
      <c r="DZ137" s="73">
        <v>0</v>
      </c>
      <c r="EA137" s="73">
        <v>0</v>
      </c>
      <c r="EB137" s="73">
        <v>0</v>
      </c>
    </row>
    <row r="138" spans="1:133" ht="12" customHeight="1" x14ac:dyDescent="0.2">
      <c r="A138" t="s">
        <v>2935</v>
      </c>
      <c r="B138" t="s">
        <v>2946</v>
      </c>
      <c r="C138" t="str">
        <f t="shared" si="8"/>
        <v>Full</v>
      </c>
      <c r="E138" s="65">
        <v>2698</v>
      </c>
      <c r="F138" t="s">
        <v>1573</v>
      </c>
      <c r="G138" s="71" t="s">
        <v>3947</v>
      </c>
      <c r="H138" s="67">
        <v>0.122000001370907</v>
      </c>
      <c r="I138" s="65">
        <v>528840</v>
      </c>
      <c r="J138" s="65">
        <v>176651</v>
      </c>
      <c r="L138" s="65" t="s">
        <v>1576</v>
      </c>
      <c r="M138" s="65" t="s">
        <v>27</v>
      </c>
      <c r="N138" s="69">
        <v>42902</v>
      </c>
      <c r="O138" s="69">
        <v>43049</v>
      </c>
      <c r="P138" s="65" t="s">
        <v>126</v>
      </c>
      <c r="R138" s="65" t="s">
        <v>28</v>
      </c>
      <c r="U138" t="s">
        <v>1577</v>
      </c>
      <c r="V138" t="s">
        <v>3125</v>
      </c>
      <c r="W138" s="65" t="s">
        <v>39</v>
      </c>
      <c r="X138" s="65" t="s">
        <v>39</v>
      </c>
      <c r="Y138" s="65" t="s">
        <v>30</v>
      </c>
      <c r="AA138" s="69">
        <v>43190</v>
      </c>
      <c r="AD138" s="65" t="s">
        <v>23</v>
      </c>
      <c r="AE138" s="65" t="s">
        <v>24</v>
      </c>
      <c r="AH138" s="69">
        <f t="shared" si="6"/>
        <v>43190</v>
      </c>
      <c r="AP138" s="73">
        <v>1148</v>
      </c>
      <c r="AS138" s="73">
        <v>1148</v>
      </c>
      <c r="AV138" s="73">
        <v>1148</v>
      </c>
      <c r="BO138" s="185" t="s">
        <v>3794</v>
      </c>
      <c r="BP138" s="185" t="s">
        <v>126</v>
      </c>
      <c r="BQ138" s="185" t="s">
        <v>3794</v>
      </c>
      <c r="BW138" s="73"/>
      <c r="BX138" s="73">
        <v>1148</v>
      </c>
      <c r="BY138" s="185" t="s">
        <v>3794</v>
      </c>
      <c r="CD138" s="73">
        <v>1148</v>
      </c>
      <c r="CJ138" t="s">
        <v>25</v>
      </c>
      <c r="CK138" t="s">
        <v>25</v>
      </c>
      <c r="CL138" t="s">
        <v>25</v>
      </c>
      <c r="CM138" t="s">
        <v>25</v>
      </c>
      <c r="CN138" t="s">
        <v>25</v>
      </c>
      <c r="CO138" t="s">
        <v>31</v>
      </c>
      <c r="CP138" t="s">
        <v>25</v>
      </c>
      <c r="CQ138" t="s">
        <v>25</v>
      </c>
      <c r="CR138" t="s">
        <v>25</v>
      </c>
      <c r="CS138" t="s">
        <v>25</v>
      </c>
      <c r="CT138" t="s">
        <v>25</v>
      </c>
      <c r="CU138" t="s">
        <v>25</v>
      </c>
      <c r="CV138" t="s">
        <v>25</v>
      </c>
      <c r="CW138" t="s">
        <v>25</v>
      </c>
      <c r="CX138" t="s">
        <v>25</v>
      </c>
      <c r="CY138" t="s">
        <v>25</v>
      </c>
      <c r="CZ138" t="s">
        <v>25</v>
      </c>
      <c r="DA138" t="s">
        <v>25</v>
      </c>
      <c r="DB138" t="s">
        <v>25</v>
      </c>
      <c r="DC138" t="s">
        <v>25</v>
      </c>
      <c r="DD138" t="s">
        <v>25</v>
      </c>
      <c r="DE138" t="s">
        <v>25</v>
      </c>
      <c r="DF138" t="s">
        <v>25</v>
      </c>
      <c r="DG138" t="s">
        <v>25</v>
      </c>
      <c r="DH138" t="s">
        <v>25</v>
      </c>
      <c r="DI138" t="s">
        <v>25</v>
      </c>
      <c r="DJ138" s="76">
        <v>0.122000001370907</v>
      </c>
      <c r="DK138" s="73">
        <v>1148</v>
      </c>
      <c r="DL138" s="73">
        <v>0</v>
      </c>
      <c r="DM138" s="73">
        <v>1148</v>
      </c>
      <c r="DO138" s="65" t="s">
        <v>126</v>
      </c>
      <c r="DP138" t="s">
        <v>74</v>
      </c>
      <c r="DU138" s="65" t="s">
        <v>126</v>
      </c>
      <c r="DZ138" s="73">
        <v>0</v>
      </c>
      <c r="EA138" s="73">
        <v>0</v>
      </c>
      <c r="EB138" s="73">
        <v>0</v>
      </c>
    </row>
    <row r="139" spans="1:133" ht="12" customHeight="1" x14ac:dyDescent="0.2">
      <c r="A139" t="s">
        <v>2937</v>
      </c>
      <c r="B139" t="s">
        <v>2946</v>
      </c>
      <c r="C139" t="str">
        <f t="shared" si="8"/>
        <v>Full</v>
      </c>
      <c r="E139" s="65">
        <v>2707</v>
      </c>
      <c r="F139" t="s">
        <v>1578</v>
      </c>
      <c r="G139" s="71" t="s">
        <v>3952</v>
      </c>
      <c r="H139" s="67">
        <v>4.9999998882412902E-3</v>
      </c>
      <c r="I139" s="65">
        <v>528836</v>
      </c>
      <c r="J139" s="65">
        <v>172626</v>
      </c>
      <c r="L139" s="65" t="s">
        <v>671</v>
      </c>
      <c r="M139" s="65" t="s">
        <v>27</v>
      </c>
      <c r="N139" s="69">
        <v>42604</v>
      </c>
      <c r="O139" s="69">
        <v>42660</v>
      </c>
      <c r="R139" s="65" t="s">
        <v>28</v>
      </c>
      <c r="U139" t="s">
        <v>672</v>
      </c>
      <c r="V139" t="s">
        <v>3126</v>
      </c>
      <c r="W139" s="65" t="s">
        <v>29</v>
      </c>
      <c r="X139" s="65" t="s">
        <v>29</v>
      </c>
      <c r="Y139" s="65" t="s">
        <v>69</v>
      </c>
      <c r="AD139" s="65" t="s">
        <v>23</v>
      </c>
      <c r="AE139" s="65" t="s">
        <v>24</v>
      </c>
      <c r="BO139" s="185" t="s">
        <v>3794</v>
      </c>
      <c r="BP139" s="185" t="s">
        <v>3794</v>
      </c>
      <c r="BQ139" s="185" t="s">
        <v>3794</v>
      </c>
      <c r="BW139" s="73"/>
      <c r="BY139" s="185" t="s">
        <v>3794</v>
      </c>
      <c r="CJ139" t="s">
        <v>25</v>
      </c>
      <c r="CK139" t="s">
        <v>25</v>
      </c>
      <c r="CL139" t="s">
        <v>25</v>
      </c>
      <c r="CM139" t="s">
        <v>25</v>
      </c>
      <c r="CN139" t="s">
        <v>25</v>
      </c>
      <c r="CO139" t="s">
        <v>25</v>
      </c>
      <c r="CP139" t="s">
        <v>25</v>
      </c>
      <c r="CQ139" t="s">
        <v>25</v>
      </c>
      <c r="CR139" t="s">
        <v>25</v>
      </c>
      <c r="CS139" t="s">
        <v>25</v>
      </c>
      <c r="CT139" t="s">
        <v>25</v>
      </c>
      <c r="CU139" t="s">
        <v>25</v>
      </c>
      <c r="CV139" t="s">
        <v>25</v>
      </c>
      <c r="CW139" t="s">
        <v>25</v>
      </c>
      <c r="CX139" t="s">
        <v>25</v>
      </c>
      <c r="CY139" t="s">
        <v>25</v>
      </c>
      <c r="CZ139" t="s">
        <v>25</v>
      </c>
      <c r="DA139" t="s">
        <v>25</v>
      </c>
      <c r="DB139" t="s">
        <v>25</v>
      </c>
      <c r="DC139" t="s">
        <v>25</v>
      </c>
      <c r="DD139" t="s">
        <v>25</v>
      </c>
      <c r="DE139" t="s">
        <v>25</v>
      </c>
      <c r="DF139" t="s">
        <v>25</v>
      </c>
      <c r="DG139" t="s">
        <v>25</v>
      </c>
      <c r="DH139" t="s">
        <v>25</v>
      </c>
      <c r="DI139" t="s">
        <v>25</v>
      </c>
      <c r="DJ139" s="76">
        <v>0</v>
      </c>
      <c r="DK139" s="73">
        <v>0</v>
      </c>
      <c r="DL139" s="73">
        <v>27</v>
      </c>
      <c r="DM139" s="73">
        <v>-27</v>
      </c>
      <c r="DU139"/>
      <c r="DZ139" s="73">
        <v>59</v>
      </c>
      <c r="EA139" s="73">
        <v>0</v>
      </c>
      <c r="EB139" s="73">
        <v>59</v>
      </c>
      <c r="EC139" s="65" t="s">
        <v>126</v>
      </c>
    </row>
    <row r="140" spans="1:133" ht="12" customHeight="1" x14ac:dyDescent="0.2">
      <c r="A140" t="s">
        <v>2938</v>
      </c>
      <c r="B140" t="s">
        <v>2946</v>
      </c>
      <c r="C140" t="str">
        <f t="shared" si="8"/>
        <v>Full</v>
      </c>
      <c r="E140" s="65">
        <v>2708</v>
      </c>
      <c r="F140" t="s">
        <v>1579</v>
      </c>
      <c r="G140" s="71" t="s">
        <v>3952</v>
      </c>
      <c r="H140" s="67">
        <v>8.9999996125698107E-3</v>
      </c>
      <c r="I140" s="65">
        <v>528946</v>
      </c>
      <c r="J140" s="65">
        <v>172480</v>
      </c>
      <c r="L140" s="65" t="s">
        <v>1580</v>
      </c>
      <c r="M140" s="65" t="s">
        <v>172</v>
      </c>
      <c r="N140" s="69">
        <v>43147</v>
      </c>
      <c r="R140" s="65" t="s">
        <v>28</v>
      </c>
      <c r="U140" t="s">
        <v>1581</v>
      </c>
      <c r="V140" t="s">
        <v>3126</v>
      </c>
      <c r="W140" s="65" t="s">
        <v>29</v>
      </c>
      <c r="X140" s="65" t="s">
        <v>29</v>
      </c>
      <c r="Y140" s="65" t="s">
        <v>69</v>
      </c>
      <c r="AD140" s="65" t="s">
        <v>173</v>
      </c>
      <c r="AE140" s="65" t="s">
        <v>24</v>
      </c>
      <c r="BO140" s="185" t="s">
        <v>3794</v>
      </c>
      <c r="BP140" s="185" t="s">
        <v>3794</v>
      </c>
      <c r="BQ140" s="185" t="s">
        <v>3794</v>
      </c>
      <c r="BW140" s="73"/>
      <c r="BY140" s="185" t="s">
        <v>3794</v>
      </c>
      <c r="CJ140" t="s">
        <v>25</v>
      </c>
      <c r="CK140" t="s">
        <v>25</v>
      </c>
      <c r="CL140" t="s">
        <v>25</v>
      </c>
      <c r="CM140" t="s">
        <v>25</v>
      </c>
      <c r="CN140" t="s">
        <v>25</v>
      </c>
      <c r="CO140" t="s">
        <v>25</v>
      </c>
      <c r="CP140" t="s">
        <v>25</v>
      </c>
      <c r="CQ140" t="s">
        <v>25</v>
      </c>
      <c r="CR140" t="s">
        <v>25</v>
      </c>
      <c r="CS140" t="s">
        <v>25</v>
      </c>
      <c r="CT140" t="s">
        <v>25</v>
      </c>
      <c r="CU140" t="s">
        <v>25</v>
      </c>
      <c r="CV140" t="s">
        <v>25</v>
      </c>
      <c r="CW140" t="s">
        <v>25</v>
      </c>
      <c r="CX140" t="s">
        <v>25</v>
      </c>
      <c r="CY140" t="s">
        <v>25</v>
      </c>
      <c r="CZ140" t="s">
        <v>25</v>
      </c>
      <c r="DA140" t="s">
        <v>25</v>
      </c>
      <c r="DB140" t="s">
        <v>25</v>
      </c>
      <c r="DC140" t="s">
        <v>25</v>
      </c>
      <c r="DD140" t="s">
        <v>25</v>
      </c>
      <c r="DE140" t="s">
        <v>25</v>
      </c>
      <c r="DF140" t="s">
        <v>25</v>
      </c>
      <c r="DG140" t="s">
        <v>25</v>
      </c>
      <c r="DH140" t="s">
        <v>25</v>
      </c>
      <c r="DI140" t="s">
        <v>25</v>
      </c>
      <c r="DJ140" s="76">
        <v>0</v>
      </c>
      <c r="DK140" s="73">
        <v>0</v>
      </c>
      <c r="DL140" s="73">
        <v>39</v>
      </c>
      <c r="DM140" s="73">
        <v>-39</v>
      </c>
      <c r="DU140"/>
      <c r="DZ140" s="73">
        <v>98</v>
      </c>
      <c r="EA140" s="73">
        <v>0</v>
      </c>
      <c r="EB140" s="73">
        <v>98</v>
      </c>
      <c r="EC140" s="65" t="s">
        <v>126</v>
      </c>
    </row>
    <row r="141" spans="1:133" ht="12" customHeight="1" x14ac:dyDescent="0.2">
      <c r="A141" t="s">
        <v>2936</v>
      </c>
      <c r="B141" t="s">
        <v>2946</v>
      </c>
      <c r="C141" t="str">
        <f t="shared" si="8"/>
        <v>Full</v>
      </c>
      <c r="D141" t="s">
        <v>2943</v>
      </c>
      <c r="E141" s="65">
        <v>2726</v>
      </c>
      <c r="F141" t="s">
        <v>1582</v>
      </c>
      <c r="G141" s="71" t="s">
        <v>3940</v>
      </c>
      <c r="H141" s="67">
        <v>0.40900000929832497</v>
      </c>
      <c r="I141" s="65">
        <v>521682</v>
      </c>
      <c r="J141" s="65">
        <v>175318</v>
      </c>
      <c r="L141" s="65" t="s">
        <v>442</v>
      </c>
      <c r="M141" s="65" t="s">
        <v>27</v>
      </c>
      <c r="N141" s="69">
        <v>42164</v>
      </c>
      <c r="O141" s="69">
        <v>42200</v>
      </c>
      <c r="R141" s="65" t="s">
        <v>28</v>
      </c>
      <c r="U141" t="s">
        <v>443</v>
      </c>
      <c r="V141" t="s">
        <v>3127</v>
      </c>
      <c r="W141" s="65" t="s">
        <v>29</v>
      </c>
      <c r="X141" s="65" t="s">
        <v>29</v>
      </c>
      <c r="Y141" s="65" t="s">
        <v>35</v>
      </c>
      <c r="AA141" s="69">
        <v>42200</v>
      </c>
      <c r="AB141" s="69">
        <v>42887</v>
      </c>
      <c r="AC141" s="69">
        <v>42887</v>
      </c>
      <c r="AD141" s="65" t="s">
        <v>23</v>
      </c>
      <c r="AE141" s="65" t="s">
        <v>24</v>
      </c>
      <c r="AH141" s="69">
        <f t="shared" si="6"/>
        <v>42200</v>
      </c>
      <c r="AI141" s="69">
        <f t="shared" si="7"/>
        <v>42887</v>
      </c>
      <c r="AW141" s="73">
        <v>31</v>
      </c>
      <c r="AY141" s="73">
        <v>31</v>
      </c>
      <c r="BO141" s="185" t="s">
        <v>3794</v>
      </c>
      <c r="BP141" s="185" t="s">
        <v>3794</v>
      </c>
      <c r="BQ141" s="185" t="s">
        <v>126</v>
      </c>
      <c r="BW141" s="73"/>
      <c r="BY141" s="185" t="s">
        <v>3794</v>
      </c>
      <c r="CG141" s="73">
        <v>31</v>
      </c>
      <c r="CI141" s="73">
        <v>31</v>
      </c>
      <c r="CJ141" t="s">
        <v>25</v>
      </c>
      <c r="CK141" t="s">
        <v>25</v>
      </c>
      <c r="CL141" t="s">
        <v>25</v>
      </c>
      <c r="CM141" t="s">
        <v>25</v>
      </c>
      <c r="CN141" t="s">
        <v>25</v>
      </c>
      <c r="CO141" t="s">
        <v>25</v>
      </c>
      <c r="CP141" t="s">
        <v>25</v>
      </c>
      <c r="CQ141" t="s">
        <v>25</v>
      </c>
      <c r="CR141" t="s">
        <v>25</v>
      </c>
      <c r="CS141" t="s">
        <v>25</v>
      </c>
      <c r="CT141" t="s">
        <v>25</v>
      </c>
      <c r="CU141" t="s">
        <v>60</v>
      </c>
      <c r="CV141" t="s">
        <v>25</v>
      </c>
      <c r="CW141" t="s">
        <v>25</v>
      </c>
      <c r="CX141" t="s">
        <v>25</v>
      </c>
      <c r="CY141" t="s">
        <v>25</v>
      </c>
      <c r="CZ141" t="s">
        <v>25</v>
      </c>
      <c r="DA141" t="s">
        <v>25</v>
      </c>
      <c r="DB141" t="s">
        <v>25</v>
      </c>
      <c r="DC141" t="s">
        <v>25</v>
      </c>
      <c r="DD141" t="s">
        <v>25</v>
      </c>
      <c r="DE141" t="s">
        <v>25</v>
      </c>
      <c r="DF141" t="s">
        <v>25</v>
      </c>
      <c r="DG141" t="s">
        <v>25</v>
      </c>
      <c r="DH141" t="s">
        <v>25</v>
      </c>
      <c r="DI141" t="s">
        <v>25</v>
      </c>
      <c r="DJ141" s="76">
        <v>0.40900000929832497</v>
      </c>
      <c r="DK141" s="73">
        <v>31</v>
      </c>
      <c r="DL141" s="73">
        <v>0</v>
      </c>
      <c r="DM141" s="73">
        <v>31</v>
      </c>
      <c r="DU141"/>
      <c r="DZ141" s="73">
        <v>0</v>
      </c>
      <c r="EA141" s="73">
        <v>0</v>
      </c>
      <c r="EB141" s="73">
        <v>0</v>
      </c>
    </row>
    <row r="142" spans="1:133" ht="12" customHeight="1" x14ac:dyDescent="0.2">
      <c r="A142" t="s">
        <v>2936</v>
      </c>
      <c r="B142" t="s">
        <v>2946</v>
      </c>
      <c r="C142" t="str">
        <f t="shared" si="8"/>
        <v>Full</v>
      </c>
      <c r="D142" t="s">
        <v>2943</v>
      </c>
      <c r="E142" s="65">
        <v>2759</v>
      </c>
      <c r="F142" t="s">
        <v>1583</v>
      </c>
      <c r="G142" s="71" t="s">
        <v>150</v>
      </c>
      <c r="H142" s="67">
        <v>8.9999996125698107E-3</v>
      </c>
      <c r="I142" s="65">
        <v>527493</v>
      </c>
      <c r="J142" s="65">
        <v>171577</v>
      </c>
      <c r="L142" s="65" t="s">
        <v>525</v>
      </c>
      <c r="M142" s="65" t="s">
        <v>27</v>
      </c>
      <c r="N142" s="69">
        <v>42242</v>
      </c>
      <c r="O142" s="69">
        <v>42394</v>
      </c>
      <c r="R142" s="65" t="s">
        <v>28</v>
      </c>
      <c r="U142" t="s">
        <v>760</v>
      </c>
      <c r="V142" t="s">
        <v>3128</v>
      </c>
      <c r="W142" s="65" t="s">
        <v>34</v>
      </c>
      <c r="X142" s="65" t="s">
        <v>29</v>
      </c>
      <c r="Y142" s="65" t="s">
        <v>35</v>
      </c>
      <c r="AA142" s="69">
        <v>42487</v>
      </c>
      <c r="AB142" s="69">
        <v>43190</v>
      </c>
      <c r="AC142" s="69">
        <v>43190</v>
      </c>
      <c r="AD142" s="65" t="s">
        <v>23</v>
      </c>
      <c r="AE142" s="65" t="s">
        <v>24</v>
      </c>
      <c r="AH142" s="69">
        <f t="shared" si="6"/>
        <v>42487</v>
      </c>
      <c r="AI142" s="69">
        <f t="shared" si="7"/>
        <v>43190</v>
      </c>
      <c r="AJ142" s="73">
        <v>66</v>
      </c>
      <c r="AO142" s="73">
        <v>66</v>
      </c>
      <c r="AZ142" s="73">
        <v>70</v>
      </c>
      <c r="BE142" s="73">
        <v>70</v>
      </c>
      <c r="BO142" s="185" t="s">
        <v>126</v>
      </c>
      <c r="BP142" s="185" t="s">
        <v>3794</v>
      </c>
      <c r="BQ142" s="185" t="s">
        <v>3794</v>
      </c>
      <c r="BR142" s="73">
        <v>-4</v>
      </c>
      <c r="BW142" s="73">
        <v>-4</v>
      </c>
      <c r="BY142" s="185" t="s">
        <v>3794</v>
      </c>
      <c r="CJ142" t="s">
        <v>46</v>
      </c>
      <c r="CK142" t="s">
        <v>25</v>
      </c>
      <c r="CL142" t="s">
        <v>25</v>
      </c>
      <c r="CM142" t="s">
        <v>25</v>
      </c>
      <c r="CN142" t="s">
        <v>25</v>
      </c>
      <c r="CO142" t="s">
        <v>25</v>
      </c>
      <c r="CP142" t="s">
        <v>25</v>
      </c>
      <c r="CQ142" t="s">
        <v>25</v>
      </c>
      <c r="CR142" t="s">
        <v>25</v>
      </c>
      <c r="CS142" t="s">
        <v>25</v>
      </c>
      <c r="CT142" t="s">
        <v>25</v>
      </c>
      <c r="CU142" t="s">
        <v>25</v>
      </c>
      <c r="CV142" t="s">
        <v>25</v>
      </c>
      <c r="CW142" t="s">
        <v>46</v>
      </c>
      <c r="CX142" t="s">
        <v>25</v>
      </c>
      <c r="CY142" t="s">
        <v>25</v>
      </c>
      <c r="CZ142" t="s">
        <v>25</v>
      </c>
      <c r="DA142" t="s">
        <v>25</v>
      </c>
      <c r="DB142" t="s">
        <v>25</v>
      </c>
      <c r="DC142" t="s">
        <v>25</v>
      </c>
      <c r="DD142" t="s">
        <v>25</v>
      </c>
      <c r="DE142" t="s">
        <v>25</v>
      </c>
      <c r="DF142" t="s">
        <v>25</v>
      </c>
      <c r="DG142" t="s">
        <v>25</v>
      </c>
      <c r="DH142" t="s">
        <v>25</v>
      </c>
      <c r="DI142" t="s">
        <v>25</v>
      </c>
      <c r="DJ142" s="76">
        <v>1.9999993965029708E-3</v>
      </c>
      <c r="DK142" s="73">
        <v>66</v>
      </c>
      <c r="DL142" s="73">
        <v>70</v>
      </c>
      <c r="DM142" s="73">
        <v>-4</v>
      </c>
      <c r="DU142"/>
      <c r="DV142" s="65" t="s">
        <v>126</v>
      </c>
      <c r="DW142" t="s">
        <v>150</v>
      </c>
      <c r="DZ142" s="73">
        <v>137</v>
      </c>
      <c r="EA142" s="73">
        <v>116</v>
      </c>
      <c r="EB142" s="73">
        <v>21</v>
      </c>
      <c r="EC142" s="65" t="s">
        <v>126</v>
      </c>
    </row>
    <row r="143" spans="1:133" ht="12" customHeight="1" x14ac:dyDescent="0.2">
      <c r="A143" t="s">
        <v>2935</v>
      </c>
      <c r="B143" t="s">
        <v>2946</v>
      </c>
      <c r="C143" t="str">
        <f t="shared" si="8"/>
        <v>Full</v>
      </c>
      <c r="E143" s="65">
        <v>2759</v>
      </c>
      <c r="F143" t="s">
        <v>1583</v>
      </c>
      <c r="G143" s="71" t="s">
        <v>150</v>
      </c>
      <c r="H143" s="67">
        <v>8.9999996125698107E-3</v>
      </c>
      <c r="I143" s="65">
        <v>527493</v>
      </c>
      <c r="J143" s="65">
        <v>171577</v>
      </c>
      <c r="L143" s="65" t="s">
        <v>947</v>
      </c>
      <c r="M143" s="65" t="s">
        <v>27</v>
      </c>
      <c r="N143" s="69">
        <v>42538</v>
      </c>
      <c r="O143" s="69">
        <v>42681</v>
      </c>
      <c r="R143" s="65" t="s">
        <v>28</v>
      </c>
      <c r="U143" t="s">
        <v>948</v>
      </c>
      <c r="V143" t="s">
        <v>3129</v>
      </c>
      <c r="W143" s="65" t="s">
        <v>34</v>
      </c>
      <c r="X143" s="65" t="s">
        <v>29</v>
      </c>
      <c r="Y143" s="65" t="s">
        <v>30</v>
      </c>
      <c r="AA143" s="69">
        <v>42487</v>
      </c>
      <c r="AD143" s="65" t="s">
        <v>23</v>
      </c>
      <c r="AE143" s="65" t="s">
        <v>24</v>
      </c>
      <c r="AH143" s="69">
        <f t="shared" si="6"/>
        <v>42487</v>
      </c>
      <c r="AJ143" s="73">
        <v>50</v>
      </c>
      <c r="AO143" s="73">
        <v>50</v>
      </c>
      <c r="AZ143" s="73">
        <v>72</v>
      </c>
      <c r="BE143" s="73">
        <v>72</v>
      </c>
      <c r="BO143" s="185" t="s">
        <v>126</v>
      </c>
      <c r="BP143" s="185" t="s">
        <v>3794</v>
      </c>
      <c r="BQ143" s="185" t="s">
        <v>3794</v>
      </c>
      <c r="BR143" s="73">
        <v>-22</v>
      </c>
      <c r="BW143" s="570">
        <v>-22</v>
      </c>
      <c r="BY143" s="185" t="s">
        <v>3794</v>
      </c>
      <c r="CJ143" t="s">
        <v>40</v>
      </c>
      <c r="CK143" t="s">
        <v>25</v>
      </c>
      <c r="CL143" t="s">
        <v>25</v>
      </c>
      <c r="CM143" t="s">
        <v>25</v>
      </c>
      <c r="CN143" t="s">
        <v>25</v>
      </c>
      <c r="CO143" t="s">
        <v>25</v>
      </c>
      <c r="CP143" t="s">
        <v>25</v>
      </c>
      <c r="CQ143" t="s">
        <v>25</v>
      </c>
      <c r="CR143" t="s">
        <v>25</v>
      </c>
      <c r="CS143" t="s">
        <v>25</v>
      </c>
      <c r="CT143" t="s">
        <v>25</v>
      </c>
      <c r="CU143" t="s">
        <v>25</v>
      </c>
      <c r="CV143" t="s">
        <v>25</v>
      </c>
      <c r="CW143" t="s">
        <v>40</v>
      </c>
      <c r="CX143" t="s">
        <v>25</v>
      </c>
      <c r="CY143" t="s">
        <v>25</v>
      </c>
      <c r="CZ143" t="s">
        <v>25</v>
      </c>
      <c r="DA143" t="s">
        <v>25</v>
      </c>
      <c r="DB143" t="s">
        <v>25</v>
      </c>
      <c r="DC143" t="s">
        <v>25</v>
      </c>
      <c r="DD143" t="s">
        <v>25</v>
      </c>
      <c r="DE143" t="s">
        <v>25</v>
      </c>
      <c r="DF143" t="s">
        <v>25</v>
      </c>
      <c r="DG143" t="s">
        <v>25</v>
      </c>
      <c r="DH143" t="s">
        <v>25</v>
      </c>
      <c r="DI143" t="s">
        <v>25</v>
      </c>
      <c r="DJ143" s="76">
        <v>5.9999995864927803E-3</v>
      </c>
      <c r="DK143" s="73">
        <v>50</v>
      </c>
      <c r="DL143" s="73">
        <v>72</v>
      </c>
      <c r="DM143" s="73">
        <v>-22</v>
      </c>
      <c r="DU143"/>
      <c r="DV143" s="65" t="s">
        <v>126</v>
      </c>
      <c r="DW143" t="s">
        <v>150</v>
      </c>
      <c r="DZ143" s="73">
        <v>38</v>
      </c>
      <c r="EA143" s="73">
        <v>0</v>
      </c>
      <c r="EB143" s="73">
        <v>38</v>
      </c>
      <c r="EC143" s="65" t="s">
        <v>126</v>
      </c>
    </row>
    <row r="144" spans="1:133" ht="12" customHeight="1" x14ac:dyDescent="0.2">
      <c r="A144" t="s">
        <v>2936</v>
      </c>
      <c r="B144" t="s">
        <v>2946</v>
      </c>
      <c r="C144" t="str">
        <f t="shared" si="8"/>
        <v>Full</v>
      </c>
      <c r="D144" t="s">
        <v>2943</v>
      </c>
      <c r="E144" s="65">
        <v>2781</v>
      </c>
      <c r="F144" t="s">
        <v>1584</v>
      </c>
      <c r="G144" s="71" t="s">
        <v>3944</v>
      </c>
      <c r="H144" s="67">
        <v>1.16999995708466</v>
      </c>
      <c r="I144" s="65">
        <v>525818</v>
      </c>
      <c r="J144" s="65">
        <v>174590</v>
      </c>
      <c r="L144" s="65" t="s">
        <v>1585</v>
      </c>
      <c r="M144" s="65" t="s">
        <v>27</v>
      </c>
      <c r="N144" s="69">
        <v>41688</v>
      </c>
      <c r="O144" s="69">
        <v>41736</v>
      </c>
      <c r="R144" s="65" t="s">
        <v>28</v>
      </c>
      <c r="U144" t="s">
        <v>1586</v>
      </c>
      <c r="V144" t="s">
        <v>3130</v>
      </c>
      <c r="W144" s="65" t="s">
        <v>29</v>
      </c>
      <c r="X144" s="65" t="s">
        <v>29</v>
      </c>
      <c r="Y144" s="65" t="s">
        <v>35</v>
      </c>
      <c r="AA144" s="69">
        <v>41732</v>
      </c>
      <c r="AB144" s="69">
        <v>42826</v>
      </c>
      <c r="AC144" s="69">
        <v>42826</v>
      </c>
      <c r="AD144" s="65" t="s">
        <v>23</v>
      </c>
      <c r="AE144" s="65" t="s">
        <v>24</v>
      </c>
      <c r="AH144" s="69">
        <f t="shared" si="6"/>
        <v>41732</v>
      </c>
      <c r="AI144" s="69">
        <f t="shared" si="7"/>
        <v>42826</v>
      </c>
      <c r="AW144" s="73">
        <v>265</v>
      </c>
      <c r="AY144" s="73">
        <v>265</v>
      </c>
      <c r="BL144" s="73">
        <v>153</v>
      </c>
      <c r="BN144" s="73">
        <v>153</v>
      </c>
      <c r="BO144" s="185" t="s">
        <v>3794</v>
      </c>
      <c r="BP144" s="185" t="s">
        <v>3794</v>
      </c>
      <c r="BQ144" s="185" t="s">
        <v>126</v>
      </c>
      <c r="BW144" s="73"/>
      <c r="BY144" s="185" t="s">
        <v>3794</v>
      </c>
      <c r="CG144" s="73">
        <v>112</v>
      </c>
      <c r="CI144" s="73">
        <v>112</v>
      </c>
      <c r="CJ144" t="s">
        <v>25</v>
      </c>
      <c r="CK144" t="s">
        <v>25</v>
      </c>
      <c r="CL144" t="s">
        <v>25</v>
      </c>
      <c r="CM144" t="s">
        <v>25</v>
      </c>
      <c r="CN144" t="s">
        <v>25</v>
      </c>
      <c r="CO144" t="s">
        <v>25</v>
      </c>
      <c r="CP144" t="s">
        <v>25</v>
      </c>
      <c r="CQ144" t="s">
        <v>25</v>
      </c>
      <c r="CR144" t="s">
        <v>25</v>
      </c>
      <c r="CS144" t="s">
        <v>25</v>
      </c>
      <c r="CT144" t="s">
        <v>25</v>
      </c>
      <c r="CU144" t="s">
        <v>60</v>
      </c>
      <c r="CV144" t="s">
        <v>25</v>
      </c>
      <c r="CW144" t="s">
        <v>25</v>
      </c>
      <c r="CX144" t="s">
        <v>25</v>
      </c>
      <c r="CY144" t="s">
        <v>25</v>
      </c>
      <c r="CZ144" t="s">
        <v>25</v>
      </c>
      <c r="DA144" t="s">
        <v>25</v>
      </c>
      <c r="DB144" t="s">
        <v>25</v>
      </c>
      <c r="DC144" t="s">
        <v>25</v>
      </c>
      <c r="DD144" t="s">
        <v>25</v>
      </c>
      <c r="DE144" t="s">
        <v>25</v>
      </c>
      <c r="DF144" t="s">
        <v>25</v>
      </c>
      <c r="DG144" t="s">
        <v>25</v>
      </c>
      <c r="DH144" t="s">
        <v>60</v>
      </c>
      <c r="DI144" t="s">
        <v>25</v>
      </c>
      <c r="DJ144" s="76">
        <v>1.16999995708466</v>
      </c>
      <c r="DK144" s="73">
        <v>265</v>
      </c>
      <c r="DL144" s="73">
        <v>153</v>
      </c>
      <c r="DM144" s="73">
        <v>112</v>
      </c>
      <c r="DU144"/>
      <c r="DV144" s="65" t="s">
        <v>126</v>
      </c>
      <c r="DW144" t="s">
        <v>151</v>
      </c>
      <c r="DZ144" s="73">
        <v>0</v>
      </c>
      <c r="EA144" s="73">
        <v>0</v>
      </c>
      <c r="EB144" s="73">
        <v>0</v>
      </c>
    </row>
    <row r="145" spans="1:133" ht="12" customHeight="1" x14ac:dyDescent="0.2">
      <c r="A145" t="s">
        <v>2935</v>
      </c>
      <c r="B145" t="s">
        <v>2946</v>
      </c>
      <c r="C145" t="str">
        <f t="shared" si="8"/>
        <v>Full</v>
      </c>
      <c r="E145" s="65">
        <v>2786</v>
      </c>
      <c r="F145" t="s">
        <v>1587</v>
      </c>
      <c r="G145" s="71" t="s">
        <v>3951</v>
      </c>
      <c r="H145" s="67">
        <v>2.0999999716877899E-2</v>
      </c>
      <c r="I145" s="65">
        <v>527308</v>
      </c>
      <c r="J145" s="65">
        <v>171157</v>
      </c>
      <c r="L145" s="65" t="s">
        <v>1032</v>
      </c>
      <c r="M145" s="65" t="s">
        <v>27</v>
      </c>
      <c r="N145" s="69">
        <v>42608</v>
      </c>
      <c r="O145" s="69">
        <v>42664</v>
      </c>
      <c r="R145" s="65" t="s">
        <v>28</v>
      </c>
      <c r="U145" t="s">
        <v>1033</v>
      </c>
      <c r="V145" t="s">
        <v>3131</v>
      </c>
      <c r="W145" s="65" t="s">
        <v>39</v>
      </c>
      <c r="X145" s="65" t="s">
        <v>39</v>
      </c>
      <c r="Y145" s="65" t="s">
        <v>30</v>
      </c>
      <c r="AA145" s="69">
        <v>43190</v>
      </c>
      <c r="AD145" s="65" t="s">
        <v>23</v>
      </c>
      <c r="AE145" s="65" t="s">
        <v>24</v>
      </c>
      <c r="AH145" s="69">
        <f t="shared" si="6"/>
        <v>43190</v>
      </c>
      <c r="AJ145" s="73">
        <v>20</v>
      </c>
      <c r="AO145" s="73">
        <v>20</v>
      </c>
      <c r="AW145" s="73">
        <v>81</v>
      </c>
      <c r="AY145" s="73">
        <v>81</v>
      </c>
      <c r="AZ145" s="73">
        <v>73</v>
      </c>
      <c r="BE145" s="73">
        <v>73</v>
      </c>
      <c r="BF145" s="73">
        <v>34</v>
      </c>
      <c r="BK145" s="73">
        <v>34</v>
      </c>
      <c r="BL145" s="73">
        <v>167</v>
      </c>
      <c r="BN145" s="73">
        <v>167</v>
      </c>
      <c r="BO145" s="185" t="s">
        <v>126</v>
      </c>
      <c r="BP145" s="185" t="s">
        <v>126</v>
      </c>
      <c r="BQ145" s="185" t="s">
        <v>126</v>
      </c>
      <c r="BR145" s="73">
        <v>-53</v>
      </c>
      <c r="BW145" s="73">
        <v>-53</v>
      </c>
      <c r="BX145" s="73">
        <v>-34</v>
      </c>
      <c r="BY145" s="185" t="s">
        <v>126</v>
      </c>
      <c r="CD145" s="73">
        <v>-34</v>
      </c>
      <c r="CE145" s="65" t="s">
        <v>126</v>
      </c>
      <c r="CG145" s="73">
        <v>-86</v>
      </c>
      <c r="CI145" s="73">
        <v>-86</v>
      </c>
      <c r="CJ145" t="s">
        <v>25</v>
      </c>
      <c r="CK145" t="s">
        <v>25</v>
      </c>
      <c r="CL145" t="s">
        <v>25</v>
      </c>
      <c r="CM145" t="s">
        <v>25</v>
      </c>
      <c r="CN145" t="s">
        <v>25</v>
      </c>
      <c r="CO145" t="s">
        <v>25</v>
      </c>
      <c r="CP145" t="s">
        <v>25</v>
      </c>
      <c r="CQ145" t="s">
        <v>25</v>
      </c>
      <c r="CR145" t="s">
        <v>25</v>
      </c>
      <c r="CS145" t="s">
        <v>25</v>
      </c>
      <c r="CT145" t="s">
        <v>25</v>
      </c>
      <c r="CU145" t="s">
        <v>60</v>
      </c>
      <c r="CV145" t="s">
        <v>25</v>
      </c>
      <c r="CW145" t="s">
        <v>46</v>
      </c>
      <c r="CX145" t="s">
        <v>25</v>
      </c>
      <c r="CY145" t="s">
        <v>25</v>
      </c>
      <c r="CZ145" t="s">
        <v>25</v>
      </c>
      <c r="DA145" t="s">
        <v>25</v>
      </c>
      <c r="DB145" t="s">
        <v>31</v>
      </c>
      <c r="DC145" t="s">
        <v>25</v>
      </c>
      <c r="DD145" t="s">
        <v>25</v>
      </c>
      <c r="DE145" t="s">
        <v>25</v>
      </c>
      <c r="DF145" t="s">
        <v>25</v>
      </c>
      <c r="DG145" t="s">
        <v>25</v>
      </c>
      <c r="DH145" t="s">
        <v>60</v>
      </c>
      <c r="DI145" t="s">
        <v>25</v>
      </c>
      <c r="DJ145" s="76">
        <v>6.9999992847441985E-3</v>
      </c>
      <c r="DK145" s="73">
        <v>101</v>
      </c>
      <c r="DL145" s="73">
        <v>274</v>
      </c>
      <c r="DM145" s="73">
        <v>-173</v>
      </c>
      <c r="DU145"/>
      <c r="DZ145" s="73">
        <v>153</v>
      </c>
      <c r="EA145" s="73">
        <v>0</v>
      </c>
      <c r="EB145" s="73">
        <v>153</v>
      </c>
      <c r="EC145" s="65" t="s">
        <v>126</v>
      </c>
    </row>
    <row r="146" spans="1:133" ht="12" customHeight="1" x14ac:dyDescent="0.2">
      <c r="A146" t="s">
        <v>2938</v>
      </c>
      <c r="B146" t="s">
        <v>2946</v>
      </c>
      <c r="C146" t="str">
        <f t="shared" si="8"/>
        <v>Full</v>
      </c>
      <c r="E146" s="65">
        <v>2790</v>
      </c>
      <c r="F146" t="s">
        <v>1588</v>
      </c>
      <c r="G146" s="71" t="s">
        <v>3943</v>
      </c>
      <c r="H146" s="67">
        <v>0.29399999976158098</v>
      </c>
      <c r="I146" s="65">
        <v>527008</v>
      </c>
      <c r="J146" s="65">
        <v>176601</v>
      </c>
      <c r="L146" s="65" t="s">
        <v>1589</v>
      </c>
      <c r="M146" s="65" t="s">
        <v>172</v>
      </c>
      <c r="N146" s="69">
        <v>43166</v>
      </c>
      <c r="R146" s="65" t="s">
        <v>28</v>
      </c>
      <c r="U146" t="s">
        <v>1590</v>
      </c>
      <c r="V146" t="s">
        <v>3132</v>
      </c>
      <c r="W146" s="65" t="s">
        <v>39</v>
      </c>
      <c r="X146" s="65" t="s">
        <v>39</v>
      </c>
      <c r="Y146" s="65" t="s">
        <v>69</v>
      </c>
      <c r="AD146" s="65" t="s">
        <v>173</v>
      </c>
      <c r="AE146" s="65" t="s">
        <v>24</v>
      </c>
      <c r="AP146" s="73">
        <v>20</v>
      </c>
      <c r="AS146" s="73">
        <v>20</v>
      </c>
      <c r="AV146" s="73">
        <v>20</v>
      </c>
      <c r="BO146" s="185" t="s">
        <v>3794</v>
      </c>
      <c r="BP146" s="185" t="s">
        <v>126</v>
      </c>
      <c r="BQ146" s="185" t="s">
        <v>3794</v>
      </c>
      <c r="BW146" s="73"/>
      <c r="BX146" s="73">
        <v>20</v>
      </c>
      <c r="BY146" s="185" t="s">
        <v>3794</v>
      </c>
      <c r="CD146" s="73">
        <v>20</v>
      </c>
      <c r="CJ146" t="s">
        <v>25</v>
      </c>
      <c r="CK146" t="s">
        <v>25</v>
      </c>
      <c r="CL146" t="s">
        <v>25</v>
      </c>
      <c r="CM146" t="s">
        <v>25</v>
      </c>
      <c r="CN146" t="s">
        <v>25</v>
      </c>
      <c r="CO146" t="s">
        <v>49</v>
      </c>
      <c r="CP146" t="s">
        <v>25</v>
      </c>
      <c r="CQ146" t="s">
        <v>25</v>
      </c>
      <c r="CR146" t="s">
        <v>25</v>
      </c>
      <c r="CS146" t="s">
        <v>25</v>
      </c>
      <c r="CT146" t="s">
        <v>25</v>
      </c>
      <c r="CU146" t="s">
        <v>25</v>
      </c>
      <c r="CV146" t="s">
        <v>25</v>
      </c>
      <c r="CW146" t="s">
        <v>25</v>
      </c>
      <c r="CX146" t="s">
        <v>25</v>
      </c>
      <c r="CY146" t="s">
        <v>25</v>
      </c>
      <c r="CZ146" t="s">
        <v>25</v>
      </c>
      <c r="DA146" t="s">
        <v>25</v>
      </c>
      <c r="DB146" t="s">
        <v>25</v>
      </c>
      <c r="DC146" t="s">
        <v>25</v>
      </c>
      <c r="DD146" t="s">
        <v>25</v>
      </c>
      <c r="DE146" t="s">
        <v>25</v>
      </c>
      <c r="DF146" t="s">
        <v>25</v>
      </c>
      <c r="DG146" t="s">
        <v>25</v>
      </c>
      <c r="DH146" t="s">
        <v>25</v>
      </c>
      <c r="DI146" t="s">
        <v>25</v>
      </c>
      <c r="DJ146" s="76">
        <v>0.29399999976158098</v>
      </c>
      <c r="DK146" s="73">
        <v>20</v>
      </c>
      <c r="DL146" s="73">
        <v>0</v>
      </c>
      <c r="DM146" s="73">
        <v>20</v>
      </c>
      <c r="DU146"/>
      <c r="DZ146" s="73">
        <v>0</v>
      </c>
      <c r="EA146" s="73">
        <v>0</v>
      </c>
      <c r="EB146" s="73">
        <v>0</v>
      </c>
    </row>
    <row r="147" spans="1:133" ht="12" customHeight="1" x14ac:dyDescent="0.2">
      <c r="A147" t="s">
        <v>2937</v>
      </c>
      <c r="B147" t="s">
        <v>2946</v>
      </c>
      <c r="C147" t="str">
        <f t="shared" si="8"/>
        <v>Full</v>
      </c>
      <c r="E147" s="65">
        <v>2791</v>
      </c>
      <c r="F147" t="s">
        <v>1591</v>
      </c>
      <c r="G147" s="71" t="s">
        <v>3950</v>
      </c>
      <c r="H147" s="67">
        <v>5.78999996185303</v>
      </c>
      <c r="I147" s="65">
        <v>528591</v>
      </c>
      <c r="J147" s="65">
        <v>170935</v>
      </c>
      <c r="L147" s="65" t="s">
        <v>1592</v>
      </c>
      <c r="M147" s="65" t="s">
        <v>27</v>
      </c>
      <c r="N147" s="69">
        <v>42964</v>
      </c>
      <c r="O147" s="69">
        <v>43066</v>
      </c>
      <c r="P147" s="65" t="s">
        <v>126</v>
      </c>
      <c r="R147" s="65" t="s">
        <v>28</v>
      </c>
      <c r="U147" t="s">
        <v>1593</v>
      </c>
      <c r="V147" t="s">
        <v>3133</v>
      </c>
      <c r="W147" s="65" t="s">
        <v>29</v>
      </c>
      <c r="X147" s="65" t="s">
        <v>29</v>
      </c>
      <c r="Y147" s="65" t="s">
        <v>69</v>
      </c>
      <c r="AD147" s="65" t="s">
        <v>23</v>
      </c>
      <c r="AE147" s="65" t="s">
        <v>24</v>
      </c>
      <c r="AW147" s="73">
        <v>1185</v>
      </c>
      <c r="AY147" s="73">
        <v>1185</v>
      </c>
      <c r="BO147" s="185" t="s">
        <v>3794</v>
      </c>
      <c r="BP147" s="185" t="s">
        <v>3794</v>
      </c>
      <c r="BQ147" s="185" t="s">
        <v>126</v>
      </c>
      <c r="BW147" s="73"/>
      <c r="BY147" s="185" t="s">
        <v>3794</v>
      </c>
      <c r="CG147" s="73">
        <v>1185</v>
      </c>
      <c r="CI147" s="73">
        <v>1185</v>
      </c>
      <c r="CJ147" t="s">
        <v>25</v>
      </c>
      <c r="CK147" t="s">
        <v>25</v>
      </c>
      <c r="CL147" t="s">
        <v>25</v>
      </c>
      <c r="CM147" t="s">
        <v>25</v>
      </c>
      <c r="CN147" t="s">
        <v>25</v>
      </c>
      <c r="CO147" t="s">
        <v>25</v>
      </c>
      <c r="CP147" t="s">
        <v>25</v>
      </c>
      <c r="CQ147" t="s">
        <v>25</v>
      </c>
      <c r="CR147" t="s">
        <v>25</v>
      </c>
      <c r="CS147" t="s">
        <v>25</v>
      </c>
      <c r="CT147" t="s">
        <v>25</v>
      </c>
      <c r="CU147" t="s">
        <v>60</v>
      </c>
      <c r="CV147" t="s">
        <v>25</v>
      </c>
      <c r="CW147" t="s">
        <v>25</v>
      </c>
      <c r="CX147" t="s">
        <v>25</v>
      </c>
      <c r="CY147" t="s">
        <v>25</v>
      </c>
      <c r="CZ147" t="s">
        <v>25</v>
      </c>
      <c r="DA147" t="s">
        <v>25</v>
      </c>
      <c r="DB147" t="s">
        <v>25</v>
      </c>
      <c r="DC147" t="s">
        <v>25</v>
      </c>
      <c r="DD147" t="s">
        <v>25</v>
      </c>
      <c r="DE147" t="s">
        <v>25</v>
      </c>
      <c r="DF147" t="s">
        <v>25</v>
      </c>
      <c r="DG147" t="s">
        <v>25</v>
      </c>
      <c r="DH147" t="s">
        <v>25</v>
      </c>
      <c r="DI147" t="s">
        <v>25</v>
      </c>
      <c r="DJ147" s="76">
        <v>5.78999996185303</v>
      </c>
      <c r="DK147" s="73">
        <v>1185</v>
      </c>
      <c r="DL147" s="73">
        <v>470</v>
      </c>
      <c r="DM147" s="73">
        <v>715</v>
      </c>
      <c r="DU147"/>
      <c r="DZ147" s="73">
        <v>0</v>
      </c>
      <c r="EA147" s="73">
        <v>0</v>
      </c>
      <c r="EB147" s="73">
        <v>0</v>
      </c>
    </row>
    <row r="148" spans="1:133" ht="12" customHeight="1" x14ac:dyDescent="0.2">
      <c r="A148" t="s">
        <v>2937</v>
      </c>
      <c r="B148" t="s">
        <v>2948</v>
      </c>
      <c r="C148" t="str">
        <f t="shared" si="8"/>
        <v>Prior Approval</v>
      </c>
      <c r="E148" s="65">
        <v>2793</v>
      </c>
      <c r="F148" t="s">
        <v>1594</v>
      </c>
      <c r="G148" s="71" t="s">
        <v>2907</v>
      </c>
      <c r="H148" s="67">
        <v>6.0000000521540598E-3</v>
      </c>
      <c r="I148" s="65">
        <v>524772</v>
      </c>
      <c r="J148" s="65">
        <v>173313</v>
      </c>
      <c r="L148" s="65" t="s">
        <v>917</v>
      </c>
      <c r="M148" s="65" t="s">
        <v>243</v>
      </c>
      <c r="N148" s="69">
        <v>42535</v>
      </c>
      <c r="O148" s="69">
        <v>42586</v>
      </c>
      <c r="R148" s="65" t="s">
        <v>28</v>
      </c>
      <c r="U148" t="s">
        <v>918</v>
      </c>
      <c r="V148" t="s">
        <v>3134</v>
      </c>
      <c r="W148" s="65" t="s">
        <v>21</v>
      </c>
      <c r="X148" s="65" t="s">
        <v>21</v>
      </c>
      <c r="Y148" s="65" t="s">
        <v>69</v>
      </c>
      <c r="AD148" s="65" t="s">
        <v>23</v>
      </c>
      <c r="AE148" s="65" t="s">
        <v>24</v>
      </c>
      <c r="AK148" s="73">
        <v>49</v>
      </c>
      <c r="AO148" s="73">
        <v>49</v>
      </c>
      <c r="BA148" s="73">
        <v>97</v>
      </c>
      <c r="BE148" s="73">
        <v>97</v>
      </c>
      <c r="BO148" s="185" t="s">
        <v>126</v>
      </c>
      <c r="BP148" s="185" t="s">
        <v>3794</v>
      </c>
      <c r="BQ148" s="185" t="s">
        <v>3794</v>
      </c>
      <c r="BS148" s="73">
        <v>-48</v>
      </c>
      <c r="BW148" s="73">
        <v>-48</v>
      </c>
      <c r="BY148" s="185" t="s">
        <v>3794</v>
      </c>
      <c r="CJ148" t="s">
        <v>25</v>
      </c>
      <c r="CK148" t="s">
        <v>64</v>
      </c>
      <c r="CL148" t="s">
        <v>25</v>
      </c>
      <c r="CM148" t="s">
        <v>25</v>
      </c>
      <c r="CN148" t="s">
        <v>25</v>
      </c>
      <c r="CO148" t="s">
        <v>25</v>
      </c>
      <c r="CP148" t="s">
        <v>25</v>
      </c>
      <c r="CQ148" t="s">
        <v>25</v>
      </c>
      <c r="CR148" t="s">
        <v>25</v>
      </c>
      <c r="CS148" t="s">
        <v>25</v>
      </c>
      <c r="CT148" t="s">
        <v>25</v>
      </c>
      <c r="CU148" t="s">
        <v>25</v>
      </c>
      <c r="CV148" t="s">
        <v>25</v>
      </c>
      <c r="CW148" t="s">
        <v>25</v>
      </c>
      <c r="CX148" t="s">
        <v>64</v>
      </c>
      <c r="CY148" t="s">
        <v>25</v>
      </c>
      <c r="CZ148" t="s">
        <v>25</v>
      </c>
      <c r="DA148" t="s">
        <v>25</v>
      </c>
      <c r="DB148" t="s">
        <v>25</v>
      </c>
      <c r="DC148" t="s">
        <v>25</v>
      </c>
      <c r="DD148" t="s">
        <v>25</v>
      </c>
      <c r="DE148" t="s">
        <v>25</v>
      </c>
      <c r="DF148" t="s">
        <v>25</v>
      </c>
      <c r="DG148" t="s">
        <v>25</v>
      </c>
      <c r="DH148" t="s">
        <v>25</v>
      </c>
      <c r="DI148" t="s">
        <v>25</v>
      </c>
      <c r="DJ148" s="76">
        <v>3.0000000260770299E-3</v>
      </c>
      <c r="DK148" s="73">
        <v>49</v>
      </c>
      <c r="DL148" s="73">
        <v>97</v>
      </c>
      <c r="DM148" s="73">
        <v>-48</v>
      </c>
      <c r="DU148"/>
      <c r="DX148" s="65" t="s">
        <v>126</v>
      </c>
      <c r="DY148" t="s">
        <v>2907</v>
      </c>
      <c r="DZ148" s="73">
        <v>48</v>
      </c>
      <c r="EA148" s="73">
        <v>0</v>
      </c>
      <c r="EB148" s="73">
        <v>48</v>
      </c>
      <c r="EC148" s="65" t="s">
        <v>126</v>
      </c>
    </row>
    <row r="149" spans="1:133" ht="12" customHeight="1" x14ac:dyDescent="0.2">
      <c r="A149" t="s">
        <v>2935</v>
      </c>
      <c r="B149" t="s">
        <v>2946</v>
      </c>
      <c r="C149" t="str">
        <f t="shared" si="8"/>
        <v>Full</v>
      </c>
      <c r="E149" s="65">
        <v>2796</v>
      </c>
      <c r="F149" t="s">
        <v>1595</v>
      </c>
      <c r="G149" s="71" t="s">
        <v>3943</v>
      </c>
      <c r="H149" s="67">
        <v>0.42500001192092901</v>
      </c>
      <c r="I149" s="65">
        <v>526651</v>
      </c>
      <c r="J149" s="65">
        <v>175984</v>
      </c>
      <c r="K149" s="65" t="s">
        <v>1596</v>
      </c>
      <c r="L149" s="65" t="s">
        <v>544</v>
      </c>
      <c r="M149" s="65" t="s">
        <v>33</v>
      </c>
      <c r="N149" s="69">
        <v>42268</v>
      </c>
      <c r="O149" s="69">
        <v>42356</v>
      </c>
      <c r="Q149" s="69">
        <v>42318</v>
      </c>
      <c r="R149" s="65" t="s">
        <v>28</v>
      </c>
      <c r="U149" t="s">
        <v>770</v>
      </c>
      <c r="V149" t="s">
        <v>3135</v>
      </c>
      <c r="W149" s="65" t="s">
        <v>29</v>
      </c>
      <c r="X149" s="65" t="s">
        <v>29</v>
      </c>
      <c r="Y149" s="65" t="s">
        <v>30</v>
      </c>
      <c r="AA149" s="69">
        <v>42552</v>
      </c>
      <c r="AD149" s="65" t="s">
        <v>23</v>
      </c>
      <c r="AE149" s="65" t="s">
        <v>24</v>
      </c>
      <c r="AH149" s="69">
        <f t="shared" si="6"/>
        <v>42552</v>
      </c>
      <c r="BO149" s="185" t="s">
        <v>3794</v>
      </c>
      <c r="BP149" s="185" t="s">
        <v>3794</v>
      </c>
      <c r="BQ149" s="185" t="s">
        <v>3794</v>
      </c>
      <c r="BW149" s="73"/>
      <c r="BY149" s="185" t="s">
        <v>3794</v>
      </c>
      <c r="CJ149" t="s">
        <v>25</v>
      </c>
      <c r="CK149" t="s">
        <v>25</v>
      </c>
      <c r="CL149" t="s">
        <v>25</v>
      </c>
      <c r="CM149" t="s">
        <v>25</v>
      </c>
      <c r="CN149" t="s">
        <v>25</v>
      </c>
      <c r="CO149" t="s">
        <v>25</v>
      </c>
      <c r="CP149" t="s">
        <v>25</v>
      </c>
      <c r="CQ149" t="s">
        <v>25</v>
      </c>
      <c r="CR149" t="s">
        <v>25</v>
      </c>
      <c r="CS149" t="s">
        <v>25</v>
      </c>
      <c r="CT149" t="s">
        <v>25</v>
      </c>
      <c r="CU149" t="s">
        <v>25</v>
      </c>
      <c r="CV149" t="s">
        <v>25</v>
      </c>
      <c r="CW149" t="s">
        <v>25</v>
      </c>
      <c r="CX149" t="s">
        <v>25</v>
      </c>
      <c r="CY149" t="s">
        <v>25</v>
      </c>
      <c r="CZ149" t="s">
        <v>25</v>
      </c>
      <c r="DA149" t="s">
        <v>25</v>
      </c>
      <c r="DB149" t="s">
        <v>25</v>
      </c>
      <c r="DC149" t="s">
        <v>25</v>
      </c>
      <c r="DD149" t="s">
        <v>25</v>
      </c>
      <c r="DE149" t="s">
        <v>25</v>
      </c>
      <c r="DF149" t="s">
        <v>25</v>
      </c>
      <c r="DG149" t="s">
        <v>25</v>
      </c>
      <c r="DH149" t="s">
        <v>25</v>
      </c>
      <c r="DI149" t="s">
        <v>25</v>
      </c>
      <c r="DJ149" s="76">
        <v>1.0000006295740993E-2</v>
      </c>
      <c r="DK149" s="73">
        <v>8714</v>
      </c>
      <c r="DL149" s="73">
        <v>2160</v>
      </c>
      <c r="DM149" s="73">
        <v>6554</v>
      </c>
      <c r="DN149" s="65" t="s">
        <v>126</v>
      </c>
      <c r="DU149"/>
      <c r="DZ149" s="73">
        <v>18715</v>
      </c>
      <c r="EA149" s="73">
        <v>0</v>
      </c>
      <c r="EB149" s="73">
        <v>18715</v>
      </c>
      <c r="EC149" s="65" t="s">
        <v>126</v>
      </c>
    </row>
    <row r="150" spans="1:133" ht="12" customHeight="1" x14ac:dyDescent="0.2">
      <c r="A150" t="s">
        <v>2937</v>
      </c>
      <c r="B150" t="s">
        <v>2946</v>
      </c>
      <c r="C150" t="str">
        <f t="shared" si="8"/>
        <v>Full</v>
      </c>
      <c r="E150" s="65">
        <v>2806</v>
      </c>
      <c r="F150" t="s">
        <v>1597</v>
      </c>
      <c r="G150" s="71" t="s">
        <v>150</v>
      </c>
      <c r="H150" s="67">
        <v>2.9999999329447701E-2</v>
      </c>
      <c r="I150" s="65">
        <v>527890</v>
      </c>
      <c r="J150" s="65">
        <v>172265</v>
      </c>
      <c r="L150" s="65" t="s">
        <v>355</v>
      </c>
      <c r="M150" s="65" t="s">
        <v>27</v>
      </c>
      <c r="N150" s="69">
        <v>41786</v>
      </c>
      <c r="O150" s="69">
        <v>41842</v>
      </c>
      <c r="R150" s="65" t="s">
        <v>28</v>
      </c>
      <c r="U150" t="s">
        <v>356</v>
      </c>
      <c r="V150" t="s">
        <v>3136</v>
      </c>
      <c r="W150" s="65" t="s">
        <v>39</v>
      </c>
      <c r="X150" s="65" t="s">
        <v>39</v>
      </c>
      <c r="Y150" s="65" t="s">
        <v>69</v>
      </c>
      <c r="AD150" s="65" t="s">
        <v>23</v>
      </c>
      <c r="AE150" s="65" t="s">
        <v>24</v>
      </c>
      <c r="AL150" s="73">
        <v>75</v>
      </c>
      <c r="AO150" s="73">
        <v>75</v>
      </c>
      <c r="BO150" s="185" t="s">
        <v>126</v>
      </c>
      <c r="BP150" s="185" t="s">
        <v>3794</v>
      </c>
      <c r="BQ150" s="185" t="s">
        <v>3794</v>
      </c>
      <c r="BT150" s="73">
        <v>75</v>
      </c>
      <c r="BW150" s="73">
        <v>75</v>
      </c>
      <c r="BY150" s="185" t="s">
        <v>3794</v>
      </c>
      <c r="CJ150" t="s">
        <v>25</v>
      </c>
      <c r="CK150" t="s">
        <v>25</v>
      </c>
      <c r="CL150" t="s">
        <v>38</v>
      </c>
      <c r="CM150" t="s">
        <v>25</v>
      </c>
      <c r="CN150" t="s">
        <v>25</v>
      </c>
      <c r="CO150" t="s">
        <v>25</v>
      </c>
      <c r="CP150" t="s">
        <v>25</v>
      </c>
      <c r="CQ150" t="s">
        <v>25</v>
      </c>
      <c r="CR150" t="s">
        <v>25</v>
      </c>
      <c r="CS150" t="s">
        <v>25</v>
      </c>
      <c r="CT150" t="s">
        <v>25</v>
      </c>
      <c r="CU150" t="s">
        <v>25</v>
      </c>
      <c r="CV150" t="s">
        <v>25</v>
      </c>
      <c r="CW150" t="s">
        <v>25</v>
      </c>
      <c r="CX150" t="s">
        <v>25</v>
      </c>
      <c r="CY150" t="s">
        <v>25</v>
      </c>
      <c r="CZ150" t="s">
        <v>25</v>
      </c>
      <c r="DA150" t="s">
        <v>25</v>
      </c>
      <c r="DB150" t="s">
        <v>25</v>
      </c>
      <c r="DC150" t="s">
        <v>25</v>
      </c>
      <c r="DD150" t="s">
        <v>25</v>
      </c>
      <c r="DE150" t="s">
        <v>25</v>
      </c>
      <c r="DF150" t="s">
        <v>25</v>
      </c>
      <c r="DG150" t="s">
        <v>25</v>
      </c>
      <c r="DH150" t="s">
        <v>25</v>
      </c>
      <c r="DI150" t="s">
        <v>25</v>
      </c>
      <c r="DJ150" s="76">
        <v>2.9999999329447701E-2</v>
      </c>
      <c r="DK150" s="73">
        <v>75</v>
      </c>
      <c r="DL150" s="73">
        <v>0</v>
      </c>
      <c r="DM150" s="73">
        <v>75</v>
      </c>
      <c r="DU150"/>
      <c r="DZ150" s="73">
        <v>0</v>
      </c>
      <c r="EA150" s="73">
        <v>0</v>
      </c>
      <c r="EB150" s="73">
        <v>0</v>
      </c>
    </row>
    <row r="151" spans="1:133" ht="12" customHeight="1" x14ac:dyDescent="0.2">
      <c r="A151" t="s">
        <v>2935</v>
      </c>
      <c r="B151" t="s">
        <v>2946</v>
      </c>
      <c r="C151" t="str">
        <f t="shared" si="8"/>
        <v>Full</v>
      </c>
      <c r="E151" s="65">
        <v>2820</v>
      </c>
      <c r="F151" t="s">
        <v>1598</v>
      </c>
      <c r="G151" s="71" t="s">
        <v>2904</v>
      </c>
      <c r="H151" s="67">
        <v>8.9999996125698107E-3</v>
      </c>
      <c r="I151" s="65">
        <v>525961</v>
      </c>
      <c r="J151" s="65">
        <v>173072</v>
      </c>
      <c r="L151" s="65" t="s">
        <v>1111</v>
      </c>
      <c r="M151" s="65" t="s">
        <v>27</v>
      </c>
      <c r="N151" s="69">
        <v>42690</v>
      </c>
      <c r="O151" s="69">
        <v>42894</v>
      </c>
      <c r="P151" s="65" t="s">
        <v>126</v>
      </c>
      <c r="R151" s="65" t="s">
        <v>28</v>
      </c>
      <c r="U151" t="s">
        <v>1112</v>
      </c>
      <c r="V151" t="s">
        <v>3137</v>
      </c>
      <c r="W151" s="65" t="s">
        <v>39</v>
      </c>
      <c r="X151" s="65" t="s">
        <v>39</v>
      </c>
      <c r="Y151" s="65" t="s">
        <v>30</v>
      </c>
      <c r="AA151" s="69">
        <v>43190</v>
      </c>
      <c r="AD151" s="65" t="s">
        <v>23</v>
      </c>
      <c r="AE151" s="65" t="s">
        <v>24</v>
      </c>
      <c r="AH151" s="69">
        <f t="shared" si="6"/>
        <v>43190</v>
      </c>
      <c r="AJ151" s="73">
        <v>83</v>
      </c>
      <c r="AO151" s="73">
        <v>83</v>
      </c>
      <c r="AZ151" s="73">
        <v>57</v>
      </c>
      <c r="BE151" s="73">
        <v>57</v>
      </c>
      <c r="BO151" s="185" t="s">
        <v>126</v>
      </c>
      <c r="BP151" s="185" t="s">
        <v>3794</v>
      </c>
      <c r="BQ151" s="185" t="s">
        <v>3794</v>
      </c>
      <c r="BR151" s="73">
        <v>26</v>
      </c>
      <c r="BW151" s="73">
        <v>26</v>
      </c>
      <c r="BY151" s="185" t="s">
        <v>3794</v>
      </c>
      <c r="CJ151" t="s">
        <v>31</v>
      </c>
      <c r="CK151" t="s">
        <v>25</v>
      </c>
      <c r="CL151" t="s">
        <v>25</v>
      </c>
      <c r="CM151" t="s">
        <v>25</v>
      </c>
      <c r="CN151" t="s">
        <v>25</v>
      </c>
      <c r="CO151" t="s">
        <v>25</v>
      </c>
      <c r="CP151" t="s">
        <v>25</v>
      </c>
      <c r="CQ151" t="s">
        <v>25</v>
      </c>
      <c r="CR151" t="s">
        <v>25</v>
      </c>
      <c r="CS151" t="s">
        <v>25</v>
      </c>
      <c r="CT151" t="s">
        <v>25</v>
      </c>
      <c r="CU151" t="s">
        <v>25</v>
      </c>
      <c r="CV151" t="s">
        <v>25</v>
      </c>
      <c r="CW151" t="s">
        <v>31</v>
      </c>
      <c r="CX151" t="s">
        <v>25</v>
      </c>
      <c r="CY151" t="s">
        <v>25</v>
      </c>
      <c r="CZ151" t="s">
        <v>25</v>
      </c>
      <c r="DA151" t="s">
        <v>25</v>
      </c>
      <c r="DB151" t="s">
        <v>25</v>
      </c>
      <c r="DC151" t="s">
        <v>25</v>
      </c>
      <c r="DD151" t="s">
        <v>25</v>
      </c>
      <c r="DE151" t="s">
        <v>25</v>
      </c>
      <c r="DF151" t="s">
        <v>25</v>
      </c>
      <c r="DG151" t="s">
        <v>25</v>
      </c>
      <c r="DH151" t="s">
        <v>25</v>
      </c>
      <c r="DI151" t="s">
        <v>25</v>
      </c>
      <c r="DJ151" s="76">
        <v>1.9999993965029708E-3</v>
      </c>
      <c r="DK151" s="73">
        <v>83</v>
      </c>
      <c r="DL151" s="73">
        <v>57</v>
      </c>
      <c r="DM151" s="73">
        <v>26</v>
      </c>
      <c r="DU151"/>
      <c r="DX151" s="65" t="s">
        <v>126</v>
      </c>
      <c r="DY151" t="s">
        <v>2904</v>
      </c>
      <c r="DZ151" s="73">
        <v>102</v>
      </c>
      <c r="EA151" s="73">
        <v>0</v>
      </c>
      <c r="EB151" s="73">
        <v>102</v>
      </c>
      <c r="EC151" s="65" t="s">
        <v>126</v>
      </c>
    </row>
    <row r="152" spans="1:133" ht="12" customHeight="1" x14ac:dyDescent="0.2">
      <c r="A152" t="s">
        <v>2935</v>
      </c>
      <c r="B152" t="s">
        <v>2946</v>
      </c>
      <c r="C152" t="str">
        <f t="shared" si="8"/>
        <v>Full</v>
      </c>
      <c r="E152" s="65">
        <v>2860</v>
      </c>
      <c r="F152" t="s">
        <v>1602</v>
      </c>
      <c r="G152" s="71" t="s">
        <v>3940</v>
      </c>
      <c r="H152" s="67">
        <v>1.9099999666214</v>
      </c>
      <c r="I152" s="65">
        <v>522009</v>
      </c>
      <c r="J152" s="65">
        <v>175229</v>
      </c>
      <c r="L152" s="65" t="s">
        <v>396</v>
      </c>
      <c r="M152" s="65" t="s">
        <v>27</v>
      </c>
      <c r="N152" s="69">
        <v>41732</v>
      </c>
      <c r="O152" s="69">
        <v>41788</v>
      </c>
      <c r="R152" s="65" t="s">
        <v>28</v>
      </c>
      <c r="U152" t="s">
        <v>397</v>
      </c>
      <c r="V152" t="s">
        <v>3138</v>
      </c>
      <c r="W152" s="65" t="s">
        <v>29</v>
      </c>
      <c r="X152" s="65" t="s">
        <v>29</v>
      </c>
      <c r="Y152" s="65" t="s">
        <v>30</v>
      </c>
      <c r="AA152" s="69">
        <v>42109</v>
      </c>
      <c r="AD152" s="65" t="s">
        <v>23</v>
      </c>
      <c r="AE152" s="65" t="s">
        <v>24</v>
      </c>
      <c r="AH152" s="69">
        <f t="shared" si="6"/>
        <v>42109</v>
      </c>
      <c r="AX152" s="73">
        <v>30</v>
      </c>
      <c r="AY152" s="73">
        <v>30</v>
      </c>
      <c r="BO152" s="185" t="s">
        <v>3794</v>
      </c>
      <c r="BP152" s="185" t="s">
        <v>3794</v>
      </c>
      <c r="BQ152" s="185" t="s">
        <v>126</v>
      </c>
      <c r="BW152" s="73"/>
      <c r="BY152" s="185" t="s">
        <v>3794</v>
      </c>
      <c r="CH152" s="73">
        <v>30</v>
      </c>
      <c r="CI152" s="73">
        <v>30</v>
      </c>
      <c r="CJ152" t="s">
        <v>25</v>
      </c>
      <c r="CK152" t="s">
        <v>25</v>
      </c>
      <c r="CL152" t="s">
        <v>25</v>
      </c>
      <c r="CM152" t="s">
        <v>25</v>
      </c>
      <c r="CN152" t="s">
        <v>25</v>
      </c>
      <c r="CO152" t="s">
        <v>25</v>
      </c>
      <c r="CP152" t="s">
        <v>25</v>
      </c>
      <c r="CQ152" t="s">
        <v>25</v>
      </c>
      <c r="CR152" t="s">
        <v>25</v>
      </c>
      <c r="CS152" t="s">
        <v>25</v>
      </c>
      <c r="CT152" t="s">
        <v>25</v>
      </c>
      <c r="CU152" t="s">
        <v>25</v>
      </c>
      <c r="CV152" t="s">
        <v>44</v>
      </c>
      <c r="CW152" t="s">
        <v>25</v>
      </c>
      <c r="CX152" t="s">
        <v>25</v>
      </c>
      <c r="CY152" t="s">
        <v>25</v>
      </c>
      <c r="CZ152" t="s">
        <v>25</v>
      </c>
      <c r="DA152" t="s">
        <v>25</v>
      </c>
      <c r="DB152" t="s">
        <v>25</v>
      </c>
      <c r="DC152" t="s">
        <v>25</v>
      </c>
      <c r="DD152" t="s">
        <v>25</v>
      </c>
      <c r="DE152" t="s">
        <v>25</v>
      </c>
      <c r="DF152" t="s">
        <v>25</v>
      </c>
      <c r="DG152" t="s">
        <v>25</v>
      </c>
      <c r="DH152" t="s">
        <v>25</v>
      </c>
      <c r="DI152" t="s">
        <v>25</v>
      </c>
      <c r="DJ152" s="76">
        <v>1.9099999666214</v>
      </c>
      <c r="DK152" s="73">
        <v>30</v>
      </c>
      <c r="DL152" s="73">
        <v>0</v>
      </c>
      <c r="DM152" s="73">
        <v>30</v>
      </c>
      <c r="DU152"/>
      <c r="DZ152" s="73">
        <v>0</v>
      </c>
      <c r="EA152" s="73">
        <v>0</v>
      </c>
      <c r="EB152" s="73">
        <v>0</v>
      </c>
    </row>
    <row r="153" spans="1:133" ht="12" customHeight="1" x14ac:dyDescent="0.2">
      <c r="A153" t="s">
        <v>2936</v>
      </c>
      <c r="B153" t="s">
        <v>2946</v>
      </c>
      <c r="C153" t="str">
        <f t="shared" si="8"/>
        <v>Full</v>
      </c>
      <c r="D153" t="s">
        <v>2943</v>
      </c>
      <c r="E153" s="65">
        <v>2860</v>
      </c>
      <c r="F153" t="s">
        <v>1602</v>
      </c>
      <c r="G153" s="71" t="s">
        <v>3940</v>
      </c>
      <c r="H153" s="67">
        <v>1.9099999666214</v>
      </c>
      <c r="I153" s="65">
        <v>522009</v>
      </c>
      <c r="J153" s="65">
        <v>175229</v>
      </c>
      <c r="L153" s="65" t="s">
        <v>949</v>
      </c>
      <c r="M153" s="65" t="s">
        <v>27</v>
      </c>
      <c r="N153" s="69">
        <v>42538</v>
      </c>
      <c r="O153" s="69">
        <v>42593</v>
      </c>
      <c r="R153" s="65" t="s">
        <v>28</v>
      </c>
      <c r="U153" t="s">
        <v>950</v>
      </c>
      <c r="V153" t="s">
        <v>3139</v>
      </c>
      <c r="W153" s="65" t="s">
        <v>29</v>
      </c>
      <c r="X153" s="65" t="s">
        <v>29</v>
      </c>
      <c r="Y153" s="65" t="s">
        <v>35</v>
      </c>
      <c r="AA153" s="69">
        <v>42825</v>
      </c>
      <c r="AB153" s="69">
        <v>43081</v>
      </c>
      <c r="AC153" s="69">
        <v>43081</v>
      </c>
      <c r="AD153" s="65" t="s">
        <v>23</v>
      </c>
      <c r="AE153" s="65" t="s">
        <v>24</v>
      </c>
      <c r="AH153" s="69">
        <f t="shared" si="6"/>
        <v>42825</v>
      </c>
      <c r="AI153" s="69">
        <f t="shared" si="7"/>
        <v>43081</v>
      </c>
      <c r="AX153" s="73">
        <v>213</v>
      </c>
      <c r="AY153" s="73">
        <v>213</v>
      </c>
      <c r="BO153" s="185" t="s">
        <v>3794</v>
      </c>
      <c r="BP153" s="185" t="s">
        <v>3794</v>
      </c>
      <c r="BQ153" s="185" t="s">
        <v>126</v>
      </c>
      <c r="BW153" s="73"/>
      <c r="BY153" s="185" t="s">
        <v>3794</v>
      </c>
      <c r="CH153" s="73">
        <v>213</v>
      </c>
      <c r="CI153" s="73">
        <v>213</v>
      </c>
      <c r="CJ153" t="s">
        <v>25</v>
      </c>
      <c r="CK153" t="s">
        <v>25</v>
      </c>
      <c r="CL153" t="s">
        <v>25</v>
      </c>
      <c r="CM153" t="s">
        <v>25</v>
      </c>
      <c r="CN153" t="s">
        <v>25</v>
      </c>
      <c r="CO153" t="s">
        <v>25</v>
      </c>
      <c r="CP153" t="s">
        <v>25</v>
      </c>
      <c r="CQ153" t="s">
        <v>25</v>
      </c>
      <c r="CR153" t="s">
        <v>25</v>
      </c>
      <c r="CS153" t="s">
        <v>25</v>
      </c>
      <c r="CT153" t="s">
        <v>25</v>
      </c>
      <c r="CU153" t="s">
        <v>25</v>
      </c>
      <c r="CV153" t="s">
        <v>44</v>
      </c>
      <c r="CW153" t="s">
        <v>25</v>
      </c>
      <c r="CX153" t="s">
        <v>25</v>
      </c>
      <c r="CY153" t="s">
        <v>25</v>
      </c>
      <c r="CZ153" t="s">
        <v>25</v>
      </c>
      <c r="DA153" t="s">
        <v>25</v>
      </c>
      <c r="DB153" t="s">
        <v>25</v>
      </c>
      <c r="DC153" t="s">
        <v>25</v>
      </c>
      <c r="DD153" t="s">
        <v>25</v>
      </c>
      <c r="DE153" t="s">
        <v>25</v>
      </c>
      <c r="DF153" t="s">
        <v>25</v>
      </c>
      <c r="DG153" t="s">
        <v>25</v>
      </c>
      <c r="DH153" t="s">
        <v>25</v>
      </c>
      <c r="DI153" t="s">
        <v>25</v>
      </c>
      <c r="DJ153" s="76">
        <v>1.9099999666214</v>
      </c>
      <c r="DK153" s="73">
        <v>213</v>
      </c>
      <c r="DL153" s="73">
        <v>0</v>
      </c>
      <c r="DM153" s="73">
        <v>213</v>
      </c>
      <c r="DU153"/>
      <c r="DZ153" s="73">
        <v>0</v>
      </c>
      <c r="EA153" s="73">
        <v>0</v>
      </c>
      <c r="EB153" s="73">
        <v>0</v>
      </c>
    </row>
    <row r="154" spans="1:133" ht="12" customHeight="1" x14ac:dyDescent="0.2">
      <c r="A154" t="s">
        <v>2937</v>
      </c>
      <c r="B154" t="s">
        <v>2946</v>
      </c>
      <c r="C154" t="str">
        <f t="shared" si="8"/>
        <v>Full</v>
      </c>
      <c r="E154" s="65">
        <v>2860</v>
      </c>
      <c r="F154" t="s">
        <v>1602</v>
      </c>
      <c r="G154" s="71" t="s">
        <v>3940</v>
      </c>
      <c r="H154" s="67">
        <v>1.9099999666214</v>
      </c>
      <c r="I154" s="65">
        <v>522009</v>
      </c>
      <c r="J154" s="65">
        <v>175229</v>
      </c>
      <c r="L154" s="65" t="s">
        <v>1603</v>
      </c>
      <c r="M154" s="65" t="s">
        <v>27</v>
      </c>
      <c r="N154" s="69">
        <v>43017</v>
      </c>
      <c r="O154" s="69">
        <v>43167</v>
      </c>
      <c r="P154" s="65" t="s">
        <v>126</v>
      </c>
      <c r="R154" s="65" t="s">
        <v>28</v>
      </c>
      <c r="U154" t="s">
        <v>1604</v>
      </c>
      <c r="V154" t="s">
        <v>3140</v>
      </c>
      <c r="W154" s="65" t="s">
        <v>29</v>
      </c>
      <c r="X154" s="65" t="s">
        <v>29</v>
      </c>
      <c r="Y154" s="65" t="s">
        <v>69</v>
      </c>
      <c r="AD154" s="65" t="s">
        <v>23</v>
      </c>
      <c r="AE154" s="65" t="s">
        <v>73</v>
      </c>
      <c r="AX154" s="73">
        <v>1973</v>
      </c>
      <c r="AY154" s="73">
        <v>1973</v>
      </c>
      <c r="BM154" s="73">
        <v>1812</v>
      </c>
      <c r="BN154" s="73">
        <v>1812</v>
      </c>
      <c r="BO154" s="185" t="s">
        <v>3794</v>
      </c>
      <c r="BP154" s="185" t="s">
        <v>3794</v>
      </c>
      <c r="BQ154" s="185" t="s">
        <v>126</v>
      </c>
      <c r="BW154" s="73"/>
      <c r="BY154" s="185" t="s">
        <v>3794</v>
      </c>
      <c r="CH154" s="73">
        <v>161</v>
      </c>
      <c r="CI154" s="73">
        <v>161</v>
      </c>
      <c r="CJ154" t="s">
        <v>25</v>
      </c>
      <c r="CK154" t="s">
        <v>25</v>
      </c>
      <c r="CL154" t="s">
        <v>25</v>
      </c>
      <c r="CM154" t="s">
        <v>25</v>
      </c>
      <c r="CN154" t="s">
        <v>25</v>
      </c>
      <c r="CO154" t="s">
        <v>25</v>
      </c>
      <c r="CP154" t="s">
        <v>25</v>
      </c>
      <c r="CQ154" t="s">
        <v>25</v>
      </c>
      <c r="CR154" t="s">
        <v>25</v>
      </c>
      <c r="CS154" t="s">
        <v>25</v>
      </c>
      <c r="CT154" t="s">
        <v>25</v>
      </c>
      <c r="CU154" t="s">
        <v>25</v>
      </c>
      <c r="CV154" t="s">
        <v>44</v>
      </c>
      <c r="CW154" t="s">
        <v>25</v>
      </c>
      <c r="CX154" t="s">
        <v>25</v>
      </c>
      <c r="CY154" t="s">
        <v>25</v>
      </c>
      <c r="CZ154" t="s">
        <v>25</v>
      </c>
      <c r="DA154" t="s">
        <v>25</v>
      </c>
      <c r="DB154" t="s">
        <v>25</v>
      </c>
      <c r="DC154" t="s">
        <v>25</v>
      </c>
      <c r="DD154" t="s">
        <v>25</v>
      </c>
      <c r="DE154" t="s">
        <v>25</v>
      </c>
      <c r="DF154" t="s">
        <v>25</v>
      </c>
      <c r="DG154" t="s">
        <v>25</v>
      </c>
      <c r="DH154" t="s">
        <v>25</v>
      </c>
      <c r="DI154" t="s">
        <v>44</v>
      </c>
      <c r="DJ154" s="76">
        <v>1.9099999666214</v>
      </c>
      <c r="DK154" s="73">
        <v>1973</v>
      </c>
      <c r="DL154" s="73">
        <v>1812</v>
      </c>
      <c r="DM154" s="73">
        <v>161</v>
      </c>
      <c r="DU154"/>
      <c r="DZ154" s="73">
        <v>0</v>
      </c>
      <c r="EA154" s="73">
        <v>0</v>
      </c>
      <c r="EB154" s="73">
        <v>0</v>
      </c>
    </row>
    <row r="155" spans="1:133" ht="12" customHeight="1" x14ac:dyDescent="0.2">
      <c r="A155" t="s">
        <v>2936</v>
      </c>
      <c r="B155" t="s">
        <v>2946</v>
      </c>
      <c r="C155" t="str">
        <f t="shared" si="8"/>
        <v>Full</v>
      </c>
      <c r="D155" t="s">
        <v>2942</v>
      </c>
      <c r="E155" s="65">
        <v>2868</v>
      </c>
      <c r="F155" t="s">
        <v>1605</v>
      </c>
      <c r="G155" s="71" t="s">
        <v>3953</v>
      </c>
      <c r="H155" s="67">
        <v>6.3899998664856001</v>
      </c>
      <c r="I155" s="65">
        <v>526756</v>
      </c>
      <c r="J155" s="65">
        <v>173918</v>
      </c>
      <c r="K155" s="65" t="s">
        <v>1606</v>
      </c>
      <c r="L155" s="65" t="s">
        <v>1607</v>
      </c>
      <c r="M155" s="65" t="s">
        <v>27</v>
      </c>
      <c r="N155" s="69">
        <v>42591</v>
      </c>
      <c r="O155" s="69">
        <v>42921</v>
      </c>
      <c r="P155" s="65" t="s">
        <v>126</v>
      </c>
      <c r="R155" s="65" t="s">
        <v>28</v>
      </c>
      <c r="U155" t="s">
        <v>1608</v>
      </c>
      <c r="V155" t="s">
        <v>3141</v>
      </c>
      <c r="W155" s="65" t="s">
        <v>1609</v>
      </c>
      <c r="X155" s="65" t="s">
        <v>29</v>
      </c>
      <c r="Y155" s="65" t="s">
        <v>22</v>
      </c>
      <c r="Z155" s="69">
        <v>43190</v>
      </c>
      <c r="AB155" s="69">
        <v>43190</v>
      </c>
      <c r="AD155" s="65" t="s">
        <v>23</v>
      </c>
      <c r="AE155" s="65" t="s">
        <v>24</v>
      </c>
      <c r="AI155" s="69">
        <f t="shared" si="7"/>
        <v>43190</v>
      </c>
      <c r="BO155" s="185" t="s">
        <v>3794</v>
      </c>
      <c r="BP155" s="185" t="s">
        <v>3794</v>
      </c>
      <c r="BQ155" s="185" t="s">
        <v>3794</v>
      </c>
      <c r="BW155" s="73"/>
      <c r="BY155" s="185" t="s">
        <v>3794</v>
      </c>
      <c r="CJ155" t="s">
        <v>25</v>
      </c>
      <c r="CK155" t="s">
        <v>25</v>
      </c>
      <c r="CL155" t="s">
        <v>25</v>
      </c>
      <c r="CM155" t="s">
        <v>25</v>
      </c>
      <c r="CN155" t="s">
        <v>25</v>
      </c>
      <c r="CO155" t="s">
        <v>25</v>
      </c>
      <c r="CP155" t="s">
        <v>25</v>
      </c>
      <c r="CQ155" t="s">
        <v>25</v>
      </c>
      <c r="CR155" t="s">
        <v>25</v>
      </c>
      <c r="CS155" t="s">
        <v>25</v>
      </c>
      <c r="CT155" t="s">
        <v>25</v>
      </c>
      <c r="CU155" t="s">
        <v>25</v>
      </c>
      <c r="CV155" t="s">
        <v>25</v>
      </c>
      <c r="CW155" t="s">
        <v>25</v>
      </c>
      <c r="CX155" t="s">
        <v>25</v>
      </c>
      <c r="CY155" t="s">
        <v>25</v>
      </c>
      <c r="CZ155" t="s">
        <v>25</v>
      </c>
      <c r="DA155" t="s">
        <v>25</v>
      </c>
      <c r="DB155" t="s">
        <v>25</v>
      </c>
      <c r="DC155" t="s">
        <v>25</v>
      </c>
      <c r="DD155" t="s">
        <v>25</v>
      </c>
      <c r="DE155" t="s">
        <v>25</v>
      </c>
      <c r="DF155" t="s">
        <v>25</v>
      </c>
      <c r="DG155" t="s">
        <v>25</v>
      </c>
      <c r="DH155" t="s">
        <v>25</v>
      </c>
      <c r="DI155" t="s">
        <v>25</v>
      </c>
      <c r="DJ155" s="76">
        <v>6.3899998664856001</v>
      </c>
      <c r="DK155" s="73">
        <v>0</v>
      </c>
      <c r="DL155" s="73">
        <v>1320</v>
      </c>
      <c r="DM155" s="73">
        <v>-1320</v>
      </c>
      <c r="DU155"/>
      <c r="DZ155" s="73">
        <v>0</v>
      </c>
      <c r="EA155" s="73">
        <v>0</v>
      </c>
      <c r="EB155" s="73">
        <v>0</v>
      </c>
    </row>
    <row r="156" spans="1:133" ht="12" customHeight="1" x14ac:dyDescent="0.2">
      <c r="A156" t="s">
        <v>2937</v>
      </c>
      <c r="B156" t="s">
        <v>2946</v>
      </c>
      <c r="C156" t="str">
        <f t="shared" si="8"/>
        <v>Full</v>
      </c>
      <c r="E156" s="65">
        <v>2868</v>
      </c>
      <c r="F156" t="s">
        <v>1605</v>
      </c>
      <c r="G156" s="71" t="s">
        <v>3953</v>
      </c>
      <c r="H156" s="67">
        <v>6.3899998664856001</v>
      </c>
      <c r="I156" s="65">
        <v>526756</v>
      </c>
      <c r="J156" s="65">
        <v>173918</v>
      </c>
      <c r="K156" s="65" t="s">
        <v>1606</v>
      </c>
      <c r="L156" s="65" t="s">
        <v>1610</v>
      </c>
      <c r="M156" s="65" t="s">
        <v>27</v>
      </c>
      <c r="N156" s="69">
        <v>42983</v>
      </c>
      <c r="O156" s="69">
        <v>43039</v>
      </c>
      <c r="P156" s="65" t="s">
        <v>126</v>
      </c>
      <c r="R156" s="65" t="s">
        <v>28</v>
      </c>
      <c r="U156" t="s">
        <v>1611</v>
      </c>
      <c r="V156" t="s">
        <v>3142</v>
      </c>
      <c r="W156" s="65" t="s">
        <v>39</v>
      </c>
      <c r="X156" s="65" t="s">
        <v>39</v>
      </c>
      <c r="Y156" s="65" t="s">
        <v>69</v>
      </c>
      <c r="AD156" s="65" t="s">
        <v>23</v>
      </c>
      <c r="AE156" s="65" t="s">
        <v>24</v>
      </c>
      <c r="BO156" s="185" t="s">
        <v>3794</v>
      </c>
      <c r="BP156" s="185" t="s">
        <v>3794</v>
      </c>
      <c r="BQ156" s="185" t="s">
        <v>3794</v>
      </c>
      <c r="BW156" s="73"/>
      <c r="BY156" s="185" t="s">
        <v>3794</v>
      </c>
      <c r="CJ156" t="s">
        <v>25</v>
      </c>
      <c r="CK156" t="s">
        <v>25</v>
      </c>
      <c r="CL156" t="s">
        <v>25</v>
      </c>
      <c r="CM156" t="s">
        <v>25</v>
      </c>
      <c r="CN156" t="s">
        <v>25</v>
      </c>
      <c r="CO156" t="s">
        <v>25</v>
      </c>
      <c r="CP156" t="s">
        <v>25</v>
      </c>
      <c r="CQ156" t="s">
        <v>25</v>
      </c>
      <c r="CR156" t="s">
        <v>25</v>
      </c>
      <c r="CS156" t="s">
        <v>25</v>
      </c>
      <c r="CT156" t="s">
        <v>25</v>
      </c>
      <c r="CU156" t="s">
        <v>25</v>
      </c>
      <c r="CV156" t="s">
        <v>25</v>
      </c>
      <c r="CW156" t="s">
        <v>25</v>
      </c>
      <c r="CX156" t="s">
        <v>25</v>
      </c>
      <c r="CY156" t="s">
        <v>25</v>
      </c>
      <c r="CZ156" t="s">
        <v>25</v>
      </c>
      <c r="DA156" t="s">
        <v>25</v>
      </c>
      <c r="DB156" t="s">
        <v>25</v>
      </c>
      <c r="DC156" t="s">
        <v>25</v>
      </c>
      <c r="DD156" t="s">
        <v>25</v>
      </c>
      <c r="DE156" t="s">
        <v>25</v>
      </c>
      <c r="DF156" t="s">
        <v>25</v>
      </c>
      <c r="DG156" t="s">
        <v>25</v>
      </c>
      <c r="DH156" t="s">
        <v>25</v>
      </c>
      <c r="DI156" t="s">
        <v>25</v>
      </c>
      <c r="DJ156" s="76">
        <v>6.3899998664856001</v>
      </c>
      <c r="DK156" s="73">
        <v>15</v>
      </c>
      <c r="DL156" s="73">
        <v>0</v>
      </c>
      <c r="DM156" s="73">
        <v>15</v>
      </c>
      <c r="DU156"/>
      <c r="DZ156" s="73">
        <v>0</v>
      </c>
      <c r="EA156" s="73">
        <v>0</v>
      </c>
      <c r="EB156" s="73">
        <v>0</v>
      </c>
    </row>
    <row r="157" spans="1:133" ht="12" customHeight="1" x14ac:dyDescent="0.2">
      <c r="A157" t="s">
        <v>2937</v>
      </c>
      <c r="B157" t="s">
        <v>2946</v>
      </c>
      <c r="C157" t="str">
        <f t="shared" si="8"/>
        <v>Full</v>
      </c>
      <c r="E157" s="65">
        <v>2869</v>
      </c>
      <c r="F157" t="s">
        <v>1612</v>
      </c>
      <c r="G157" s="71" t="s">
        <v>3939</v>
      </c>
      <c r="H157" s="67">
        <v>0.109999999403954</v>
      </c>
      <c r="I157" s="65">
        <v>524296</v>
      </c>
      <c r="J157" s="65">
        <v>174108</v>
      </c>
      <c r="L157" s="65" t="s">
        <v>1613</v>
      </c>
      <c r="M157" s="65" t="s">
        <v>27</v>
      </c>
      <c r="N157" s="69">
        <v>42943</v>
      </c>
      <c r="O157" s="69">
        <v>42999</v>
      </c>
      <c r="P157" s="65" t="s">
        <v>126</v>
      </c>
      <c r="R157" s="65" t="s">
        <v>28</v>
      </c>
      <c r="U157" t="s">
        <v>1614</v>
      </c>
      <c r="V157" t="s">
        <v>3143</v>
      </c>
      <c r="W157" s="65" t="s">
        <v>39</v>
      </c>
      <c r="X157" s="65" t="s">
        <v>39</v>
      </c>
      <c r="Y157" s="65" t="s">
        <v>69</v>
      </c>
      <c r="AD157" s="65" t="s">
        <v>23</v>
      </c>
      <c r="AE157" s="65" t="s">
        <v>24</v>
      </c>
      <c r="AW157" s="73">
        <v>50</v>
      </c>
      <c r="AY157" s="73">
        <v>50</v>
      </c>
      <c r="BO157" s="185" t="s">
        <v>3794</v>
      </c>
      <c r="BP157" s="185" t="s">
        <v>3794</v>
      </c>
      <c r="BQ157" s="185" t="s">
        <v>126</v>
      </c>
      <c r="BW157" s="73"/>
      <c r="BY157" s="185" t="s">
        <v>3794</v>
      </c>
      <c r="CG157" s="73">
        <v>50</v>
      </c>
      <c r="CI157" s="73">
        <v>50</v>
      </c>
      <c r="CJ157" t="s">
        <v>25</v>
      </c>
      <c r="CK157" t="s">
        <v>25</v>
      </c>
      <c r="CL157" t="s">
        <v>25</v>
      </c>
      <c r="CM157" t="s">
        <v>25</v>
      </c>
      <c r="CN157" t="s">
        <v>25</v>
      </c>
      <c r="CO157" t="s">
        <v>25</v>
      </c>
      <c r="CP157" t="s">
        <v>25</v>
      </c>
      <c r="CQ157" t="s">
        <v>25</v>
      </c>
      <c r="CR157" t="s">
        <v>25</v>
      </c>
      <c r="CS157" t="s">
        <v>25</v>
      </c>
      <c r="CT157" t="s">
        <v>25</v>
      </c>
      <c r="CU157" t="s">
        <v>49</v>
      </c>
      <c r="CV157" t="s">
        <v>25</v>
      </c>
      <c r="CW157" t="s">
        <v>25</v>
      </c>
      <c r="CX157" t="s">
        <v>25</v>
      </c>
      <c r="CY157" t="s">
        <v>25</v>
      </c>
      <c r="CZ157" t="s">
        <v>25</v>
      </c>
      <c r="DA157" t="s">
        <v>25</v>
      </c>
      <c r="DB157" t="s">
        <v>25</v>
      </c>
      <c r="DC157" t="s">
        <v>25</v>
      </c>
      <c r="DD157" t="s">
        <v>25</v>
      </c>
      <c r="DE157" t="s">
        <v>25</v>
      </c>
      <c r="DF157" t="s">
        <v>25</v>
      </c>
      <c r="DG157" t="s">
        <v>25</v>
      </c>
      <c r="DH157" t="s">
        <v>25</v>
      </c>
      <c r="DI157" t="s">
        <v>25</v>
      </c>
      <c r="DJ157" s="76">
        <v>0.109999999403954</v>
      </c>
      <c r="DK157" s="73">
        <v>50</v>
      </c>
      <c r="DL157" s="73">
        <v>0</v>
      </c>
      <c r="DM157" s="73">
        <v>50</v>
      </c>
      <c r="DU157"/>
      <c r="DZ157" s="73">
        <v>0</v>
      </c>
      <c r="EA157" s="73">
        <v>0</v>
      </c>
      <c r="EB157" s="73">
        <v>0</v>
      </c>
    </row>
    <row r="158" spans="1:133" ht="12" customHeight="1" x14ac:dyDescent="0.2">
      <c r="A158" t="s">
        <v>2936</v>
      </c>
      <c r="B158" t="s">
        <v>2946</v>
      </c>
      <c r="C158" t="str">
        <f t="shared" si="8"/>
        <v>Full</v>
      </c>
      <c r="D158" t="s">
        <v>2943</v>
      </c>
      <c r="E158" s="65">
        <v>2888</v>
      </c>
      <c r="F158" t="s">
        <v>1615</v>
      </c>
      <c r="G158" s="71" t="s">
        <v>3951</v>
      </c>
      <c r="H158" s="67">
        <v>0.56599998474121105</v>
      </c>
      <c r="I158" s="65">
        <v>527250</v>
      </c>
      <c r="J158" s="65">
        <v>171063</v>
      </c>
      <c r="K158" s="65" t="s">
        <v>1616</v>
      </c>
      <c r="L158" s="65" t="s">
        <v>628</v>
      </c>
      <c r="M158" s="65" t="s">
        <v>27</v>
      </c>
      <c r="N158" s="69">
        <v>42438</v>
      </c>
      <c r="O158" s="69">
        <v>42471</v>
      </c>
      <c r="R158" s="65" t="s">
        <v>28</v>
      </c>
      <c r="U158" t="s">
        <v>629</v>
      </c>
      <c r="V158" t="s">
        <v>3144</v>
      </c>
      <c r="W158" s="65" t="s">
        <v>21</v>
      </c>
      <c r="X158" s="65" t="s">
        <v>21</v>
      </c>
      <c r="Y158" s="65" t="s">
        <v>35</v>
      </c>
      <c r="AA158" s="69">
        <v>42826</v>
      </c>
      <c r="AB158" s="69">
        <v>43190</v>
      </c>
      <c r="AC158" s="69">
        <v>43190</v>
      </c>
      <c r="AD158" s="65" t="s">
        <v>23</v>
      </c>
      <c r="AE158" s="65" t="s">
        <v>24</v>
      </c>
      <c r="AH158" s="69">
        <f t="shared" si="6"/>
        <v>42826</v>
      </c>
      <c r="AI158" s="69">
        <f t="shared" si="7"/>
        <v>43190</v>
      </c>
      <c r="AW158" s="73">
        <v>180</v>
      </c>
      <c r="AY158" s="73">
        <v>180</v>
      </c>
      <c r="AZ158" s="73">
        <v>180</v>
      </c>
      <c r="BE158" s="73">
        <v>180</v>
      </c>
      <c r="BO158" s="185" t="s">
        <v>126</v>
      </c>
      <c r="BP158" s="185" t="s">
        <v>3794</v>
      </c>
      <c r="BQ158" s="185" t="s">
        <v>126</v>
      </c>
      <c r="BR158" s="73">
        <v>-180</v>
      </c>
      <c r="BW158" s="73">
        <v>-180</v>
      </c>
      <c r="BY158" s="185" t="s">
        <v>3794</v>
      </c>
      <c r="CG158" s="73">
        <v>180</v>
      </c>
      <c r="CI158" s="73">
        <v>180</v>
      </c>
      <c r="CJ158" t="s">
        <v>25</v>
      </c>
      <c r="CK158" t="s">
        <v>25</v>
      </c>
      <c r="CL158" t="s">
        <v>25</v>
      </c>
      <c r="CM158" t="s">
        <v>25</v>
      </c>
      <c r="CN158" t="s">
        <v>25</v>
      </c>
      <c r="CO158" t="s">
        <v>25</v>
      </c>
      <c r="CP158" t="s">
        <v>25</v>
      </c>
      <c r="CQ158" t="s">
        <v>25</v>
      </c>
      <c r="CR158" t="s">
        <v>25</v>
      </c>
      <c r="CS158" t="s">
        <v>25</v>
      </c>
      <c r="CT158" t="s">
        <v>25</v>
      </c>
      <c r="CU158" t="s">
        <v>49</v>
      </c>
      <c r="CV158" t="s">
        <v>25</v>
      </c>
      <c r="CW158" t="s">
        <v>47</v>
      </c>
      <c r="CX158" t="s">
        <v>25</v>
      </c>
      <c r="CY158" t="s">
        <v>25</v>
      </c>
      <c r="CZ158" t="s">
        <v>25</v>
      </c>
      <c r="DA158" t="s">
        <v>25</v>
      </c>
      <c r="DB158" t="s">
        <v>25</v>
      </c>
      <c r="DC158" t="s">
        <v>25</v>
      </c>
      <c r="DD158" t="s">
        <v>25</v>
      </c>
      <c r="DE158" t="s">
        <v>25</v>
      </c>
      <c r="DF158" t="s">
        <v>25</v>
      </c>
      <c r="DG158" t="s">
        <v>25</v>
      </c>
      <c r="DH158" t="s">
        <v>25</v>
      </c>
      <c r="DI158" t="s">
        <v>25</v>
      </c>
      <c r="DJ158" s="76">
        <v>0.56599998474121105</v>
      </c>
      <c r="DK158" s="73">
        <v>180</v>
      </c>
      <c r="DL158" s="73">
        <v>180</v>
      </c>
      <c r="DM158" s="73">
        <v>0</v>
      </c>
      <c r="DU158"/>
      <c r="DZ158" s="73">
        <v>0</v>
      </c>
      <c r="EA158" s="73">
        <v>0</v>
      </c>
      <c r="EB158" s="73">
        <v>0</v>
      </c>
    </row>
    <row r="159" spans="1:133" ht="12" customHeight="1" x14ac:dyDescent="0.2">
      <c r="A159" t="s">
        <v>2936</v>
      </c>
      <c r="B159" t="s">
        <v>2946</v>
      </c>
      <c r="C159" t="str">
        <f t="shared" si="8"/>
        <v>Full</v>
      </c>
      <c r="D159" t="s">
        <v>2943</v>
      </c>
      <c r="E159" s="65">
        <v>2936</v>
      </c>
      <c r="F159" t="s">
        <v>1617</v>
      </c>
      <c r="G159" s="71" t="s">
        <v>3946</v>
      </c>
      <c r="H159" s="67">
        <v>9.9999997764825804E-3</v>
      </c>
      <c r="I159" s="65">
        <v>523794</v>
      </c>
      <c r="J159" s="65">
        <v>175773</v>
      </c>
      <c r="L159" s="65" t="s">
        <v>1618</v>
      </c>
      <c r="M159" s="65" t="s">
        <v>27</v>
      </c>
      <c r="N159" s="69">
        <v>42927</v>
      </c>
      <c r="O159" s="69">
        <v>42983</v>
      </c>
      <c r="P159" s="65" t="s">
        <v>126</v>
      </c>
      <c r="R159" s="65" t="s">
        <v>28</v>
      </c>
      <c r="U159" t="s">
        <v>1619</v>
      </c>
      <c r="V159" t="s">
        <v>3145</v>
      </c>
      <c r="W159" s="65" t="s">
        <v>21</v>
      </c>
      <c r="X159" s="65" t="s">
        <v>21</v>
      </c>
      <c r="Y159" s="65" t="s">
        <v>35</v>
      </c>
      <c r="AA159" s="69">
        <v>42983</v>
      </c>
      <c r="AB159" s="69">
        <v>43190</v>
      </c>
      <c r="AC159" s="69">
        <v>43190</v>
      </c>
      <c r="AD159" s="65" t="s">
        <v>23</v>
      </c>
      <c r="AE159" s="65" t="s">
        <v>24</v>
      </c>
      <c r="AH159" s="69">
        <f t="shared" si="6"/>
        <v>42983</v>
      </c>
      <c r="AI159" s="69">
        <f t="shared" si="7"/>
        <v>43190</v>
      </c>
      <c r="AL159" s="73">
        <v>95</v>
      </c>
      <c r="AO159" s="73">
        <v>95</v>
      </c>
      <c r="AZ159" s="73">
        <v>95</v>
      </c>
      <c r="BE159" s="73">
        <v>95</v>
      </c>
      <c r="BO159" s="185" t="s">
        <v>126</v>
      </c>
      <c r="BP159" s="185" t="s">
        <v>3794</v>
      </c>
      <c r="BQ159" s="185" t="s">
        <v>3794</v>
      </c>
      <c r="BR159" s="73">
        <v>-95</v>
      </c>
      <c r="BT159" s="73">
        <v>95</v>
      </c>
      <c r="BW159" s="73"/>
      <c r="BY159" s="185" t="s">
        <v>3794</v>
      </c>
      <c r="CJ159" t="s">
        <v>25</v>
      </c>
      <c r="CK159" t="s">
        <v>25</v>
      </c>
      <c r="CL159" t="s">
        <v>38</v>
      </c>
      <c r="CM159" t="s">
        <v>25</v>
      </c>
      <c r="CN159" t="s">
        <v>25</v>
      </c>
      <c r="CO159" t="s">
        <v>25</v>
      </c>
      <c r="CP159" t="s">
        <v>25</v>
      </c>
      <c r="CQ159" t="s">
        <v>25</v>
      </c>
      <c r="CR159" t="s">
        <v>25</v>
      </c>
      <c r="CS159" t="s">
        <v>25</v>
      </c>
      <c r="CT159" t="s">
        <v>25</v>
      </c>
      <c r="CU159" t="s">
        <v>25</v>
      </c>
      <c r="CV159" t="s">
        <v>25</v>
      </c>
      <c r="CW159" t="s">
        <v>31</v>
      </c>
      <c r="CX159" t="s">
        <v>25</v>
      </c>
      <c r="CY159" t="s">
        <v>25</v>
      </c>
      <c r="CZ159" t="s">
        <v>25</v>
      </c>
      <c r="DA159" t="s">
        <v>25</v>
      </c>
      <c r="DB159" t="s">
        <v>25</v>
      </c>
      <c r="DC159" t="s">
        <v>25</v>
      </c>
      <c r="DD159" t="s">
        <v>25</v>
      </c>
      <c r="DE159" t="s">
        <v>25</v>
      </c>
      <c r="DF159" t="s">
        <v>25</v>
      </c>
      <c r="DG159" t="s">
        <v>25</v>
      </c>
      <c r="DH159" t="s">
        <v>25</v>
      </c>
      <c r="DI159" t="s">
        <v>25</v>
      </c>
      <c r="DJ159" s="76">
        <v>9.9999997764825804E-3</v>
      </c>
      <c r="DK159" s="73">
        <v>95</v>
      </c>
      <c r="DL159" s="73">
        <v>95</v>
      </c>
      <c r="DM159" s="73">
        <v>0</v>
      </c>
      <c r="DU159"/>
      <c r="DZ159" s="73">
        <v>0</v>
      </c>
      <c r="EA159" s="73">
        <v>0</v>
      </c>
      <c r="EB159" s="73">
        <v>0</v>
      </c>
    </row>
    <row r="160" spans="1:133" ht="12" customHeight="1" x14ac:dyDescent="0.2">
      <c r="A160" t="s">
        <v>2936</v>
      </c>
      <c r="B160" t="s">
        <v>2946</v>
      </c>
      <c r="C160" t="str">
        <f t="shared" si="8"/>
        <v>Full</v>
      </c>
      <c r="D160" t="s">
        <v>2943</v>
      </c>
      <c r="E160" s="65">
        <v>2939</v>
      </c>
      <c r="F160" t="s">
        <v>1620</v>
      </c>
      <c r="G160" s="71" t="s">
        <v>3944</v>
      </c>
      <c r="H160" s="67">
        <v>9.9999997764825804E-3</v>
      </c>
      <c r="I160" s="65">
        <v>526842</v>
      </c>
      <c r="J160" s="65">
        <v>175078</v>
      </c>
      <c r="L160" s="65" t="s">
        <v>776</v>
      </c>
      <c r="M160" s="65" t="s">
        <v>27</v>
      </c>
      <c r="N160" s="69">
        <v>42296</v>
      </c>
      <c r="O160" s="69">
        <v>42368</v>
      </c>
      <c r="R160" s="65" t="s">
        <v>28</v>
      </c>
      <c r="U160" t="s">
        <v>777</v>
      </c>
      <c r="V160" t="s">
        <v>3146</v>
      </c>
      <c r="W160" s="65" t="s">
        <v>34</v>
      </c>
      <c r="X160" s="65" t="s">
        <v>29</v>
      </c>
      <c r="Y160" s="65" t="s">
        <v>35</v>
      </c>
      <c r="AA160" s="69">
        <v>42622</v>
      </c>
      <c r="AB160" s="69">
        <v>42948</v>
      </c>
      <c r="AC160" s="69">
        <v>42948</v>
      </c>
      <c r="AD160" s="65" t="s">
        <v>23</v>
      </c>
      <c r="AE160" s="65" t="s">
        <v>24</v>
      </c>
      <c r="AH160" s="69">
        <f t="shared" si="6"/>
        <v>42622</v>
      </c>
      <c r="AI160" s="69">
        <f t="shared" si="7"/>
        <v>42948</v>
      </c>
      <c r="AJ160" s="73">
        <v>20</v>
      </c>
      <c r="AO160" s="73">
        <v>20</v>
      </c>
      <c r="AZ160" s="73">
        <v>28</v>
      </c>
      <c r="BE160" s="73">
        <v>28</v>
      </c>
      <c r="BF160" s="73">
        <v>37</v>
      </c>
      <c r="BK160" s="73">
        <v>37</v>
      </c>
      <c r="BO160" s="185" t="s">
        <v>126</v>
      </c>
      <c r="BP160" s="185" t="s">
        <v>126</v>
      </c>
      <c r="BQ160" s="185" t="s">
        <v>3794</v>
      </c>
      <c r="BR160" s="73">
        <v>-8</v>
      </c>
      <c r="BW160" s="73">
        <v>-8</v>
      </c>
      <c r="BX160" s="73">
        <v>-37</v>
      </c>
      <c r="BY160" s="185" t="s">
        <v>126</v>
      </c>
      <c r="CD160" s="73">
        <v>-37</v>
      </c>
      <c r="CE160" s="65" t="s">
        <v>126</v>
      </c>
      <c r="CJ160" t="s">
        <v>40</v>
      </c>
      <c r="CK160" t="s">
        <v>25</v>
      </c>
      <c r="CL160" t="s">
        <v>25</v>
      </c>
      <c r="CM160" t="s">
        <v>25</v>
      </c>
      <c r="CN160" t="s">
        <v>25</v>
      </c>
      <c r="CO160" t="s">
        <v>25</v>
      </c>
      <c r="CP160" t="s">
        <v>25</v>
      </c>
      <c r="CQ160" t="s">
        <v>25</v>
      </c>
      <c r="CR160" t="s">
        <v>25</v>
      </c>
      <c r="CS160" t="s">
        <v>25</v>
      </c>
      <c r="CT160" t="s">
        <v>25</v>
      </c>
      <c r="CU160" t="s">
        <v>25</v>
      </c>
      <c r="CV160" t="s">
        <v>25</v>
      </c>
      <c r="CW160" t="s">
        <v>40</v>
      </c>
      <c r="CX160" t="s">
        <v>25</v>
      </c>
      <c r="CY160" t="s">
        <v>25</v>
      </c>
      <c r="CZ160" t="s">
        <v>25</v>
      </c>
      <c r="DA160" t="s">
        <v>25</v>
      </c>
      <c r="DB160" t="s">
        <v>47</v>
      </c>
      <c r="DC160" t="s">
        <v>25</v>
      </c>
      <c r="DD160" t="s">
        <v>25</v>
      </c>
      <c r="DE160" t="s">
        <v>25</v>
      </c>
      <c r="DF160" t="s">
        <v>25</v>
      </c>
      <c r="DG160" t="s">
        <v>25</v>
      </c>
      <c r="DH160" t="s">
        <v>25</v>
      </c>
      <c r="DI160" t="s">
        <v>25</v>
      </c>
      <c r="DJ160" s="76">
        <v>1.9999998621642607E-3</v>
      </c>
      <c r="DK160" s="73">
        <v>20</v>
      </c>
      <c r="DL160" s="73">
        <v>65</v>
      </c>
      <c r="DM160" s="73">
        <v>-45</v>
      </c>
      <c r="DU160"/>
      <c r="DZ160" s="73">
        <v>179</v>
      </c>
      <c r="EA160" s="73">
        <v>80</v>
      </c>
      <c r="EB160" s="73">
        <v>99</v>
      </c>
      <c r="EC160" s="65" t="s">
        <v>126</v>
      </c>
    </row>
    <row r="161" spans="1:133" ht="12" customHeight="1" x14ac:dyDescent="0.2">
      <c r="A161" t="s">
        <v>2938</v>
      </c>
      <c r="B161" t="s">
        <v>2946</v>
      </c>
      <c r="C161" t="str">
        <f t="shared" si="8"/>
        <v>Full</v>
      </c>
      <c r="E161" s="65">
        <v>2946</v>
      </c>
      <c r="F161" t="s">
        <v>1621</v>
      </c>
      <c r="G161" s="71" t="s">
        <v>3946</v>
      </c>
      <c r="H161" s="67">
        <v>2.0999999716877899E-2</v>
      </c>
      <c r="I161" s="65">
        <v>523254</v>
      </c>
      <c r="J161" s="65">
        <v>176072</v>
      </c>
      <c r="L161" s="65" t="s">
        <v>1622</v>
      </c>
      <c r="M161" s="65" t="s">
        <v>172</v>
      </c>
      <c r="N161" s="69">
        <v>43076</v>
      </c>
      <c r="R161" s="65" t="s">
        <v>28</v>
      </c>
      <c r="U161" t="s">
        <v>1623</v>
      </c>
      <c r="V161" t="s">
        <v>3147</v>
      </c>
      <c r="W161" s="65" t="s">
        <v>29</v>
      </c>
      <c r="X161" s="65" t="s">
        <v>29</v>
      </c>
      <c r="Y161" s="65" t="s">
        <v>69</v>
      </c>
      <c r="AD161" s="65" t="s">
        <v>173</v>
      </c>
      <c r="AE161" s="65" t="s">
        <v>24</v>
      </c>
      <c r="BL161" s="73">
        <v>127</v>
      </c>
      <c r="BN161" s="73">
        <v>127</v>
      </c>
      <c r="BO161" s="185" t="s">
        <v>3794</v>
      </c>
      <c r="BP161" s="185" t="s">
        <v>3794</v>
      </c>
      <c r="BQ161" s="185" t="s">
        <v>126</v>
      </c>
      <c r="BW161" s="73"/>
      <c r="BY161" s="185" t="s">
        <v>3794</v>
      </c>
      <c r="CG161" s="73">
        <v>-127</v>
      </c>
      <c r="CI161" s="73">
        <v>-127</v>
      </c>
      <c r="CJ161" t="s">
        <v>25</v>
      </c>
      <c r="CK161" t="s">
        <v>25</v>
      </c>
      <c r="CL161" t="s">
        <v>25</v>
      </c>
      <c r="CM161" t="s">
        <v>25</v>
      </c>
      <c r="CN161" t="s">
        <v>25</v>
      </c>
      <c r="CO161" t="s">
        <v>25</v>
      </c>
      <c r="CP161" t="s">
        <v>25</v>
      </c>
      <c r="CQ161" t="s">
        <v>25</v>
      </c>
      <c r="CR161" t="s">
        <v>25</v>
      </c>
      <c r="CS161" t="s">
        <v>25</v>
      </c>
      <c r="CT161" t="s">
        <v>25</v>
      </c>
      <c r="CU161" t="s">
        <v>25</v>
      </c>
      <c r="CV161" t="s">
        <v>25</v>
      </c>
      <c r="CW161" t="s">
        <v>25</v>
      </c>
      <c r="CX161" t="s">
        <v>25</v>
      </c>
      <c r="CY161" t="s">
        <v>25</v>
      </c>
      <c r="CZ161" t="s">
        <v>25</v>
      </c>
      <c r="DA161" t="s">
        <v>25</v>
      </c>
      <c r="DB161" t="s">
        <v>25</v>
      </c>
      <c r="DC161" t="s">
        <v>25</v>
      </c>
      <c r="DD161" t="s">
        <v>25</v>
      </c>
      <c r="DE161" t="s">
        <v>25</v>
      </c>
      <c r="DF161" t="s">
        <v>25</v>
      </c>
      <c r="DG161" t="s">
        <v>25</v>
      </c>
      <c r="DH161" t="s">
        <v>47</v>
      </c>
      <c r="DI161" t="s">
        <v>25</v>
      </c>
      <c r="DJ161" s="76">
        <v>0</v>
      </c>
      <c r="DK161" s="73">
        <v>0</v>
      </c>
      <c r="DL161" s="73">
        <v>127</v>
      </c>
      <c r="DM161" s="73">
        <v>-127</v>
      </c>
      <c r="DU161"/>
      <c r="DZ161" s="73">
        <v>246</v>
      </c>
      <c r="EA161" s="73">
        <v>0</v>
      </c>
      <c r="EB161" s="73">
        <v>246</v>
      </c>
      <c r="EC161" s="65" t="s">
        <v>126</v>
      </c>
    </row>
    <row r="162" spans="1:133" ht="12" customHeight="1" x14ac:dyDescent="0.2">
      <c r="A162" t="s">
        <v>2936</v>
      </c>
      <c r="B162" t="s">
        <v>2946</v>
      </c>
      <c r="C162" t="str">
        <f t="shared" si="8"/>
        <v>Full</v>
      </c>
      <c r="D162" t="s">
        <v>2943</v>
      </c>
      <c r="E162" s="65">
        <v>3010</v>
      </c>
      <c r="F162" t="s">
        <v>1627</v>
      </c>
      <c r="G162" s="71" t="s">
        <v>2904</v>
      </c>
      <c r="H162" s="67">
        <v>9.9999997764825804E-3</v>
      </c>
      <c r="I162" s="65">
        <v>526087</v>
      </c>
      <c r="J162" s="65">
        <v>172958</v>
      </c>
      <c r="L162" s="65" t="s">
        <v>1628</v>
      </c>
      <c r="M162" s="65" t="s">
        <v>27</v>
      </c>
      <c r="N162" s="69">
        <v>42894</v>
      </c>
      <c r="O162" s="69">
        <v>42950</v>
      </c>
      <c r="P162" s="65" t="s">
        <v>126</v>
      </c>
      <c r="R162" s="65" t="s">
        <v>28</v>
      </c>
      <c r="U162" t="s">
        <v>1629</v>
      </c>
      <c r="V162" t="s">
        <v>3148</v>
      </c>
      <c r="W162" s="65" t="s">
        <v>21</v>
      </c>
      <c r="X162" s="65" t="s">
        <v>21</v>
      </c>
      <c r="Y162" s="65" t="s">
        <v>35</v>
      </c>
      <c r="AA162" s="69">
        <v>43105</v>
      </c>
      <c r="AB162" s="69">
        <v>43173</v>
      </c>
      <c r="AC162" s="69">
        <v>43173</v>
      </c>
      <c r="AD162" s="65" t="s">
        <v>23</v>
      </c>
      <c r="AE162" s="65" t="s">
        <v>24</v>
      </c>
      <c r="AH162" s="69">
        <f t="shared" si="6"/>
        <v>43105</v>
      </c>
      <c r="AI162" s="69">
        <f t="shared" si="7"/>
        <v>43173</v>
      </c>
      <c r="AL162" s="73">
        <v>175</v>
      </c>
      <c r="AO162" s="73">
        <v>175</v>
      </c>
      <c r="BB162" s="73">
        <v>175</v>
      </c>
      <c r="BE162" s="73">
        <v>175</v>
      </c>
      <c r="BO162" s="185" t="s">
        <v>126</v>
      </c>
      <c r="BP162" s="185" t="s">
        <v>3794</v>
      </c>
      <c r="BQ162" s="185" t="s">
        <v>3794</v>
      </c>
      <c r="BW162" s="73"/>
      <c r="BY162" s="185" t="s">
        <v>3794</v>
      </c>
      <c r="CJ162" t="s">
        <v>25</v>
      </c>
      <c r="CK162" t="s">
        <v>25</v>
      </c>
      <c r="CL162" t="s">
        <v>38</v>
      </c>
      <c r="CM162" t="s">
        <v>25</v>
      </c>
      <c r="CN162" t="s">
        <v>25</v>
      </c>
      <c r="CO162" t="s">
        <v>25</v>
      </c>
      <c r="CP162" t="s">
        <v>25</v>
      </c>
      <c r="CQ162" t="s">
        <v>25</v>
      </c>
      <c r="CR162" t="s">
        <v>25</v>
      </c>
      <c r="CS162" t="s">
        <v>25</v>
      </c>
      <c r="CT162" t="s">
        <v>25</v>
      </c>
      <c r="CU162" t="s">
        <v>25</v>
      </c>
      <c r="CV162" t="s">
        <v>25</v>
      </c>
      <c r="CW162" t="s">
        <v>25</v>
      </c>
      <c r="CX162" t="s">
        <v>25</v>
      </c>
      <c r="CY162" t="s">
        <v>38</v>
      </c>
      <c r="CZ162" t="s">
        <v>25</v>
      </c>
      <c r="DA162" t="s">
        <v>25</v>
      </c>
      <c r="DB162" t="s">
        <v>25</v>
      </c>
      <c r="DC162" t="s">
        <v>25</v>
      </c>
      <c r="DD162" t="s">
        <v>25</v>
      </c>
      <c r="DE162" t="s">
        <v>25</v>
      </c>
      <c r="DF162" t="s">
        <v>25</v>
      </c>
      <c r="DG162" t="s">
        <v>25</v>
      </c>
      <c r="DH162" t="s">
        <v>25</v>
      </c>
      <c r="DI162" t="s">
        <v>25</v>
      </c>
      <c r="DJ162" s="76">
        <v>9.9999997764825804E-3</v>
      </c>
      <c r="DK162" s="73">
        <v>175</v>
      </c>
      <c r="DL162" s="73">
        <v>175</v>
      </c>
      <c r="DM162" s="73">
        <v>0</v>
      </c>
      <c r="DU162"/>
      <c r="DX162" s="65" t="s">
        <v>126</v>
      </c>
      <c r="DY162" t="s">
        <v>2904</v>
      </c>
      <c r="DZ162" s="73">
        <v>0</v>
      </c>
      <c r="EA162" s="73">
        <v>0</v>
      </c>
      <c r="EB162" s="73">
        <v>0</v>
      </c>
    </row>
    <row r="163" spans="1:133" ht="12" customHeight="1" x14ac:dyDescent="0.2">
      <c r="A163" t="s">
        <v>2936</v>
      </c>
      <c r="B163" t="s">
        <v>2949</v>
      </c>
      <c r="C163" t="str">
        <f t="shared" si="8"/>
        <v>Certificate of Lawful Development</v>
      </c>
      <c r="D163" t="s">
        <v>2943</v>
      </c>
      <c r="E163" s="65">
        <v>3018</v>
      </c>
      <c r="F163" t="s">
        <v>1630</v>
      </c>
      <c r="G163" s="71" t="s">
        <v>3945</v>
      </c>
      <c r="H163" s="67">
        <v>1.09999999403954E-2</v>
      </c>
      <c r="I163" s="65">
        <v>528529</v>
      </c>
      <c r="J163" s="65">
        <v>175746</v>
      </c>
      <c r="L163" s="65" t="s">
        <v>1631</v>
      </c>
      <c r="M163" s="65" t="s">
        <v>430</v>
      </c>
      <c r="N163" s="69">
        <v>43077</v>
      </c>
      <c r="O163" s="69">
        <v>43132</v>
      </c>
      <c r="P163" s="65" t="s">
        <v>126</v>
      </c>
      <c r="R163" s="65" t="s">
        <v>28</v>
      </c>
      <c r="U163" t="s">
        <v>1632</v>
      </c>
      <c r="V163" t="s">
        <v>3149</v>
      </c>
      <c r="W163" s="65" t="s">
        <v>21</v>
      </c>
      <c r="X163" s="65" t="s">
        <v>21</v>
      </c>
      <c r="Y163" s="65" t="s">
        <v>35</v>
      </c>
      <c r="AB163" s="69">
        <v>43132</v>
      </c>
      <c r="AC163" s="69">
        <v>43132</v>
      </c>
      <c r="AD163" s="65" t="s">
        <v>23</v>
      </c>
      <c r="AE163" s="65" t="s">
        <v>24</v>
      </c>
      <c r="AI163" s="69">
        <f t="shared" si="7"/>
        <v>43132</v>
      </c>
      <c r="BL163" s="73">
        <v>101</v>
      </c>
      <c r="BN163" s="73">
        <v>101</v>
      </c>
      <c r="BO163" s="185" t="s">
        <v>3794</v>
      </c>
      <c r="BP163" s="185" t="s">
        <v>3794</v>
      </c>
      <c r="BQ163" s="185" t="s">
        <v>126</v>
      </c>
      <c r="BW163" s="73"/>
      <c r="BY163" s="185" t="s">
        <v>3794</v>
      </c>
      <c r="CG163" s="73">
        <v>-101</v>
      </c>
      <c r="CI163" s="73">
        <v>-101</v>
      </c>
      <c r="CJ163" t="s">
        <v>25</v>
      </c>
      <c r="CK163" t="s">
        <v>25</v>
      </c>
      <c r="CL163" t="s">
        <v>25</v>
      </c>
      <c r="CM163" t="s">
        <v>25</v>
      </c>
      <c r="CN163" t="s">
        <v>25</v>
      </c>
      <c r="CO163" t="s">
        <v>25</v>
      </c>
      <c r="CP163" t="s">
        <v>25</v>
      </c>
      <c r="CQ163" t="s">
        <v>25</v>
      </c>
      <c r="CR163" t="s">
        <v>25</v>
      </c>
      <c r="CS163" t="s">
        <v>25</v>
      </c>
      <c r="CT163" t="s">
        <v>25</v>
      </c>
      <c r="CU163" t="s">
        <v>25</v>
      </c>
      <c r="CV163" t="s">
        <v>25</v>
      </c>
      <c r="CW163" t="s">
        <v>25</v>
      </c>
      <c r="CX163" t="s">
        <v>25</v>
      </c>
      <c r="CY163" t="s">
        <v>25</v>
      </c>
      <c r="CZ163" t="s">
        <v>25</v>
      </c>
      <c r="DA163" t="s">
        <v>25</v>
      </c>
      <c r="DB163" t="s">
        <v>25</v>
      </c>
      <c r="DC163" t="s">
        <v>25</v>
      </c>
      <c r="DD163" t="s">
        <v>25</v>
      </c>
      <c r="DE163" t="s">
        <v>25</v>
      </c>
      <c r="DF163" t="s">
        <v>25</v>
      </c>
      <c r="DG163" t="s">
        <v>25</v>
      </c>
      <c r="DH163" t="s">
        <v>49</v>
      </c>
      <c r="DI163" t="s">
        <v>25</v>
      </c>
      <c r="DJ163" s="76">
        <v>2.0000003278255896E-3</v>
      </c>
      <c r="DK163" s="73">
        <v>0</v>
      </c>
      <c r="DL163" s="73">
        <v>101</v>
      </c>
      <c r="DM163" s="73">
        <v>-101</v>
      </c>
      <c r="DU163"/>
      <c r="DX163" s="65" t="s">
        <v>126</v>
      </c>
      <c r="DY163" t="s">
        <v>2908</v>
      </c>
      <c r="DZ163" s="73">
        <v>91</v>
      </c>
      <c r="EA163" s="73">
        <v>0</v>
      </c>
      <c r="EB163" s="73">
        <v>91</v>
      </c>
      <c r="EC163" s="65" t="s">
        <v>126</v>
      </c>
    </row>
    <row r="164" spans="1:133" ht="12" customHeight="1" x14ac:dyDescent="0.2">
      <c r="A164" t="s">
        <v>2935</v>
      </c>
      <c r="B164" t="s">
        <v>2946</v>
      </c>
      <c r="C164" t="str">
        <f t="shared" si="8"/>
        <v>Full</v>
      </c>
      <c r="E164" s="65">
        <v>3035</v>
      </c>
      <c r="F164" t="s">
        <v>1633</v>
      </c>
      <c r="G164" s="71" t="s">
        <v>3946</v>
      </c>
      <c r="H164" s="67">
        <v>4.3000001460313797E-2</v>
      </c>
      <c r="I164" s="65">
        <v>524067</v>
      </c>
      <c r="J164" s="65">
        <v>175351</v>
      </c>
      <c r="L164" s="65" t="s">
        <v>233</v>
      </c>
      <c r="M164" s="65" t="s">
        <v>27</v>
      </c>
      <c r="N164" s="69">
        <v>41347</v>
      </c>
      <c r="O164" s="69">
        <v>41404</v>
      </c>
      <c r="R164" s="65" t="s">
        <v>28</v>
      </c>
      <c r="U164" t="s">
        <v>680</v>
      </c>
      <c r="V164" t="s">
        <v>3150</v>
      </c>
      <c r="W164" s="65" t="s">
        <v>34</v>
      </c>
      <c r="X164" s="65" t="s">
        <v>29</v>
      </c>
      <c r="Y164" s="65" t="s">
        <v>30</v>
      </c>
      <c r="AA164" s="69">
        <v>42270</v>
      </c>
      <c r="AD164" s="65" t="s">
        <v>23</v>
      </c>
      <c r="AE164" s="65" t="s">
        <v>24</v>
      </c>
      <c r="AH164" s="69">
        <f t="shared" si="6"/>
        <v>42270</v>
      </c>
      <c r="AJ164" s="73">
        <v>619</v>
      </c>
      <c r="AO164" s="73">
        <v>619</v>
      </c>
      <c r="AZ164" s="73">
        <v>619</v>
      </c>
      <c r="BE164" s="73">
        <v>619</v>
      </c>
      <c r="BF164" s="73">
        <v>57</v>
      </c>
      <c r="BK164" s="73">
        <v>57</v>
      </c>
      <c r="BO164" s="185" t="s">
        <v>126</v>
      </c>
      <c r="BP164" s="185" t="s">
        <v>126</v>
      </c>
      <c r="BQ164" s="185" t="s">
        <v>3794</v>
      </c>
      <c r="BX164" s="73">
        <v>-57</v>
      </c>
      <c r="BY164" s="185" t="s">
        <v>126</v>
      </c>
      <c r="CD164" s="73">
        <v>-57</v>
      </c>
      <c r="CE164" s="65" t="s">
        <v>126</v>
      </c>
      <c r="CJ164" t="s">
        <v>31</v>
      </c>
      <c r="CK164" t="s">
        <v>25</v>
      </c>
      <c r="CL164" t="s">
        <v>25</v>
      </c>
      <c r="CM164" t="s">
        <v>25</v>
      </c>
      <c r="CN164" t="s">
        <v>25</v>
      </c>
      <c r="CO164" t="s">
        <v>25</v>
      </c>
      <c r="CP164" t="s">
        <v>25</v>
      </c>
      <c r="CQ164" t="s">
        <v>25</v>
      </c>
      <c r="CR164" t="s">
        <v>25</v>
      </c>
      <c r="CS164" t="s">
        <v>25</v>
      </c>
      <c r="CT164" t="s">
        <v>25</v>
      </c>
      <c r="CU164" t="s">
        <v>25</v>
      </c>
      <c r="CV164" t="s">
        <v>25</v>
      </c>
      <c r="CW164" t="s">
        <v>31</v>
      </c>
      <c r="CX164" t="s">
        <v>25</v>
      </c>
      <c r="CY164" t="s">
        <v>25</v>
      </c>
      <c r="CZ164" t="s">
        <v>25</v>
      </c>
      <c r="DA164" t="s">
        <v>25</v>
      </c>
      <c r="DB164" t="s">
        <v>31</v>
      </c>
      <c r="DC164" t="s">
        <v>25</v>
      </c>
      <c r="DD164" t="s">
        <v>25</v>
      </c>
      <c r="DE164" t="s">
        <v>25</v>
      </c>
      <c r="DF164" t="s">
        <v>25</v>
      </c>
      <c r="DG164" t="s">
        <v>25</v>
      </c>
      <c r="DH164" t="s">
        <v>25</v>
      </c>
      <c r="DI164" t="s">
        <v>25</v>
      </c>
      <c r="DJ164" s="76">
        <v>3.20000015199184E-2</v>
      </c>
      <c r="DK164" s="73">
        <v>619</v>
      </c>
      <c r="DL164" s="73">
        <v>676</v>
      </c>
      <c r="DM164" s="73">
        <v>-57</v>
      </c>
      <c r="DU164"/>
      <c r="DV164" s="65" t="s">
        <v>126</v>
      </c>
      <c r="DW164" t="s">
        <v>131</v>
      </c>
      <c r="DZ164" s="73">
        <v>745</v>
      </c>
      <c r="EA164" s="73">
        <v>582</v>
      </c>
      <c r="EB164" s="73">
        <v>163</v>
      </c>
      <c r="EC164" s="65" t="s">
        <v>126</v>
      </c>
    </row>
    <row r="165" spans="1:133" ht="12" customHeight="1" x14ac:dyDescent="0.2">
      <c r="A165" t="s">
        <v>2936</v>
      </c>
      <c r="B165" t="s">
        <v>2946</v>
      </c>
      <c r="C165" t="str">
        <f t="shared" si="8"/>
        <v>Full</v>
      </c>
      <c r="D165" t="s">
        <v>2943</v>
      </c>
      <c r="E165" s="65">
        <v>3064</v>
      </c>
      <c r="F165" t="s">
        <v>1637</v>
      </c>
      <c r="G165" s="71" t="s">
        <v>3945</v>
      </c>
      <c r="H165" s="67">
        <v>0.53700000047683705</v>
      </c>
      <c r="I165" s="65">
        <v>528533</v>
      </c>
      <c r="J165" s="65">
        <v>175291</v>
      </c>
      <c r="L165" s="65" t="s">
        <v>717</v>
      </c>
      <c r="M165" s="65" t="s">
        <v>27</v>
      </c>
      <c r="N165" s="69">
        <v>41967</v>
      </c>
      <c r="O165" s="69">
        <v>42181</v>
      </c>
      <c r="R165" s="65" t="s">
        <v>28</v>
      </c>
      <c r="U165" t="s">
        <v>718</v>
      </c>
      <c r="V165" t="s">
        <v>3151</v>
      </c>
      <c r="W165" s="65" t="s">
        <v>29</v>
      </c>
      <c r="X165" s="65" t="s">
        <v>29</v>
      </c>
      <c r="Y165" s="65" t="s">
        <v>35</v>
      </c>
      <c r="AA165" s="69">
        <v>42825</v>
      </c>
      <c r="AB165" s="69">
        <v>43190</v>
      </c>
      <c r="AC165" s="69">
        <v>43190</v>
      </c>
      <c r="AD165" s="65" t="s">
        <v>23</v>
      </c>
      <c r="AE165" s="65" t="s">
        <v>24</v>
      </c>
      <c r="AH165" s="69">
        <f t="shared" si="6"/>
        <v>42825</v>
      </c>
      <c r="AI165" s="69">
        <f t="shared" si="7"/>
        <v>43190</v>
      </c>
      <c r="AW165" s="73">
        <v>926</v>
      </c>
      <c r="AY165" s="73">
        <v>926</v>
      </c>
      <c r="BL165" s="73">
        <v>460</v>
      </c>
      <c r="BN165" s="73">
        <v>460</v>
      </c>
      <c r="BO165" s="185" t="s">
        <v>3794</v>
      </c>
      <c r="BP165" s="185" t="s">
        <v>3794</v>
      </c>
      <c r="BQ165" s="185" t="s">
        <v>126</v>
      </c>
      <c r="BW165" s="73"/>
      <c r="BY165" s="185" t="s">
        <v>3794</v>
      </c>
      <c r="CG165" s="73">
        <v>466</v>
      </c>
      <c r="CI165" s="73">
        <v>466</v>
      </c>
      <c r="CJ165" t="s">
        <v>25</v>
      </c>
      <c r="CK165" t="s">
        <v>25</v>
      </c>
      <c r="CL165" t="s">
        <v>25</v>
      </c>
      <c r="CM165" t="s">
        <v>25</v>
      </c>
      <c r="CN165" t="s">
        <v>25</v>
      </c>
      <c r="CO165" t="s">
        <v>25</v>
      </c>
      <c r="CP165" t="s">
        <v>25</v>
      </c>
      <c r="CQ165" t="s">
        <v>25</v>
      </c>
      <c r="CR165" t="s">
        <v>25</v>
      </c>
      <c r="CS165" t="s">
        <v>25</v>
      </c>
      <c r="CT165" t="s">
        <v>25</v>
      </c>
      <c r="CU165" t="s">
        <v>60</v>
      </c>
      <c r="CV165" t="s">
        <v>25</v>
      </c>
      <c r="CW165" t="s">
        <v>25</v>
      </c>
      <c r="CX165" t="s">
        <v>25</v>
      </c>
      <c r="CY165" t="s">
        <v>25</v>
      </c>
      <c r="CZ165" t="s">
        <v>25</v>
      </c>
      <c r="DA165" t="s">
        <v>25</v>
      </c>
      <c r="DB165" t="s">
        <v>25</v>
      </c>
      <c r="DC165" t="s">
        <v>25</v>
      </c>
      <c r="DD165" t="s">
        <v>25</v>
      </c>
      <c r="DE165" t="s">
        <v>25</v>
      </c>
      <c r="DF165" t="s">
        <v>25</v>
      </c>
      <c r="DG165" t="s">
        <v>25</v>
      </c>
      <c r="DH165" t="s">
        <v>60</v>
      </c>
      <c r="DI165" t="s">
        <v>25</v>
      </c>
      <c r="DJ165" s="76">
        <v>0.53700000047683705</v>
      </c>
      <c r="DK165" s="73">
        <v>926</v>
      </c>
      <c r="DL165" s="73">
        <v>460</v>
      </c>
      <c r="DM165" s="73">
        <v>466</v>
      </c>
      <c r="DU165"/>
      <c r="DZ165" s="73">
        <v>0</v>
      </c>
      <c r="EA165" s="73">
        <v>0</v>
      </c>
      <c r="EB165" s="73">
        <v>0</v>
      </c>
    </row>
    <row r="166" spans="1:133" ht="12" customHeight="1" x14ac:dyDescent="0.2">
      <c r="A166" t="s">
        <v>2936</v>
      </c>
      <c r="B166" t="s">
        <v>2946</v>
      </c>
      <c r="C166" t="str">
        <f t="shared" si="8"/>
        <v>Full</v>
      </c>
      <c r="D166" t="s">
        <v>2943</v>
      </c>
      <c r="E166" s="65">
        <v>3099</v>
      </c>
      <c r="F166" t="s">
        <v>1638</v>
      </c>
      <c r="G166" s="71" t="s">
        <v>3952</v>
      </c>
      <c r="H166" s="67">
        <v>1.7999999225139601E-2</v>
      </c>
      <c r="I166" s="65">
        <v>528107</v>
      </c>
      <c r="J166" s="65">
        <v>172292</v>
      </c>
      <c r="L166" s="65" t="s">
        <v>1639</v>
      </c>
      <c r="M166" s="65" t="s">
        <v>27</v>
      </c>
      <c r="N166" s="69">
        <v>42921</v>
      </c>
      <c r="O166" s="69">
        <v>42977</v>
      </c>
      <c r="P166" s="65" t="s">
        <v>126</v>
      </c>
      <c r="R166" s="65" t="s">
        <v>28</v>
      </c>
      <c r="U166" t="s">
        <v>1640</v>
      </c>
      <c r="V166" t="s">
        <v>3152</v>
      </c>
      <c r="W166" s="65" t="s">
        <v>21</v>
      </c>
      <c r="X166" s="65" t="s">
        <v>21</v>
      </c>
      <c r="Y166" s="65" t="s">
        <v>35</v>
      </c>
      <c r="AA166" s="69">
        <v>42977</v>
      </c>
      <c r="AB166" s="69">
        <v>43190</v>
      </c>
      <c r="AC166" s="69">
        <v>43190</v>
      </c>
      <c r="AD166" s="65" t="s">
        <v>23</v>
      </c>
      <c r="AE166" s="65" t="s">
        <v>24</v>
      </c>
      <c r="AH166" s="69">
        <f t="shared" si="6"/>
        <v>42977</v>
      </c>
      <c r="AI166" s="69">
        <f t="shared" si="7"/>
        <v>43190</v>
      </c>
      <c r="AL166" s="73">
        <v>50</v>
      </c>
      <c r="AO166" s="73">
        <v>50</v>
      </c>
      <c r="BA166" s="73">
        <v>50</v>
      </c>
      <c r="BE166" s="73">
        <v>50</v>
      </c>
      <c r="BO166" s="185" t="s">
        <v>126</v>
      </c>
      <c r="BP166" s="185" t="s">
        <v>3794</v>
      </c>
      <c r="BQ166" s="185" t="s">
        <v>3794</v>
      </c>
      <c r="BS166" s="73">
        <v>-50</v>
      </c>
      <c r="BT166" s="73">
        <v>50</v>
      </c>
      <c r="BW166" s="73"/>
      <c r="BY166" s="185" t="s">
        <v>3794</v>
      </c>
      <c r="CJ166" t="s">
        <v>25</v>
      </c>
      <c r="CK166" t="s">
        <v>25</v>
      </c>
      <c r="CL166" t="s">
        <v>38</v>
      </c>
      <c r="CM166" t="s">
        <v>25</v>
      </c>
      <c r="CN166" t="s">
        <v>25</v>
      </c>
      <c r="CO166" t="s">
        <v>25</v>
      </c>
      <c r="CP166" t="s">
        <v>25</v>
      </c>
      <c r="CQ166" t="s">
        <v>25</v>
      </c>
      <c r="CR166" t="s">
        <v>25</v>
      </c>
      <c r="CS166" t="s">
        <v>25</v>
      </c>
      <c r="CT166" t="s">
        <v>25</v>
      </c>
      <c r="CU166" t="s">
        <v>25</v>
      </c>
      <c r="CV166" t="s">
        <v>25</v>
      </c>
      <c r="CW166" t="s">
        <v>25</v>
      </c>
      <c r="CX166" t="s">
        <v>64</v>
      </c>
      <c r="CY166" t="s">
        <v>25</v>
      </c>
      <c r="CZ166" t="s">
        <v>25</v>
      </c>
      <c r="DA166" t="s">
        <v>25</v>
      </c>
      <c r="DB166" t="s">
        <v>25</v>
      </c>
      <c r="DC166" t="s">
        <v>25</v>
      </c>
      <c r="DD166" t="s">
        <v>25</v>
      </c>
      <c r="DE166" t="s">
        <v>25</v>
      </c>
      <c r="DF166" t="s">
        <v>25</v>
      </c>
      <c r="DG166" t="s">
        <v>25</v>
      </c>
      <c r="DH166" t="s">
        <v>25</v>
      </c>
      <c r="DI166" t="s">
        <v>25</v>
      </c>
      <c r="DJ166" s="76">
        <v>1.7999999225139601E-2</v>
      </c>
      <c r="DK166" s="73">
        <v>50</v>
      </c>
      <c r="DL166" s="73">
        <v>50</v>
      </c>
      <c r="DM166" s="73">
        <v>0</v>
      </c>
      <c r="DU166"/>
      <c r="DZ166" s="73">
        <v>0</v>
      </c>
      <c r="EA166" s="73">
        <v>0</v>
      </c>
      <c r="EB166" s="73">
        <v>0</v>
      </c>
    </row>
    <row r="167" spans="1:133" ht="12" customHeight="1" x14ac:dyDescent="0.2">
      <c r="A167" t="s">
        <v>2936</v>
      </c>
      <c r="B167" t="s">
        <v>2946</v>
      </c>
      <c r="C167" t="str">
        <f t="shared" si="8"/>
        <v>Full</v>
      </c>
      <c r="D167" t="s">
        <v>2943</v>
      </c>
      <c r="E167" s="65">
        <v>3143</v>
      </c>
      <c r="F167" t="s">
        <v>1641</v>
      </c>
      <c r="G167" s="71" t="s">
        <v>150</v>
      </c>
      <c r="H167" s="67">
        <v>1.4999999664723899E-2</v>
      </c>
      <c r="I167" s="65">
        <v>527314</v>
      </c>
      <c r="J167" s="65">
        <v>171275</v>
      </c>
      <c r="L167" s="65" t="s">
        <v>1642</v>
      </c>
      <c r="M167" s="65" t="s">
        <v>27</v>
      </c>
      <c r="N167" s="69">
        <v>42942</v>
      </c>
      <c r="O167" s="69">
        <v>43021</v>
      </c>
      <c r="P167" s="65" t="s">
        <v>126</v>
      </c>
      <c r="R167" s="65" t="s">
        <v>28</v>
      </c>
      <c r="U167" t="s">
        <v>1643</v>
      </c>
      <c r="V167" t="s">
        <v>3153</v>
      </c>
      <c r="W167" s="65" t="s">
        <v>21</v>
      </c>
      <c r="X167" s="65" t="s">
        <v>21</v>
      </c>
      <c r="Y167" s="65" t="s">
        <v>35</v>
      </c>
      <c r="AA167" s="69">
        <v>43021</v>
      </c>
      <c r="AB167" s="69">
        <v>43190</v>
      </c>
      <c r="AC167" s="69">
        <v>43190</v>
      </c>
      <c r="AD167" s="65" t="s">
        <v>23</v>
      </c>
      <c r="AE167" s="65" t="s">
        <v>24</v>
      </c>
      <c r="AH167" s="69">
        <f t="shared" si="6"/>
        <v>43021</v>
      </c>
      <c r="AI167" s="69">
        <f t="shared" si="7"/>
        <v>43190</v>
      </c>
      <c r="AL167" s="73">
        <v>9</v>
      </c>
      <c r="AO167" s="73">
        <v>9</v>
      </c>
      <c r="AZ167" s="73">
        <v>9</v>
      </c>
      <c r="BE167" s="73">
        <v>9</v>
      </c>
      <c r="BO167" s="185" t="s">
        <v>126</v>
      </c>
      <c r="BP167" s="185" t="s">
        <v>3794</v>
      </c>
      <c r="BQ167" s="185" t="s">
        <v>3794</v>
      </c>
      <c r="BR167" s="73">
        <v>-9</v>
      </c>
      <c r="BT167" s="73">
        <v>9</v>
      </c>
      <c r="BW167" s="73"/>
      <c r="BY167" s="185" t="s">
        <v>3794</v>
      </c>
      <c r="CJ167" t="s">
        <v>25</v>
      </c>
      <c r="CK167" t="s">
        <v>25</v>
      </c>
      <c r="CL167" t="s">
        <v>50</v>
      </c>
      <c r="CM167" t="s">
        <v>25</v>
      </c>
      <c r="CN167" t="s">
        <v>25</v>
      </c>
      <c r="CO167" t="s">
        <v>25</v>
      </c>
      <c r="CP167" t="s">
        <v>25</v>
      </c>
      <c r="CQ167" t="s">
        <v>25</v>
      </c>
      <c r="CR167" t="s">
        <v>25</v>
      </c>
      <c r="CS167" t="s">
        <v>25</v>
      </c>
      <c r="CT167" t="s">
        <v>25</v>
      </c>
      <c r="CU167" t="s">
        <v>25</v>
      </c>
      <c r="CV167" t="s">
        <v>25</v>
      </c>
      <c r="CW167" t="s">
        <v>46</v>
      </c>
      <c r="CX167" t="s">
        <v>25</v>
      </c>
      <c r="CY167" t="s">
        <v>25</v>
      </c>
      <c r="CZ167" t="s">
        <v>25</v>
      </c>
      <c r="DA167" t="s">
        <v>25</v>
      </c>
      <c r="DB167" t="s">
        <v>25</v>
      </c>
      <c r="DC167" t="s">
        <v>25</v>
      </c>
      <c r="DD167" t="s">
        <v>25</v>
      </c>
      <c r="DE167" t="s">
        <v>25</v>
      </c>
      <c r="DF167" t="s">
        <v>25</v>
      </c>
      <c r="DG167" t="s">
        <v>25</v>
      </c>
      <c r="DH167" t="s">
        <v>25</v>
      </c>
      <c r="DI167" t="s">
        <v>25</v>
      </c>
      <c r="DJ167" s="76">
        <v>1.4999999664723899E-2</v>
      </c>
      <c r="DK167" s="73">
        <v>9</v>
      </c>
      <c r="DL167" s="73">
        <v>9</v>
      </c>
      <c r="DM167" s="73">
        <v>0</v>
      </c>
      <c r="DU167"/>
      <c r="DZ167" s="73">
        <v>0</v>
      </c>
      <c r="EA167" s="73">
        <v>0</v>
      </c>
      <c r="EB167" s="73">
        <v>0</v>
      </c>
    </row>
    <row r="168" spans="1:133" ht="12" customHeight="1" x14ac:dyDescent="0.2">
      <c r="A168" t="s">
        <v>2935</v>
      </c>
      <c r="B168" t="s">
        <v>2946</v>
      </c>
      <c r="C168" t="str">
        <f t="shared" si="8"/>
        <v>Full</v>
      </c>
      <c r="E168" s="65">
        <v>3148</v>
      </c>
      <c r="F168" t="s">
        <v>1644</v>
      </c>
      <c r="G168" s="71" t="s">
        <v>3947</v>
      </c>
      <c r="H168" s="67">
        <v>5.6000001728534698E-2</v>
      </c>
      <c r="I168" s="65">
        <v>529022</v>
      </c>
      <c r="J168" s="65">
        <v>176926</v>
      </c>
      <c r="L168" s="65" t="s">
        <v>333</v>
      </c>
      <c r="M168" s="65" t="s">
        <v>27</v>
      </c>
      <c r="N168" s="69">
        <v>41906</v>
      </c>
      <c r="O168" s="69">
        <v>41949</v>
      </c>
      <c r="R168" s="65" t="s">
        <v>28</v>
      </c>
      <c r="U168" t="s">
        <v>334</v>
      </c>
      <c r="V168" t="s">
        <v>3154</v>
      </c>
      <c r="W168" s="65" t="s">
        <v>39</v>
      </c>
      <c r="X168" s="65" t="s">
        <v>39</v>
      </c>
      <c r="Y168" s="65" t="s">
        <v>30</v>
      </c>
      <c r="AA168" s="69">
        <v>43190</v>
      </c>
      <c r="AD168" s="65" t="s">
        <v>23</v>
      </c>
      <c r="AE168" s="65" t="s">
        <v>24</v>
      </c>
      <c r="AH168" s="69">
        <f t="shared" si="6"/>
        <v>43190</v>
      </c>
      <c r="AP168" s="73">
        <v>208</v>
      </c>
      <c r="AS168" s="73">
        <v>208</v>
      </c>
      <c r="AV168" s="73">
        <v>208</v>
      </c>
      <c r="BO168" s="185" t="s">
        <v>3794</v>
      </c>
      <c r="BP168" s="185" t="s">
        <v>126</v>
      </c>
      <c r="BQ168" s="185" t="s">
        <v>3794</v>
      </c>
      <c r="BW168" s="73"/>
      <c r="BX168" s="73">
        <v>208</v>
      </c>
      <c r="BY168" s="185" t="s">
        <v>3794</v>
      </c>
      <c r="CD168" s="73">
        <v>208</v>
      </c>
      <c r="CJ168" t="s">
        <v>25</v>
      </c>
      <c r="CK168" t="s">
        <v>25</v>
      </c>
      <c r="CL168" t="s">
        <v>25</v>
      </c>
      <c r="CM168" t="s">
        <v>25</v>
      </c>
      <c r="CN168" t="s">
        <v>25</v>
      </c>
      <c r="CO168" t="s">
        <v>31</v>
      </c>
      <c r="CP168" t="s">
        <v>25</v>
      </c>
      <c r="CQ168" t="s">
        <v>25</v>
      </c>
      <c r="CR168" t="s">
        <v>25</v>
      </c>
      <c r="CS168" t="s">
        <v>25</v>
      </c>
      <c r="CT168" t="s">
        <v>25</v>
      </c>
      <c r="CU168" t="s">
        <v>25</v>
      </c>
      <c r="CV168" t="s">
        <v>25</v>
      </c>
      <c r="CW168" t="s">
        <v>25</v>
      </c>
      <c r="CX168" t="s">
        <v>25</v>
      </c>
      <c r="CY168" t="s">
        <v>25</v>
      </c>
      <c r="CZ168" t="s">
        <v>25</v>
      </c>
      <c r="DA168" t="s">
        <v>25</v>
      </c>
      <c r="DB168" t="s">
        <v>25</v>
      </c>
      <c r="DC168" t="s">
        <v>25</v>
      </c>
      <c r="DD168" t="s">
        <v>25</v>
      </c>
      <c r="DE168" t="s">
        <v>25</v>
      </c>
      <c r="DF168" t="s">
        <v>25</v>
      </c>
      <c r="DG168" t="s">
        <v>25</v>
      </c>
      <c r="DH168" t="s">
        <v>25</v>
      </c>
      <c r="DI168" t="s">
        <v>25</v>
      </c>
      <c r="DJ168" s="76">
        <v>5.6000001728534698E-2</v>
      </c>
      <c r="DK168" s="73">
        <v>208</v>
      </c>
      <c r="DL168" s="73">
        <v>0</v>
      </c>
      <c r="DM168" s="73">
        <v>208</v>
      </c>
      <c r="DO168" s="65" t="s">
        <v>126</v>
      </c>
      <c r="DP168" t="s">
        <v>74</v>
      </c>
      <c r="DU168" s="65" t="s">
        <v>126</v>
      </c>
      <c r="DZ168" s="73">
        <v>0</v>
      </c>
      <c r="EA168" s="73">
        <v>0</v>
      </c>
      <c r="EB168" s="73">
        <v>0</v>
      </c>
    </row>
    <row r="169" spans="1:133" ht="12" customHeight="1" x14ac:dyDescent="0.2">
      <c r="A169" t="s">
        <v>2938</v>
      </c>
      <c r="B169" t="s">
        <v>2946</v>
      </c>
      <c r="C169" t="str">
        <f t="shared" si="8"/>
        <v>Full</v>
      </c>
      <c r="E169" s="65">
        <v>3159</v>
      </c>
      <c r="F169" t="s">
        <v>1645</v>
      </c>
      <c r="G169" s="71" t="s">
        <v>3944</v>
      </c>
      <c r="H169" s="67">
        <v>0.62000000476837203</v>
      </c>
      <c r="I169" s="65">
        <v>525640</v>
      </c>
      <c r="J169" s="65">
        <v>175236</v>
      </c>
      <c r="K169" s="65" t="s">
        <v>1646</v>
      </c>
      <c r="L169" s="65" t="s">
        <v>992</v>
      </c>
      <c r="M169" s="65" t="s">
        <v>172</v>
      </c>
      <c r="N169" s="69">
        <v>42765</v>
      </c>
      <c r="R169" s="65" t="s">
        <v>28</v>
      </c>
      <c r="U169" t="s">
        <v>1647</v>
      </c>
      <c r="V169" t="s">
        <v>3155</v>
      </c>
      <c r="W169" s="65" t="s">
        <v>21</v>
      </c>
      <c r="X169" s="65" t="s">
        <v>21</v>
      </c>
      <c r="Y169" s="65" t="s">
        <v>69</v>
      </c>
      <c r="AD169" s="65" t="s">
        <v>173</v>
      </c>
      <c r="AE169" s="65" t="s">
        <v>24</v>
      </c>
      <c r="AU169" s="73">
        <v>3379</v>
      </c>
      <c r="AV169" s="73">
        <v>3379</v>
      </c>
      <c r="BJ169" s="73">
        <v>4224</v>
      </c>
      <c r="BK169" s="73">
        <v>4224</v>
      </c>
      <c r="BO169" s="185" t="s">
        <v>3794</v>
      </c>
      <c r="BP169" s="185" t="s">
        <v>126</v>
      </c>
      <c r="BQ169" s="185" t="s">
        <v>3794</v>
      </c>
      <c r="BW169" s="73"/>
      <c r="BY169" s="185" t="s">
        <v>3794</v>
      </c>
      <c r="CC169" s="73">
        <v>-845</v>
      </c>
      <c r="CD169" s="73">
        <v>-845</v>
      </c>
      <c r="CE169" s="65" t="s">
        <v>126</v>
      </c>
      <c r="CJ169" t="s">
        <v>25</v>
      </c>
      <c r="CK169" t="s">
        <v>25</v>
      </c>
      <c r="CL169" t="s">
        <v>25</v>
      </c>
      <c r="CM169" t="s">
        <v>25</v>
      </c>
      <c r="CN169" t="s">
        <v>25</v>
      </c>
      <c r="CO169" t="s">
        <v>25</v>
      </c>
      <c r="CP169" t="s">
        <v>25</v>
      </c>
      <c r="CQ169" t="s">
        <v>25</v>
      </c>
      <c r="CR169" t="s">
        <v>25</v>
      </c>
      <c r="CS169" t="s">
        <v>53</v>
      </c>
      <c r="CT169" t="s">
        <v>25</v>
      </c>
      <c r="CU169" t="s">
        <v>25</v>
      </c>
      <c r="CV169" t="s">
        <v>25</v>
      </c>
      <c r="CW169" t="s">
        <v>25</v>
      </c>
      <c r="CX169" t="s">
        <v>25</v>
      </c>
      <c r="CY169" t="s">
        <v>25</v>
      </c>
      <c r="CZ169" t="s">
        <v>25</v>
      </c>
      <c r="DA169" t="s">
        <v>25</v>
      </c>
      <c r="DB169" t="s">
        <v>25</v>
      </c>
      <c r="DC169" t="s">
        <v>25</v>
      </c>
      <c r="DD169" t="s">
        <v>25</v>
      </c>
      <c r="DE169" t="s">
        <v>25</v>
      </c>
      <c r="DF169" t="s">
        <v>53</v>
      </c>
      <c r="DG169" t="s">
        <v>25</v>
      </c>
      <c r="DH169" t="s">
        <v>25</v>
      </c>
      <c r="DI169" t="s">
        <v>25</v>
      </c>
      <c r="DJ169" s="76">
        <v>0.62000000476837203</v>
      </c>
      <c r="DK169" s="73">
        <v>4224</v>
      </c>
      <c r="DL169" s="73">
        <v>4224</v>
      </c>
      <c r="DM169" s="73">
        <v>0</v>
      </c>
      <c r="DN169" s="65" t="s">
        <v>126</v>
      </c>
      <c r="DU169"/>
      <c r="DZ169" s="73">
        <v>0</v>
      </c>
      <c r="EA169" s="73">
        <v>0</v>
      </c>
      <c r="EB169" s="73">
        <v>0</v>
      </c>
    </row>
    <row r="170" spans="1:133" ht="12" customHeight="1" x14ac:dyDescent="0.2">
      <c r="A170" t="s">
        <v>2938</v>
      </c>
      <c r="B170" t="s">
        <v>2945</v>
      </c>
      <c r="C170" t="str">
        <f t="shared" si="8"/>
        <v>Pending Legal Agreement</v>
      </c>
      <c r="E170" s="65">
        <v>3162</v>
      </c>
      <c r="F170" t="s">
        <v>1648</v>
      </c>
      <c r="G170" s="71" t="s">
        <v>3945</v>
      </c>
      <c r="H170" s="67">
        <v>0.42199999094009399</v>
      </c>
      <c r="I170" s="65">
        <v>527415</v>
      </c>
      <c r="J170" s="65">
        <v>175590</v>
      </c>
      <c r="K170" s="65" t="s">
        <v>1649</v>
      </c>
      <c r="L170" s="65" t="s">
        <v>1650</v>
      </c>
      <c r="M170" s="65" t="s">
        <v>228</v>
      </c>
      <c r="N170" s="69">
        <v>42880</v>
      </c>
      <c r="Q170" s="69">
        <v>42998</v>
      </c>
      <c r="R170" s="65" t="s">
        <v>28</v>
      </c>
      <c r="U170" t="s">
        <v>1651</v>
      </c>
      <c r="V170" t="s">
        <v>3156</v>
      </c>
      <c r="W170" s="65" t="s">
        <v>29</v>
      </c>
      <c r="X170" s="65" t="s">
        <v>29</v>
      </c>
      <c r="Y170" s="65" t="s">
        <v>69</v>
      </c>
      <c r="AD170" s="65" t="s">
        <v>173</v>
      </c>
      <c r="AE170" s="65" t="s">
        <v>24</v>
      </c>
      <c r="AJ170" s="73">
        <v>7405</v>
      </c>
      <c r="AO170" s="73">
        <v>7405</v>
      </c>
      <c r="AZ170" s="73">
        <v>1461</v>
      </c>
      <c r="BE170" s="73">
        <v>1461</v>
      </c>
      <c r="BO170" s="185" t="s">
        <v>126</v>
      </c>
      <c r="BP170" s="185" t="s">
        <v>3794</v>
      </c>
      <c r="BQ170" s="185" t="s">
        <v>3794</v>
      </c>
      <c r="BR170" s="73">
        <v>5944</v>
      </c>
      <c r="BW170" s="73">
        <v>5944</v>
      </c>
      <c r="BY170" s="185" t="s">
        <v>3794</v>
      </c>
      <c r="CJ170" t="s">
        <v>40</v>
      </c>
      <c r="CK170" t="s">
        <v>25</v>
      </c>
      <c r="CL170" t="s">
        <v>25</v>
      </c>
      <c r="CM170" t="s">
        <v>25</v>
      </c>
      <c r="CN170" t="s">
        <v>25</v>
      </c>
      <c r="CO170" t="s">
        <v>25</v>
      </c>
      <c r="CP170" t="s">
        <v>25</v>
      </c>
      <c r="CQ170" t="s">
        <v>25</v>
      </c>
      <c r="CR170" t="s">
        <v>25</v>
      </c>
      <c r="CS170" t="s">
        <v>25</v>
      </c>
      <c r="CT170" t="s">
        <v>25</v>
      </c>
      <c r="CU170" t="s">
        <v>25</v>
      </c>
      <c r="CV170" t="s">
        <v>25</v>
      </c>
      <c r="CW170" t="s">
        <v>40</v>
      </c>
      <c r="CX170" t="s">
        <v>25</v>
      </c>
      <c r="CY170" t="s">
        <v>25</v>
      </c>
      <c r="CZ170" t="s">
        <v>25</v>
      </c>
      <c r="DA170" t="s">
        <v>25</v>
      </c>
      <c r="DB170" t="s">
        <v>25</v>
      </c>
      <c r="DC170" t="s">
        <v>25</v>
      </c>
      <c r="DD170" t="s">
        <v>25</v>
      </c>
      <c r="DE170" t="s">
        <v>25</v>
      </c>
      <c r="DF170" t="s">
        <v>25</v>
      </c>
      <c r="DG170" t="s">
        <v>25</v>
      </c>
      <c r="DH170" t="s">
        <v>25</v>
      </c>
      <c r="DI170" t="s">
        <v>25</v>
      </c>
      <c r="DJ170" s="76">
        <v>0.42199999094009399</v>
      </c>
      <c r="DK170" s="73">
        <v>7405</v>
      </c>
      <c r="DL170" s="73">
        <v>3278</v>
      </c>
      <c r="DM170" s="73">
        <v>4127</v>
      </c>
      <c r="DU170"/>
      <c r="DV170" s="65" t="s">
        <v>126</v>
      </c>
      <c r="DW170" t="s">
        <v>132</v>
      </c>
      <c r="DZ170" s="73">
        <v>0</v>
      </c>
      <c r="EA170" s="73">
        <v>0</v>
      </c>
      <c r="EB170" s="73">
        <v>0</v>
      </c>
    </row>
    <row r="171" spans="1:133" ht="12" customHeight="1" x14ac:dyDescent="0.2">
      <c r="A171" t="s">
        <v>2936</v>
      </c>
      <c r="B171" t="s">
        <v>2946</v>
      </c>
      <c r="C171" t="str">
        <f t="shared" si="8"/>
        <v>Full</v>
      </c>
      <c r="D171" t="s">
        <v>2943</v>
      </c>
      <c r="E171" s="65">
        <v>3223</v>
      </c>
      <c r="F171" t="s">
        <v>1652</v>
      </c>
      <c r="G171" s="71" t="s">
        <v>150</v>
      </c>
      <c r="H171" s="67">
        <v>3.7999998778104803E-2</v>
      </c>
      <c r="I171" s="65">
        <v>527409</v>
      </c>
      <c r="J171" s="65">
        <v>171468</v>
      </c>
      <c r="L171" s="65" t="s">
        <v>1259</v>
      </c>
      <c r="M171" s="65" t="s">
        <v>27</v>
      </c>
      <c r="N171" s="69">
        <v>42781</v>
      </c>
      <c r="O171" s="69">
        <v>42836</v>
      </c>
      <c r="P171" s="65" t="s">
        <v>126</v>
      </c>
      <c r="R171" s="65" t="s">
        <v>28</v>
      </c>
      <c r="U171" t="s">
        <v>1260</v>
      </c>
      <c r="V171" t="s">
        <v>3157</v>
      </c>
      <c r="W171" s="65" t="s">
        <v>21</v>
      </c>
      <c r="X171" s="65" t="s">
        <v>21</v>
      </c>
      <c r="Y171" s="65" t="s">
        <v>35</v>
      </c>
      <c r="AA171" s="69">
        <v>42836</v>
      </c>
      <c r="AB171" s="69">
        <v>42843</v>
      </c>
      <c r="AC171" s="69">
        <v>42843</v>
      </c>
      <c r="AD171" s="65" t="s">
        <v>23</v>
      </c>
      <c r="AE171" s="65" t="s">
        <v>24</v>
      </c>
      <c r="AH171" s="69">
        <f t="shared" si="6"/>
        <v>42836</v>
      </c>
      <c r="AI171" s="69">
        <f t="shared" si="7"/>
        <v>42843</v>
      </c>
      <c r="AW171" s="73">
        <v>410</v>
      </c>
      <c r="AY171" s="73">
        <v>410</v>
      </c>
      <c r="BL171" s="73">
        <v>410</v>
      </c>
      <c r="BN171" s="73">
        <v>410</v>
      </c>
      <c r="BO171" s="185" t="s">
        <v>3794</v>
      </c>
      <c r="BP171" s="185" t="s">
        <v>3794</v>
      </c>
      <c r="BQ171" s="185" t="s">
        <v>126</v>
      </c>
      <c r="BW171" s="73"/>
      <c r="BY171" s="185" t="s">
        <v>3794</v>
      </c>
      <c r="CJ171" t="s">
        <v>25</v>
      </c>
      <c r="CK171" t="s">
        <v>25</v>
      </c>
      <c r="CL171" t="s">
        <v>25</v>
      </c>
      <c r="CM171" t="s">
        <v>25</v>
      </c>
      <c r="CN171" t="s">
        <v>25</v>
      </c>
      <c r="CO171" t="s">
        <v>25</v>
      </c>
      <c r="CP171" t="s">
        <v>25</v>
      </c>
      <c r="CQ171" t="s">
        <v>25</v>
      </c>
      <c r="CR171" t="s">
        <v>25</v>
      </c>
      <c r="CS171" t="s">
        <v>25</v>
      </c>
      <c r="CT171" t="s">
        <v>25</v>
      </c>
      <c r="CU171" t="s">
        <v>49</v>
      </c>
      <c r="CV171" t="s">
        <v>25</v>
      </c>
      <c r="CW171" t="s">
        <v>25</v>
      </c>
      <c r="CX171" t="s">
        <v>25</v>
      </c>
      <c r="CY171" t="s">
        <v>25</v>
      </c>
      <c r="CZ171" t="s">
        <v>25</v>
      </c>
      <c r="DA171" t="s">
        <v>25</v>
      </c>
      <c r="DB171" t="s">
        <v>25</v>
      </c>
      <c r="DC171" t="s">
        <v>25</v>
      </c>
      <c r="DD171" t="s">
        <v>25</v>
      </c>
      <c r="DE171" t="s">
        <v>25</v>
      </c>
      <c r="DF171" t="s">
        <v>25</v>
      </c>
      <c r="DG171" t="s">
        <v>25</v>
      </c>
      <c r="DH171" t="s">
        <v>60</v>
      </c>
      <c r="DI171" t="s">
        <v>25</v>
      </c>
      <c r="DJ171" s="76">
        <v>3.7999998778104803E-2</v>
      </c>
      <c r="DK171" s="73">
        <v>410</v>
      </c>
      <c r="DL171" s="73">
        <v>410</v>
      </c>
      <c r="DM171" s="73">
        <v>0</v>
      </c>
      <c r="DU171"/>
      <c r="DV171" s="65" t="s">
        <v>126</v>
      </c>
      <c r="DW171" t="s">
        <v>150</v>
      </c>
      <c r="DZ171" s="73">
        <v>0</v>
      </c>
      <c r="EA171" s="73">
        <v>0</v>
      </c>
      <c r="EB171" s="73">
        <v>0</v>
      </c>
    </row>
    <row r="172" spans="1:133" ht="12" customHeight="1" x14ac:dyDescent="0.2">
      <c r="A172" t="s">
        <v>2935</v>
      </c>
      <c r="B172" t="s">
        <v>2946</v>
      </c>
      <c r="C172" t="str">
        <f t="shared" si="8"/>
        <v>Full</v>
      </c>
      <c r="E172" s="65">
        <v>3265</v>
      </c>
      <c r="F172" t="s">
        <v>1653</v>
      </c>
      <c r="G172" s="71" t="s">
        <v>3946</v>
      </c>
      <c r="H172" s="67">
        <v>1.9999999552965199E-2</v>
      </c>
      <c r="I172" s="65">
        <v>524466</v>
      </c>
      <c r="J172" s="65">
        <v>175195</v>
      </c>
      <c r="L172" s="65" t="s">
        <v>1654</v>
      </c>
      <c r="M172" s="65" t="s">
        <v>27</v>
      </c>
      <c r="N172" s="69">
        <v>42978</v>
      </c>
      <c r="O172" s="69">
        <v>43034</v>
      </c>
      <c r="P172" s="65" t="s">
        <v>126</v>
      </c>
      <c r="R172" s="65" t="s">
        <v>28</v>
      </c>
      <c r="U172" t="s">
        <v>1655</v>
      </c>
      <c r="V172" t="s">
        <v>3158</v>
      </c>
      <c r="W172" s="65" t="s">
        <v>34</v>
      </c>
      <c r="X172" s="65" t="s">
        <v>29</v>
      </c>
      <c r="Y172" s="65" t="s">
        <v>30</v>
      </c>
      <c r="AA172" s="69">
        <v>43190</v>
      </c>
      <c r="AD172" s="65" t="s">
        <v>23</v>
      </c>
      <c r="AE172" s="65" t="s">
        <v>24</v>
      </c>
      <c r="AH172" s="69">
        <f t="shared" si="6"/>
        <v>43190</v>
      </c>
      <c r="BF172" s="73">
        <v>180</v>
      </c>
      <c r="BK172" s="73">
        <v>180</v>
      </c>
      <c r="BO172" s="185" t="s">
        <v>3794</v>
      </c>
      <c r="BP172" s="185" t="s">
        <v>126</v>
      </c>
      <c r="BQ172" s="185" t="s">
        <v>3794</v>
      </c>
      <c r="BW172" s="73"/>
      <c r="BX172" s="73">
        <v>-180</v>
      </c>
      <c r="BY172" s="185" t="s">
        <v>126</v>
      </c>
      <c r="CD172" s="73">
        <v>-180</v>
      </c>
      <c r="CE172" s="65" t="s">
        <v>126</v>
      </c>
      <c r="CJ172" t="s">
        <v>25</v>
      </c>
      <c r="CK172" t="s">
        <v>25</v>
      </c>
      <c r="CL172" t="s">
        <v>25</v>
      </c>
      <c r="CM172" t="s">
        <v>25</v>
      </c>
      <c r="CN172" t="s">
        <v>25</v>
      </c>
      <c r="CO172" t="s">
        <v>25</v>
      </c>
      <c r="CP172" t="s">
        <v>25</v>
      </c>
      <c r="CQ172" t="s">
        <v>25</v>
      </c>
      <c r="CR172" t="s">
        <v>25</v>
      </c>
      <c r="CS172" t="s">
        <v>25</v>
      </c>
      <c r="CT172" t="s">
        <v>25</v>
      </c>
      <c r="CU172" t="s">
        <v>25</v>
      </c>
      <c r="CV172" t="s">
        <v>25</v>
      </c>
      <c r="CW172" t="s">
        <v>25</v>
      </c>
      <c r="CX172" t="s">
        <v>25</v>
      </c>
      <c r="CY172" t="s">
        <v>25</v>
      </c>
      <c r="CZ172" t="s">
        <v>25</v>
      </c>
      <c r="DA172" t="s">
        <v>25</v>
      </c>
      <c r="DB172" t="s">
        <v>47</v>
      </c>
      <c r="DC172" t="s">
        <v>25</v>
      </c>
      <c r="DD172" t="s">
        <v>25</v>
      </c>
      <c r="DE172" t="s">
        <v>25</v>
      </c>
      <c r="DF172" t="s">
        <v>25</v>
      </c>
      <c r="DG172" t="s">
        <v>25</v>
      </c>
      <c r="DH172" t="s">
        <v>25</v>
      </c>
      <c r="DI172" t="s">
        <v>25</v>
      </c>
      <c r="DJ172" s="76">
        <v>0</v>
      </c>
      <c r="DK172" s="73">
        <v>0</v>
      </c>
      <c r="DL172" s="73">
        <v>180</v>
      </c>
      <c r="DM172" s="73">
        <v>-180</v>
      </c>
      <c r="DU172"/>
      <c r="DZ172" s="73">
        <v>193</v>
      </c>
      <c r="EA172" s="73">
        <v>0</v>
      </c>
      <c r="EB172" s="73">
        <v>193</v>
      </c>
      <c r="EC172" s="65" t="s">
        <v>126</v>
      </c>
    </row>
    <row r="173" spans="1:133" ht="12" customHeight="1" x14ac:dyDescent="0.2">
      <c r="A173" t="s">
        <v>2935</v>
      </c>
      <c r="B173" t="s">
        <v>2946</v>
      </c>
      <c r="C173" t="str">
        <f t="shared" si="8"/>
        <v>Full</v>
      </c>
      <c r="E173" s="65">
        <v>3266</v>
      </c>
      <c r="F173" t="s">
        <v>1656</v>
      </c>
      <c r="G173" s="71" t="s">
        <v>2904</v>
      </c>
      <c r="H173" s="67">
        <v>2.8000000864267301E-2</v>
      </c>
      <c r="I173" s="65">
        <v>526086</v>
      </c>
      <c r="J173" s="65">
        <v>172456</v>
      </c>
      <c r="L173" s="65" t="s">
        <v>485</v>
      </c>
      <c r="M173" s="65" t="s">
        <v>27</v>
      </c>
      <c r="N173" s="69">
        <v>42170</v>
      </c>
      <c r="O173" s="69">
        <v>42264</v>
      </c>
      <c r="R173" s="65" t="s">
        <v>28</v>
      </c>
      <c r="U173" t="s">
        <v>486</v>
      </c>
      <c r="V173" t="s">
        <v>3159</v>
      </c>
      <c r="W173" s="65" t="s">
        <v>29</v>
      </c>
      <c r="X173" s="65" t="s">
        <v>29</v>
      </c>
      <c r="Y173" s="65" t="s">
        <v>30</v>
      </c>
      <c r="AA173" s="69">
        <v>43190</v>
      </c>
      <c r="AD173" s="65" t="s">
        <v>23</v>
      </c>
      <c r="AE173" s="65" t="s">
        <v>24</v>
      </c>
      <c r="AH173" s="69">
        <f t="shared" si="6"/>
        <v>43190</v>
      </c>
      <c r="BI173" s="73">
        <v>220</v>
      </c>
      <c r="BK173" s="73">
        <v>220</v>
      </c>
      <c r="BO173" s="185" t="s">
        <v>3794</v>
      </c>
      <c r="BP173" s="185" t="s">
        <v>126</v>
      </c>
      <c r="BQ173" s="185" t="s">
        <v>3794</v>
      </c>
      <c r="BW173" s="73"/>
      <c r="BY173" s="185" t="s">
        <v>3794</v>
      </c>
      <c r="CB173" s="73">
        <v>-220</v>
      </c>
      <c r="CD173" s="73">
        <v>-220</v>
      </c>
      <c r="CE173" s="65" t="s">
        <v>126</v>
      </c>
      <c r="CJ173" t="s">
        <v>25</v>
      </c>
      <c r="CK173" t="s">
        <v>25</v>
      </c>
      <c r="CL173" t="s">
        <v>25</v>
      </c>
      <c r="CM173" t="s">
        <v>25</v>
      </c>
      <c r="CN173" t="s">
        <v>25</v>
      </c>
      <c r="CO173" t="s">
        <v>25</v>
      </c>
      <c r="CP173" t="s">
        <v>25</v>
      </c>
      <c r="CQ173" t="s">
        <v>25</v>
      </c>
      <c r="CR173" t="s">
        <v>25</v>
      </c>
      <c r="CS173" t="s">
        <v>25</v>
      </c>
      <c r="CT173" t="s">
        <v>25</v>
      </c>
      <c r="CU173" t="s">
        <v>25</v>
      </c>
      <c r="CV173" t="s">
        <v>25</v>
      </c>
      <c r="CW173" t="s">
        <v>25</v>
      </c>
      <c r="CX173" t="s">
        <v>25</v>
      </c>
      <c r="CY173" t="s">
        <v>25</v>
      </c>
      <c r="CZ173" t="s">
        <v>25</v>
      </c>
      <c r="DA173" t="s">
        <v>25</v>
      </c>
      <c r="DB173" t="s">
        <v>25</v>
      </c>
      <c r="DC173" t="s">
        <v>25</v>
      </c>
      <c r="DD173" t="s">
        <v>25</v>
      </c>
      <c r="DE173" t="s">
        <v>32</v>
      </c>
      <c r="DF173" t="s">
        <v>25</v>
      </c>
      <c r="DG173" t="s">
        <v>25</v>
      </c>
      <c r="DH173" t="s">
        <v>25</v>
      </c>
      <c r="DI173" t="s">
        <v>25</v>
      </c>
      <c r="DJ173" s="76">
        <v>0</v>
      </c>
      <c r="DK173" s="73">
        <v>0</v>
      </c>
      <c r="DL173" s="73">
        <v>220</v>
      </c>
      <c r="DM173" s="73">
        <v>-220</v>
      </c>
      <c r="DU173"/>
      <c r="DZ173" s="73">
        <v>592</v>
      </c>
      <c r="EA173" s="73">
        <v>0</v>
      </c>
      <c r="EB173" s="73">
        <v>592</v>
      </c>
      <c r="EC173" s="65" t="s">
        <v>126</v>
      </c>
    </row>
    <row r="174" spans="1:133" ht="12" customHeight="1" x14ac:dyDescent="0.2">
      <c r="A174" t="s">
        <v>2936</v>
      </c>
      <c r="B174" t="s">
        <v>2946</v>
      </c>
      <c r="C174" t="str">
        <f t="shared" si="8"/>
        <v>Full</v>
      </c>
      <c r="D174" t="s">
        <v>2943</v>
      </c>
      <c r="E174" s="65">
        <v>3290</v>
      </c>
      <c r="F174" t="s">
        <v>1657</v>
      </c>
      <c r="G174" s="71" t="s">
        <v>3951</v>
      </c>
      <c r="H174" s="67">
        <v>9.9999997764825804E-3</v>
      </c>
      <c r="I174" s="65">
        <v>527974</v>
      </c>
      <c r="J174" s="65">
        <v>171515</v>
      </c>
      <c r="L174" s="65" t="s">
        <v>549</v>
      </c>
      <c r="M174" s="65" t="s">
        <v>27</v>
      </c>
      <c r="N174" s="69">
        <v>42289</v>
      </c>
      <c r="O174" s="69">
        <v>42404</v>
      </c>
      <c r="R174" s="65" t="s">
        <v>28</v>
      </c>
      <c r="U174" t="s">
        <v>771</v>
      </c>
      <c r="V174" t="s">
        <v>3160</v>
      </c>
      <c r="W174" s="65" t="s">
        <v>34</v>
      </c>
      <c r="X174" s="65" t="s">
        <v>29</v>
      </c>
      <c r="Y174" s="65" t="s">
        <v>35</v>
      </c>
      <c r="AA174" s="69">
        <v>42460</v>
      </c>
      <c r="AB174" s="69">
        <v>42844</v>
      </c>
      <c r="AC174" s="69">
        <v>42844</v>
      </c>
      <c r="AD174" s="65" t="s">
        <v>23</v>
      </c>
      <c r="AE174" s="65" t="s">
        <v>24</v>
      </c>
      <c r="AH174" s="69">
        <f t="shared" si="6"/>
        <v>42460</v>
      </c>
      <c r="AI174" s="69">
        <f t="shared" si="7"/>
        <v>42844</v>
      </c>
      <c r="BO174" s="185" t="s">
        <v>3794</v>
      </c>
      <c r="BP174" s="185" t="s">
        <v>3794</v>
      </c>
      <c r="BQ174" s="185" t="s">
        <v>3794</v>
      </c>
      <c r="BW174" s="73"/>
      <c r="BY174" s="185" t="s">
        <v>3794</v>
      </c>
      <c r="CJ174" t="s">
        <v>25</v>
      </c>
      <c r="CK174" t="s">
        <v>25</v>
      </c>
      <c r="CL174" t="s">
        <v>25</v>
      </c>
      <c r="CM174" t="s">
        <v>25</v>
      </c>
      <c r="CN174" t="s">
        <v>25</v>
      </c>
      <c r="CO174" t="s">
        <v>25</v>
      </c>
      <c r="CP174" t="s">
        <v>25</v>
      </c>
      <c r="CQ174" t="s">
        <v>25</v>
      </c>
      <c r="CR174" t="s">
        <v>25</v>
      </c>
      <c r="CS174" t="s">
        <v>25</v>
      </c>
      <c r="CT174" t="s">
        <v>25</v>
      </c>
      <c r="CU174" t="s">
        <v>25</v>
      </c>
      <c r="CV174" t="s">
        <v>25</v>
      </c>
      <c r="CW174" t="s">
        <v>25</v>
      </c>
      <c r="CX174" t="s">
        <v>25</v>
      </c>
      <c r="CY174" t="s">
        <v>25</v>
      </c>
      <c r="CZ174" t="s">
        <v>25</v>
      </c>
      <c r="DA174" t="s">
        <v>25</v>
      </c>
      <c r="DB174" t="s">
        <v>25</v>
      </c>
      <c r="DC174" t="s">
        <v>25</v>
      </c>
      <c r="DD174" t="s">
        <v>25</v>
      </c>
      <c r="DE174" t="s">
        <v>25</v>
      </c>
      <c r="DF174" t="s">
        <v>25</v>
      </c>
      <c r="DG174" t="s">
        <v>25</v>
      </c>
      <c r="DH174" t="s">
        <v>25</v>
      </c>
      <c r="DI174" t="s">
        <v>25</v>
      </c>
      <c r="DJ174" s="76">
        <v>0</v>
      </c>
      <c r="DK174" s="73">
        <v>0</v>
      </c>
      <c r="DL174" s="73">
        <v>47</v>
      </c>
      <c r="DM174" s="73">
        <v>-47</v>
      </c>
      <c r="DU174"/>
      <c r="DZ174" s="73">
        <v>132</v>
      </c>
      <c r="EA174" s="73">
        <v>45</v>
      </c>
      <c r="EB174" s="73">
        <v>87</v>
      </c>
      <c r="EC174" s="65" t="s">
        <v>126</v>
      </c>
    </row>
    <row r="175" spans="1:133" ht="12" customHeight="1" x14ac:dyDescent="0.2">
      <c r="A175" t="s">
        <v>2936</v>
      </c>
      <c r="B175" t="s">
        <v>2946</v>
      </c>
      <c r="C175" t="str">
        <f t="shared" si="8"/>
        <v>Full</v>
      </c>
      <c r="D175" t="s">
        <v>2943</v>
      </c>
      <c r="E175" s="65">
        <v>3321</v>
      </c>
      <c r="F175" t="s">
        <v>1658</v>
      </c>
      <c r="G175" s="71" t="s">
        <v>3954</v>
      </c>
      <c r="H175" s="67">
        <v>0.112999998033047</v>
      </c>
      <c r="I175" s="65">
        <v>522879</v>
      </c>
      <c r="J175" s="65">
        <v>174458</v>
      </c>
      <c r="L175" s="65" t="s">
        <v>763</v>
      </c>
      <c r="M175" s="65" t="s">
        <v>27</v>
      </c>
      <c r="N175" s="69">
        <v>42265</v>
      </c>
      <c r="O175" s="69">
        <v>42320</v>
      </c>
      <c r="R175" s="65" t="s">
        <v>28</v>
      </c>
      <c r="U175" t="s">
        <v>764</v>
      </c>
      <c r="V175" t="s">
        <v>3161</v>
      </c>
      <c r="W175" s="65" t="s">
        <v>29</v>
      </c>
      <c r="X175" s="65" t="s">
        <v>29</v>
      </c>
      <c r="Y175" s="65" t="s">
        <v>35</v>
      </c>
      <c r="AA175" s="69">
        <v>42389</v>
      </c>
      <c r="AB175" s="69">
        <v>42871</v>
      </c>
      <c r="AC175" s="69">
        <v>42871</v>
      </c>
      <c r="AD175" s="65" t="s">
        <v>23</v>
      </c>
      <c r="AE175" s="65" t="s">
        <v>24</v>
      </c>
      <c r="AH175" s="69">
        <f t="shared" si="6"/>
        <v>42389</v>
      </c>
      <c r="AI175" s="69">
        <f t="shared" si="7"/>
        <v>42871</v>
      </c>
      <c r="AW175" s="73">
        <v>21</v>
      </c>
      <c r="AY175" s="73">
        <v>21</v>
      </c>
      <c r="BO175" s="185" t="s">
        <v>3794</v>
      </c>
      <c r="BP175" s="185" t="s">
        <v>3794</v>
      </c>
      <c r="BQ175" s="185" t="s">
        <v>126</v>
      </c>
      <c r="BW175" s="73"/>
      <c r="BY175" s="185" t="s">
        <v>3794</v>
      </c>
      <c r="CG175" s="73">
        <v>21</v>
      </c>
      <c r="CI175" s="73">
        <v>21</v>
      </c>
      <c r="CJ175" t="s">
        <v>25</v>
      </c>
      <c r="CK175" t="s">
        <v>25</v>
      </c>
      <c r="CL175" t="s">
        <v>25</v>
      </c>
      <c r="CM175" t="s">
        <v>25</v>
      </c>
      <c r="CN175" t="s">
        <v>25</v>
      </c>
      <c r="CO175" t="s">
        <v>25</v>
      </c>
      <c r="CP175" t="s">
        <v>25</v>
      </c>
      <c r="CQ175" t="s">
        <v>25</v>
      </c>
      <c r="CR175" t="s">
        <v>25</v>
      </c>
      <c r="CS175" t="s">
        <v>25</v>
      </c>
      <c r="CT175" t="s">
        <v>25</v>
      </c>
      <c r="CU175" t="s">
        <v>60</v>
      </c>
      <c r="CV175" t="s">
        <v>25</v>
      </c>
      <c r="CW175" t="s">
        <v>25</v>
      </c>
      <c r="CX175" t="s">
        <v>25</v>
      </c>
      <c r="CY175" t="s">
        <v>25</v>
      </c>
      <c r="CZ175" t="s">
        <v>25</v>
      </c>
      <c r="DA175" t="s">
        <v>25</v>
      </c>
      <c r="DB175" t="s">
        <v>25</v>
      </c>
      <c r="DC175" t="s">
        <v>25</v>
      </c>
      <c r="DD175" t="s">
        <v>25</v>
      </c>
      <c r="DE175" t="s">
        <v>25</v>
      </c>
      <c r="DF175" t="s">
        <v>25</v>
      </c>
      <c r="DG175" t="s">
        <v>25</v>
      </c>
      <c r="DH175" t="s">
        <v>25</v>
      </c>
      <c r="DI175" t="s">
        <v>25</v>
      </c>
      <c r="DJ175" s="76">
        <v>0.112999998033047</v>
      </c>
      <c r="DK175" s="73">
        <v>21</v>
      </c>
      <c r="DL175" s="73">
        <v>0</v>
      </c>
      <c r="DM175" s="73">
        <v>21</v>
      </c>
      <c r="DU175"/>
      <c r="DZ175" s="73">
        <v>0</v>
      </c>
      <c r="EA175" s="73">
        <v>0</v>
      </c>
      <c r="EB175" s="73">
        <v>0</v>
      </c>
    </row>
    <row r="176" spans="1:133" ht="12" customHeight="1" x14ac:dyDescent="0.2">
      <c r="A176" t="s">
        <v>2936</v>
      </c>
      <c r="B176" t="s">
        <v>2948</v>
      </c>
      <c r="C176" t="str">
        <f t="shared" si="8"/>
        <v>Prior Approval</v>
      </c>
      <c r="D176" t="s">
        <v>2943</v>
      </c>
      <c r="E176" s="65">
        <v>3338</v>
      </c>
      <c r="F176" t="s">
        <v>1659</v>
      </c>
      <c r="G176" s="71" t="s">
        <v>3947</v>
      </c>
      <c r="H176" s="67">
        <v>4.0000001899898104E-3</v>
      </c>
      <c r="I176" s="65">
        <v>528077</v>
      </c>
      <c r="J176" s="65">
        <v>176658</v>
      </c>
      <c r="L176" s="65" t="s">
        <v>929</v>
      </c>
      <c r="M176" s="65" t="s">
        <v>243</v>
      </c>
      <c r="N176" s="69">
        <v>42537</v>
      </c>
      <c r="O176" s="69">
        <v>42593</v>
      </c>
      <c r="R176" s="65" t="s">
        <v>28</v>
      </c>
      <c r="U176" t="s">
        <v>930</v>
      </c>
      <c r="V176" t="s">
        <v>3162</v>
      </c>
      <c r="W176" s="65" t="s">
        <v>21</v>
      </c>
      <c r="X176" s="65" t="s">
        <v>21</v>
      </c>
      <c r="Y176" s="65" t="s">
        <v>35</v>
      </c>
      <c r="AA176" s="69">
        <v>42718</v>
      </c>
      <c r="AB176" s="69">
        <v>43147</v>
      </c>
      <c r="AC176" s="69">
        <v>43147</v>
      </c>
      <c r="AD176" s="65" t="s">
        <v>23</v>
      </c>
      <c r="AE176" s="65" t="s">
        <v>24</v>
      </c>
      <c r="AH176" s="69">
        <f t="shared" si="6"/>
        <v>42718</v>
      </c>
      <c r="AI176" s="69">
        <f t="shared" si="7"/>
        <v>43147</v>
      </c>
      <c r="BF176" s="73">
        <v>72</v>
      </c>
      <c r="BK176" s="73">
        <v>72</v>
      </c>
      <c r="BO176" s="185" t="s">
        <v>3794</v>
      </c>
      <c r="BP176" s="185" t="s">
        <v>126</v>
      </c>
      <c r="BQ176" s="185" t="s">
        <v>3794</v>
      </c>
      <c r="BW176" s="73"/>
      <c r="BX176" s="73">
        <v>-72</v>
      </c>
      <c r="BY176" s="185" t="s">
        <v>126</v>
      </c>
      <c r="CD176" s="73">
        <v>-72</v>
      </c>
      <c r="CE176" s="65" t="s">
        <v>126</v>
      </c>
      <c r="CJ176" t="s">
        <v>25</v>
      </c>
      <c r="CK176" t="s">
        <v>25</v>
      </c>
      <c r="CL176" t="s">
        <v>25</v>
      </c>
      <c r="CM176" t="s">
        <v>25</v>
      </c>
      <c r="CN176" t="s">
        <v>25</v>
      </c>
      <c r="CO176" t="s">
        <v>25</v>
      </c>
      <c r="CP176" t="s">
        <v>25</v>
      </c>
      <c r="CQ176" t="s">
        <v>25</v>
      </c>
      <c r="CR176" t="s">
        <v>25</v>
      </c>
      <c r="CS176" t="s">
        <v>25</v>
      </c>
      <c r="CT176" t="s">
        <v>25</v>
      </c>
      <c r="CU176" t="s">
        <v>25</v>
      </c>
      <c r="CV176" t="s">
        <v>25</v>
      </c>
      <c r="CW176" t="s">
        <v>25</v>
      </c>
      <c r="CX176" t="s">
        <v>25</v>
      </c>
      <c r="CY176" t="s">
        <v>25</v>
      </c>
      <c r="CZ176" t="s">
        <v>25</v>
      </c>
      <c r="DA176" t="s">
        <v>25</v>
      </c>
      <c r="DB176" t="s">
        <v>31</v>
      </c>
      <c r="DC176" t="s">
        <v>25</v>
      </c>
      <c r="DD176" t="s">
        <v>25</v>
      </c>
      <c r="DE176" t="s">
        <v>25</v>
      </c>
      <c r="DF176" t="s">
        <v>25</v>
      </c>
      <c r="DG176" t="s">
        <v>25</v>
      </c>
      <c r="DH176" t="s">
        <v>25</v>
      </c>
      <c r="DI176" t="s">
        <v>25</v>
      </c>
      <c r="DJ176" s="76">
        <v>1.0000001639127805E-3</v>
      </c>
      <c r="DK176" s="73">
        <v>0</v>
      </c>
      <c r="DL176" s="73">
        <v>72</v>
      </c>
      <c r="DM176" s="73">
        <v>-72</v>
      </c>
      <c r="DU176"/>
      <c r="DZ176" s="73">
        <v>72</v>
      </c>
      <c r="EA176" s="73">
        <v>0</v>
      </c>
      <c r="EB176" s="73">
        <v>72</v>
      </c>
      <c r="EC176" s="65" t="s">
        <v>126</v>
      </c>
    </row>
    <row r="177" spans="1:133" ht="12" customHeight="1" x14ac:dyDescent="0.2">
      <c r="A177" t="s">
        <v>2937</v>
      </c>
      <c r="B177" t="s">
        <v>2946</v>
      </c>
      <c r="C177" t="str">
        <f t="shared" si="8"/>
        <v>Full</v>
      </c>
      <c r="E177" s="65">
        <v>3351</v>
      </c>
      <c r="F177" t="s">
        <v>1660</v>
      </c>
      <c r="G177" s="71" t="s">
        <v>3950</v>
      </c>
      <c r="H177" s="67">
        <v>2.8000000864267301E-2</v>
      </c>
      <c r="I177" s="65">
        <v>529324</v>
      </c>
      <c r="J177" s="65">
        <v>171420</v>
      </c>
      <c r="L177" s="65" t="s">
        <v>1661</v>
      </c>
      <c r="M177" s="65" t="s">
        <v>27</v>
      </c>
      <c r="N177" s="69">
        <v>42864</v>
      </c>
      <c r="O177" s="69">
        <v>42920</v>
      </c>
      <c r="P177" s="65" t="s">
        <v>126</v>
      </c>
      <c r="R177" s="65" t="s">
        <v>28</v>
      </c>
      <c r="U177" t="s">
        <v>1662</v>
      </c>
      <c r="V177" t="s">
        <v>3163</v>
      </c>
      <c r="W177" s="65" t="s">
        <v>29</v>
      </c>
      <c r="X177" s="65" t="s">
        <v>29</v>
      </c>
      <c r="Y177" s="65" t="s">
        <v>69</v>
      </c>
      <c r="AD177" s="65" t="s">
        <v>23</v>
      </c>
      <c r="AE177" s="65" t="s">
        <v>24</v>
      </c>
      <c r="BO177" s="185" t="s">
        <v>3794</v>
      </c>
      <c r="BP177" s="185" t="s">
        <v>3794</v>
      </c>
      <c r="BQ177" s="185" t="s">
        <v>3794</v>
      </c>
      <c r="BW177" s="73"/>
      <c r="BY177" s="185" t="s">
        <v>3794</v>
      </c>
      <c r="CJ177" t="s">
        <v>25</v>
      </c>
      <c r="CK177" t="s">
        <v>25</v>
      </c>
      <c r="CL177" t="s">
        <v>25</v>
      </c>
      <c r="CM177" t="s">
        <v>25</v>
      </c>
      <c r="CN177" t="s">
        <v>25</v>
      </c>
      <c r="CO177" t="s">
        <v>25</v>
      </c>
      <c r="CP177" t="s">
        <v>25</v>
      </c>
      <c r="CQ177" t="s">
        <v>25</v>
      </c>
      <c r="CR177" t="s">
        <v>25</v>
      </c>
      <c r="CS177" t="s">
        <v>25</v>
      </c>
      <c r="CT177" t="s">
        <v>25</v>
      </c>
      <c r="CU177" t="s">
        <v>25</v>
      </c>
      <c r="CV177" t="s">
        <v>25</v>
      </c>
      <c r="CW177" t="s">
        <v>25</v>
      </c>
      <c r="CX177" t="s">
        <v>25</v>
      </c>
      <c r="CY177" t="s">
        <v>25</v>
      </c>
      <c r="CZ177" t="s">
        <v>25</v>
      </c>
      <c r="DA177" t="s">
        <v>25</v>
      </c>
      <c r="DB177" t="s">
        <v>25</v>
      </c>
      <c r="DC177" t="s">
        <v>25</v>
      </c>
      <c r="DD177" t="s">
        <v>25</v>
      </c>
      <c r="DE177" t="s">
        <v>25</v>
      </c>
      <c r="DF177" t="s">
        <v>25</v>
      </c>
      <c r="DG177" t="s">
        <v>25</v>
      </c>
      <c r="DH177" t="s">
        <v>25</v>
      </c>
      <c r="DI177" t="s">
        <v>25</v>
      </c>
      <c r="DJ177" s="76">
        <v>2.300000097602601E-2</v>
      </c>
      <c r="DK177" s="73">
        <v>0</v>
      </c>
      <c r="DL177" s="73">
        <v>36</v>
      </c>
      <c r="DM177" s="73">
        <v>-36</v>
      </c>
      <c r="DU177"/>
      <c r="DZ177" s="73">
        <v>80</v>
      </c>
      <c r="EA177" s="73">
        <v>0</v>
      </c>
      <c r="EB177" s="73">
        <v>80</v>
      </c>
      <c r="EC177" s="65" t="s">
        <v>126</v>
      </c>
    </row>
    <row r="178" spans="1:133" ht="12" customHeight="1" x14ac:dyDescent="0.2">
      <c r="A178" t="s">
        <v>2935</v>
      </c>
      <c r="B178" t="s">
        <v>2946</v>
      </c>
      <c r="C178" t="str">
        <f t="shared" si="8"/>
        <v>Full</v>
      </c>
      <c r="E178" s="65">
        <v>3388</v>
      </c>
      <c r="F178" t="s">
        <v>1663</v>
      </c>
      <c r="G178" s="71" t="s">
        <v>3942</v>
      </c>
      <c r="H178" s="67">
        <v>2.60000005364418E-2</v>
      </c>
      <c r="I178" s="65">
        <v>527364</v>
      </c>
      <c r="J178" s="65">
        <v>175137</v>
      </c>
      <c r="L178" s="65" t="s">
        <v>1664</v>
      </c>
      <c r="M178" s="65" t="s">
        <v>27</v>
      </c>
      <c r="N178" s="69">
        <v>42885</v>
      </c>
      <c r="O178" s="69">
        <v>43063</v>
      </c>
      <c r="P178" s="65" t="s">
        <v>126</v>
      </c>
      <c r="R178" s="65" t="s">
        <v>28</v>
      </c>
      <c r="U178" t="s">
        <v>1665</v>
      </c>
      <c r="V178" t="s">
        <v>3164</v>
      </c>
      <c r="W178" s="65" t="s">
        <v>21</v>
      </c>
      <c r="X178" s="65" t="s">
        <v>21</v>
      </c>
      <c r="Y178" s="65" t="s">
        <v>30</v>
      </c>
      <c r="AA178" s="69">
        <v>43190</v>
      </c>
      <c r="AD178" s="65" t="s">
        <v>23</v>
      </c>
      <c r="AE178" s="65" t="s">
        <v>24</v>
      </c>
      <c r="AH178" s="69">
        <f t="shared" si="6"/>
        <v>43190</v>
      </c>
      <c r="AJ178" s="73">
        <v>75</v>
      </c>
      <c r="AK178" s="73">
        <v>75</v>
      </c>
      <c r="AL178" s="73">
        <v>75</v>
      </c>
      <c r="AO178" s="73">
        <v>225</v>
      </c>
      <c r="AX178" s="73">
        <v>75</v>
      </c>
      <c r="AY178" s="73">
        <v>75</v>
      </c>
      <c r="BB178" s="73">
        <v>300</v>
      </c>
      <c r="BE178" s="73">
        <v>300</v>
      </c>
      <c r="BO178" s="185" t="s">
        <v>126</v>
      </c>
      <c r="BP178" s="185" t="s">
        <v>3794</v>
      </c>
      <c r="BQ178" s="185" t="s">
        <v>126</v>
      </c>
      <c r="BR178" s="73">
        <v>75</v>
      </c>
      <c r="BS178" s="73">
        <v>75</v>
      </c>
      <c r="BT178" s="73">
        <v>-225</v>
      </c>
      <c r="BW178" s="570">
        <v>-75</v>
      </c>
      <c r="BY178" s="185" t="s">
        <v>3794</v>
      </c>
      <c r="CH178" s="73">
        <v>75</v>
      </c>
      <c r="CI178" s="73">
        <v>75</v>
      </c>
      <c r="CJ178" t="s">
        <v>31</v>
      </c>
      <c r="CK178" t="s">
        <v>31</v>
      </c>
      <c r="CL178" t="s">
        <v>31</v>
      </c>
      <c r="CM178" t="s">
        <v>25</v>
      </c>
      <c r="CN178" t="s">
        <v>25</v>
      </c>
      <c r="CO178" t="s">
        <v>25</v>
      </c>
      <c r="CP178" t="s">
        <v>25</v>
      </c>
      <c r="CQ178" t="s">
        <v>25</v>
      </c>
      <c r="CR178" t="s">
        <v>25</v>
      </c>
      <c r="CS178" t="s">
        <v>25</v>
      </c>
      <c r="CT178" t="s">
        <v>25</v>
      </c>
      <c r="CU178" t="s">
        <v>25</v>
      </c>
      <c r="CV178" t="s">
        <v>31</v>
      </c>
      <c r="CW178" t="s">
        <v>25</v>
      </c>
      <c r="CX178" t="s">
        <v>25</v>
      </c>
      <c r="CY178" t="s">
        <v>38</v>
      </c>
      <c r="CZ178" t="s">
        <v>25</v>
      </c>
      <c r="DA178" t="s">
        <v>25</v>
      </c>
      <c r="DB178" t="s">
        <v>25</v>
      </c>
      <c r="DC178" t="s">
        <v>25</v>
      </c>
      <c r="DD178" t="s">
        <v>25</v>
      </c>
      <c r="DE178" t="s">
        <v>25</v>
      </c>
      <c r="DF178" t="s">
        <v>25</v>
      </c>
      <c r="DG178" t="s">
        <v>25</v>
      </c>
      <c r="DH178" t="s">
        <v>25</v>
      </c>
      <c r="DI178" t="s">
        <v>25</v>
      </c>
      <c r="DJ178" s="76">
        <v>2.60000005364418E-2</v>
      </c>
      <c r="DK178" s="73">
        <v>300</v>
      </c>
      <c r="DL178" s="73">
        <v>300</v>
      </c>
      <c r="DM178" s="73">
        <v>0</v>
      </c>
      <c r="DU178"/>
      <c r="DV178" s="65" t="s">
        <v>126</v>
      </c>
      <c r="DW178" t="s">
        <v>132</v>
      </c>
      <c r="DZ178" s="73">
        <v>0</v>
      </c>
      <c r="EA178" s="73">
        <v>0</v>
      </c>
      <c r="EB178" s="73">
        <v>0</v>
      </c>
    </row>
    <row r="179" spans="1:133" ht="12" customHeight="1" x14ac:dyDescent="0.2">
      <c r="A179" t="s">
        <v>2935</v>
      </c>
      <c r="B179" t="s">
        <v>2946</v>
      </c>
      <c r="C179" t="str">
        <f t="shared" si="8"/>
        <v>Full</v>
      </c>
      <c r="E179" s="65">
        <v>3415</v>
      </c>
      <c r="F179" t="s">
        <v>1666</v>
      </c>
      <c r="G179" s="71" t="s">
        <v>3941</v>
      </c>
      <c r="H179" s="67">
        <v>1.30000002682209E-2</v>
      </c>
      <c r="I179" s="65">
        <v>528454</v>
      </c>
      <c r="J179" s="65">
        <v>173134</v>
      </c>
      <c r="L179" s="65" t="s">
        <v>890</v>
      </c>
      <c r="M179" s="65" t="s">
        <v>27</v>
      </c>
      <c r="N179" s="69">
        <v>42529</v>
      </c>
      <c r="O179" s="69">
        <v>42585</v>
      </c>
      <c r="R179" s="65" t="s">
        <v>28</v>
      </c>
      <c r="U179" t="s">
        <v>891</v>
      </c>
      <c r="V179" t="s">
        <v>3165</v>
      </c>
      <c r="W179" s="65" t="s">
        <v>34</v>
      </c>
      <c r="X179" s="65" t="s">
        <v>29</v>
      </c>
      <c r="Y179" s="65" t="s">
        <v>30</v>
      </c>
      <c r="AA179" s="69">
        <v>42879</v>
      </c>
      <c r="AD179" s="65" t="s">
        <v>23</v>
      </c>
      <c r="AE179" s="65" t="s">
        <v>24</v>
      </c>
      <c r="AH179" s="69">
        <f t="shared" si="6"/>
        <v>42879</v>
      </c>
      <c r="AJ179" s="73">
        <v>51</v>
      </c>
      <c r="AK179" s="73">
        <v>50</v>
      </c>
      <c r="AL179" s="73">
        <v>51</v>
      </c>
      <c r="AO179" s="73">
        <v>152</v>
      </c>
      <c r="AZ179" s="73">
        <v>152</v>
      </c>
      <c r="BE179" s="73">
        <v>152</v>
      </c>
      <c r="BO179" s="185" t="s">
        <v>126</v>
      </c>
      <c r="BP179" s="185" t="s">
        <v>3794</v>
      </c>
      <c r="BQ179" s="185" t="s">
        <v>3794</v>
      </c>
      <c r="BR179" s="73">
        <v>-101</v>
      </c>
      <c r="BS179" s="73">
        <v>50</v>
      </c>
      <c r="BT179" s="73">
        <v>51</v>
      </c>
      <c r="BW179" s="73"/>
      <c r="BY179" s="185" t="s">
        <v>3794</v>
      </c>
      <c r="CJ179" t="s">
        <v>31</v>
      </c>
      <c r="CK179" t="s">
        <v>31</v>
      </c>
      <c r="CL179" t="s">
        <v>31</v>
      </c>
      <c r="CM179" t="s">
        <v>25</v>
      </c>
      <c r="CN179" t="s">
        <v>25</v>
      </c>
      <c r="CO179" t="s">
        <v>25</v>
      </c>
      <c r="CP179" t="s">
        <v>25</v>
      </c>
      <c r="CQ179" t="s">
        <v>25</v>
      </c>
      <c r="CR179" t="s">
        <v>25</v>
      </c>
      <c r="CS179" t="s">
        <v>25</v>
      </c>
      <c r="CT179" t="s">
        <v>25</v>
      </c>
      <c r="CU179" t="s">
        <v>25</v>
      </c>
      <c r="CV179" t="s">
        <v>25</v>
      </c>
      <c r="CW179" t="s">
        <v>31</v>
      </c>
      <c r="CX179" t="s">
        <v>25</v>
      </c>
      <c r="CY179" t="s">
        <v>25</v>
      </c>
      <c r="CZ179" t="s">
        <v>25</v>
      </c>
      <c r="DA179" t="s">
        <v>25</v>
      </c>
      <c r="DB179" t="s">
        <v>25</v>
      </c>
      <c r="DC179" t="s">
        <v>25</v>
      </c>
      <c r="DD179" t="s">
        <v>25</v>
      </c>
      <c r="DE179" t="s">
        <v>25</v>
      </c>
      <c r="DF179" t="s">
        <v>25</v>
      </c>
      <c r="DG179" t="s">
        <v>25</v>
      </c>
      <c r="DH179" t="s">
        <v>25</v>
      </c>
      <c r="DI179" t="s">
        <v>25</v>
      </c>
      <c r="DJ179" s="76">
        <v>3.0000004917383194E-3</v>
      </c>
      <c r="DK179" s="73">
        <v>152</v>
      </c>
      <c r="DL179" s="73">
        <v>152</v>
      </c>
      <c r="DM179" s="73">
        <v>0</v>
      </c>
      <c r="DU179"/>
      <c r="DZ179" s="73">
        <v>289</v>
      </c>
      <c r="EA179" s="73">
        <v>178</v>
      </c>
      <c r="EB179" s="73">
        <v>111</v>
      </c>
      <c r="EC179" s="65" t="s">
        <v>126</v>
      </c>
    </row>
    <row r="180" spans="1:133" ht="12" customHeight="1" x14ac:dyDescent="0.2">
      <c r="A180" t="s">
        <v>2936</v>
      </c>
      <c r="B180" t="s">
        <v>2946</v>
      </c>
      <c r="C180" t="str">
        <f t="shared" si="8"/>
        <v>Full</v>
      </c>
      <c r="D180" t="s">
        <v>2943</v>
      </c>
      <c r="E180" s="65">
        <v>3438</v>
      </c>
      <c r="F180" t="s">
        <v>1667</v>
      </c>
      <c r="G180" s="71" t="s">
        <v>3950</v>
      </c>
      <c r="H180" s="67">
        <v>1.2000000104308101E-2</v>
      </c>
      <c r="I180" s="65">
        <v>528986</v>
      </c>
      <c r="J180" s="65">
        <v>170585</v>
      </c>
      <c r="L180" s="65" t="s">
        <v>1068</v>
      </c>
      <c r="M180" s="65" t="s">
        <v>27</v>
      </c>
      <c r="N180" s="69">
        <v>42640</v>
      </c>
      <c r="O180" s="69">
        <v>42696</v>
      </c>
      <c r="R180" s="65" t="s">
        <v>28</v>
      </c>
      <c r="U180" t="s">
        <v>1069</v>
      </c>
      <c r="V180" t="s">
        <v>3166</v>
      </c>
      <c r="W180" s="65" t="s">
        <v>34</v>
      </c>
      <c r="X180" s="65" t="s">
        <v>29</v>
      </c>
      <c r="Y180" s="65" t="s">
        <v>35</v>
      </c>
      <c r="AA180" s="69">
        <v>42818</v>
      </c>
      <c r="AB180" s="69">
        <v>42914</v>
      </c>
      <c r="AC180" s="69">
        <v>42914</v>
      </c>
      <c r="AD180" s="65" t="s">
        <v>23</v>
      </c>
      <c r="AE180" s="65" t="s">
        <v>24</v>
      </c>
      <c r="AH180" s="69">
        <f t="shared" si="6"/>
        <v>42818</v>
      </c>
      <c r="AI180" s="69">
        <f t="shared" si="7"/>
        <v>42914</v>
      </c>
      <c r="AJ180" s="73">
        <v>46</v>
      </c>
      <c r="AO180" s="73">
        <v>46</v>
      </c>
      <c r="AZ180" s="73">
        <v>113</v>
      </c>
      <c r="BE180" s="73">
        <v>113</v>
      </c>
      <c r="BO180" s="185" t="s">
        <v>126</v>
      </c>
      <c r="BP180" s="185" t="s">
        <v>3794</v>
      </c>
      <c r="BQ180" s="185" t="s">
        <v>3794</v>
      </c>
      <c r="BR180" s="73">
        <v>-67</v>
      </c>
      <c r="BW180" s="73">
        <v>-67</v>
      </c>
      <c r="BY180" s="185" t="s">
        <v>3794</v>
      </c>
      <c r="CJ180" t="s">
        <v>40</v>
      </c>
      <c r="CK180" t="s">
        <v>25</v>
      </c>
      <c r="CL180" t="s">
        <v>25</v>
      </c>
      <c r="CM180" t="s">
        <v>25</v>
      </c>
      <c r="CN180" t="s">
        <v>25</v>
      </c>
      <c r="CO180" t="s">
        <v>25</v>
      </c>
      <c r="CP180" t="s">
        <v>25</v>
      </c>
      <c r="CQ180" t="s">
        <v>25</v>
      </c>
      <c r="CR180" t="s">
        <v>25</v>
      </c>
      <c r="CS180" t="s">
        <v>25</v>
      </c>
      <c r="CT180" t="s">
        <v>25</v>
      </c>
      <c r="CU180" t="s">
        <v>25</v>
      </c>
      <c r="CV180" t="s">
        <v>25</v>
      </c>
      <c r="CW180" t="s">
        <v>40</v>
      </c>
      <c r="CX180" t="s">
        <v>25</v>
      </c>
      <c r="CY180" t="s">
        <v>25</v>
      </c>
      <c r="CZ180" t="s">
        <v>25</v>
      </c>
      <c r="DA180" t="s">
        <v>25</v>
      </c>
      <c r="DB180" t="s">
        <v>25</v>
      </c>
      <c r="DC180" t="s">
        <v>25</v>
      </c>
      <c r="DD180" t="s">
        <v>25</v>
      </c>
      <c r="DE180" t="s">
        <v>25</v>
      </c>
      <c r="DF180" t="s">
        <v>25</v>
      </c>
      <c r="DG180" t="s">
        <v>25</v>
      </c>
      <c r="DH180" t="s">
        <v>25</v>
      </c>
      <c r="DI180" t="s">
        <v>25</v>
      </c>
      <c r="DJ180" s="76">
        <v>6.0000000521540408E-3</v>
      </c>
      <c r="DK180" s="73">
        <v>46</v>
      </c>
      <c r="DL180" s="73">
        <v>113</v>
      </c>
      <c r="DM180" s="73">
        <v>-67</v>
      </c>
      <c r="DU180"/>
      <c r="DZ180" s="73">
        <v>46</v>
      </c>
      <c r="EA180" s="73">
        <v>0</v>
      </c>
      <c r="EB180" s="73">
        <v>46</v>
      </c>
      <c r="EC180" s="65" t="s">
        <v>126</v>
      </c>
    </row>
    <row r="181" spans="1:133" ht="12" customHeight="1" x14ac:dyDescent="0.2">
      <c r="A181" t="s">
        <v>2936</v>
      </c>
      <c r="B181" t="s">
        <v>2946</v>
      </c>
      <c r="C181" t="str">
        <f t="shared" si="8"/>
        <v>Full</v>
      </c>
      <c r="D181" t="s">
        <v>2943</v>
      </c>
      <c r="E181" s="65">
        <v>3474</v>
      </c>
      <c r="F181" t="s">
        <v>1668</v>
      </c>
      <c r="G181" s="71" t="s">
        <v>150</v>
      </c>
      <c r="H181" s="67">
        <v>2.60000005364418E-2</v>
      </c>
      <c r="I181" s="65">
        <v>527800</v>
      </c>
      <c r="J181" s="65">
        <v>172183</v>
      </c>
      <c r="L181" s="65" t="s">
        <v>1669</v>
      </c>
      <c r="M181" s="65" t="s">
        <v>27</v>
      </c>
      <c r="N181" s="69">
        <v>42919</v>
      </c>
      <c r="O181" s="69">
        <v>42971</v>
      </c>
      <c r="P181" s="65" t="s">
        <v>126</v>
      </c>
      <c r="R181" s="65" t="s">
        <v>28</v>
      </c>
      <c r="U181" t="s">
        <v>1670</v>
      </c>
      <c r="V181" t="s">
        <v>3167</v>
      </c>
      <c r="W181" s="65" t="s">
        <v>34</v>
      </c>
      <c r="X181" s="65" t="s">
        <v>29</v>
      </c>
      <c r="Y181" s="65" t="s">
        <v>35</v>
      </c>
      <c r="AA181" s="69">
        <v>42971</v>
      </c>
      <c r="AB181" s="69">
        <v>43190</v>
      </c>
      <c r="AC181" s="69">
        <v>43190</v>
      </c>
      <c r="AD181" s="65" t="s">
        <v>23</v>
      </c>
      <c r="AE181" s="65" t="s">
        <v>24</v>
      </c>
      <c r="AH181" s="69">
        <f t="shared" si="6"/>
        <v>42971</v>
      </c>
      <c r="AI181" s="69">
        <f t="shared" si="7"/>
        <v>43190</v>
      </c>
      <c r="AJ181" s="73">
        <v>46</v>
      </c>
      <c r="AO181" s="73">
        <v>46</v>
      </c>
      <c r="AZ181" s="73">
        <v>83</v>
      </c>
      <c r="BE181" s="73">
        <v>83</v>
      </c>
      <c r="BO181" s="185" t="s">
        <v>126</v>
      </c>
      <c r="BP181" s="185" t="s">
        <v>3794</v>
      </c>
      <c r="BQ181" s="185" t="s">
        <v>3794</v>
      </c>
      <c r="BR181" s="73">
        <v>-37</v>
      </c>
      <c r="BW181" s="73">
        <v>-37</v>
      </c>
      <c r="BY181" s="185" t="s">
        <v>3794</v>
      </c>
      <c r="CJ181" t="s">
        <v>31</v>
      </c>
      <c r="CK181" t="s">
        <v>25</v>
      </c>
      <c r="CL181" t="s">
        <v>25</v>
      </c>
      <c r="CM181" t="s">
        <v>25</v>
      </c>
      <c r="CN181" t="s">
        <v>25</v>
      </c>
      <c r="CO181" t="s">
        <v>25</v>
      </c>
      <c r="CP181" t="s">
        <v>25</v>
      </c>
      <c r="CQ181" t="s">
        <v>25</v>
      </c>
      <c r="CR181" t="s">
        <v>25</v>
      </c>
      <c r="CS181" t="s">
        <v>25</v>
      </c>
      <c r="CT181" t="s">
        <v>25</v>
      </c>
      <c r="CU181" t="s">
        <v>25</v>
      </c>
      <c r="CV181" t="s">
        <v>25</v>
      </c>
      <c r="CW181" t="s">
        <v>47</v>
      </c>
      <c r="CX181" t="s">
        <v>25</v>
      </c>
      <c r="CY181" t="s">
        <v>25</v>
      </c>
      <c r="CZ181" t="s">
        <v>25</v>
      </c>
      <c r="DA181" t="s">
        <v>25</v>
      </c>
      <c r="DB181" t="s">
        <v>25</v>
      </c>
      <c r="DC181" t="s">
        <v>25</v>
      </c>
      <c r="DD181" t="s">
        <v>25</v>
      </c>
      <c r="DE181" t="s">
        <v>25</v>
      </c>
      <c r="DF181" t="s">
        <v>25</v>
      </c>
      <c r="DG181" t="s">
        <v>25</v>
      </c>
      <c r="DH181" t="s">
        <v>25</v>
      </c>
      <c r="DI181" t="s">
        <v>25</v>
      </c>
      <c r="DJ181" s="76">
        <v>1.9000000320374959E-2</v>
      </c>
      <c r="DK181" s="73">
        <v>46</v>
      </c>
      <c r="DL181" s="73">
        <v>83</v>
      </c>
      <c r="DM181" s="73">
        <v>-37</v>
      </c>
      <c r="DU181"/>
      <c r="DZ181" s="73">
        <v>65</v>
      </c>
      <c r="EA181" s="73">
        <v>0</v>
      </c>
      <c r="EB181" s="73">
        <v>65</v>
      </c>
      <c r="EC181" s="65" t="s">
        <v>126</v>
      </c>
    </row>
    <row r="182" spans="1:133" ht="12" customHeight="1" x14ac:dyDescent="0.2">
      <c r="A182" t="s">
        <v>2937</v>
      </c>
      <c r="B182" t="s">
        <v>2946</v>
      </c>
      <c r="C182" t="str">
        <f t="shared" si="8"/>
        <v>Full</v>
      </c>
      <c r="E182" s="65">
        <v>3499</v>
      </c>
      <c r="F182" t="s">
        <v>1671</v>
      </c>
      <c r="G182" s="71" t="s">
        <v>2907</v>
      </c>
      <c r="H182" s="67">
        <v>0.50599998235702504</v>
      </c>
      <c r="I182" s="65">
        <v>525461</v>
      </c>
      <c r="J182" s="65">
        <v>174573</v>
      </c>
      <c r="L182" s="65" t="s">
        <v>290</v>
      </c>
      <c r="M182" s="65" t="s">
        <v>27</v>
      </c>
      <c r="N182" s="69">
        <v>42062</v>
      </c>
      <c r="O182" s="69">
        <v>42087</v>
      </c>
      <c r="R182" s="65" t="s">
        <v>28</v>
      </c>
      <c r="U182" t="s">
        <v>291</v>
      </c>
      <c r="V182" t="s">
        <v>3168</v>
      </c>
      <c r="W182" s="65" t="s">
        <v>21</v>
      </c>
      <c r="X182" s="65" t="s">
        <v>21</v>
      </c>
      <c r="Y182" s="65" t="s">
        <v>69</v>
      </c>
      <c r="AD182" s="65" t="s">
        <v>23</v>
      </c>
      <c r="AE182" s="65" t="s">
        <v>24</v>
      </c>
      <c r="AW182" s="73">
        <v>252</v>
      </c>
      <c r="AY182" s="73">
        <v>252</v>
      </c>
      <c r="BF182" s="73">
        <v>252</v>
      </c>
      <c r="BK182" s="73">
        <v>252</v>
      </c>
      <c r="BO182" s="185" t="s">
        <v>3794</v>
      </c>
      <c r="BP182" s="185" t="s">
        <v>126</v>
      </c>
      <c r="BQ182" s="185" t="s">
        <v>126</v>
      </c>
      <c r="BW182" s="73"/>
      <c r="BX182" s="73">
        <v>-252</v>
      </c>
      <c r="BY182" s="185" t="s">
        <v>126</v>
      </c>
      <c r="CD182" s="73">
        <v>-252</v>
      </c>
      <c r="CE182" s="65" t="s">
        <v>126</v>
      </c>
      <c r="CG182" s="73">
        <v>252</v>
      </c>
      <c r="CI182" s="73">
        <v>252</v>
      </c>
      <c r="CJ182" t="s">
        <v>25</v>
      </c>
      <c r="CK182" t="s">
        <v>25</v>
      </c>
      <c r="CL182" t="s">
        <v>25</v>
      </c>
      <c r="CM182" t="s">
        <v>25</v>
      </c>
      <c r="CN182" t="s">
        <v>25</v>
      </c>
      <c r="CO182" t="s">
        <v>25</v>
      </c>
      <c r="CP182" t="s">
        <v>25</v>
      </c>
      <c r="CQ182" t="s">
        <v>25</v>
      </c>
      <c r="CR182" t="s">
        <v>25</v>
      </c>
      <c r="CS182" t="s">
        <v>25</v>
      </c>
      <c r="CT182" t="s">
        <v>25</v>
      </c>
      <c r="CU182" t="s">
        <v>43</v>
      </c>
      <c r="CV182" t="s">
        <v>25</v>
      </c>
      <c r="CW182" t="s">
        <v>25</v>
      </c>
      <c r="CX182" t="s">
        <v>25</v>
      </c>
      <c r="CY182" t="s">
        <v>25</v>
      </c>
      <c r="CZ182" t="s">
        <v>25</v>
      </c>
      <c r="DA182" t="s">
        <v>25</v>
      </c>
      <c r="DB182" t="s">
        <v>31</v>
      </c>
      <c r="DC182" t="s">
        <v>25</v>
      </c>
      <c r="DD182" t="s">
        <v>25</v>
      </c>
      <c r="DE182" t="s">
        <v>25</v>
      </c>
      <c r="DF182" t="s">
        <v>25</v>
      </c>
      <c r="DG182" t="s">
        <v>25</v>
      </c>
      <c r="DH182" t="s">
        <v>25</v>
      </c>
      <c r="DI182" t="s">
        <v>25</v>
      </c>
      <c r="DJ182" s="76">
        <v>0.50599998235702504</v>
      </c>
      <c r="DK182" s="73">
        <v>252</v>
      </c>
      <c r="DL182" s="73">
        <v>252</v>
      </c>
      <c r="DM182" s="73">
        <v>0</v>
      </c>
      <c r="DS182" s="65" t="s">
        <v>126</v>
      </c>
      <c r="DT182" t="s">
        <v>2909</v>
      </c>
      <c r="DU182"/>
      <c r="DV182" s="65" t="s">
        <v>126</v>
      </c>
      <c r="DW182" t="s">
        <v>151</v>
      </c>
      <c r="DZ182" s="73">
        <v>0</v>
      </c>
      <c r="EA182" s="73">
        <v>0</v>
      </c>
      <c r="EB182" s="73">
        <v>0</v>
      </c>
    </row>
    <row r="183" spans="1:133" ht="12" customHeight="1" x14ac:dyDescent="0.2">
      <c r="A183" t="s">
        <v>2935</v>
      </c>
      <c r="B183" t="s">
        <v>2946</v>
      </c>
      <c r="C183" t="str">
        <f t="shared" si="8"/>
        <v>Full</v>
      </c>
      <c r="E183" s="65">
        <v>3501</v>
      </c>
      <c r="F183" t="s">
        <v>1672</v>
      </c>
      <c r="G183" s="71" t="s">
        <v>3943</v>
      </c>
      <c r="H183" s="67">
        <v>0.19499999284744299</v>
      </c>
      <c r="I183" s="65">
        <v>526469</v>
      </c>
      <c r="J183" s="65">
        <v>175635</v>
      </c>
      <c r="K183" s="65" t="s">
        <v>1673</v>
      </c>
      <c r="L183" s="65" t="s">
        <v>378</v>
      </c>
      <c r="M183" s="65" t="s">
        <v>33</v>
      </c>
      <c r="N183" s="69">
        <v>41862</v>
      </c>
      <c r="O183" s="69">
        <v>42179</v>
      </c>
      <c r="Q183" s="69">
        <v>42081</v>
      </c>
      <c r="R183" s="65" t="s">
        <v>28</v>
      </c>
      <c r="U183" t="s">
        <v>709</v>
      </c>
      <c r="V183" t="s">
        <v>3169</v>
      </c>
      <c r="W183" s="65" t="s">
        <v>29</v>
      </c>
      <c r="X183" s="65" t="s">
        <v>29</v>
      </c>
      <c r="Y183" s="65" t="s">
        <v>30</v>
      </c>
      <c r="Z183" s="69">
        <v>39517</v>
      </c>
      <c r="AA183" s="69">
        <v>42275</v>
      </c>
      <c r="AD183" s="65" t="s">
        <v>23</v>
      </c>
      <c r="AE183" s="65" t="s">
        <v>24</v>
      </c>
      <c r="AH183" s="69">
        <f t="shared" si="6"/>
        <v>42275</v>
      </c>
      <c r="AJ183" s="73">
        <v>362</v>
      </c>
      <c r="AO183" s="73">
        <v>362</v>
      </c>
      <c r="AP183" s="73">
        <v>368</v>
      </c>
      <c r="AS183" s="73">
        <v>368</v>
      </c>
      <c r="AV183" s="73">
        <v>368</v>
      </c>
      <c r="BO183" s="185" t="s">
        <v>126</v>
      </c>
      <c r="BP183" s="185" t="s">
        <v>126</v>
      </c>
      <c r="BQ183" s="185" t="s">
        <v>3794</v>
      </c>
      <c r="BR183" s="73">
        <v>362</v>
      </c>
      <c r="BW183" s="73">
        <v>362</v>
      </c>
      <c r="BX183" s="73">
        <v>368</v>
      </c>
      <c r="BY183" s="185" t="s">
        <v>3794</v>
      </c>
      <c r="CD183" s="73">
        <v>368</v>
      </c>
      <c r="CJ183" t="s">
        <v>31</v>
      </c>
      <c r="CK183" t="s">
        <v>25</v>
      </c>
      <c r="CL183" t="s">
        <v>25</v>
      </c>
      <c r="CM183" t="s">
        <v>25</v>
      </c>
      <c r="CN183" t="s">
        <v>25</v>
      </c>
      <c r="CO183" t="s">
        <v>31</v>
      </c>
      <c r="CP183" t="s">
        <v>25</v>
      </c>
      <c r="CQ183" t="s">
        <v>25</v>
      </c>
      <c r="CR183" t="s">
        <v>25</v>
      </c>
      <c r="CS183" t="s">
        <v>25</v>
      </c>
      <c r="CT183" t="s">
        <v>25</v>
      </c>
      <c r="CU183" t="s">
        <v>25</v>
      </c>
      <c r="CV183" t="s">
        <v>25</v>
      </c>
      <c r="CW183" t="s">
        <v>25</v>
      </c>
      <c r="CX183" t="s">
        <v>25</v>
      </c>
      <c r="CY183" t="s">
        <v>25</v>
      </c>
      <c r="CZ183" t="s">
        <v>25</v>
      </c>
      <c r="DA183" t="s">
        <v>25</v>
      </c>
      <c r="DB183" t="s">
        <v>25</v>
      </c>
      <c r="DC183" t="s">
        <v>25</v>
      </c>
      <c r="DD183" t="s">
        <v>25</v>
      </c>
      <c r="DE183" t="s">
        <v>25</v>
      </c>
      <c r="DF183" t="s">
        <v>25</v>
      </c>
      <c r="DG183" t="s">
        <v>25</v>
      </c>
      <c r="DH183" t="s">
        <v>25</v>
      </c>
      <c r="DI183" t="s">
        <v>25</v>
      </c>
      <c r="DJ183" s="76">
        <v>1.699999347329198E-2</v>
      </c>
      <c r="DK183" s="73">
        <v>730</v>
      </c>
      <c r="DL183" s="73">
        <v>0</v>
      </c>
      <c r="DM183" s="73">
        <v>730</v>
      </c>
      <c r="DN183" s="65" t="s">
        <v>126</v>
      </c>
      <c r="DS183" s="65" t="s">
        <v>126</v>
      </c>
      <c r="DT183" t="s">
        <v>2910</v>
      </c>
      <c r="DU183"/>
      <c r="DZ183" s="73">
        <v>3928</v>
      </c>
      <c r="EA183" s="73">
        <v>0</v>
      </c>
      <c r="EB183" s="73">
        <v>3928</v>
      </c>
      <c r="EC183" s="65" t="s">
        <v>126</v>
      </c>
    </row>
    <row r="184" spans="1:133" ht="12" customHeight="1" x14ac:dyDescent="0.2">
      <c r="A184" t="s">
        <v>2936</v>
      </c>
      <c r="B184" t="s">
        <v>2946</v>
      </c>
      <c r="C184" t="str">
        <f t="shared" si="8"/>
        <v>Full</v>
      </c>
      <c r="D184" t="s">
        <v>2943</v>
      </c>
      <c r="E184" s="65">
        <v>3510</v>
      </c>
      <c r="F184" t="s">
        <v>1674</v>
      </c>
      <c r="G184" s="71" t="s">
        <v>3947</v>
      </c>
      <c r="H184" s="67">
        <v>2.0969998836517298</v>
      </c>
      <c r="I184" s="65">
        <v>529424</v>
      </c>
      <c r="J184" s="65">
        <v>177541</v>
      </c>
      <c r="K184" s="65" t="s">
        <v>1675</v>
      </c>
      <c r="L184" s="65" t="s">
        <v>170</v>
      </c>
      <c r="M184" s="65" t="s">
        <v>33</v>
      </c>
      <c r="N184" s="69">
        <v>40786</v>
      </c>
      <c r="O184" s="69">
        <v>40892</v>
      </c>
      <c r="Q184" s="69">
        <v>40864</v>
      </c>
      <c r="R184" s="65" t="s">
        <v>28</v>
      </c>
      <c r="U184" t="s">
        <v>645</v>
      </c>
      <c r="V184" t="s">
        <v>3114</v>
      </c>
      <c r="W184" s="65" t="s">
        <v>29</v>
      </c>
      <c r="X184" s="65" t="s">
        <v>29</v>
      </c>
      <c r="Y184" s="65" t="s">
        <v>35</v>
      </c>
      <c r="Z184" s="69">
        <v>40892</v>
      </c>
      <c r="AA184" s="69">
        <v>40892</v>
      </c>
      <c r="AB184" s="69">
        <v>43190</v>
      </c>
      <c r="AC184" s="69">
        <v>43190</v>
      </c>
      <c r="AD184" s="65" t="s">
        <v>23</v>
      </c>
      <c r="AE184" s="65" t="s">
        <v>24</v>
      </c>
      <c r="AH184" s="69">
        <f t="shared" si="6"/>
        <v>40892</v>
      </c>
      <c r="AI184" s="69">
        <f t="shared" si="7"/>
        <v>43190</v>
      </c>
      <c r="AJ184" s="73">
        <v>380</v>
      </c>
      <c r="AK184" s="73">
        <v>380</v>
      </c>
      <c r="AL184" s="73">
        <v>674</v>
      </c>
      <c r="AM184" s="73">
        <v>673</v>
      </c>
      <c r="AO184" s="73">
        <v>2107</v>
      </c>
      <c r="AW184" s="73">
        <v>980</v>
      </c>
      <c r="AY184" s="73">
        <v>980</v>
      </c>
      <c r="BH184" s="73">
        <v>10147</v>
      </c>
      <c r="BK184" s="73">
        <v>10147</v>
      </c>
      <c r="BO184" s="185" t="s">
        <v>126</v>
      </c>
      <c r="BP184" s="185" t="s">
        <v>126</v>
      </c>
      <c r="BQ184" s="185" t="s">
        <v>126</v>
      </c>
      <c r="BR184" s="73">
        <v>380</v>
      </c>
      <c r="BS184" s="73">
        <v>380</v>
      </c>
      <c r="BT184" s="73">
        <v>674</v>
      </c>
      <c r="BU184" s="73">
        <v>673</v>
      </c>
      <c r="BW184" s="73">
        <v>2107</v>
      </c>
      <c r="BY184" s="185" t="s">
        <v>3794</v>
      </c>
      <c r="CA184" s="73">
        <v>-10147</v>
      </c>
      <c r="CD184" s="73">
        <v>-10147</v>
      </c>
      <c r="CE184" s="65" t="s">
        <v>126</v>
      </c>
      <c r="CG184" s="73">
        <v>980</v>
      </c>
      <c r="CI184" s="73">
        <v>980</v>
      </c>
      <c r="CJ184" t="s">
        <v>31</v>
      </c>
      <c r="CK184" t="s">
        <v>31</v>
      </c>
      <c r="CL184" t="s">
        <v>31</v>
      </c>
      <c r="CM184" t="s">
        <v>31</v>
      </c>
      <c r="CN184" t="s">
        <v>25</v>
      </c>
      <c r="CO184" t="s">
        <v>25</v>
      </c>
      <c r="CP184" t="s">
        <v>25</v>
      </c>
      <c r="CQ184" t="s">
        <v>25</v>
      </c>
      <c r="CR184" t="s">
        <v>25</v>
      </c>
      <c r="CS184" t="s">
        <v>25</v>
      </c>
      <c r="CT184" t="s">
        <v>25</v>
      </c>
      <c r="CU184" t="s">
        <v>56</v>
      </c>
      <c r="CV184" t="s">
        <v>25</v>
      </c>
      <c r="CW184" t="s">
        <v>25</v>
      </c>
      <c r="CX184" t="s">
        <v>25</v>
      </c>
      <c r="CY184" t="s">
        <v>25</v>
      </c>
      <c r="CZ184" t="s">
        <v>25</v>
      </c>
      <c r="DA184" t="s">
        <v>25</v>
      </c>
      <c r="DB184" t="s">
        <v>25</v>
      </c>
      <c r="DC184" t="s">
        <v>25</v>
      </c>
      <c r="DD184" t="s">
        <v>47</v>
      </c>
      <c r="DE184" t="s">
        <v>25</v>
      </c>
      <c r="DF184" t="s">
        <v>25</v>
      </c>
      <c r="DG184" t="s">
        <v>25</v>
      </c>
      <c r="DH184" t="s">
        <v>25</v>
      </c>
      <c r="DI184" t="s">
        <v>25</v>
      </c>
      <c r="DJ184" s="76">
        <v>9.1999895870678916E-2</v>
      </c>
      <c r="DK184" s="73">
        <v>3087</v>
      </c>
      <c r="DL184" s="73">
        <v>10147</v>
      </c>
      <c r="DM184" s="73">
        <v>-7060</v>
      </c>
      <c r="DN184" s="65" t="s">
        <v>126</v>
      </c>
      <c r="DU184" s="65" t="s">
        <v>126</v>
      </c>
      <c r="DZ184" s="73">
        <v>63070</v>
      </c>
      <c r="EA184" s="73">
        <v>0</v>
      </c>
      <c r="EB184" s="73">
        <v>63070</v>
      </c>
      <c r="EC184" s="65" t="s">
        <v>126</v>
      </c>
    </row>
    <row r="185" spans="1:133" ht="12" customHeight="1" x14ac:dyDescent="0.2">
      <c r="A185" t="s">
        <v>2936</v>
      </c>
      <c r="B185" t="s">
        <v>2946</v>
      </c>
      <c r="C185" t="str">
        <f t="shared" si="8"/>
        <v>Full</v>
      </c>
      <c r="D185" t="s">
        <v>2943</v>
      </c>
      <c r="E185" s="65">
        <v>3510</v>
      </c>
      <c r="F185" t="s">
        <v>1674</v>
      </c>
      <c r="G185" s="71" t="s">
        <v>3947</v>
      </c>
      <c r="H185" s="67">
        <v>2.0969998836517298</v>
      </c>
      <c r="I185" s="65">
        <v>529424</v>
      </c>
      <c r="J185" s="65">
        <v>177541</v>
      </c>
      <c r="K185" s="65" t="s">
        <v>1675</v>
      </c>
      <c r="L185" s="65" t="s">
        <v>1676</v>
      </c>
      <c r="M185" s="65" t="s">
        <v>1363</v>
      </c>
      <c r="N185" s="69">
        <v>42880</v>
      </c>
      <c r="O185" s="69">
        <v>42916</v>
      </c>
      <c r="P185" s="65" t="s">
        <v>126</v>
      </c>
      <c r="R185" s="65" t="s">
        <v>28</v>
      </c>
      <c r="U185" t="s">
        <v>1677</v>
      </c>
      <c r="V185" t="s">
        <v>3170</v>
      </c>
      <c r="W185" s="65" t="s">
        <v>29</v>
      </c>
      <c r="X185" s="65" t="s">
        <v>29</v>
      </c>
      <c r="Y185" s="65" t="s">
        <v>35</v>
      </c>
      <c r="AA185" s="69">
        <v>40892</v>
      </c>
      <c r="AB185" s="69">
        <v>43190</v>
      </c>
      <c r="AC185" s="69">
        <v>43190</v>
      </c>
      <c r="AD185" s="65" t="s">
        <v>23</v>
      </c>
      <c r="AE185" s="65" t="s">
        <v>24</v>
      </c>
      <c r="AH185" s="69">
        <f t="shared" si="6"/>
        <v>40892</v>
      </c>
      <c r="AI185" s="69">
        <f t="shared" si="7"/>
        <v>43190</v>
      </c>
      <c r="AL185" s="73">
        <v>85</v>
      </c>
      <c r="AO185" s="73">
        <v>85</v>
      </c>
      <c r="BO185" s="185" t="s">
        <v>126</v>
      </c>
      <c r="BP185" s="185" t="s">
        <v>3794</v>
      </c>
      <c r="BQ185" s="185" t="s">
        <v>3794</v>
      </c>
      <c r="BT185" s="73">
        <v>85</v>
      </c>
      <c r="BW185" s="73">
        <v>85</v>
      </c>
      <c r="BY185" s="185" t="s">
        <v>3794</v>
      </c>
      <c r="CJ185" t="s">
        <v>25</v>
      </c>
      <c r="CK185" t="s">
        <v>25</v>
      </c>
      <c r="CL185" t="s">
        <v>38</v>
      </c>
      <c r="CM185" t="s">
        <v>25</v>
      </c>
      <c r="CN185" t="s">
        <v>25</v>
      </c>
      <c r="CO185" t="s">
        <v>25</v>
      </c>
      <c r="CP185" t="s">
        <v>25</v>
      </c>
      <c r="CQ185" t="s">
        <v>25</v>
      </c>
      <c r="CR185" t="s">
        <v>25</v>
      </c>
      <c r="CS185" t="s">
        <v>25</v>
      </c>
      <c r="CT185" t="s">
        <v>25</v>
      </c>
      <c r="CU185" t="s">
        <v>25</v>
      </c>
      <c r="CV185" t="s">
        <v>25</v>
      </c>
      <c r="CW185" t="s">
        <v>25</v>
      </c>
      <c r="CX185" t="s">
        <v>25</v>
      </c>
      <c r="CY185" t="s">
        <v>25</v>
      </c>
      <c r="CZ185" t="s">
        <v>25</v>
      </c>
      <c r="DA185" t="s">
        <v>25</v>
      </c>
      <c r="DB185" t="s">
        <v>25</v>
      </c>
      <c r="DC185" t="s">
        <v>25</v>
      </c>
      <c r="DD185" t="s">
        <v>25</v>
      </c>
      <c r="DE185" t="s">
        <v>25</v>
      </c>
      <c r="DF185" t="s">
        <v>25</v>
      </c>
      <c r="DG185" t="s">
        <v>25</v>
      </c>
      <c r="DH185" t="s">
        <v>25</v>
      </c>
      <c r="DI185" t="s">
        <v>25</v>
      </c>
      <c r="DJ185" s="76">
        <v>2.0969998836517298</v>
      </c>
      <c r="DK185" s="73">
        <v>85</v>
      </c>
      <c r="DL185" s="73">
        <v>0</v>
      </c>
      <c r="DM185" s="73">
        <v>85</v>
      </c>
      <c r="DN185" s="65" t="s">
        <v>126</v>
      </c>
      <c r="DU185" s="65" t="s">
        <v>126</v>
      </c>
      <c r="DZ185" s="73">
        <v>0</v>
      </c>
      <c r="EA185" s="73">
        <v>0</v>
      </c>
      <c r="EB185" s="73">
        <v>0</v>
      </c>
    </row>
    <row r="186" spans="1:133" ht="12" customHeight="1" x14ac:dyDescent="0.2">
      <c r="A186" t="s">
        <v>2936</v>
      </c>
      <c r="B186" t="s">
        <v>2946</v>
      </c>
      <c r="C186" t="str">
        <f t="shared" si="8"/>
        <v>Full</v>
      </c>
      <c r="D186" t="s">
        <v>2943</v>
      </c>
      <c r="E186" s="65">
        <v>3510</v>
      </c>
      <c r="F186" t="s">
        <v>1674</v>
      </c>
      <c r="G186" s="71" t="s">
        <v>3947</v>
      </c>
      <c r="H186" s="67">
        <v>2.0969998836517298</v>
      </c>
      <c r="I186" s="65">
        <v>529424</v>
      </c>
      <c r="J186" s="65">
        <v>177541</v>
      </c>
      <c r="K186" s="65" t="s">
        <v>1675</v>
      </c>
      <c r="L186" s="65" t="s">
        <v>1678</v>
      </c>
      <c r="M186" s="65" t="s">
        <v>1536</v>
      </c>
      <c r="N186" s="69">
        <v>42879</v>
      </c>
      <c r="O186" s="69">
        <v>42919</v>
      </c>
      <c r="P186" s="65" t="s">
        <v>126</v>
      </c>
      <c r="R186" s="65" t="s">
        <v>28</v>
      </c>
      <c r="U186" t="s">
        <v>1679</v>
      </c>
      <c r="V186" t="s">
        <v>3171</v>
      </c>
      <c r="W186" s="65" t="s">
        <v>29</v>
      </c>
      <c r="X186" s="65" t="s">
        <v>29</v>
      </c>
      <c r="Y186" s="65" t="s">
        <v>35</v>
      </c>
      <c r="AA186" s="69">
        <v>40892</v>
      </c>
      <c r="AB186" s="69">
        <v>43190</v>
      </c>
      <c r="AC186" s="69">
        <v>43190</v>
      </c>
      <c r="AD186" s="65" t="s">
        <v>23</v>
      </c>
      <c r="AE186" s="65" t="s">
        <v>24</v>
      </c>
      <c r="AH186" s="69">
        <f t="shared" si="6"/>
        <v>40892</v>
      </c>
      <c r="AI186" s="69">
        <f t="shared" si="7"/>
        <v>43190</v>
      </c>
      <c r="AP186" s="73">
        <v>40</v>
      </c>
      <c r="AS186" s="73">
        <v>40</v>
      </c>
      <c r="AV186" s="73">
        <v>40</v>
      </c>
      <c r="BO186" s="185" t="s">
        <v>3794</v>
      </c>
      <c r="BP186" s="185" t="s">
        <v>126</v>
      </c>
      <c r="BQ186" s="185" t="s">
        <v>3794</v>
      </c>
      <c r="BW186" s="73"/>
      <c r="BX186" s="73">
        <v>40</v>
      </c>
      <c r="BY186" s="185" t="s">
        <v>3794</v>
      </c>
      <c r="CD186" s="73">
        <v>40</v>
      </c>
      <c r="CJ186" t="s">
        <v>25</v>
      </c>
      <c r="CK186" t="s">
        <v>25</v>
      </c>
      <c r="CL186" t="s">
        <v>25</v>
      </c>
      <c r="CM186" t="s">
        <v>25</v>
      </c>
      <c r="CN186" t="s">
        <v>25</v>
      </c>
      <c r="CO186" t="s">
        <v>49</v>
      </c>
      <c r="CP186" t="s">
        <v>25</v>
      </c>
      <c r="CQ186" t="s">
        <v>25</v>
      </c>
      <c r="CR186" t="s">
        <v>25</v>
      </c>
      <c r="CS186" t="s">
        <v>25</v>
      </c>
      <c r="CT186" t="s">
        <v>25</v>
      </c>
      <c r="CU186" t="s">
        <v>25</v>
      </c>
      <c r="CV186" t="s">
        <v>25</v>
      </c>
      <c r="CW186" t="s">
        <v>25</v>
      </c>
      <c r="CX186" t="s">
        <v>25</v>
      </c>
      <c r="CY186" t="s">
        <v>25</v>
      </c>
      <c r="CZ186" t="s">
        <v>25</v>
      </c>
      <c r="DA186" t="s">
        <v>25</v>
      </c>
      <c r="DB186" t="s">
        <v>25</v>
      </c>
      <c r="DC186" t="s">
        <v>25</v>
      </c>
      <c r="DD186" t="s">
        <v>25</v>
      </c>
      <c r="DE186" t="s">
        <v>25</v>
      </c>
      <c r="DF186" t="s">
        <v>25</v>
      </c>
      <c r="DG186" t="s">
        <v>25</v>
      </c>
      <c r="DH186" t="s">
        <v>25</v>
      </c>
      <c r="DI186" t="s">
        <v>25</v>
      </c>
      <c r="DJ186" s="76">
        <v>2.0969998836517298</v>
      </c>
      <c r="DK186" s="73">
        <v>40</v>
      </c>
      <c r="DL186" s="73">
        <v>0</v>
      </c>
      <c r="DM186" s="73">
        <v>40</v>
      </c>
      <c r="DN186" s="65" t="s">
        <v>126</v>
      </c>
      <c r="DU186" s="65" t="s">
        <v>126</v>
      </c>
      <c r="DZ186" s="73">
        <v>0</v>
      </c>
      <c r="EA186" s="73">
        <v>0</v>
      </c>
      <c r="EB186" s="73">
        <v>0</v>
      </c>
    </row>
    <row r="187" spans="1:133" ht="12" customHeight="1" x14ac:dyDescent="0.2">
      <c r="A187" t="s">
        <v>2936</v>
      </c>
      <c r="B187" t="s">
        <v>2946</v>
      </c>
      <c r="C187" t="str">
        <f t="shared" si="8"/>
        <v>Full</v>
      </c>
      <c r="D187" t="s">
        <v>2943</v>
      </c>
      <c r="E187" s="65">
        <v>3510</v>
      </c>
      <c r="F187" t="s">
        <v>1674</v>
      </c>
      <c r="G187" s="71" t="s">
        <v>3947</v>
      </c>
      <c r="H187" s="67">
        <v>2.0969998836517298</v>
      </c>
      <c r="I187" s="65">
        <v>529424</v>
      </c>
      <c r="J187" s="65">
        <v>177541</v>
      </c>
      <c r="K187" s="65" t="s">
        <v>1675</v>
      </c>
      <c r="L187" s="65" t="s">
        <v>1680</v>
      </c>
      <c r="M187" s="65" t="s">
        <v>1363</v>
      </c>
      <c r="N187" s="69">
        <v>43112</v>
      </c>
      <c r="O187" s="69">
        <v>43166</v>
      </c>
      <c r="P187" s="65" t="s">
        <v>126</v>
      </c>
      <c r="R187" s="65" t="s">
        <v>28</v>
      </c>
      <c r="U187" t="s">
        <v>1681</v>
      </c>
      <c r="V187" t="s">
        <v>3172</v>
      </c>
      <c r="W187" s="65" t="s">
        <v>21</v>
      </c>
      <c r="X187" s="65" t="s">
        <v>21</v>
      </c>
      <c r="Y187" s="65" t="s">
        <v>35</v>
      </c>
      <c r="AA187" s="69">
        <v>40892</v>
      </c>
      <c r="AB187" s="69">
        <v>43190</v>
      </c>
      <c r="AC187" s="69">
        <v>43190</v>
      </c>
      <c r="AD187" s="65" t="s">
        <v>23</v>
      </c>
      <c r="AE187" s="65" t="s">
        <v>24</v>
      </c>
      <c r="AH187" s="69">
        <f t="shared" si="6"/>
        <v>40892</v>
      </c>
      <c r="AI187" s="69">
        <f t="shared" ref="AI187:AI239" si="9">AB187</f>
        <v>43190</v>
      </c>
      <c r="AL187" s="73">
        <v>32</v>
      </c>
      <c r="AO187" s="73">
        <v>32</v>
      </c>
      <c r="BF187" s="73">
        <v>32</v>
      </c>
      <c r="BK187" s="73">
        <v>32</v>
      </c>
      <c r="BO187" s="185" t="s">
        <v>126</v>
      </c>
      <c r="BP187" s="185" t="s">
        <v>126</v>
      </c>
      <c r="BQ187" s="185" t="s">
        <v>3794</v>
      </c>
      <c r="BT187" s="73">
        <v>32</v>
      </c>
      <c r="BW187" s="73">
        <v>32</v>
      </c>
      <c r="BX187" s="73">
        <v>-32</v>
      </c>
      <c r="BY187" s="185" t="s">
        <v>126</v>
      </c>
      <c r="CD187" s="73">
        <v>-32</v>
      </c>
      <c r="CE187" s="65" t="s">
        <v>126</v>
      </c>
      <c r="CJ187" t="s">
        <v>25</v>
      </c>
      <c r="CK187" t="s">
        <v>25</v>
      </c>
      <c r="CL187" t="s">
        <v>50</v>
      </c>
      <c r="CM187" t="s">
        <v>25</v>
      </c>
      <c r="CN187" t="s">
        <v>25</v>
      </c>
      <c r="CO187" t="s">
        <v>25</v>
      </c>
      <c r="CP187" t="s">
        <v>25</v>
      </c>
      <c r="CQ187" t="s">
        <v>25</v>
      </c>
      <c r="CR187" t="s">
        <v>25</v>
      </c>
      <c r="CS187" t="s">
        <v>25</v>
      </c>
      <c r="CT187" t="s">
        <v>25</v>
      </c>
      <c r="CU187" t="s">
        <v>25</v>
      </c>
      <c r="CV187" t="s">
        <v>25</v>
      </c>
      <c r="CW187" t="s">
        <v>25</v>
      </c>
      <c r="CX187" t="s">
        <v>25</v>
      </c>
      <c r="CY187" t="s">
        <v>25</v>
      </c>
      <c r="CZ187" t="s">
        <v>25</v>
      </c>
      <c r="DA187" t="s">
        <v>25</v>
      </c>
      <c r="DB187" t="s">
        <v>47</v>
      </c>
      <c r="DC187" t="s">
        <v>25</v>
      </c>
      <c r="DD187" t="s">
        <v>25</v>
      </c>
      <c r="DE187" t="s">
        <v>25</v>
      </c>
      <c r="DF187" t="s">
        <v>25</v>
      </c>
      <c r="DG187" t="s">
        <v>25</v>
      </c>
      <c r="DH187" t="s">
        <v>25</v>
      </c>
      <c r="DI187" t="s">
        <v>25</v>
      </c>
      <c r="DJ187" s="76">
        <v>2.0969998836517298</v>
      </c>
      <c r="DK187" s="73">
        <v>32</v>
      </c>
      <c r="DL187" s="73">
        <v>32</v>
      </c>
      <c r="DM187" s="73">
        <v>0</v>
      </c>
      <c r="DN187" s="65" t="s">
        <v>126</v>
      </c>
      <c r="DU187" s="65" t="s">
        <v>126</v>
      </c>
      <c r="DZ187" s="73">
        <v>0</v>
      </c>
      <c r="EA187" s="73">
        <v>0</v>
      </c>
      <c r="EB187" s="73">
        <v>0</v>
      </c>
    </row>
    <row r="188" spans="1:133" ht="12" customHeight="1" x14ac:dyDescent="0.2">
      <c r="A188" t="s">
        <v>2937</v>
      </c>
      <c r="B188" t="s">
        <v>2947</v>
      </c>
      <c r="C188" t="str">
        <f t="shared" si="8"/>
        <v>Outline</v>
      </c>
      <c r="E188" s="65">
        <v>3511</v>
      </c>
      <c r="F188" t="s">
        <v>1682</v>
      </c>
      <c r="G188" s="71" t="s">
        <v>3947</v>
      </c>
      <c r="H188" s="67">
        <v>24.569999694824201</v>
      </c>
      <c r="I188" s="65">
        <v>529369</v>
      </c>
      <c r="J188" s="65">
        <v>177317</v>
      </c>
      <c r="K188" s="65" t="s">
        <v>1683</v>
      </c>
      <c r="L188" s="65" t="s">
        <v>354</v>
      </c>
      <c r="M188" s="65" t="s">
        <v>42</v>
      </c>
      <c r="N188" s="69">
        <v>41774</v>
      </c>
      <c r="O188" s="69">
        <v>42046</v>
      </c>
      <c r="Q188" s="69">
        <v>41955</v>
      </c>
      <c r="R188" s="65" t="s">
        <v>28</v>
      </c>
      <c r="U188" t="s">
        <v>699</v>
      </c>
      <c r="V188" t="s">
        <v>3173</v>
      </c>
      <c r="W188" s="65" t="s">
        <v>29</v>
      </c>
      <c r="X188" s="65" t="s">
        <v>29</v>
      </c>
      <c r="Y188" s="65" t="s">
        <v>30</v>
      </c>
      <c r="AA188" s="69">
        <v>42825</v>
      </c>
      <c r="AD188" s="65" t="s">
        <v>23</v>
      </c>
      <c r="AE188" s="65" t="s">
        <v>24</v>
      </c>
      <c r="AF188" s="71" t="s">
        <v>1684</v>
      </c>
      <c r="AG188" s="65" t="s">
        <v>23</v>
      </c>
      <c r="AH188" s="69">
        <f t="shared" si="6"/>
        <v>42825</v>
      </c>
      <c r="AJ188" s="73">
        <v>785</v>
      </c>
      <c r="AK188" s="73">
        <v>785</v>
      </c>
      <c r="AL188" s="73">
        <v>785</v>
      </c>
      <c r="AM188" s="73">
        <v>785</v>
      </c>
      <c r="AN188" s="73">
        <v>784</v>
      </c>
      <c r="AO188" s="73">
        <v>3924</v>
      </c>
      <c r="AP188" s="73">
        <v>1042</v>
      </c>
      <c r="AS188" s="73">
        <v>1042</v>
      </c>
      <c r="AV188" s="73">
        <v>1042</v>
      </c>
      <c r="AX188" s="73">
        <v>1678</v>
      </c>
      <c r="AY188" s="73">
        <v>1678</v>
      </c>
      <c r="BO188" s="185" t="s">
        <v>126</v>
      </c>
      <c r="BP188" s="185" t="s">
        <v>126</v>
      </c>
      <c r="BQ188" s="185" t="s">
        <v>126</v>
      </c>
      <c r="BR188" s="73">
        <v>785</v>
      </c>
      <c r="BS188" s="73">
        <v>785</v>
      </c>
      <c r="BT188" s="73">
        <v>785</v>
      </c>
      <c r="BU188" s="73">
        <v>785</v>
      </c>
      <c r="BV188" s="73">
        <v>784</v>
      </c>
      <c r="BW188" s="73">
        <v>3924</v>
      </c>
      <c r="BX188" s="73">
        <v>1042</v>
      </c>
      <c r="BY188" s="185" t="s">
        <v>3794</v>
      </c>
      <c r="CD188" s="73">
        <v>1042</v>
      </c>
      <c r="CH188" s="73">
        <v>1678</v>
      </c>
      <c r="CI188" s="73">
        <v>1678</v>
      </c>
      <c r="CJ188" t="s">
        <v>25</v>
      </c>
      <c r="CK188" t="s">
        <v>25</v>
      </c>
      <c r="CL188" t="s">
        <v>25</v>
      </c>
      <c r="CM188" t="s">
        <v>25</v>
      </c>
      <c r="CN188" t="s">
        <v>25</v>
      </c>
      <c r="CO188" t="s">
        <v>25</v>
      </c>
      <c r="CP188" t="s">
        <v>25</v>
      </c>
      <c r="CQ188" t="s">
        <v>25</v>
      </c>
      <c r="CR188" t="s">
        <v>25</v>
      </c>
      <c r="CS188" t="s">
        <v>25</v>
      </c>
      <c r="CT188" t="s">
        <v>25</v>
      </c>
      <c r="CU188" t="s">
        <v>25</v>
      </c>
      <c r="CV188" t="s">
        <v>49</v>
      </c>
      <c r="CW188" t="s">
        <v>25</v>
      </c>
      <c r="CX188" t="s">
        <v>25</v>
      </c>
      <c r="CY188" t="s">
        <v>25</v>
      </c>
      <c r="CZ188" t="s">
        <v>25</v>
      </c>
      <c r="DA188" t="s">
        <v>25</v>
      </c>
      <c r="DB188" t="s">
        <v>25</v>
      </c>
      <c r="DC188" t="s">
        <v>25</v>
      </c>
      <c r="DD188" t="s">
        <v>25</v>
      </c>
      <c r="DE188" t="s">
        <v>25</v>
      </c>
      <c r="DF188" t="s">
        <v>25</v>
      </c>
      <c r="DG188" t="s">
        <v>25</v>
      </c>
      <c r="DH188" t="s">
        <v>25</v>
      </c>
      <c r="DI188" t="s">
        <v>25</v>
      </c>
      <c r="DJ188" s="76">
        <v>16.432999789714792</v>
      </c>
      <c r="DK188" s="73">
        <v>6644</v>
      </c>
      <c r="DL188" s="73">
        <v>0</v>
      </c>
      <c r="DM188" s="73">
        <v>6644</v>
      </c>
      <c r="DU188" s="65" t="s">
        <v>126</v>
      </c>
      <c r="DZ188" s="73">
        <v>52215</v>
      </c>
      <c r="EA188" s="73">
        <v>0</v>
      </c>
      <c r="EB188" s="73">
        <v>52215</v>
      </c>
      <c r="EC188" s="65" t="s">
        <v>126</v>
      </c>
    </row>
    <row r="189" spans="1:133" ht="12" customHeight="1" x14ac:dyDescent="0.2">
      <c r="A189" t="s">
        <v>2937</v>
      </c>
      <c r="B189" t="s">
        <v>2947</v>
      </c>
      <c r="C189" t="str">
        <f t="shared" si="8"/>
        <v>Outline</v>
      </c>
      <c r="E189" s="65">
        <v>3511</v>
      </c>
      <c r="F189" t="s">
        <v>1682</v>
      </c>
      <c r="G189" s="71" t="s">
        <v>3947</v>
      </c>
      <c r="H189" s="67">
        <v>24.569999694824201</v>
      </c>
      <c r="I189" s="65">
        <v>529369</v>
      </c>
      <c r="J189" s="65">
        <v>177317</v>
      </c>
      <c r="K189" s="65" t="s">
        <v>1683</v>
      </c>
      <c r="L189" s="65" t="s">
        <v>354</v>
      </c>
      <c r="M189" s="65" t="s">
        <v>42</v>
      </c>
      <c r="N189" s="69">
        <v>41774</v>
      </c>
      <c r="O189" s="69">
        <v>42046</v>
      </c>
      <c r="Q189" s="69">
        <v>41955</v>
      </c>
      <c r="R189" s="65" t="s">
        <v>28</v>
      </c>
      <c r="U189" t="s">
        <v>699</v>
      </c>
      <c r="V189" t="s">
        <v>3173</v>
      </c>
      <c r="W189" s="65" t="s">
        <v>29</v>
      </c>
      <c r="X189" s="65" t="s">
        <v>29</v>
      </c>
      <c r="Y189" s="65" t="s">
        <v>30</v>
      </c>
      <c r="AA189" s="69">
        <v>42825</v>
      </c>
      <c r="AD189" s="65" t="s">
        <v>23</v>
      </c>
      <c r="AE189" s="65" t="s">
        <v>24</v>
      </c>
      <c r="AF189" s="71" t="s">
        <v>1685</v>
      </c>
      <c r="AG189" s="65" t="s">
        <v>23</v>
      </c>
      <c r="AH189" s="69">
        <f t="shared" ref="AH189:AH251" si="10">AA189</f>
        <v>42825</v>
      </c>
      <c r="AJ189" s="73">
        <v>88</v>
      </c>
      <c r="AK189" s="73">
        <v>88</v>
      </c>
      <c r="AL189" s="73">
        <v>88</v>
      </c>
      <c r="AM189" s="73">
        <v>87</v>
      </c>
      <c r="AN189" s="73">
        <v>87</v>
      </c>
      <c r="AO189" s="73">
        <v>438</v>
      </c>
      <c r="AP189" s="73">
        <v>158</v>
      </c>
      <c r="AS189" s="73">
        <v>158</v>
      </c>
      <c r="AV189" s="73">
        <v>158</v>
      </c>
      <c r="BO189" s="185" t="s">
        <v>126</v>
      </c>
      <c r="BP189" s="185" t="s">
        <v>126</v>
      </c>
      <c r="BQ189" s="185" t="s">
        <v>3794</v>
      </c>
      <c r="BR189" s="73">
        <v>88</v>
      </c>
      <c r="BS189" s="73">
        <v>88</v>
      </c>
      <c r="BT189" s="73">
        <v>88</v>
      </c>
      <c r="BU189" s="73">
        <v>87</v>
      </c>
      <c r="BV189" s="73">
        <v>87</v>
      </c>
      <c r="BW189" s="73">
        <v>438</v>
      </c>
      <c r="BX189" s="73">
        <v>158</v>
      </c>
      <c r="BY189" s="185" t="s">
        <v>3794</v>
      </c>
      <c r="CD189" s="73">
        <v>158</v>
      </c>
      <c r="CJ189" t="s">
        <v>25</v>
      </c>
      <c r="CK189" t="s">
        <v>25</v>
      </c>
      <c r="CL189" t="s">
        <v>25</v>
      </c>
      <c r="CM189" t="s">
        <v>25</v>
      </c>
      <c r="CN189" t="s">
        <v>25</v>
      </c>
      <c r="CO189" t="s">
        <v>25</v>
      </c>
      <c r="CP189" t="s">
        <v>25</v>
      </c>
      <c r="CQ189" t="s">
        <v>25</v>
      </c>
      <c r="CR189" t="s">
        <v>25</v>
      </c>
      <c r="CS189" t="s">
        <v>25</v>
      </c>
      <c r="CT189" t="s">
        <v>25</v>
      </c>
      <c r="CU189" t="s">
        <v>25</v>
      </c>
      <c r="CV189" t="s">
        <v>25</v>
      </c>
      <c r="CW189" t="s">
        <v>25</v>
      </c>
      <c r="CX189" t="s">
        <v>25</v>
      </c>
      <c r="CY189" t="s">
        <v>25</v>
      </c>
      <c r="CZ189" t="s">
        <v>25</v>
      </c>
      <c r="DA189" t="s">
        <v>25</v>
      </c>
      <c r="DB189" t="s">
        <v>25</v>
      </c>
      <c r="DC189" t="s">
        <v>25</v>
      </c>
      <c r="DD189" t="s">
        <v>25</v>
      </c>
      <c r="DE189" t="s">
        <v>25</v>
      </c>
      <c r="DF189" t="s">
        <v>25</v>
      </c>
      <c r="DG189" t="s">
        <v>25</v>
      </c>
      <c r="DH189" t="s">
        <v>25</v>
      </c>
      <c r="DI189" t="s">
        <v>25</v>
      </c>
      <c r="DJ189" s="76">
        <v>16.432999789714792</v>
      </c>
      <c r="DK189" s="73">
        <v>596</v>
      </c>
      <c r="DL189" s="73">
        <v>0</v>
      </c>
      <c r="DM189" s="73">
        <v>596</v>
      </c>
      <c r="DU189" s="65" t="s">
        <v>126</v>
      </c>
      <c r="DZ189" s="73">
        <v>43729</v>
      </c>
      <c r="EA189" s="73">
        <v>0</v>
      </c>
      <c r="EB189" s="73">
        <v>43729</v>
      </c>
      <c r="EC189" s="65" t="s">
        <v>126</v>
      </c>
    </row>
    <row r="190" spans="1:133" ht="12" customHeight="1" x14ac:dyDescent="0.2">
      <c r="A190" t="s">
        <v>2937</v>
      </c>
      <c r="B190" t="s">
        <v>2947</v>
      </c>
      <c r="C190" t="str">
        <f t="shared" si="8"/>
        <v>Outline</v>
      </c>
      <c r="E190" s="65">
        <v>3511</v>
      </c>
      <c r="F190" t="s">
        <v>1682</v>
      </c>
      <c r="G190" s="71" t="s">
        <v>3947</v>
      </c>
      <c r="H190" s="67">
        <v>24.569999694824201</v>
      </c>
      <c r="I190" s="65">
        <v>529369</v>
      </c>
      <c r="J190" s="65">
        <v>177317</v>
      </c>
      <c r="K190" s="65" t="s">
        <v>1683</v>
      </c>
      <c r="L190" s="65" t="s">
        <v>354</v>
      </c>
      <c r="M190" s="65" t="s">
        <v>42</v>
      </c>
      <c r="N190" s="69">
        <v>41774</v>
      </c>
      <c r="O190" s="69">
        <v>42046</v>
      </c>
      <c r="Q190" s="69">
        <v>41955</v>
      </c>
      <c r="R190" s="65" t="s">
        <v>28</v>
      </c>
      <c r="U190" t="s">
        <v>699</v>
      </c>
      <c r="V190" t="s">
        <v>3173</v>
      </c>
      <c r="W190" s="65" t="s">
        <v>29</v>
      </c>
      <c r="X190" s="65" t="s">
        <v>29</v>
      </c>
      <c r="Y190" s="65" t="s">
        <v>30</v>
      </c>
      <c r="AA190" s="69">
        <v>42825</v>
      </c>
      <c r="AD190" s="65" t="s">
        <v>23</v>
      </c>
      <c r="AE190" s="65" t="s">
        <v>24</v>
      </c>
      <c r="AF190" s="71" t="s">
        <v>1686</v>
      </c>
      <c r="AG190" s="65" t="s">
        <v>23</v>
      </c>
      <c r="AH190" s="69">
        <f t="shared" si="10"/>
        <v>42825</v>
      </c>
      <c r="BO190" s="185" t="s">
        <v>3794</v>
      </c>
      <c r="BP190" s="185" t="s">
        <v>3794</v>
      </c>
      <c r="BQ190" s="185" t="s">
        <v>3794</v>
      </c>
      <c r="BW190" s="73"/>
      <c r="BY190" s="185" t="s">
        <v>3794</v>
      </c>
      <c r="CJ190" t="s">
        <v>25</v>
      </c>
      <c r="CK190" t="s">
        <v>25</v>
      </c>
      <c r="CL190" t="s">
        <v>25</v>
      </c>
      <c r="CM190" t="s">
        <v>25</v>
      </c>
      <c r="CN190" t="s">
        <v>25</v>
      </c>
      <c r="CO190" t="s">
        <v>25</v>
      </c>
      <c r="CP190" t="s">
        <v>25</v>
      </c>
      <c r="CQ190" t="s">
        <v>25</v>
      </c>
      <c r="CR190" t="s">
        <v>25</v>
      </c>
      <c r="CS190" t="s">
        <v>25</v>
      </c>
      <c r="CT190" t="s">
        <v>25</v>
      </c>
      <c r="CU190" t="s">
        <v>25</v>
      </c>
      <c r="CV190" t="s">
        <v>25</v>
      </c>
      <c r="CW190" t="s">
        <v>25</v>
      </c>
      <c r="CX190" t="s">
        <v>25</v>
      </c>
      <c r="CY190" t="s">
        <v>25</v>
      </c>
      <c r="CZ190" t="s">
        <v>25</v>
      </c>
      <c r="DA190" t="s">
        <v>25</v>
      </c>
      <c r="DB190" t="s">
        <v>25</v>
      </c>
      <c r="DC190" t="s">
        <v>25</v>
      </c>
      <c r="DD190" t="s">
        <v>25</v>
      </c>
      <c r="DE190" t="s">
        <v>25</v>
      </c>
      <c r="DF190" t="s">
        <v>25</v>
      </c>
      <c r="DG190" t="s">
        <v>25</v>
      </c>
      <c r="DH190" t="s">
        <v>25</v>
      </c>
      <c r="DI190" t="s">
        <v>25</v>
      </c>
      <c r="DJ190" s="76">
        <v>16.432999789714792</v>
      </c>
      <c r="DK190" s="73">
        <v>0</v>
      </c>
      <c r="DL190" s="73">
        <v>56183</v>
      </c>
      <c r="DM190" s="73">
        <v>-56183</v>
      </c>
      <c r="DU190" s="65" t="s">
        <v>126</v>
      </c>
      <c r="DZ190" s="73">
        <v>0</v>
      </c>
      <c r="EA190" s="73">
        <v>0</v>
      </c>
      <c r="EB190" s="73">
        <v>0</v>
      </c>
    </row>
    <row r="191" spans="1:133" ht="12" customHeight="1" x14ac:dyDescent="0.2">
      <c r="A191" t="s">
        <v>2937</v>
      </c>
      <c r="B191" t="s">
        <v>2947</v>
      </c>
      <c r="C191" t="str">
        <f t="shared" si="8"/>
        <v>Outline</v>
      </c>
      <c r="E191" s="65">
        <v>3511</v>
      </c>
      <c r="F191" t="s">
        <v>1682</v>
      </c>
      <c r="G191" s="71" t="s">
        <v>3947</v>
      </c>
      <c r="H191" s="67">
        <v>24.569999694824201</v>
      </c>
      <c r="I191" s="65">
        <v>529369</v>
      </c>
      <c r="J191" s="65">
        <v>177317</v>
      </c>
      <c r="K191" s="65" t="s">
        <v>1683</v>
      </c>
      <c r="L191" s="65" t="s">
        <v>354</v>
      </c>
      <c r="M191" s="65" t="s">
        <v>42</v>
      </c>
      <c r="N191" s="69">
        <v>41774</v>
      </c>
      <c r="O191" s="69">
        <v>42046</v>
      </c>
      <c r="Q191" s="69">
        <v>41955</v>
      </c>
      <c r="R191" s="65" t="s">
        <v>28</v>
      </c>
      <c r="U191" t="s">
        <v>699</v>
      </c>
      <c r="V191" t="s">
        <v>3173</v>
      </c>
      <c r="W191" s="65" t="s">
        <v>29</v>
      </c>
      <c r="X191" s="65" t="s">
        <v>29</v>
      </c>
      <c r="Y191" s="65" t="s">
        <v>30</v>
      </c>
      <c r="AA191" s="69">
        <v>42825</v>
      </c>
      <c r="AD191" s="65" t="s">
        <v>23</v>
      </c>
      <c r="AE191" s="65" t="s">
        <v>24</v>
      </c>
      <c r="AF191" s="71" t="s">
        <v>1687</v>
      </c>
      <c r="AG191" s="65" t="s">
        <v>23</v>
      </c>
      <c r="AH191" s="69">
        <f t="shared" si="10"/>
        <v>42825</v>
      </c>
      <c r="BO191" s="185" t="s">
        <v>3794</v>
      </c>
      <c r="BP191" s="185" t="s">
        <v>3794</v>
      </c>
      <c r="BQ191" s="185" t="s">
        <v>3794</v>
      </c>
      <c r="BW191" s="73"/>
      <c r="BY191" s="185" t="s">
        <v>3794</v>
      </c>
      <c r="CJ191" t="s">
        <v>25</v>
      </c>
      <c r="CK191" t="s">
        <v>25</v>
      </c>
      <c r="CL191" t="s">
        <v>25</v>
      </c>
      <c r="CM191" t="s">
        <v>25</v>
      </c>
      <c r="CN191" t="s">
        <v>25</v>
      </c>
      <c r="CO191" t="s">
        <v>25</v>
      </c>
      <c r="CP191" t="s">
        <v>25</v>
      </c>
      <c r="CQ191" t="s">
        <v>25</v>
      </c>
      <c r="CR191" t="s">
        <v>25</v>
      </c>
      <c r="CS191" t="s">
        <v>25</v>
      </c>
      <c r="CT191" t="s">
        <v>25</v>
      </c>
      <c r="CU191" t="s">
        <v>25</v>
      </c>
      <c r="CV191" t="s">
        <v>25</v>
      </c>
      <c r="CW191" t="s">
        <v>25</v>
      </c>
      <c r="CX191" t="s">
        <v>25</v>
      </c>
      <c r="CY191" t="s">
        <v>25</v>
      </c>
      <c r="CZ191" t="s">
        <v>25</v>
      </c>
      <c r="DA191" t="s">
        <v>25</v>
      </c>
      <c r="DB191" t="s">
        <v>25</v>
      </c>
      <c r="DC191" t="s">
        <v>25</v>
      </c>
      <c r="DD191" t="s">
        <v>25</v>
      </c>
      <c r="DE191" t="s">
        <v>25</v>
      </c>
      <c r="DF191" t="s">
        <v>25</v>
      </c>
      <c r="DG191" t="s">
        <v>25</v>
      </c>
      <c r="DH191" t="s">
        <v>25</v>
      </c>
      <c r="DI191" t="s">
        <v>25</v>
      </c>
      <c r="DJ191" s="76">
        <v>16.432999789714792</v>
      </c>
      <c r="DK191" s="73">
        <v>0</v>
      </c>
      <c r="DL191" s="73">
        <v>28960</v>
      </c>
      <c r="DM191" s="73">
        <v>-28960</v>
      </c>
      <c r="DU191" s="65" t="s">
        <v>126</v>
      </c>
      <c r="DZ191" s="73">
        <v>0</v>
      </c>
      <c r="EA191" s="73">
        <v>0</v>
      </c>
      <c r="EB191" s="73">
        <v>0</v>
      </c>
    </row>
    <row r="192" spans="1:133" ht="12" customHeight="1" x14ac:dyDescent="0.2">
      <c r="A192" t="s">
        <v>2935</v>
      </c>
      <c r="B192" t="s">
        <v>2946</v>
      </c>
      <c r="C192" t="str">
        <f t="shared" si="8"/>
        <v>Full</v>
      </c>
      <c r="E192" s="65">
        <v>3511</v>
      </c>
      <c r="F192" t="s">
        <v>1682</v>
      </c>
      <c r="G192" s="71" t="s">
        <v>3947</v>
      </c>
      <c r="H192" s="67">
        <v>24.569999694824201</v>
      </c>
      <c r="I192" s="65">
        <v>529369</v>
      </c>
      <c r="J192" s="65">
        <v>177317</v>
      </c>
      <c r="K192" s="65" t="s">
        <v>1683</v>
      </c>
      <c r="L192" s="65" t="s">
        <v>354</v>
      </c>
      <c r="M192" s="65" t="s">
        <v>42</v>
      </c>
      <c r="N192" s="69">
        <v>41774</v>
      </c>
      <c r="O192" s="69">
        <v>42046</v>
      </c>
      <c r="Q192" s="69">
        <v>41955</v>
      </c>
      <c r="R192" s="65" t="s">
        <v>28</v>
      </c>
      <c r="U192" t="s">
        <v>699</v>
      </c>
      <c r="V192" t="s">
        <v>3173</v>
      </c>
      <c r="W192" s="65" t="s">
        <v>29</v>
      </c>
      <c r="X192" s="65" t="s">
        <v>29</v>
      </c>
      <c r="Y192" s="65" t="s">
        <v>30</v>
      </c>
      <c r="AA192" s="69">
        <v>42825</v>
      </c>
      <c r="AD192" s="65" t="s">
        <v>23</v>
      </c>
      <c r="AE192" s="65" t="s">
        <v>24</v>
      </c>
      <c r="AF192" s="71" t="s">
        <v>1688</v>
      </c>
      <c r="AG192" s="65" t="s">
        <v>23</v>
      </c>
      <c r="AH192" s="69">
        <f t="shared" si="10"/>
        <v>42825</v>
      </c>
      <c r="AJ192" s="73">
        <v>103</v>
      </c>
      <c r="AK192" s="73">
        <v>103</v>
      </c>
      <c r="AL192" s="73">
        <v>103</v>
      </c>
      <c r="AM192" s="73">
        <v>104</v>
      </c>
      <c r="AN192" s="73">
        <v>104</v>
      </c>
      <c r="AO192" s="73">
        <v>517</v>
      </c>
      <c r="BO192" s="185" t="s">
        <v>126</v>
      </c>
      <c r="BP192" s="185" t="s">
        <v>3794</v>
      </c>
      <c r="BQ192" s="185" t="s">
        <v>3794</v>
      </c>
      <c r="BR192" s="73">
        <v>103</v>
      </c>
      <c r="BS192" s="73">
        <v>103</v>
      </c>
      <c r="BT192" s="73">
        <v>103</v>
      </c>
      <c r="BU192" s="73">
        <v>104</v>
      </c>
      <c r="BV192" s="73">
        <v>104</v>
      </c>
      <c r="BW192" s="73">
        <v>517</v>
      </c>
      <c r="BY192" s="185" t="s">
        <v>3794</v>
      </c>
      <c r="CJ192" t="s">
        <v>31</v>
      </c>
      <c r="CK192" t="s">
        <v>31</v>
      </c>
      <c r="CL192" t="s">
        <v>31</v>
      </c>
      <c r="CM192" t="s">
        <v>31</v>
      </c>
      <c r="CN192" t="s">
        <v>31</v>
      </c>
      <c r="CO192" t="s">
        <v>25</v>
      </c>
      <c r="CP192" t="s">
        <v>25</v>
      </c>
      <c r="CQ192" t="s">
        <v>25</v>
      </c>
      <c r="CR192" t="s">
        <v>25</v>
      </c>
      <c r="CS192" t="s">
        <v>25</v>
      </c>
      <c r="CT192" t="s">
        <v>25</v>
      </c>
      <c r="CU192" t="s">
        <v>25</v>
      </c>
      <c r="CV192" t="s">
        <v>25</v>
      </c>
      <c r="CW192" t="s">
        <v>25</v>
      </c>
      <c r="CX192" t="s">
        <v>25</v>
      </c>
      <c r="CY192" t="s">
        <v>25</v>
      </c>
      <c r="CZ192" t="s">
        <v>25</v>
      </c>
      <c r="DA192" t="s">
        <v>25</v>
      </c>
      <c r="DB192" t="s">
        <v>25</v>
      </c>
      <c r="DC192" t="s">
        <v>25</v>
      </c>
      <c r="DD192" t="s">
        <v>25</v>
      </c>
      <c r="DE192" t="s">
        <v>25</v>
      </c>
      <c r="DF192" t="s">
        <v>25</v>
      </c>
      <c r="DG192" t="s">
        <v>25</v>
      </c>
      <c r="DH192" t="s">
        <v>25</v>
      </c>
      <c r="DI192" t="s">
        <v>25</v>
      </c>
      <c r="DJ192" s="76">
        <v>16.432999789714792</v>
      </c>
      <c r="DK192" s="73">
        <v>517</v>
      </c>
      <c r="DL192" s="73">
        <v>0</v>
      </c>
      <c r="DM192" s="73">
        <v>517</v>
      </c>
      <c r="DU192" s="65" t="s">
        <v>126</v>
      </c>
      <c r="DZ192" s="73">
        <v>41689</v>
      </c>
      <c r="EA192" s="73">
        <v>0</v>
      </c>
      <c r="EB192" s="73">
        <v>41689</v>
      </c>
      <c r="EC192" s="65" t="s">
        <v>126</v>
      </c>
    </row>
    <row r="193" spans="1:133" ht="12" customHeight="1" x14ac:dyDescent="0.2">
      <c r="A193" t="s">
        <v>2937</v>
      </c>
      <c r="B193" t="s">
        <v>2947</v>
      </c>
      <c r="C193" t="str">
        <f t="shared" si="8"/>
        <v>Outline</v>
      </c>
      <c r="E193" s="65">
        <v>3511</v>
      </c>
      <c r="F193" t="s">
        <v>1682</v>
      </c>
      <c r="G193" s="71" t="s">
        <v>3947</v>
      </c>
      <c r="H193" s="67">
        <v>24.569999694824201</v>
      </c>
      <c r="I193" s="65">
        <v>529369</v>
      </c>
      <c r="J193" s="65">
        <v>177317</v>
      </c>
      <c r="K193" s="65" t="s">
        <v>1683</v>
      </c>
      <c r="L193" s="65" t="s">
        <v>354</v>
      </c>
      <c r="M193" s="65" t="s">
        <v>42</v>
      </c>
      <c r="N193" s="69">
        <v>41774</v>
      </c>
      <c r="O193" s="69">
        <v>42046</v>
      </c>
      <c r="Q193" s="69">
        <v>41955</v>
      </c>
      <c r="R193" s="65" t="s">
        <v>28</v>
      </c>
      <c r="U193" t="s">
        <v>699</v>
      </c>
      <c r="V193" t="s">
        <v>3173</v>
      </c>
      <c r="W193" s="65" t="s">
        <v>29</v>
      </c>
      <c r="X193" s="65" t="s">
        <v>29</v>
      </c>
      <c r="Y193" s="65" t="s">
        <v>30</v>
      </c>
      <c r="AA193" s="69">
        <v>42825</v>
      </c>
      <c r="AD193" s="65" t="s">
        <v>23</v>
      </c>
      <c r="AE193" s="65" t="s">
        <v>24</v>
      </c>
      <c r="AF193" s="71" t="s">
        <v>1689</v>
      </c>
      <c r="AG193" s="65" t="s">
        <v>23</v>
      </c>
      <c r="AH193" s="69">
        <f t="shared" si="10"/>
        <v>42825</v>
      </c>
      <c r="AJ193" s="73">
        <v>248</v>
      </c>
      <c r="AK193" s="73">
        <v>248</v>
      </c>
      <c r="AL193" s="73">
        <v>248</v>
      </c>
      <c r="AM193" s="73">
        <v>249</v>
      </c>
      <c r="AN193" s="73">
        <v>248</v>
      </c>
      <c r="AO193" s="73">
        <v>1241</v>
      </c>
      <c r="AP193" s="73">
        <v>11423</v>
      </c>
      <c r="AS193" s="73">
        <v>11423</v>
      </c>
      <c r="AV193" s="73">
        <v>11423</v>
      </c>
      <c r="AW193" s="73">
        <v>1511</v>
      </c>
      <c r="AY193" s="73">
        <v>1511</v>
      </c>
      <c r="BO193" s="185" t="s">
        <v>126</v>
      </c>
      <c r="BP193" s="185" t="s">
        <v>126</v>
      </c>
      <c r="BQ193" s="185" t="s">
        <v>126</v>
      </c>
      <c r="BR193" s="73">
        <v>248</v>
      </c>
      <c r="BS193" s="73">
        <v>248</v>
      </c>
      <c r="BT193" s="73">
        <v>248</v>
      </c>
      <c r="BU193" s="73">
        <v>249</v>
      </c>
      <c r="BV193" s="73">
        <v>248</v>
      </c>
      <c r="BW193" s="73">
        <v>1241</v>
      </c>
      <c r="BX193" s="73">
        <v>11423</v>
      </c>
      <c r="BY193" s="185" t="s">
        <v>3794</v>
      </c>
      <c r="CD193" s="73">
        <v>11423</v>
      </c>
      <c r="CG193" s="73">
        <v>1511</v>
      </c>
      <c r="CI193" s="73">
        <v>1511</v>
      </c>
      <c r="CJ193" t="s">
        <v>25</v>
      </c>
      <c r="CK193" t="s">
        <v>25</v>
      </c>
      <c r="CL193" t="s">
        <v>25</v>
      </c>
      <c r="CM193" t="s">
        <v>25</v>
      </c>
      <c r="CN193" t="s">
        <v>25</v>
      </c>
      <c r="CO193" t="s">
        <v>25</v>
      </c>
      <c r="CP193" t="s">
        <v>25</v>
      </c>
      <c r="CQ193" t="s">
        <v>25</v>
      </c>
      <c r="CR193" t="s">
        <v>25</v>
      </c>
      <c r="CS193" t="s">
        <v>25</v>
      </c>
      <c r="CT193" t="s">
        <v>25</v>
      </c>
      <c r="CU193" t="s">
        <v>56</v>
      </c>
      <c r="CV193" t="s">
        <v>25</v>
      </c>
      <c r="CW193" t="s">
        <v>25</v>
      </c>
      <c r="CX193" t="s">
        <v>25</v>
      </c>
      <c r="CY193" t="s">
        <v>25</v>
      </c>
      <c r="CZ193" t="s">
        <v>25</v>
      </c>
      <c r="DA193" t="s">
        <v>25</v>
      </c>
      <c r="DB193" t="s">
        <v>25</v>
      </c>
      <c r="DC193" t="s">
        <v>25</v>
      </c>
      <c r="DD193" t="s">
        <v>25</v>
      </c>
      <c r="DE193" t="s">
        <v>25</v>
      </c>
      <c r="DF193" t="s">
        <v>25</v>
      </c>
      <c r="DG193" t="s">
        <v>25</v>
      </c>
      <c r="DH193" t="s">
        <v>25</v>
      </c>
      <c r="DI193" t="s">
        <v>25</v>
      </c>
      <c r="DJ193" s="76">
        <v>16.432999789714792</v>
      </c>
      <c r="DK193" s="73">
        <v>14175</v>
      </c>
      <c r="DL193" s="73">
        <v>0</v>
      </c>
      <c r="DM193" s="73">
        <v>14175</v>
      </c>
      <c r="DU193" s="65" t="s">
        <v>126</v>
      </c>
      <c r="DZ193" s="73">
        <v>164821</v>
      </c>
      <c r="EA193" s="73">
        <v>0</v>
      </c>
      <c r="EB193" s="73">
        <v>164821</v>
      </c>
      <c r="EC193" s="65" t="s">
        <v>126</v>
      </c>
    </row>
    <row r="194" spans="1:133" ht="12" customHeight="1" x14ac:dyDescent="0.2">
      <c r="A194" t="s">
        <v>2937</v>
      </c>
      <c r="B194" t="s">
        <v>2947</v>
      </c>
      <c r="C194" t="str">
        <f t="shared" si="8"/>
        <v>Outline</v>
      </c>
      <c r="E194" s="65">
        <v>3511</v>
      </c>
      <c r="F194" t="s">
        <v>1682</v>
      </c>
      <c r="G194" s="71" t="s">
        <v>3947</v>
      </c>
      <c r="H194" s="67">
        <v>24.569999694824201</v>
      </c>
      <c r="I194" s="65">
        <v>529369</v>
      </c>
      <c r="J194" s="65">
        <v>177317</v>
      </c>
      <c r="K194" s="65" t="s">
        <v>1683</v>
      </c>
      <c r="L194" s="65" t="s">
        <v>1690</v>
      </c>
      <c r="M194" s="65" t="s">
        <v>1363</v>
      </c>
      <c r="N194" s="69">
        <v>42221</v>
      </c>
      <c r="O194" s="69">
        <v>42314</v>
      </c>
      <c r="R194" s="65" t="s">
        <v>28</v>
      </c>
      <c r="U194" t="s">
        <v>1691</v>
      </c>
      <c r="V194" t="s">
        <v>3174</v>
      </c>
      <c r="W194" s="65" t="s">
        <v>29</v>
      </c>
      <c r="X194" s="65" t="s">
        <v>29</v>
      </c>
      <c r="Y194" s="65" t="s">
        <v>69</v>
      </c>
      <c r="AD194" s="65" t="s">
        <v>23</v>
      </c>
      <c r="AE194" s="65" t="s">
        <v>24</v>
      </c>
      <c r="AF194" s="71" t="s">
        <v>1692</v>
      </c>
      <c r="AG194" s="65" t="s">
        <v>23</v>
      </c>
      <c r="BO194" s="185" t="s">
        <v>3794</v>
      </c>
      <c r="BP194" s="185" t="s">
        <v>3794</v>
      </c>
      <c r="BQ194" s="185" t="s">
        <v>3794</v>
      </c>
      <c r="BW194" s="73"/>
      <c r="BY194" s="185" t="s">
        <v>3794</v>
      </c>
      <c r="CJ194" t="s">
        <v>25</v>
      </c>
      <c r="CK194" t="s">
        <v>25</v>
      </c>
      <c r="CL194" t="s">
        <v>25</v>
      </c>
      <c r="CM194" t="s">
        <v>25</v>
      </c>
      <c r="CN194" t="s">
        <v>25</v>
      </c>
      <c r="CO194" t="s">
        <v>25</v>
      </c>
      <c r="CP194" t="s">
        <v>25</v>
      </c>
      <c r="CQ194" t="s">
        <v>25</v>
      </c>
      <c r="CR194" t="s">
        <v>25</v>
      </c>
      <c r="CS194" t="s">
        <v>25</v>
      </c>
      <c r="CT194" t="s">
        <v>25</v>
      </c>
      <c r="CU194" t="s">
        <v>25</v>
      </c>
      <c r="CV194" t="s">
        <v>25</v>
      </c>
      <c r="CW194" t="s">
        <v>25</v>
      </c>
      <c r="CX194" t="s">
        <v>25</v>
      </c>
      <c r="CY194" t="s">
        <v>25</v>
      </c>
      <c r="CZ194" t="s">
        <v>25</v>
      </c>
      <c r="DA194" t="s">
        <v>25</v>
      </c>
      <c r="DB194" t="s">
        <v>25</v>
      </c>
      <c r="DC194" t="s">
        <v>25</v>
      </c>
      <c r="DD194" t="s">
        <v>25</v>
      </c>
      <c r="DE194" t="s">
        <v>25</v>
      </c>
      <c r="DF194" t="s">
        <v>25</v>
      </c>
      <c r="DG194" t="s">
        <v>25</v>
      </c>
      <c r="DH194" t="s">
        <v>25</v>
      </c>
      <c r="DI194" t="s">
        <v>25</v>
      </c>
      <c r="DJ194" s="76">
        <v>24.569999694824201</v>
      </c>
      <c r="DK194" s="73">
        <v>6802</v>
      </c>
      <c r="DL194" s="73">
        <v>0</v>
      </c>
      <c r="DM194" s="73">
        <v>6802</v>
      </c>
      <c r="DU194" s="65" t="s">
        <v>126</v>
      </c>
      <c r="DZ194" s="73">
        <v>0</v>
      </c>
      <c r="EA194" s="73">
        <v>0</v>
      </c>
      <c r="EB194" s="73">
        <v>0</v>
      </c>
    </row>
    <row r="195" spans="1:133" ht="12" customHeight="1" x14ac:dyDescent="0.2">
      <c r="A195" t="s">
        <v>2937</v>
      </c>
      <c r="B195" t="s">
        <v>2947</v>
      </c>
      <c r="C195" t="str">
        <f t="shared" ref="C195:C258" si="11">RIGHT(B195,LEN(B195)-3)</f>
        <v>Outline</v>
      </c>
      <c r="E195" s="65">
        <v>3511</v>
      </c>
      <c r="F195" t="s">
        <v>1682</v>
      </c>
      <c r="G195" s="71" t="s">
        <v>3947</v>
      </c>
      <c r="H195" s="67">
        <v>24.569999694824201</v>
      </c>
      <c r="I195" s="65">
        <v>529369</v>
      </c>
      <c r="J195" s="65">
        <v>177317</v>
      </c>
      <c r="K195" s="65" t="s">
        <v>1683</v>
      </c>
      <c r="L195" s="65" t="s">
        <v>1690</v>
      </c>
      <c r="M195" s="65" t="s">
        <v>1363</v>
      </c>
      <c r="N195" s="69">
        <v>42221</v>
      </c>
      <c r="O195" s="69">
        <v>42314</v>
      </c>
      <c r="R195" s="65" t="s">
        <v>28</v>
      </c>
      <c r="U195" t="s">
        <v>1691</v>
      </c>
      <c r="V195" t="s">
        <v>3174</v>
      </c>
      <c r="W195" s="65" t="s">
        <v>29</v>
      </c>
      <c r="X195" s="65" t="s">
        <v>29</v>
      </c>
      <c r="Y195" s="65" t="s">
        <v>69</v>
      </c>
      <c r="AD195" s="65" t="s">
        <v>23</v>
      </c>
      <c r="AE195" s="65" t="s">
        <v>24</v>
      </c>
      <c r="AF195" s="71" t="s">
        <v>1693</v>
      </c>
      <c r="AG195" s="65" t="s">
        <v>23</v>
      </c>
      <c r="BO195" s="185" t="s">
        <v>3794</v>
      </c>
      <c r="BP195" s="185" t="s">
        <v>3794</v>
      </c>
      <c r="BQ195" s="185" t="s">
        <v>3794</v>
      </c>
      <c r="BW195" s="73"/>
      <c r="BY195" s="185" t="s">
        <v>3794</v>
      </c>
      <c r="CJ195" t="s">
        <v>25</v>
      </c>
      <c r="CK195" t="s">
        <v>25</v>
      </c>
      <c r="CL195" t="s">
        <v>25</v>
      </c>
      <c r="CM195" t="s">
        <v>25</v>
      </c>
      <c r="CN195" t="s">
        <v>25</v>
      </c>
      <c r="CO195" t="s">
        <v>25</v>
      </c>
      <c r="CP195" t="s">
        <v>25</v>
      </c>
      <c r="CQ195" t="s">
        <v>25</v>
      </c>
      <c r="CR195" t="s">
        <v>25</v>
      </c>
      <c r="CS195" t="s">
        <v>25</v>
      </c>
      <c r="CT195" t="s">
        <v>25</v>
      </c>
      <c r="CU195" t="s">
        <v>25</v>
      </c>
      <c r="CV195" t="s">
        <v>25</v>
      </c>
      <c r="CW195" t="s">
        <v>25</v>
      </c>
      <c r="CX195" t="s">
        <v>25</v>
      </c>
      <c r="CY195" t="s">
        <v>25</v>
      </c>
      <c r="CZ195" t="s">
        <v>25</v>
      </c>
      <c r="DA195" t="s">
        <v>25</v>
      </c>
      <c r="DB195" t="s">
        <v>25</v>
      </c>
      <c r="DC195" t="s">
        <v>25</v>
      </c>
      <c r="DD195" t="s">
        <v>25</v>
      </c>
      <c r="DE195" t="s">
        <v>25</v>
      </c>
      <c r="DF195" t="s">
        <v>25</v>
      </c>
      <c r="DG195" t="s">
        <v>25</v>
      </c>
      <c r="DH195" t="s">
        <v>25</v>
      </c>
      <c r="DI195" t="s">
        <v>25</v>
      </c>
      <c r="DJ195" s="76">
        <v>24.569999694824201</v>
      </c>
      <c r="DK195" s="73">
        <v>6425</v>
      </c>
      <c r="DL195" s="73">
        <v>0</v>
      </c>
      <c r="DM195" s="73">
        <v>6425</v>
      </c>
      <c r="DU195" s="65" t="s">
        <v>126</v>
      </c>
      <c r="DZ195" s="73">
        <v>0</v>
      </c>
      <c r="EA195" s="73">
        <v>0</v>
      </c>
      <c r="EB195" s="73">
        <v>0</v>
      </c>
    </row>
    <row r="196" spans="1:133" ht="12" customHeight="1" x14ac:dyDescent="0.2">
      <c r="A196" t="s">
        <v>2937</v>
      </c>
      <c r="B196" t="s">
        <v>2947</v>
      </c>
      <c r="C196" t="str">
        <f t="shared" si="11"/>
        <v>Outline</v>
      </c>
      <c r="E196" s="65">
        <v>3511</v>
      </c>
      <c r="F196" t="s">
        <v>1682</v>
      </c>
      <c r="G196" s="71" t="s">
        <v>3947</v>
      </c>
      <c r="H196" s="67">
        <v>24.569999694824201</v>
      </c>
      <c r="I196" s="65">
        <v>529369</v>
      </c>
      <c r="J196" s="65">
        <v>177317</v>
      </c>
      <c r="K196" s="65" t="s">
        <v>1683</v>
      </c>
      <c r="L196" s="65" t="s">
        <v>1690</v>
      </c>
      <c r="M196" s="65" t="s">
        <v>1363</v>
      </c>
      <c r="N196" s="69">
        <v>42221</v>
      </c>
      <c r="O196" s="69">
        <v>42314</v>
      </c>
      <c r="R196" s="65" t="s">
        <v>28</v>
      </c>
      <c r="U196" t="s">
        <v>1691</v>
      </c>
      <c r="V196" t="s">
        <v>3174</v>
      </c>
      <c r="W196" s="65" t="s">
        <v>29</v>
      </c>
      <c r="X196" s="65" t="s">
        <v>29</v>
      </c>
      <c r="Y196" s="65" t="s">
        <v>69</v>
      </c>
      <c r="AD196" s="65" t="s">
        <v>23</v>
      </c>
      <c r="AE196" s="65" t="s">
        <v>24</v>
      </c>
      <c r="AF196" s="71" t="s">
        <v>1694</v>
      </c>
      <c r="AG196" s="65" t="s">
        <v>23</v>
      </c>
      <c r="BO196" s="185" t="s">
        <v>3794</v>
      </c>
      <c r="BP196" s="185" t="s">
        <v>3794</v>
      </c>
      <c r="BQ196" s="185" t="s">
        <v>3794</v>
      </c>
      <c r="BW196" s="73"/>
      <c r="BY196" s="185" t="s">
        <v>3794</v>
      </c>
      <c r="CJ196" t="s">
        <v>25</v>
      </c>
      <c r="CK196" t="s">
        <v>25</v>
      </c>
      <c r="CL196" t="s">
        <v>25</v>
      </c>
      <c r="CM196" t="s">
        <v>25</v>
      </c>
      <c r="CN196" t="s">
        <v>25</v>
      </c>
      <c r="CO196" t="s">
        <v>25</v>
      </c>
      <c r="CP196" t="s">
        <v>25</v>
      </c>
      <c r="CQ196" t="s">
        <v>25</v>
      </c>
      <c r="CR196" t="s">
        <v>25</v>
      </c>
      <c r="CS196" t="s">
        <v>25</v>
      </c>
      <c r="CT196" t="s">
        <v>25</v>
      </c>
      <c r="CU196" t="s">
        <v>25</v>
      </c>
      <c r="CV196" t="s">
        <v>25</v>
      </c>
      <c r="CW196" t="s">
        <v>25</v>
      </c>
      <c r="CX196" t="s">
        <v>25</v>
      </c>
      <c r="CY196" t="s">
        <v>25</v>
      </c>
      <c r="CZ196" t="s">
        <v>25</v>
      </c>
      <c r="DA196" t="s">
        <v>25</v>
      </c>
      <c r="DB196" t="s">
        <v>25</v>
      </c>
      <c r="DC196" t="s">
        <v>25</v>
      </c>
      <c r="DD196" t="s">
        <v>25</v>
      </c>
      <c r="DE196" t="s">
        <v>25</v>
      </c>
      <c r="DF196" t="s">
        <v>25</v>
      </c>
      <c r="DG196" t="s">
        <v>25</v>
      </c>
      <c r="DH196" t="s">
        <v>25</v>
      </c>
      <c r="DI196" t="s">
        <v>25</v>
      </c>
      <c r="DJ196" s="76">
        <v>24.569999694824201</v>
      </c>
      <c r="DK196" s="73">
        <v>47134</v>
      </c>
      <c r="DL196" s="73">
        <v>0</v>
      </c>
      <c r="DM196" s="73">
        <v>47134</v>
      </c>
      <c r="DU196" s="65" t="s">
        <v>126</v>
      </c>
      <c r="DZ196" s="73">
        <v>0</v>
      </c>
      <c r="EA196" s="73">
        <v>0</v>
      </c>
      <c r="EB196" s="73">
        <v>0</v>
      </c>
    </row>
    <row r="197" spans="1:133" ht="12" customHeight="1" x14ac:dyDescent="0.2">
      <c r="A197" t="s">
        <v>2937</v>
      </c>
      <c r="B197" t="s">
        <v>2947</v>
      </c>
      <c r="C197" t="str">
        <f t="shared" si="11"/>
        <v>Outline</v>
      </c>
      <c r="E197" s="65">
        <v>3511</v>
      </c>
      <c r="F197" t="s">
        <v>1682</v>
      </c>
      <c r="G197" s="71" t="s">
        <v>3947</v>
      </c>
      <c r="H197" s="67">
        <v>24.569999694824201</v>
      </c>
      <c r="I197" s="65">
        <v>529369</v>
      </c>
      <c r="J197" s="65">
        <v>177317</v>
      </c>
      <c r="K197" s="65" t="s">
        <v>1683</v>
      </c>
      <c r="L197" s="65" t="s">
        <v>1695</v>
      </c>
      <c r="M197" s="65" t="s">
        <v>1363</v>
      </c>
      <c r="N197" s="69">
        <v>42324</v>
      </c>
      <c r="O197" s="69">
        <v>42380</v>
      </c>
      <c r="R197" s="65" t="s">
        <v>28</v>
      </c>
      <c r="U197" t="s">
        <v>1696</v>
      </c>
      <c r="V197" t="s">
        <v>3175</v>
      </c>
      <c r="W197" s="65" t="s">
        <v>29</v>
      </c>
      <c r="X197" s="65" t="s">
        <v>29</v>
      </c>
      <c r="Y197" s="65" t="s">
        <v>69</v>
      </c>
      <c r="AD197" s="65" t="s">
        <v>23</v>
      </c>
      <c r="AE197" s="65" t="s">
        <v>24</v>
      </c>
      <c r="AF197" s="71" t="s">
        <v>1697</v>
      </c>
      <c r="AG197" s="65" t="s">
        <v>23</v>
      </c>
      <c r="BO197" s="185" t="s">
        <v>3794</v>
      </c>
      <c r="BP197" s="185" t="s">
        <v>3794</v>
      </c>
      <c r="BQ197" s="185" t="s">
        <v>3794</v>
      </c>
      <c r="BW197" s="73"/>
      <c r="BY197" s="185" t="s">
        <v>3794</v>
      </c>
      <c r="CJ197" t="s">
        <v>25</v>
      </c>
      <c r="CK197" t="s">
        <v>25</v>
      </c>
      <c r="CL197" t="s">
        <v>25</v>
      </c>
      <c r="CM197" t="s">
        <v>25</v>
      </c>
      <c r="CN197" t="s">
        <v>25</v>
      </c>
      <c r="CO197" t="s">
        <v>25</v>
      </c>
      <c r="CP197" t="s">
        <v>25</v>
      </c>
      <c r="CQ197" t="s">
        <v>25</v>
      </c>
      <c r="CR197" t="s">
        <v>25</v>
      </c>
      <c r="CS197" t="s">
        <v>25</v>
      </c>
      <c r="CT197" t="s">
        <v>25</v>
      </c>
      <c r="CU197" t="s">
        <v>25</v>
      </c>
      <c r="CV197" t="s">
        <v>25</v>
      </c>
      <c r="CW197" t="s">
        <v>25</v>
      </c>
      <c r="CX197" t="s">
        <v>25</v>
      </c>
      <c r="CY197" t="s">
        <v>25</v>
      </c>
      <c r="CZ197" t="s">
        <v>25</v>
      </c>
      <c r="DA197" t="s">
        <v>25</v>
      </c>
      <c r="DB197" t="s">
        <v>25</v>
      </c>
      <c r="DC197" t="s">
        <v>25</v>
      </c>
      <c r="DD197" t="s">
        <v>25</v>
      </c>
      <c r="DE197" t="s">
        <v>25</v>
      </c>
      <c r="DF197" t="s">
        <v>25</v>
      </c>
      <c r="DG197" t="s">
        <v>25</v>
      </c>
      <c r="DH197" t="s">
        <v>25</v>
      </c>
      <c r="DI197" t="s">
        <v>25</v>
      </c>
      <c r="DJ197" s="76">
        <v>24.569999694824201</v>
      </c>
      <c r="DK197" s="73">
        <v>1189</v>
      </c>
      <c r="DL197" s="73">
        <v>0</v>
      </c>
      <c r="DM197" s="73">
        <v>1189</v>
      </c>
      <c r="DU197" s="65" t="s">
        <v>126</v>
      </c>
      <c r="DZ197" s="73">
        <v>0</v>
      </c>
      <c r="EA197" s="73">
        <v>0</v>
      </c>
      <c r="EB197" s="73">
        <v>0</v>
      </c>
    </row>
    <row r="198" spans="1:133" ht="12" customHeight="1" x14ac:dyDescent="0.2">
      <c r="A198" t="s">
        <v>2937</v>
      </c>
      <c r="B198" t="s">
        <v>2946</v>
      </c>
      <c r="C198" t="str">
        <f t="shared" si="11"/>
        <v>Full</v>
      </c>
      <c r="E198" s="65">
        <v>3512</v>
      </c>
      <c r="F198" t="s">
        <v>1698</v>
      </c>
      <c r="G198" s="71" t="s">
        <v>3946</v>
      </c>
      <c r="H198" s="67">
        <v>0.5</v>
      </c>
      <c r="I198" s="65">
        <v>525279</v>
      </c>
      <c r="J198" s="65">
        <v>175114</v>
      </c>
      <c r="K198" s="65" t="s">
        <v>1699</v>
      </c>
      <c r="L198" s="65" t="s">
        <v>1190</v>
      </c>
      <c r="M198" s="65" t="s">
        <v>27</v>
      </c>
      <c r="N198" s="69">
        <v>42718</v>
      </c>
      <c r="O198" s="69">
        <v>42790</v>
      </c>
      <c r="R198" s="65" t="s">
        <v>28</v>
      </c>
      <c r="U198" t="s">
        <v>1191</v>
      </c>
      <c r="V198" t="s">
        <v>3176</v>
      </c>
      <c r="W198" s="65" t="s">
        <v>21</v>
      </c>
      <c r="X198" s="65" t="s">
        <v>21</v>
      </c>
      <c r="Y198" s="65" t="s">
        <v>69</v>
      </c>
      <c r="AD198" s="65" t="s">
        <v>23</v>
      </c>
      <c r="AE198" s="65" t="s">
        <v>24</v>
      </c>
      <c r="AJ198" s="73">
        <v>315</v>
      </c>
      <c r="AK198" s="73">
        <v>222</v>
      </c>
      <c r="AL198" s="73">
        <v>222</v>
      </c>
      <c r="AO198" s="73">
        <v>759</v>
      </c>
      <c r="AP198" s="73">
        <v>222</v>
      </c>
      <c r="AS198" s="73">
        <v>222</v>
      </c>
      <c r="AV198" s="73">
        <v>222</v>
      </c>
      <c r="AW198" s="73">
        <v>222</v>
      </c>
      <c r="AX198" s="73">
        <v>223</v>
      </c>
      <c r="AY198" s="73">
        <v>445</v>
      </c>
      <c r="AZ198" s="73">
        <v>315</v>
      </c>
      <c r="BA198" s="73">
        <v>66</v>
      </c>
      <c r="BB198" s="73">
        <v>55</v>
      </c>
      <c r="BE198" s="73">
        <v>436</v>
      </c>
      <c r="BF198" s="73">
        <v>50</v>
      </c>
      <c r="BK198" s="73">
        <v>50</v>
      </c>
      <c r="BL198" s="73">
        <v>940</v>
      </c>
      <c r="BN198" s="73">
        <v>940</v>
      </c>
      <c r="BO198" s="185" t="s">
        <v>126</v>
      </c>
      <c r="BP198" s="185" t="s">
        <v>126</v>
      </c>
      <c r="BQ198" s="185" t="s">
        <v>126</v>
      </c>
      <c r="BS198" s="73">
        <v>156</v>
      </c>
      <c r="BT198" s="73">
        <v>167</v>
      </c>
      <c r="BW198" s="73">
        <v>323</v>
      </c>
      <c r="BX198" s="73">
        <v>172</v>
      </c>
      <c r="BY198" s="185" t="s">
        <v>3794</v>
      </c>
      <c r="CD198" s="73">
        <v>172</v>
      </c>
      <c r="CG198" s="73">
        <v>-718</v>
      </c>
      <c r="CH198" s="73">
        <v>223</v>
      </c>
      <c r="CI198" s="73">
        <v>-495</v>
      </c>
      <c r="CJ198" t="s">
        <v>31</v>
      </c>
      <c r="CK198" t="s">
        <v>31</v>
      </c>
      <c r="CL198" t="s">
        <v>31</v>
      </c>
      <c r="CM198" t="s">
        <v>25</v>
      </c>
      <c r="CN198" t="s">
        <v>25</v>
      </c>
      <c r="CO198" t="s">
        <v>31</v>
      </c>
      <c r="CP198" t="s">
        <v>25</v>
      </c>
      <c r="CQ198" t="s">
        <v>25</v>
      </c>
      <c r="CR198" t="s">
        <v>25</v>
      </c>
      <c r="CS198" t="s">
        <v>25</v>
      </c>
      <c r="CT198" t="s">
        <v>25</v>
      </c>
      <c r="CU198" t="s">
        <v>31</v>
      </c>
      <c r="CV198" t="s">
        <v>31</v>
      </c>
      <c r="CW198" t="s">
        <v>47</v>
      </c>
      <c r="CX198" t="s">
        <v>25</v>
      </c>
      <c r="CY198" t="s">
        <v>47</v>
      </c>
      <c r="CZ198" t="s">
        <v>25</v>
      </c>
      <c r="DA198" t="s">
        <v>25</v>
      </c>
      <c r="DB198" t="s">
        <v>47</v>
      </c>
      <c r="DC198" t="s">
        <v>25</v>
      </c>
      <c r="DD198" t="s">
        <v>25</v>
      </c>
      <c r="DE198" t="s">
        <v>25</v>
      </c>
      <c r="DF198" t="s">
        <v>25</v>
      </c>
      <c r="DG198" t="s">
        <v>25</v>
      </c>
      <c r="DH198" t="s">
        <v>47</v>
      </c>
      <c r="DI198" t="s">
        <v>25</v>
      </c>
      <c r="DJ198" s="76">
        <v>0.5</v>
      </c>
      <c r="DK198" s="73">
        <v>1426</v>
      </c>
      <c r="DL198" s="73">
        <v>1426</v>
      </c>
      <c r="DM198" s="73">
        <v>0</v>
      </c>
      <c r="DN198" s="65" t="s">
        <v>126</v>
      </c>
      <c r="DS198" s="65" t="s">
        <v>126</v>
      </c>
      <c r="DT198" t="s">
        <v>61</v>
      </c>
      <c r="DU198"/>
      <c r="DZ198" s="73">
        <v>0</v>
      </c>
      <c r="EA198" s="73">
        <v>0</v>
      </c>
      <c r="EB198" s="73">
        <v>0</v>
      </c>
    </row>
    <row r="199" spans="1:133" ht="12" customHeight="1" x14ac:dyDescent="0.2">
      <c r="A199" t="s">
        <v>2935</v>
      </c>
      <c r="B199" t="s">
        <v>2946</v>
      </c>
      <c r="C199" t="str">
        <f t="shared" si="11"/>
        <v>Full</v>
      </c>
      <c r="E199" s="65">
        <v>3514</v>
      </c>
      <c r="F199" t="s">
        <v>1700</v>
      </c>
      <c r="G199" s="71" t="s">
        <v>3947</v>
      </c>
      <c r="H199" s="67">
        <v>2.0199999809265101</v>
      </c>
      <c r="I199" s="65">
        <v>528809</v>
      </c>
      <c r="J199" s="65">
        <v>177181</v>
      </c>
      <c r="K199" s="65" t="s">
        <v>1564</v>
      </c>
      <c r="L199" s="65" t="s">
        <v>1306</v>
      </c>
      <c r="M199" s="65" t="s">
        <v>33</v>
      </c>
      <c r="N199" s="69">
        <v>42039</v>
      </c>
      <c r="O199" s="69">
        <v>42265</v>
      </c>
      <c r="Q199" s="69">
        <v>42145</v>
      </c>
      <c r="R199" s="65" t="s">
        <v>28</v>
      </c>
      <c r="U199" t="s">
        <v>1307</v>
      </c>
      <c r="V199" t="s">
        <v>3177</v>
      </c>
      <c r="W199" s="65" t="s">
        <v>29</v>
      </c>
      <c r="X199" s="65" t="s">
        <v>29</v>
      </c>
      <c r="Y199" s="65" t="s">
        <v>30</v>
      </c>
      <c r="AA199" s="69">
        <v>42662</v>
      </c>
      <c r="AD199" s="65" t="s">
        <v>23</v>
      </c>
      <c r="AE199" s="65" t="s">
        <v>24</v>
      </c>
      <c r="AH199" s="69">
        <f t="shared" si="10"/>
        <v>42662</v>
      </c>
      <c r="AJ199" s="73">
        <v>507</v>
      </c>
      <c r="AL199" s="73">
        <v>218</v>
      </c>
      <c r="AO199" s="73">
        <v>725</v>
      </c>
      <c r="AP199" s="73">
        <v>2339</v>
      </c>
      <c r="AS199" s="73">
        <v>2339</v>
      </c>
      <c r="AV199" s="73">
        <v>2339</v>
      </c>
      <c r="AW199" s="73">
        <v>2780</v>
      </c>
      <c r="AY199" s="73">
        <v>2780</v>
      </c>
      <c r="BO199" s="185" t="s">
        <v>126</v>
      </c>
      <c r="BP199" s="185" t="s">
        <v>126</v>
      </c>
      <c r="BQ199" s="185" t="s">
        <v>126</v>
      </c>
      <c r="BR199" s="73">
        <v>507</v>
      </c>
      <c r="BT199" s="73">
        <v>218</v>
      </c>
      <c r="BW199" s="73">
        <v>725</v>
      </c>
      <c r="BX199" s="73">
        <v>2339</v>
      </c>
      <c r="BY199" s="185" t="s">
        <v>3794</v>
      </c>
      <c r="CD199" s="73">
        <v>2339</v>
      </c>
      <c r="CG199" s="73">
        <v>2780</v>
      </c>
      <c r="CI199" s="73">
        <v>2780</v>
      </c>
      <c r="CJ199" t="s">
        <v>31</v>
      </c>
      <c r="CK199" t="s">
        <v>25</v>
      </c>
      <c r="CL199" t="s">
        <v>50</v>
      </c>
      <c r="CM199" t="s">
        <v>25</v>
      </c>
      <c r="CN199" t="s">
        <v>25</v>
      </c>
      <c r="CO199" t="s">
        <v>31</v>
      </c>
      <c r="CP199" t="s">
        <v>25</v>
      </c>
      <c r="CQ199" t="s">
        <v>25</v>
      </c>
      <c r="CR199" t="s">
        <v>25</v>
      </c>
      <c r="CS199" t="s">
        <v>25</v>
      </c>
      <c r="CT199" t="s">
        <v>25</v>
      </c>
      <c r="CU199" t="s">
        <v>60</v>
      </c>
      <c r="CV199" t="s">
        <v>25</v>
      </c>
      <c r="CW199" t="s">
        <v>25</v>
      </c>
      <c r="CX199" t="s">
        <v>25</v>
      </c>
      <c r="CY199" t="s">
        <v>25</v>
      </c>
      <c r="CZ199" t="s">
        <v>25</v>
      </c>
      <c r="DA199" t="s">
        <v>25</v>
      </c>
      <c r="DB199" t="s">
        <v>25</v>
      </c>
      <c r="DC199" t="s">
        <v>25</v>
      </c>
      <c r="DD199" t="s">
        <v>25</v>
      </c>
      <c r="DE199" t="s">
        <v>25</v>
      </c>
      <c r="DF199" t="s">
        <v>25</v>
      </c>
      <c r="DG199" t="s">
        <v>25</v>
      </c>
      <c r="DH199" t="s">
        <v>25</v>
      </c>
      <c r="DI199" t="s">
        <v>25</v>
      </c>
      <c r="DJ199" s="76">
        <v>0.10199999999999999</v>
      </c>
      <c r="DK199" s="73">
        <v>5844</v>
      </c>
      <c r="DL199" s="73">
        <v>0</v>
      </c>
      <c r="DM199" s="73">
        <v>5844</v>
      </c>
      <c r="DN199" s="65" t="s">
        <v>126</v>
      </c>
      <c r="DU199" s="65" t="s">
        <v>126</v>
      </c>
      <c r="DZ199" s="73">
        <v>99010</v>
      </c>
      <c r="EA199" s="73">
        <v>0</v>
      </c>
      <c r="EB199" s="73">
        <v>99010</v>
      </c>
      <c r="EC199" s="65" t="s">
        <v>126</v>
      </c>
    </row>
    <row r="200" spans="1:133" ht="12" customHeight="1" x14ac:dyDescent="0.2">
      <c r="A200" t="s">
        <v>2935</v>
      </c>
      <c r="B200" t="s">
        <v>2946</v>
      </c>
      <c r="C200" t="str">
        <f t="shared" si="11"/>
        <v>Full</v>
      </c>
      <c r="E200" s="65">
        <v>3514</v>
      </c>
      <c r="F200" t="s">
        <v>1700</v>
      </c>
      <c r="G200" s="71" t="s">
        <v>3947</v>
      </c>
      <c r="H200" s="67">
        <v>2.0199999809265101</v>
      </c>
      <c r="I200" s="65">
        <v>528809</v>
      </c>
      <c r="J200" s="65">
        <v>177181</v>
      </c>
      <c r="K200" s="65" t="s">
        <v>1564</v>
      </c>
      <c r="L200" s="65" t="s">
        <v>821</v>
      </c>
      <c r="M200" s="65" t="s">
        <v>434</v>
      </c>
      <c r="N200" s="69">
        <v>42445</v>
      </c>
      <c r="O200" s="69">
        <v>42667</v>
      </c>
      <c r="R200" s="65" t="s">
        <v>28</v>
      </c>
      <c r="U200" t="s">
        <v>1701</v>
      </c>
      <c r="V200" t="s">
        <v>3178</v>
      </c>
      <c r="W200" s="65" t="s">
        <v>34</v>
      </c>
      <c r="X200" s="65" t="s">
        <v>29</v>
      </c>
      <c r="Y200" s="65" t="s">
        <v>30</v>
      </c>
      <c r="AA200" s="69">
        <v>42662</v>
      </c>
      <c r="AD200" s="65" t="s">
        <v>23</v>
      </c>
      <c r="AE200" s="65" t="s">
        <v>24</v>
      </c>
      <c r="AH200" s="69">
        <f t="shared" si="10"/>
        <v>42662</v>
      </c>
      <c r="AJ200" s="73">
        <v>102</v>
      </c>
      <c r="AL200" s="73">
        <v>198</v>
      </c>
      <c r="AO200" s="73">
        <v>300</v>
      </c>
      <c r="AP200" s="73">
        <v>1885</v>
      </c>
      <c r="AS200" s="73">
        <v>1885</v>
      </c>
      <c r="AV200" s="73">
        <v>1885</v>
      </c>
      <c r="AX200" s="73">
        <v>1548</v>
      </c>
      <c r="AY200" s="73">
        <v>1548</v>
      </c>
      <c r="BO200" s="185" t="s">
        <v>126</v>
      </c>
      <c r="BP200" s="185" t="s">
        <v>126</v>
      </c>
      <c r="BQ200" s="185" t="s">
        <v>126</v>
      </c>
      <c r="BR200" s="73">
        <v>102</v>
      </c>
      <c r="BT200" s="73">
        <v>198</v>
      </c>
      <c r="BW200" s="73">
        <v>300</v>
      </c>
      <c r="BX200" s="73">
        <v>1885</v>
      </c>
      <c r="BY200" s="185" t="s">
        <v>3794</v>
      </c>
      <c r="CD200" s="73">
        <v>1885</v>
      </c>
      <c r="CH200" s="73">
        <v>1548</v>
      </c>
      <c r="CI200" s="73">
        <v>1548</v>
      </c>
      <c r="CJ200" t="s">
        <v>46</v>
      </c>
      <c r="CK200" t="s">
        <v>25</v>
      </c>
      <c r="CL200" t="s">
        <v>50</v>
      </c>
      <c r="CM200" t="s">
        <v>25</v>
      </c>
      <c r="CN200" t="s">
        <v>25</v>
      </c>
      <c r="CO200" t="s">
        <v>31</v>
      </c>
      <c r="CP200" t="s">
        <v>25</v>
      </c>
      <c r="CQ200" t="s">
        <v>25</v>
      </c>
      <c r="CR200" t="s">
        <v>25</v>
      </c>
      <c r="CS200" t="s">
        <v>25</v>
      </c>
      <c r="CT200" t="s">
        <v>25</v>
      </c>
      <c r="CU200" t="s">
        <v>25</v>
      </c>
      <c r="CV200" t="s">
        <v>44</v>
      </c>
      <c r="CW200" t="s">
        <v>25</v>
      </c>
      <c r="CX200" t="s">
        <v>25</v>
      </c>
      <c r="CY200" t="s">
        <v>25</v>
      </c>
      <c r="CZ200" t="s">
        <v>25</v>
      </c>
      <c r="DA200" t="s">
        <v>25</v>
      </c>
      <c r="DB200" t="s">
        <v>25</v>
      </c>
      <c r="DC200" t="s">
        <v>25</v>
      </c>
      <c r="DD200" t="s">
        <v>25</v>
      </c>
      <c r="DE200" t="s">
        <v>25</v>
      </c>
      <c r="DF200" t="s">
        <v>25</v>
      </c>
      <c r="DG200" t="s">
        <v>25</v>
      </c>
      <c r="DH200" t="s">
        <v>25</v>
      </c>
      <c r="DI200" t="s">
        <v>25</v>
      </c>
      <c r="DJ200" s="76">
        <v>0</v>
      </c>
      <c r="DK200" s="73">
        <v>3733</v>
      </c>
      <c r="DL200" s="73">
        <v>0</v>
      </c>
      <c r="DM200" s="73">
        <v>3733</v>
      </c>
      <c r="DN200" s="65" t="s">
        <v>126</v>
      </c>
      <c r="DU200" s="65" t="s">
        <v>126</v>
      </c>
      <c r="DZ200" s="73">
        <v>387</v>
      </c>
      <c r="EA200" s="73">
        <v>33</v>
      </c>
      <c r="EB200" s="73">
        <v>354</v>
      </c>
      <c r="EC200" s="65" t="s">
        <v>126</v>
      </c>
    </row>
    <row r="201" spans="1:133" ht="12" customHeight="1" x14ac:dyDescent="0.2">
      <c r="A201" t="s">
        <v>2935</v>
      </c>
      <c r="B201" t="s">
        <v>2946</v>
      </c>
      <c r="C201" t="str">
        <f t="shared" si="11"/>
        <v>Full</v>
      </c>
      <c r="E201" s="65">
        <v>3514</v>
      </c>
      <c r="F201" t="s">
        <v>1700</v>
      </c>
      <c r="G201" s="71" t="s">
        <v>3947</v>
      </c>
      <c r="H201" s="67">
        <v>2.0199999809265101</v>
      </c>
      <c r="I201" s="65">
        <v>528809</v>
      </c>
      <c r="J201" s="65">
        <v>177181</v>
      </c>
      <c r="K201" s="65" t="s">
        <v>1564</v>
      </c>
      <c r="L201" s="65" t="s">
        <v>1119</v>
      </c>
      <c r="M201" s="65" t="s">
        <v>1363</v>
      </c>
      <c r="N201" s="69">
        <v>42668</v>
      </c>
      <c r="O201" s="69">
        <v>42702</v>
      </c>
      <c r="R201" s="65" t="s">
        <v>28</v>
      </c>
      <c r="U201" t="s">
        <v>1702</v>
      </c>
      <c r="V201" t="s">
        <v>3179</v>
      </c>
      <c r="W201" s="65" t="s">
        <v>39</v>
      </c>
      <c r="X201" s="65" t="s">
        <v>39</v>
      </c>
      <c r="Y201" s="65" t="s">
        <v>30</v>
      </c>
      <c r="AA201" s="69">
        <v>42662</v>
      </c>
      <c r="AD201" s="65" t="s">
        <v>23</v>
      </c>
      <c r="AE201" s="65" t="s">
        <v>24</v>
      </c>
      <c r="AH201" s="69">
        <f t="shared" si="10"/>
        <v>42662</v>
      </c>
      <c r="AL201" s="73">
        <v>135</v>
      </c>
      <c r="AO201" s="73">
        <v>135</v>
      </c>
      <c r="BO201" s="185" t="s">
        <v>126</v>
      </c>
      <c r="BP201" s="185" t="s">
        <v>3794</v>
      </c>
      <c r="BQ201" s="185" t="s">
        <v>3794</v>
      </c>
      <c r="BT201" s="73">
        <v>135</v>
      </c>
      <c r="BW201" s="73">
        <v>135</v>
      </c>
      <c r="BY201" s="185" t="s">
        <v>3794</v>
      </c>
      <c r="CJ201" t="s">
        <v>25</v>
      </c>
      <c r="CK201" t="s">
        <v>25</v>
      </c>
      <c r="CL201" t="s">
        <v>50</v>
      </c>
      <c r="CM201" t="s">
        <v>25</v>
      </c>
      <c r="CN201" t="s">
        <v>25</v>
      </c>
      <c r="CO201" t="s">
        <v>25</v>
      </c>
      <c r="CP201" t="s">
        <v>25</v>
      </c>
      <c r="CQ201" t="s">
        <v>25</v>
      </c>
      <c r="CR201" t="s">
        <v>25</v>
      </c>
      <c r="CS201" t="s">
        <v>25</v>
      </c>
      <c r="CT201" t="s">
        <v>25</v>
      </c>
      <c r="CU201" t="s">
        <v>25</v>
      </c>
      <c r="CV201" t="s">
        <v>25</v>
      </c>
      <c r="CW201" t="s">
        <v>25</v>
      </c>
      <c r="CX201" t="s">
        <v>25</v>
      </c>
      <c r="CY201" t="s">
        <v>25</v>
      </c>
      <c r="CZ201" t="s">
        <v>25</v>
      </c>
      <c r="DA201" t="s">
        <v>25</v>
      </c>
      <c r="DB201" t="s">
        <v>25</v>
      </c>
      <c r="DC201" t="s">
        <v>25</v>
      </c>
      <c r="DD201" t="s">
        <v>25</v>
      </c>
      <c r="DE201" t="s">
        <v>25</v>
      </c>
      <c r="DF201" t="s">
        <v>25</v>
      </c>
      <c r="DG201" t="s">
        <v>25</v>
      </c>
      <c r="DH201" t="s">
        <v>25</v>
      </c>
      <c r="DI201" t="s">
        <v>25</v>
      </c>
      <c r="DJ201" s="76">
        <v>0</v>
      </c>
      <c r="DK201" s="73">
        <v>135</v>
      </c>
      <c r="DL201" s="73">
        <v>0</v>
      </c>
      <c r="DM201" s="73">
        <v>135</v>
      </c>
      <c r="DN201" s="65" t="s">
        <v>126</v>
      </c>
      <c r="DU201" s="65" t="s">
        <v>126</v>
      </c>
      <c r="DZ201" s="73">
        <v>0</v>
      </c>
      <c r="EA201" s="73">
        <v>0</v>
      </c>
      <c r="EB201" s="73">
        <v>0</v>
      </c>
    </row>
    <row r="202" spans="1:133" ht="12" customHeight="1" x14ac:dyDescent="0.2">
      <c r="A202" t="s">
        <v>2935</v>
      </c>
      <c r="B202" t="s">
        <v>2946</v>
      </c>
      <c r="C202" t="str">
        <f t="shared" si="11"/>
        <v>Full</v>
      </c>
      <c r="E202" s="65">
        <v>3514</v>
      </c>
      <c r="F202" t="s">
        <v>1700</v>
      </c>
      <c r="G202" s="71" t="s">
        <v>3947</v>
      </c>
      <c r="H202" s="67">
        <v>2.0199999809265101</v>
      </c>
      <c r="I202" s="65">
        <v>528809</v>
      </c>
      <c r="J202" s="65">
        <v>177181</v>
      </c>
      <c r="K202" s="65" t="s">
        <v>1564</v>
      </c>
      <c r="L202" s="65" t="s">
        <v>1126</v>
      </c>
      <c r="M202" s="65" t="s">
        <v>434</v>
      </c>
      <c r="N202" s="69">
        <v>42675</v>
      </c>
      <c r="O202" s="69">
        <v>42858</v>
      </c>
      <c r="P202" s="65" t="s">
        <v>126</v>
      </c>
      <c r="Q202" s="69">
        <v>42817</v>
      </c>
      <c r="R202" s="65" t="s">
        <v>28</v>
      </c>
      <c r="U202" t="s">
        <v>1703</v>
      </c>
      <c r="V202" t="s">
        <v>3180</v>
      </c>
      <c r="W202" s="65" t="s">
        <v>29</v>
      </c>
      <c r="X202" s="65" t="s">
        <v>29</v>
      </c>
      <c r="Y202" s="65" t="s">
        <v>30</v>
      </c>
      <c r="AA202" s="69">
        <v>42662</v>
      </c>
      <c r="AD202" s="65" t="s">
        <v>23</v>
      </c>
      <c r="AE202" s="65" t="s">
        <v>24</v>
      </c>
      <c r="AH202" s="69">
        <f t="shared" si="10"/>
        <v>42662</v>
      </c>
      <c r="AJ202" s="73">
        <v>527</v>
      </c>
      <c r="AL202" s="73">
        <v>135</v>
      </c>
      <c r="AO202" s="73">
        <v>662</v>
      </c>
      <c r="AP202" s="73">
        <v>459</v>
      </c>
      <c r="AS202" s="73">
        <v>459</v>
      </c>
      <c r="AV202" s="73">
        <v>459</v>
      </c>
      <c r="AW202" s="73">
        <v>473</v>
      </c>
      <c r="AX202" s="73">
        <v>331</v>
      </c>
      <c r="AY202" s="73">
        <v>804</v>
      </c>
      <c r="BF202" s="73">
        <v>394</v>
      </c>
      <c r="BK202" s="73">
        <v>394</v>
      </c>
      <c r="BL202" s="73">
        <v>395</v>
      </c>
      <c r="BN202" s="73">
        <v>395</v>
      </c>
      <c r="BO202" s="185" t="s">
        <v>126</v>
      </c>
      <c r="BP202" s="185" t="s">
        <v>126</v>
      </c>
      <c r="BQ202" s="185" t="s">
        <v>126</v>
      </c>
      <c r="BR202" s="73">
        <v>527</v>
      </c>
      <c r="BT202" s="73">
        <v>135</v>
      </c>
      <c r="BW202" s="73">
        <v>662</v>
      </c>
      <c r="BX202" s="73">
        <v>65</v>
      </c>
      <c r="BY202" s="185" t="s">
        <v>3794</v>
      </c>
      <c r="CD202" s="73">
        <v>65</v>
      </c>
      <c r="CG202" s="73">
        <v>78</v>
      </c>
      <c r="CH202" s="73">
        <v>331</v>
      </c>
      <c r="CI202" s="73">
        <v>409</v>
      </c>
      <c r="CJ202" t="s">
        <v>31</v>
      </c>
      <c r="CK202" t="s">
        <v>25</v>
      </c>
      <c r="CL202" t="s">
        <v>50</v>
      </c>
      <c r="CM202" t="s">
        <v>25</v>
      </c>
      <c r="CN202" t="s">
        <v>25</v>
      </c>
      <c r="CO202" t="s">
        <v>31</v>
      </c>
      <c r="CP202" t="s">
        <v>25</v>
      </c>
      <c r="CQ202" t="s">
        <v>25</v>
      </c>
      <c r="CR202" t="s">
        <v>25</v>
      </c>
      <c r="CS202" t="s">
        <v>25</v>
      </c>
      <c r="CT202" t="s">
        <v>25</v>
      </c>
      <c r="CU202" t="s">
        <v>43</v>
      </c>
      <c r="CV202" t="s">
        <v>44</v>
      </c>
      <c r="CW202" t="s">
        <v>25</v>
      </c>
      <c r="CX202" t="s">
        <v>25</v>
      </c>
      <c r="CY202" t="s">
        <v>25</v>
      </c>
      <c r="CZ202" t="s">
        <v>25</v>
      </c>
      <c r="DA202" t="s">
        <v>25</v>
      </c>
      <c r="DB202" t="s">
        <v>31</v>
      </c>
      <c r="DC202" t="s">
        <v>25</v>
      </c>
      <c r="DD202" t="s">
        <v>25</v>
      </c>
      <c r="DE202" t="s">
        <v>25</v>
      </c>
      <c r="DF202" t="s">
        <v>25</v>
      </c>
      <c r="DG202" t="s">
        <v>25</v>
      </c>
      <c r="DH202" t="s">
        <v>31</v>
      </c>
      <c r="DI202" t="s">
        <v>25</v>
      </c>
      <c r="DJ202" s="76">
        <v>0</v>
      </c>
      <c r="DK202" s="73">
        <v>1925</v>
      </c>
      <c r="DL202" s="73">
        <v>789</v>
      </c>
      <c r="DM202" s="73">
        <v>1136</v>
      </c>
      <c r="DN202" s="65" t="s">
        <v>126</v>
      </c>
      <c r="DU202" s="65" t="s">
        <v>126</v>
      </c>
      <c r="DZ202" s="73">
        <v>5112</v>
      </c>
      <c r="EA202" s="73">
        <v>0</v>
      </c>
      <c r="EB202" s="73">
        <v>5112</v>
      </c>
      <c r="EC202" s="65" t="s">
        <v>126</v>
      </c>
    </row>
    <row r="203" spans="1:133" ht="12" customHeight="1" x14ac:dyDescent="0.2">
      <c r="A203" t="s">
        <v>2937</v>
      </c>
      <c r="B203" t="s">
        <v>2946</v>
      </c>
      <c r="C203" t="str">
        <f t="shared" si="11"/>
        <v>Full</v>
      </c>
      <c r="E203" s="65">
        <v>3515</v>
      </c>
      <c r="F203" t="s">
        <v>1704</v>
      </c>
      <c r="G203" s="71" t="s">
        <v>3946</v>
      </c>
      <c r="H203" s="67">
        <v>0.34999999403953602</v>
      </c>
      <c r="I203" s="65">
        <v>524039</v>
      </c>
      <c r="J203" s="65">
        <v>175460</v>
      </c>
      <c r="K203" s="65" t="s">
        <v>1705</v>
      </c>
      <c r="L203" s="65" t="s">
        <v>307</v>
      </c>
      <c r="M203" s="65" t="s">
        <v>33</v>
      </c>
      <c r="N203" s="69">
        <v>42010</v>
      </c>
      <c r="O203" s="69">
        <v>42489</v>
      </c>
      <c r="Q203" s="69">
        <v>42199</v>
      </c>
      <c r="R203" s="65" t="s">
        <v>28</v>
      </c>
      <c r="U203" t="s">
        <v>729</v>
      </c>
      <c r="V203" t="s">
        <v>3181</v>
      </c>
      <c r="W203" s="65" t="s">
        <v>29</v>
      </c>
      <c r="X203" s="65" t="s">
        <v>29</v>
      </c>
      <c r="Y203" s="65" t="s">
        <v>59</v>
      </c>
      <c r="AD203" s="65" t="s">
        <v>23</v>
      </c>
      <c r="AE203" s="65" t="s">
        <v>24</v>
      </c>
      <c r="AJ203" s="73">
        <v>1046</v>
      </c>
      <c r="AK203" s="73">
        <v>1046</v>
      </c>
      <c r="AL203" s="73">
        <v>1043</v>
      </c>
      <c r="AO203" s="73">
        <v>3135</v>
      </c>
      <c r="AX203" s="73">
        <v>447</v>
      </c>
      <c r="AY203" s="73">
        <v>447</v>
      </c>
      <c r="AZ203" s="73">
        <v>3877</v>
      </c>
      <c r="BA203" s="73">
        <v>550</v>
      </c>
      <c r="BE203" s="73">
        <v>4427</v>
      </c>
      <c r="BF203" s="73">
        <v>128</v>
      </c>
      <c r="BK203" s="73">
        <v>128</v>
      </c>
      <c r="BM203" s="73">
        <v>1245</v>
      </c>
      <c r="BN203" s="73">
        <v>1245</v>
      </c>
      <c r="BO203" s="185" t="s">
        <v>126</v>
      </c>
      <c r="BP203" s="185" t="s">
        <v>126</v>
      </c>
      <c r="BQ203" s="185" t="s">
        <v>126</v>
      </c>
      <c r="BR203" s="73">
        <v>-2831</v>
      </c>
      <c r="BS203" s="73">
        <v>496</v>
      </c>
      <c r="BT203" s="73">
        <v>1043</v>
      </c>
      <c r="BW203" s="73">
        <v>-1292</v>
      </c>
      <c r="BX203" s="73">
        <v>-128</v>
      </c>
      <c r="BY203" s="185" t="s">
        <v>126</v>
      </c>
      <c r="CD203" s="73">
        <v>-128</v>
      </c>
      <c r="CE203" s="65" t="s">
        <v>126</v>
      </c>
      <c r="CH203" s="73">
        <v>-798</v>
      </c>
      <c r="CI203" s="73">
        <v>-798</v>
      </c>
      <c r="CJ203" t="s">
        <v>31</v>
      </c>
      <c r="CK203" t="s">
        <v>31</v>
      </c>
      <c r="CL203" t="s">
        <v>31</v>
      </c>
      <c r="CM203" t="s">
        <v>25</v>
      </c>
      <c r="CN203" t="s">
        <v>25</v>
      </c>
      <c r="CO203" t="s">
        <v>25</v>
      </c>
      <c r="CP203" t="s">
        <v>25</v>
      </c>
      <c r="CQ203" t="s">
        <v>25</v>
      </c>
      <c r="CR203" t="s">
        <v>25</v>
      </c>
      <c r="CS203" t="s">
        <v>25</v>
      </c>
      <c r="CT203" t="s">
        <v>25</v>
      </c>
      <c r="CU203" t="s">
        <v>25</v>
      </c>
      <c r="CV203" t="s">
        <v>49</v>
      </c>
      <c r="CW203" t="s">
        <v>31</v>
      </c>
      <c r="CX203" t="s">
        <v>178</v>
      </c>
      <c r="CY203" t="s">
        <v>25</v>
      </c>
      <c r="CZ203" t="s">
        <v>25</v>
      </c>
      <c r="DA203" t="s">
        <v>25</v>
      </c>
      <c r="DB203" t="s">
        <v>49</v>
      </c>
      <c r="DC203" t="s">
        <v>25</v>
      </c>
      <c r="DD203" t="s">
        <v>25</v>
      </c>
      <c r="DE203" t="s">
        <v>25</v>
      </c>
      <c r="DF203" t="s">
        <v>25</v>
      </c>
      <c r="DG203" t="s">
        <v>25</v>
      </c>
      <c r="DH203" t="s">
        <v>25</v>
      </c>
      <c r="DI203" t="s">
        <v>308</v>
      </c>
      <c r="DJ203" s="76">
        <v>6.0000002384186013E-2</v>
      </c>
      <c r="DK203" s="73">
        <v>6897</v>
      </c>
      <c r="DL203" s="73">
        <v>5945</v>
      </c>
      <c r="DM203" s="73">
        <v>952</v>
      </c>
      <c r="DU203"/>
      <c r="DV203" s="65" t="s">
        <v>126</v>
      </c>
      <c r="DW203" t="s">
        <v>131</v>
      </c>
      <c r="DZ203" s="73">
        <v>8601</v>
      </c>
      <c r="EA203" s="73">
        <v>193</v>
      </c>
      <c r="EB203" s="73">
        <v>8408</v>
      </c>
      <c r="EC203" s="65" t="s">
        <v>126</v>
      </c>
    </row>
    <row r="204" spans="1:133" ht="12" customHeight="1" x14ac:dyDescent="0.2">
      <c r="A204" t="s">
        <v>2936</v>
      </c>
      <c r="B204" t="s">
        <v>2946</v>
      </c>
      <c r="C204" t="str">
        <f t="shared" si="11"/>
        <v>Full</v>
      </c>
      <c r="D204" t="s">
        <v>2942</v>
      </c>
      <c r="E204" s="65">
        <v>3516</v>
      </c>
      <c r="F204" t="s">
        <v>1706</v>
      </c>
      <c r="G204" s="71" t="s">
        <v>3947</v>
      </c>
      <c r="H204" s="67">
        <v>1.2699999809265099</v>
      </c>
      <c r="I204" s="65">
        <v>528672</v>
      </c>
      <c r="J204" s="65">
        <v>177315</v>
      </c>
      <c r="K204" s="65" t="s">
        <v>1707</v>
      </c>
      <c r="L204" s="65" t="s">
        <v>796</v>
      </c>
      <c r="M204" s="65" t="s">
        <v>434</v>
      </c>
      <c r="N204" s="69">
        <v>42362</v>
      </c>
      <c r="O204" s="69">
        <v>42541</v>
      </c>
      <c r="Q204" s="69">
        <v>42424</v>
      </c>
      <c r="R204" s="65" t="s">
        <v>28</v>
      </c>
      <c r="U204" t="s">
        <v>1708</v>
      </c>
      <c r="V204" t="s">
        <v>3182</v>
      </c>
      <c r="W204" s="65" t="s">
        <v>21</v>
      </c>
      <c r="X204" s="65" t="s">
        <v>21</v>
      </c>
      <c r="Y204" s="65" t="s">
        <v>22</v>
      </c>
      <c r="AA204" s="69">
        <v>41828</v>
      </c>
      <c r="AB204" s="69">
        <v>43190</v>
      </c>
      <c r="AD204" s="65" t="s">
        <v>23</v>
      </c>
      <c r="AE204" s="65" t="s">
        <v>24</v>
      </c>
      <c r="AH204" s="69">
        <f t="shared" si="10"/>
        <v>41828</v>
      </c>
      <c r="AI204" s="69">
        <f t="shared" si="9"/>
        <v>43190</v>
      </c>
      <c r="AJ204" s="73">
        <v>146</v>
      </c>
      <c r="AK204" s="73">
        <v>146</v>
      </c>
      <c r="AL204" s="73">
        <v>146</v>
      </c>
      <c r="AO204" s="73">
        <v>438</v>
      </c>
      <c r="AP204" s="73">
        <v>391</v>
      </c>
      <c r="AS204" s="73">
        <v>391</v>
      </c>
      <c r="AV204" s="73">
        <v>391</v>
      </c>
      <c r="BF204" s="73">
        <v>16973</v>
      </c>
      <c r="BK204" s="73">
        <v>16973</v>
      </c>
      <c r="BO204" s="185" t="s">
        <v>126</v>
      </c>
      <c r="BP204" s="185" t="s">
        <v>126</v>
      </c>
      <c r="BQ204" s="185" t="s">
        <v>3794</v>
      </c>
      <c r="BR204" s="73">
        <v>146</v>
      </c>
      <c r="BS204" s="73">
        <v>146</v>
      </c>
      <c r="BT204" s="73">
        <v>146</v>
      </c>
      <c r="BW204" s="73">
        <v>438</v>
      </c>
      <c r="BX204" s="73">
        <v>-16582</v>
      </c>
      <c r="BY204" s="185" t="s">
        <v>126</v>
      </c>
      <c r="CD204" s="73">
        <v>-16582</v>
      </c>
      <c r="CE204" s="65" t="s">
        <v>126</v>
      </c>
      <c r="CJ204" t="s">
        <v>25</v>
      </c>
      <c r="CK204" t="s">
        <v>25</v>
      </c>
      <c r="CL204" t="s">
        <v>25</v>
      </c>
      <c r="CM204" t="s">
        <v>25</v>
      </c>
      <c r="CN204" t="s">
        <v>25</v>
      </c>
      <c r="CO204" t="s">
        <v>25</v>
      </c>
      <c r="CP204" t="s">
        <v>25</v>
      </c>
      <c r="CQ204" t="s">
        <v>25</v>
      </c>
      <c r="CR204" t="s">
        <v>25</v>
      </c>
      <c r="CS204" t="s">
        <v>25</v>
      </c>
      <c r="CT204" t="s">
        <v>25</v>
      </c>
      <c r="CU204" t="s">
        <v>25</v>
      </c>
      <c r="CV204" t="s">
        <v>25</v>
      </c>
      <c r="CW204" t="s">
        <v>25</v>
      </c>
      <c r="CX204" t="s">
        <v>25</v>
      </c>
      <c r="CY204" t="s">
        <v>25</v>
      </c>
      <c r="CZ204" t="s">
        <v>25</v>
      </c>
      <c r="DA204" t="s">
        <v>25</v>
      </c>
      <c r="DB204" t="s">
        <v>25</v>
      </c>
      <c r="DC204" t="s">
        <v>25</v>
      </c>
      <c r="DD204" t="s">
        <v>25</v>
      </c>
      <c r="DE204" t="s">
        <v>25</v>
      </c>
      <c r="DF204" t="s">
        <v>25</v>
      </c>
      <c r="DG204" t="s">
        <v>25</v>
      </c>
      <c r="DH204" t="s">
        <v>25</v>
      </c>
      <c r="DI204" t="s">
        <v>25</v>
      </c>
      <c r="DJ204" s="76">
        <v>1.7499968409532052E-2</v>
      </c>
      <c r="DK204" s="73">
        <v>829</v>
      </c>
      <c r="DL204" s="73">
        <v>16973</v>
      </c>
      <c r="DM204" s="73">
        <v>-16144</v>
      </c>
      <c r="DN204" s="65" t="s">
        <v>126</v>
      </c>
      <c r="DU204" s="65" t="s">
        <v>126</v>
      </c>
      <c r="DZ204" s="73">
        <v>53789</v>
      </c>
      <c r="EA204" s="73">
        <v>0</v>
      </c>
      <c r="EB204" s="73">
        <v>53789</v>
      </c>
      <c r="EC204" s="65" t="s">
        <v>126</v>
      </c>
    </row>
    <row r="205" spans="1:133" ht="12" customHeight="1" x14ac:dyDescent="0.2">
      <c r="A205" t="s">
        <v>2938</v>
      </c>
      <c r="B205" t="s">
        <v>2946</v>
      </c>
      <c r="C205" t="str">
        <f t="shared" si="11"/>
        <v>Full</v>
      </c>
      <c r="E205" s="65">
        <v>3516</v>
      </c>
      <c r="F205" t="s">
        <v>1706</v>
      </c>
      <c r="G205" s="71" t="s">
        <v>3947</v>
      </c>
      <c r="H205" s="67">
        <v>1.2699999809265099</v>
      </c>
      <c r="I205" s="65">
        <v>528672</v>
      </c>
      <c r="J205" s="65">
        <v>177315</v>
      </c>
      <c r="K205" s="65" t="s">
        <v>1707</v>
      </c>
      <c r="L205" s="65" t="s">
        <v>1709</v>
      </c>
      <c r="M205" s="65" t="s">
        <v>172</v>
      </c>
      <c r="N205" s="69">
        <v>43150</v>
      </c>
      <c r="R205" s="65" t="s">
        <v>28</v>
      </c>
      <c r="U205" t="s">
        <v>1710</v>
      </c>
      <c r="V205" t="s">
        <v>3183</v>
      </c>
      <c r="W205" s="65" t="s">
        <v>21</v>
      </c>
      <c r="X205" s="65" t="s">
        <v>21</v>
      </c>
      <c r="Y205" s="65" t="s">
        <v>69</v>
      </c>
      <c r="AD205" s="65" t="s">
        <v>173</v>
      </c>
      <c r="AE205" s="65" t="s">
        <v>24</v>
      </c>
      <c r="AX205" s="73">
        <v>278</v>
      </c>
      <c r="AY205" s="73">
        <v>278</v>
      </c>
      <c r="AZ205" s="73">
        <v>93</v>
      </c>
      <c r="BA205" s="73">
        <v>93</v>
      </c>
      <c r="BB205" s="73">
        <v>92</v>
      </c>
      <c r="BE205" s="73">
        <v>278</v>
      </c>
      <c r="BO205" s="185" t="s">
        <v>126</v>
      </c>
      <c r="BP205" s="185" t="s">
        <v>3794</v>
      </c>
      <c r="BQ205" s="185" t="s">
        <v>126</v>
      </c>
      <c r="BR205" s="73">
        <v>-93</v>
      </c>
      <c r="BS205" s="73">
        <v>-93</v>
      </c>
      <c r="BT205" s="73">
        <v>-92</v>
      </c>
      <c r="BW205" s="73">
        <v>-278</v>
      </c>
      <c r="BY205" s="185" t="s">
        <v>3794</v>
      </c>
      <c r="CH205" s="73">
        <v>278</v>
      </c>
      <c r="CI205" s="73">
        <v>278</v>
      </c>
      <c r="CJ205" t="s">
        <v>25</v>
      </c>
      <c r="CK205" t="s">
        <v>25</v>
      </c>
      <c r="CL205" t="s">
        <v>25</v>
      </c>
      <c r="CM205" t="s">
        <v>25</v>
      </c>
      <c r="CN205" t="s">
        <v>25</v>
      </c>
      <c r="CO205" t="s">
        <v>25</v>
      </c>
      <c r="CP205" t="s">
        <v>25</v>
      </c>
      <c r="CQ205" t="s">
        <v>25</v>
      </c>
      <c r="CR205" t="s">
        <v>25</v>
      </c>
      <c r="CS205" t="s">
        <v>25</v>
      </c>
      <c r="CT205" t="s">
        <v>25</v>
      </c>
      <c r="CU205" t="s">
        <v>25</v>
      </c>
      <c r="CV205" t="s">
        <v>49</v>
      </c>
      <c r="CW205" t="s">
        <v>47</v>
      </c>
      <c r="CX205" t="s">
        <v>47</v>
      </c>
      <c r="CY205" t="s">
        <v>47</v>
      </c>
      <c r="CZ205" t="s">
        <v>25</v>
      </c>
      <c r="DA205" t="s">
        <v>25</v>
      </c>
      <c r="DB205" t="s">
        <v>25</v>
      </c>
      <c r="DC205" t="s">
        <v>25</v>
      </c>
      <c r="DD205" t="s">
        <v>25</v>
      </c>
      <c r="DE205" t="s">
        <v>25</v>
      </c>
      <c r="DF205" t="s">
        <v>25</v>
      </c>
      <c r="DG205" t="s">
        <v>25</v>
      </c>
      <c r="DH205" t="s">
        <v>25</v>
      </c>
      <c r="DI205" t="s">
        <v>25</v>
      </c>
      <c r="DJ205" s="76">
        <v>1.2699999809265099</v>
      </c>
      <c r="DK205" s="73">
        <v>278</v>
      </c>
      <c r="DL205" s="73">
        <v>278</v>
      </c>
      <c r="DM205" s="73">
        <v>0</v>
      </c>
      <c r="DN205" s="65" t="s">
        <v>126</v>
      </c>
      <c r="DU205" s="65" t="s">
        <v>126</v>
      </c>
      <c r="DZ205" s="73">
        <v>0</v>
      </c>
      <c r="EA205" s="73">
        <v>0</v>
      </c>
      <c r="EB205" s="73">
        <v>0</v>
      </c>
    </row>
    <row r="206" spans="1:133" ht="12" customHeight="1" x14ac:dyDescent="0.2">
      <c r="A206" t="s">
        <v>2936</v>
      </c>
      <c r="B206" t="s">
        <v>2946</v>
      </c>
      <c r="C206" t="str">
        <f t="shared" si="11"/>
        <v>Full</v>
      </c>
      <c r="D206" t="s">
        <v>2942</v>
      </c>
      <c r="E206" s="65">
        <v>3517</v>
      </c>
      <c r="F206" t="s">
        <v>1711</v>
      </c>
      <c r="G206" s="71" t="s">
        <v>3943</v>
      </c>
      <c r="H206" s="67">
        <v>9.0999998152255998E-2</v>
      </c>
      <c r="I206" s="65">
        <v>527208</v>
      </c>
      <c r="J206" s="65">
        <v>177201</v>
      </c>
      <c r="K206" s="65" t="s">
        <v>1712</v>
      </c>
      <c r="L206" s="65" t="s">
        <v>383</v>
      </c>
      <c r="M206" s="65" t="s">
        <v>27</v>
      </c>
      <c r="N206" s="69">
        <v>41652</v>
      </c>
      <c r="O206" s="69">
        <v>41809</v>
      </c>
      <c r="R206" s="65" t="s">
        <v>28</v>
      </c>
      <c r="U206" t="s">
        <v>420</v>
      </c>
      <c r="V206" t="s">
        <v>3184</v>
      </c>
      <c r="W206" s="65" t="s">
        <v>29</v>
      </c>
      <c r="X206" s="65" t="s">
        <v>29</v>
      </c>
      <c r="Y206" s="65" t="s">
        <v>22</v>
      </c>
      <c r="AA206" s="69">
        <v>42094</v>
      </c>
      <c r="AB206" s="69">
        <v>43190</v>
      </c>
      <c r="AD206" s="65" t="s">
        <v>23</v>
      </c>
      <c r="AE206" s="65" t="s">
        <v>24</v>
      </c>
      <c r="AH206" s="69">
        <f t="shared" si="10"/>
        <v>42094</v>
      </c>
      <c r="AI206" s="69">
        <f t="shared" si="9"/>
        <v>43190</v>
      </c>
      <c r="AW206" s="73">
        <v>824</v>
      </c>
      <c r="AY206" s="73">
        <v>824</v>
      </c>
      <c r="BO206" s="185" t="s">
        <v>3794</v>
      </c>
      <c r="BP206" s="185" t="s">
        <v>3794</v>
      </c>
      <c r="BQ206" s="185" t="s">
        <v>126</v>
      </c>
      <c r="BW206" s="73"/>
      <c r="BY206" s="185" t="s">
        <v>3794</v>
      </c>
      <c r="CG206" s="73">
        <v>824</v>
      </c>
      <c r="CI206" s="73">
        <v>824</v>
      </c>
      <c r="CJ206" t="s">
        <v>25</v>
      </c>
      <c r="CK206" t="s">
        <v>25</v>
      </c>
      <c r="CL206" t="s">
        <v>25</v>
      </c>
      <c r="CM206" t="s">
        <v>25</v>
      </c>
      <c r="CN206" t="s">
        <v>25</v>
      </c>
      <c r="CO206" t="s">
        <v>25</v>
      </c>
      <c r="CP206" t="s">
        <v>25</v>
      </c>
      <c r="CQ206" t="s">
        <v>25</v>
      </c>
      <c r="CR206" t="s">
        <v>25</v>
      </c>
      <c r="CS206" t="s">
        <v>25</v>
      </c>
      <c r="CT206" t="s">
        <v>25</v>
      </c>
      <c r="CU206" t="s">
        <v>60</v>
      </c>
      <c r="CV206" t="s">
        <v>25</v>
      </c>
      <c r="CW206" t="s">
        <v>25</v>
      </c>
      <c r="CX206" t="s">
        <v>25</v>
      </c>
      <c r="CY206" t="s">
        <v>25</v>
      </c>
      <c r="CZ206" t="s">
        <v>25</v>
      </c>
      <c r="DA206" t="s">
        <v>25</v>
      </c>
      <c r="DB206" t="s">
        <v>25</v>
      </c>
      <c r="DC206" t="s">
        <v>25</v>
      </c>
      <c r="DD206" t="s">
        <v>25</v>
      </c>
      <c r="DE206" t="s">
        <v>25</v>
      </c>
      <c r="DF206" t="s">
        <v>25</v>
      </c>
      <c r="DG206" t="s">
        <v>25</v>
      </c>
      <c r="DH206" t="s">
        <v>25</v>
      </c>
      <c r="DI206" t="s">
        <v>25</v>
      </c>
      <c r="DJ206" s="76">
        <v>9.0999998152255998E-2</v>
      </c>
      <c r="DK206" s="73">
        <v>824</v>
      </c>
      <c r="DL206" s="73">
        <v>0</v>
      </c>
      <c r="DM206" s="73">
        <v>824</v>
      </c>
      <c r="DN206" s="65" t="s">
        <v>126</v>
      </c>
      <c r="DS206" s="65" t="s">
        <v>126</v>
      </c>
      <c r="DT206" t="s">
        <v>2911</v>
      </c>
      <c r="DU206"/>
      <c r="DZ206" s="73">
        <v>0</v>
      </c>
      <c r="EA206" s="73">
        <v>0</v>
      </c>
      <c r="EB206" s="73">
        <v>0</v>
      </c>
    </row>
    <row r="207" spans="1:133" ht="12" customHeight="1" x14ac:dyDescent="0.2">
      <c r="A207" t="s">
        <v>2937</v>
      </c>
      <c r="B207" t="s">
        <v>2946</v>
      </c>
      <c r="C207" t="str">
        <f t="shared" si="11"/>
        <v>Full</v>
      </c>
      <c r="E207" s="65">
        <v>3517</v>
      </c>
      <c r="F207" t="s">
        <v>1711</v>
      </c>
      <c r="G207" s="71" t="s">
        <v>3943</v>
      </c>
      <c r="H207" s="67">
        <v>9.0999998152255998E-2</v>
      </c>
      <c r="I207" s="65">
        <v>527208</v>
      </c>
      <c r="J207" s="65">
        <v>177201</v>
      </c>
      <c r="K207" s="65" t="s">
        <v>1712</v>
      </c>
      <c r="L207" s="65" t="s">
        <v>633</v>
      </c>
      <c r="M207" s="65" t="s">
        <v>27</v>
      </c>
      <c r="N207" s="69">
        <v>42425</v>
      </c>
      <c r="O207" s="69">
        <v>42478</v>
      </c>
      <c r="R207" s="65" t="s">
        <v>28</v>
      </c>
      <c r="U207" t="s">
        <v>634</v>
      </c>
      <c r="V207" t="s">
        <v>3185</v>
      </c>
      <c r="W207" s="65" t="s">
        <v>21</v>
      </c>
      <c r="X207" s="65" t="s">
        <v>21</v>
      </c>
      <c r="Y207" s="65" t="s">
        <v>69</v>
      </c>
      <c r="AD207" s="65" t="s">
        <v>23</v>
      </c>
      <c r="AE207" s="65" t="s">
        <v>24</v>
      </c>
      <c r="AP207" s="73">
        <v>230</v>
      </c>
      <c r="AS207" s="73">
        <v>230</v>
      </c>
      <c r="AV207" s="73">
        <v>230</v>
      </c>
      <c r="AX207" s="73">
        <v>82</v>
      </c>
      <c r="AY207" s="73">
        <v>82</v>
      </c>
      <c r="BF207" s="73">
        <v>312</v>
      </c>
      <c r="BK207" s="73">
        <v>312</v>
      </c>
      <c r="BO207" s="185" t="s">
        <v>3794</v>
      </c>
      <c r="BP207" s="185" t="s">
        <v>126</v>
      </c>
      <c r="BQ207" s="185" t="s">
        <v>126</v>
      </c>
      <c r="BW207" s="73"/>
      <c r="BX207" s="73">
        <v>-82</v>
      </c>
      <c r="BY207" s="185" t="s">
        <v>126</v>
      </c>
      <c r="CD207" s="73">
        <v>-82</v>
      </c>
      <c r="CE207" s="65" t="s">
        <v>126</v>
      </c>
      <c r="CH207" s="73">
        <v>82</v>
      </c>
      <c r="CI207" s="73">
        <v>82</v>
      </c>
      <c r="CJ207" t="s">
        <v>25</v>
      </c>
      <c r="CK207" t="s">
        <v>25</v>
      </c>
      <c r="CL207" t="s">
        <v>25</v>
      </c>
      <c r="CM207" t="s">
        <v>25</v>
      </c>
      <c r="CN207" t="s">
        <v>25</v>
      </c>
      <c r="CO207" t="s">
        <v>31</v>
      </c>
      <c r="CP207" t="s">
        <v>25</v>
      </c>
      <c r="CQ207" t="s">
        <v>25</v>
      </c>
      <c r="CR207" t="s">
        <v>25</v>
      </c>
      <c r="CS207" t="s">
        <v>25</v>
      </c>
      <c r="CT207" t="s">
        <v>25</v>
      </c>
      <c r="CU207" t="s">
        <v>25</v>
      </c>
      <c r="CV207" t="s">
        <v>49</v>
      </c>
      <c r="CW207" t="s">
        <v>25</v>
      </c>
      <c r="CX207" t="s">
        <v>25</v>
      </c>
      <c r="CY207" t="s">
        <v>25</v>
      </c>
      <c r="CZ207" t="s">
        <v>25</v>
      </c>
      <c r="DA207" t="s">
        <v>25</v>
      </c>
      <c r="DB207" t="s">
        <v>31</v>
      </c>
      <c r="DC207" t="s">
        <v>25</v>
      </c>
      <c r="DD207" t="s">
        <v>25</v>
      </c>
      <c r="DE207" t="s">
        <v>25</v>
      </c>
      <c r="DF207" t="s">
        <v>25</v>
      </c>
      <c r="DG207" t="s">
        <v>25</v>
      </c>
      <c r="DH207" t="s">
        <v>25</v>
      </c>
      <c r="DI207" t="s">
        <v>25</v>
      </c>
      <c r="DJ207" s="76">
        <v>9.0999998152255998E-2</v>
      </c>
      <c r="DK207" s="73">
        <v>312</v>
      </c>
      <c r="DL207" s="73">
        <v>312</v>
      </c>
      <c r="DM207" s="73">
        <v>0</v>
      </c>
      <c r="DN207" s="65" t="s">
        <v>126</v>
      </c>
      <c r="DS207" s="65" t="s">
        <v>126</v>
      </c>
      <c r="DT207" t="s">
        <v>2911</v>
      </c>
      <c r="DU207"/>
      <c r="DZ207" s="73">
        <v>0</v>
      </c>
      <c r="EA207" s="73">
        <v>0</v>
      </c>
      <c r="EB207" s="73">
        <v>0</v>
      </c>
    </row>
    <row r="208" spans="1:133" ht="12" customHeight="1" x14ac:dyDescent="0.2">
      <c r="A208" t="s">
        <v>2935</v>
      </c>
      <c r="B208" t="s">
        <v>2946</v>
      </c>
      <c r="C208" t="str">
        <f t="shared" si="11"/>
        <v>Full</v>
      </c>
      <c r="E208" s="65">
        <v>3518</v>
      </c>
      <c r="F208" t="s">
        <v>1713</v>
      </c>
      <c r="G208" s="71" t="s">
        <v>3944</v>
      </c>
      <c r="H208" s="67">
        <v>2.6150000095367401</v>
      </c>
      <c r="I208" s="65">
        <v>525666</v>
      </c>
      <c r="J208" s="65">
        <v>174804</v>
      </c>
      <c r="K208" s="65" t="s">
        <v>1714</v>
      </c>
      <c r="L208" s="65" t="s">
        <v>229</v>
      </c>
      <c r="M208" s="65" t="s">
        <v>42</v>
      </c>
      <c r="N208" s="69">
        <v>41234</v>
      </c>
      <c r="O208" s="69">
        <v>41614</v>
      </c>
      <c r="Q208" s="69">
        <v>41478</v>
      </c>
      <c r="R208" s="65" t="s">
        <v>28</v>
      </c>
      <c r="U208" t="s">
        <v>678</v>
      </c>
      <c r="V208" t="s">
        <v>3186</v>
      </c>
      <c r="W208" s="65" t="s">
        <v>29</v>
      </c>
      <c r="X208" s="65" t="s">
        <v>29</v>
      </c>
      <c r="Y208" s="65" t="s">
        <v>30</v>
      </c>
      <c r="AA208" s="69">
        <v>42095</v>
      </c>
      <c r="AD208" s="65" t="s">
        <v>23</v>
      </c>
      <c r="AE208" s="65" t="s">
        <v>24</v>
      </c>
      <c r="AH208" s="69">
        <f t="shared" si="10"/>
        <v>42095</v>
      </c>
      <c r="AJ208" s="73">
        <v>2329</v>
      </c>
      <c r="AK208" s="73">
        <v>2329</v>
      </c>
      <c r="AL208" s="73">
        <v>2329</v>
      </c>
      <c r="AN208" s="73">
        <v>2330</v>
      </c>
      <c r="AO208" s="73">
        <v>9317</v>
      </c>
      <c r="AT208" s="73">
        <v>212</v>
      </c>
      <c r="AV208" s="73">
        <v>212</v>
      </c>
      <c r="AW208" s="73">
        <v>647</v>
      </c>
      <c r="AX208" s="73">
        <v>507</v>
      </c>
      <c r="AY208" s="73">
        <v>1154</v>
      </c>
      <c r="BH208" s="73">
        <v>22859</v>
      </c>
      <c r="BK208" s="73">
        <v>22859</v>
      </c>
      <c r="BO208" s="185" t="s">
        <v>126</v>
      </c>
      <c r="BP208" s="185" t="s">
        <v>126</v>
      </c>
      <c r="BQ208" s="185" t="s">
        <v>126</v>
      </c>
      <c r="BR208" s="73">
        <v>2329</v>
      </c>
      <c r="BS208" s="73">
        <v>2329</v>
      </c>
      <c r="BT208" s="73">
        <v>2329</v>
      </c>
      <c r="BV208" s="73">
        <v>2330</v>
      </c>
      <c r="BW208" s="570">
        <v>9317</v>
      </c>
      <c r="BY208" s="185" t="s">
        <v>3794</v>
      </c>
      <c r="CA208" s="73">
        <v>-22859</v>
      </c>
      <c r="CB208" s="73">
        <v>212</v>
      </c>
      <c r="CD208" s="73">
        <v>-22647</v>
      </c>
      <c r="CE208" s="65" t="s">
        <v>126</v>
      </c>
      <c r="CG208" s="73">
        <v>647</v>
      </c>
      <c r="CH208" s="73">
        <v>507</v>
      </c>
      <c r="CI208" s="73">
        <v>1154</v>
      </c>
      <c r="CJ208" t="s">
        <v>31</v>
      </c>
      <c r="CK208" t="s">
        <v>31</v>
      </c>
      <c r="CL208" t="s">
        <v>31</v>
      </c>
      <c r="CM208" t="s">
        <v>25</v>
      </c>
      <c r="CN208" t="s">
        <v>31</v>
      </c>
      <c r="CO208" t="s">
        <v>25</v>
      </c>
      <c r="CP208" t="s">
        <v>25</v>
      </c>
      <c r="CQ208" t="s">
        <v>25</v>
      </c>
      <c r="CR208" t="s">
        <v>31</v>
      </c>
      <c r="CS208" t="s">
        <v>25</v>
      </c>
      <c r="CT208" t="s">
        <v>25</v>
      </c>
      <c r="CU208" t="s">
        <v>31</v>
      </c>
      <c r="CV208" t="s">
        <v>44</v>
      </c>
      <c r="CW208" t="s">
        <v>25</v>
      </c>
      <c r="CX208" t="s">
        <v>25</v>
      </c>
      <c r="CY208" t="s">
        <v>25</v>
      </c>
      <c r="CZ208" t="s">
        <v>25</v>
      </c>
      <c r="DA208" t="s">
        <v>25</v>
      </c>
      <c r="DB208" t="s">
        <v>25</v>
      </c>
      <c r="DC208" t="s">
        <v>25</v>
      </c>
      <c r="DD208" t="s">
        <v>51</v>
      </c>
      <c r="DE208" t="s">
        <v>25</v>
      </c>
      <c r="DF208" t="s">
        <v>25</v>
      </c>
      <c r="DG208" t="s">
        <v>25</v>
      </c>
      <c r="DH208" t="s">
        <v>25</v>
      </c>
      <c r="DI208" t="s">
        <v>25</v>
      </c>
      <c r="DJ208" s="76">
        <v>0.24399971961975009</v>
      </c>
      <c r="DK208" s="73">
        <v>10683</v>
      </c>
      <c r="DL208" s="73">
        <v>22859</v>
      </c>
      <c r="DM208" s="73">
        <v>-12176</v>
      </c>
      <c r="DS208" s="65" t="s">
        <v>126</v>
      </c>
      <c r="DT208" t="s">
        <v>2912</v>
      </c>
      <c r="DU208"/>
      <c r="DV208" s="65" t="s">
        <v>126</v>
      </c>
      <c r="DW208" t="s">
        <v>151</v>
      </c>
      <c r="DZ208" s="73">
        <v>79516</v>
      </c>
      <c r="EA208" s="73">
        <v>0</v>
      </c>
      <c r="EB208" s="73">
        <v>79516</v>
      </c>
      <c r="EC208" s="65" t="s">
        <v>126</v>
      </c>
    </row>
    <row r="209" spans="1:133" ht="12" customHeight="1" x14ac:dyDescent="0.2">
      <c r="A209" t="s">
        <v>2935</v>
      </c>
      <c r="B209" t="s">
        <v>2946</v>
      </c>
      <c r="C209" t="str">
        <f t="shared" si="11"/>
        <v>Full</v>
      </c>
      <c r="E209" s="65">
        <v>3518</v>
      </c>
      <c r="F209" t="s">
        <v>1713</v>
      </c>
      <c r="G209" s="71" t="s">
        <v>3944</v>
      </c>
      <c r="H209" s="67">
        <v>2.6150000095367401</v>
      </c>
      <c r="I209" s="65">
        <v>525666</v>
      </c>
      <c r="J209" s="65">
        <v>174804</v>
      </c>
      <c r="K209" s="65" t="s">
        <v>1714</v>
      </c>
      <c r="L209" s="65" t="s">
        <v>1096</v>
      </c>
      <c r="M209" s="65" t="s">
        <v>1363</v>
      </c>
      <c r="N209" s="69">
        <v>42671</v>
      </c>
      <c r="O209" s="69">
        <v>42706</v>
      </c>
      <c r="R209" s="65" t="s">
        <v>28</v>
      </c>
      <c r="U209" t="s">
        <v>1097</v>
      </c>
      <c r="V209" t="s">
        <v>3187</v>
      </c>
      <c r="W209" s="65" t="s">
        <v>29</v>
      </c>
      <c r="X209" s="65" t="s">
        <v>29</v>
      </c>
      <c r="Y209" s="65" t="s">
        <v>30</v>
      </c>
      <c r="AA209" s="69">
        <v>42095</v>
      </c>
      <c r="AD209" s="65" t="s">
        <v>23</v>
      </c>
      <c r="AE209" s="65" t="s">
        <v>24</v>
      </c>
      <c r="AH209" s="69">
        <f t="shared" si="10"/>
        <v>42095</v>
      </c>
      <c r="BO209" s="185" t="s">
        <v>3794</v>
      </c>
      <c r="BP209" s="185" t="s">
        <v>3794</v>
      </c>
      <c r="BQ209" s="185" t="s">
        <v>3794</v>
      </c>
      <c r="BW209" s="73"/>
      <c r="BY209" s="185" t="s">
        <v>3794</v>
      </c>
      <c r="CJ209" t="s">
        <v>25</v>
      </c>
      <c r="CK209" t="s">
        <v>25</v>
      </c>
      <c r="CL209" t="s">
        <v>25</v>
      </c>
      <c r="CM209" t="s">
        <v>25</v>
      </c>
      <c r="CN209" t="s">
        <v>25</v>
      </c>
      <c r="CO209" t="s">
        <v>25</v>
      </c>
      <c r="CP209" t="s">
        <v>25</v>
      </c>
      <c r="CQ209" t="s">
        <v>25</v>
      </c>
      <c r="CR209" t="s">
        <v>25</v>
      </c>
      <c r="CS209" t="s">
        <v>25</v>
      </c>
      <c r="CT209" t="s">
        <v>25</v>
      </c>
      <c r="CU209" t="s">
        <v>25</v>
      </c>
      <c r="CV209" t="s">
        <v>25</v>
      </c>
      <c r="CW209" t="s">
        <v>25</v>
      </c>
      <c r="CX209" t="s">
        <v>25</v>
      </c>
      <c r="CY209" t="s">
        <v>25</v>
      </c>
      <c r="CZ209" t="s">
        <v>25</v>
      </c>
      <c r="DA209" t="s">
        <v>25</v>
      </c>
      <c r="DB209" t="s">
        <v>25</v>
      </c>
      <c r="DC209" t="s">
        <v>25</v>
      </c>
      <c r="DD209" t="s">
        <v>25</v>
      </c>
      <c r="DE209" t="s">
        <v>25</v>
      </c>
      <c r="DF209" t="s">
        <v>25</v>
      </c>
      <c r="DG209" t="s">
        <v>25</v>
      </c>
      <c r="DH209" t="s">
        <v>25</v>
      </c>
      <c r="DI209" t="s">
        <v>25</v>
      </c>
      <c r="DJ209" s="76">
        <v>2.6150000095367401</v>
      </c>
      <c r="DK209" s="73">
        <v>55</v>
      </c>
      <c r="DL209" s="73">
        <v>0</v>
      </c>
      <c r="DM209" s="73">
        <v>55</v>
      </c>
      <c r="DS209" s="65" t="s">
        <v>126</v>
      </c>
      <c r="DT209" t="s">
        <v>2912</v>
      </c>
      <c r="DU209"/>
      <c r="DV209" s="65" t="s">
        <v>126</v>
      </c>
      <c r="DW209" t="s">
        <v>151</v>
      </c>
      <c r="DZ209" s="73">
        <v>5422</v>
      </c>
      <c r="EA209" s="73">
        <v>5385</v>
      </c>
      <c r="EB209" s="73">
        <v>37</v>
      </c>
      <c r="EC209" s="65" t="s">
        <v>126</v>
      </c>
    </row>
    <row r="210" spans="1:133" ht="12" customHeight="1" x14ac:dyDescent="0.2">
      <c r="A210" t="s">
        <v>2935</v>
      </c>
      <c r="B210" t="s">
        <v>2946</v>
      </c>
      <c r="C210" t="str">
        <f t="shared" si="11"/>
        <v>Full</v>
      </c>
      <c r="E210" s="65">
        <v>3518</v>
      </c>
      <c r="F210" t="s">
        <v>1713</v>
      </c>
      <c r="G210" s="71" t="s">
        <v>3944</v>
      </c>
      <c r="H210" s="67">
        <v>2.6150000095367401</v>
      </c>
      <c r="I210" s="65">
        <v>525666</v>
      </c>
      <c r="J210" s="65">
        <v>174804</v>
      </c>
      <c r="K210" s="65" t="s">
        <v>1714</v>
      </c>
      <c r="L210" s="65" t="s">
        <v>1715</v>
      </c>
      <c r="M210" s="65" t="s">
        <v>27</v>
      </c>
      <c r="N210" s="69">
        <v>43024</v>
      </c>
      <c r="O210" s="69">
        <v>43076</v>
      </c>
      <c r="P210" s="65" t="s">
        <v>126</v>
      </c>
      <c r="R210" s="65" t="s">
        <v>28</v>
      </c>
      <c r="U210" t="s">
        <v>1716</v>
      </c>
      <c r="V210" t="s">
        <v>3188</v>
      </c>
      <c r="W210" s="65" t="s">
        <v>21</v>
      </c>
      <c r="X210" s="65" t="s">
        <v>21</v>
      </c>
      <c r="Y210" s="65" t="s">
        <v>30</v>
      </c>
      <c r="AA210" s="69">
        <v>42095</v>
      </c>
      <c r="AD210" s="65" t="s">
        <v>23</v>
      </c>
      <c r="AE210" s="65" t="s">
        <v>24</v>
      </c>
      <c r="AH210" s="69">
        <f t="shared" si="10"/>
        <v>42095</v>
      </c>
      <c r="AL210" s="73">
        <v>377</v>
      </c>
      <c r="AO210" s="73">
        <v>377</v>
      </c>
      <c r="AT210" s="73">
        <v>336</v>
      </c>
      <c r="AV210" s="73">
        <v>336</v>
      </c>
      <c r="AW210" s="73">
        <v>205</v>
      </c>
      <c r="AY210" s="73">
        <v>205</v>
      </c>
      <c r="BB210" s="73">
        <v>377</v>
      </c>
      <c r="BE210" s="73">
        <v>377</v>
      </c>
      <c r="BI210" s="73">
        <v>212</v>
      </c>
      <c r="BK210" s="73">
        <v>212</v>
      </c>
      <c r="BL210" s="73">
        <v>647</v>
      </c>
      <c r="BN210" s="73">
        <v>647</v>
      </c>
      <c r="BO210" s="185" t="s">
        <v>126</v>
      </c>
      <c r="BP210" s="185" t="s">
        <v>126</v>
      </c>
      <c r="BQ210" s="185" t="s">
        <v>126</v>
      </c>
      <c r="BY210" s="185" t="s">
        <v>3794</v>
      </c>
      <c r="CB210" s="73">
        <v>124</v>
      </c>
      <c r="CD210" s="73">
        <v>124</v>
      </c>
      <c r="CG210" s="73">
        <v>-442</v>
      </c>
      <c r="CI210" s="73">
        <v>-442</v>
      </c>
      <c r="CJ210" t="s">
        <v>25</v>
      </c>
      <c r="CK210" t="s">
        <v>25</v>
      </c>
      <c r="CL210" t="s">
        <v>38</v>
      </c>
      <c r="CM210" t="s">
        <v>25</v>
      </c>
      <c r="CN210" t="s">
        <v>25</v>
      </c>
      <c r="CO210" t="s">
        <v>25</v>
      </c>
      <c r="CP210" t="s">
        <v>25</v>
      </c>
      <c r="CQ210" t="s">
        <v>25</v>
      </c>
      <c r="CR210" t="s">
        <v>32</v>
      </c>
      <c r="CS210" t="s">
        <v>25</v>
      </c>
      <c r="CT210" t="s">
        <v>25</v>
      </c>
      <c r="CU210" t="s">
        <v>49</v>
      </c>
      <c r="CV210" t="s">
        <v>25</v>
      </c>
      <c r="CW210" t="s">
        <v>25</v>
      </c>
      <c r="CX210" t="s">
        <v>25</v>
      </c>
      <c r="CY210" t="s">
        <v>38</v>
      </c>
      <c r="CZ210" t="s">
        <v>25</v>
      </c>
      <c r="DA210" t="s">
        <v>25</v>
      </c>
      <c r="DB210" t="s">
        <v>25</v>
      </c>
      <c r="DC210" t="s">
        <v>25</v>
      </c>
      <c r="DD210" t="s">
        <v>25</v>
      </c>
      <c r="DE210" t="s">
        <v>32</v>
      </c>
      <c r="DF210" t="s">
        <v>25</v>
      </c>
      <c r="DG210" t="s">
        <v>25</v>
      </c>
      <c r="DH210" t="s">
        <v>49</v>
      </c>
      <c r="DI210" t="s">
        <v>25</v>
      </c>
      <c r="DJ210" s="76">
        <v>2.6150000095367401</v>
      </c>
      <c r="DK210" s="73">
        <v>918</v>
      </c>
      <c r="DL210" s="73">
        <v>1236</v>
      </c>
      <c r="DM210" s="73">
        <v>-318</v>
      </c>
      <c r="DS210" s="65" t="s">
        <v>126</v>
      </c>
      <c r="DT210" t="s">
        <v>2912</v>
      </c>
      <c r="DU210"/>
      <c r="DV210" s="65" t="s">
        <v>126</v>
      </c>
      <c r="DW210" t="s">
        <v>151</v>
      </c>
      <c r="DZ210" s="73">
        <v>0</v>
      </c>
      <c r="EA210" s="73">
        <v>0</v>
      </c>
      <c r="EB210" s="73">
        <v>0</v>
      </c>
    </row>
    <row r="211" spans="1:133" ht="12" customHeight="1" x14ac:dyDescent="0.2">
      <c r="A211" t="s">
        <v>2938</v>
      </c>
      <c r="B211" t="s">
        <v>2945</v>
      </c>
      <c r="C211" t="str">
        <f t="shared" si="11"/>
        <v>Pending Legal Agreement</v>
      </c>
      <c r="E211" s="65">
        <v>3519</v>
      </c>
      <c r="F211" t="s">
        <v>1717</v>
      </c>
      <c r="G211" s="71" t="s">
        <v>3944</v>
      </c>
      <c r="H211" s="67">
        <v>1.41100001335144</v>
      </c>
      <c r="I211" s="65">
        <v>525782</v>
      </c>
      <c r="J211" s="65">
        <v>175172</v>
      </c>
      <c r="K211" s="65" t="s">
        <v>1718</v>
      </c>
      <c r="L211" s="65" t="s">
        <v>1244</v>
      </c>
      <c r="M211" s="65" t="s">
        <v>228</v>
      </c>
      <c r="N211" s="69">
        <v>42766</v>
      </c>
      <c r="Q211" s="69">
        <v>43125</v>
      </c>
      <c r="R211" s="65" t="s">
        <v>28</v>
      </c>
      <c r="U211" t="s">
        <v>1245</v>
      </c>
      <c r="V211" t="s">
        <v>3189</v>
      </c>
      <c r="W211" s="65" t="s">
        <v>29</v>
      </c>
      <c r="X211" s="65" t="s">
        <v>29</v>
      </c>
      <c r="Y211" s="65" t="s">
        <v>69</v>
      </c>
      <c r="AD211" s="65" t="s">
        <v>173</v>
      </c>
      <c r="AE211" s="65" t="s">
        <v>24</v>
      </c>
      <c r="AJ211" s="73">
        <v>549</v>
      </c>
      <c r="AK211" s="73">
        <v>549</v>
      </c>
      <c r="AL211" s="73">
        <v>549</v>
      </c>
      <c r="AM211" s="73">
        <v>549</v>
      </c>
      <c r="AO211" s="73">
        <v>2196</v>
      </c>
      <c r="AP211" s="73">
        <v>5647</v>
      </c>
      <c r="AS211" s="73">
        <v>5647</v>
      </c>
      <c r="AV211" s="73">
        <v>5647</v>
      </c>
      <c r="AZ211" s="73">
        <v>6309</v>
      </c>
      <c r="BE211" s="73">
        <v>6309</v>
      </c>
      <c r="BO211" s="185" t="s">
        <v>126</v>
      </c>
      <c r="BP211" s="185" t="s">
        <v>126</v>
      </c>
      <c r="BQ211" s="185" t="s">
        <v>3794</v>
      </c>
      <c r="BR211" s="73">
        <v>-5760</v>
      </c>
      <c r="BS211" s="73">
        <v>549</v>
      </c>
      <c r="BT211" s="73">
        <v>549</v>
      </c>
      <c r="BU211" s="73">
        <v>549</v>
      </c>
      <c r="BW211" s="73">
        <v>-4113</v>
      </c>
      <c r="BX211" s="73">
        <v>5647</v>
      </c>
      <c r="BY211" s="185" t="s">
        <v>3794</v>
      </c>
      <c r="CD211" s="73">
        <v>5647</v>
      </c>
      <c r="CJ211" t="s">
        <v>31</v>
      </c>
      <c r="CK211" t="s">
        <v>31</v>
      </c>
      <c r="CL211" t="s">
        <v>31</v>
      </c>
      <c r="CM211" t="s">
        <v>31</v>
      </c>
      <c r="CN211" t="s">
        <v>25</v>
      </c>
      <c r="CO211" t="s">
        <v>31</v>
      </c>
      <c r="CP211" t="s">
        <v>25</v>
      </c>
      <c r="CQ211" t="s">
        <v>25</v>
      </c>
      <c r="CR211" t="s">
        <v>25</v>
      </c>
      <c r="CS211" t="s">
        <v>25</v>
      </c>
      <c r="CT211" t="s">
        <v>25</v>
      </c>
      <c r="CU211" t="s">
        <v>25</v>
      </c>
      <c r="CV211" t="s">
        <v>25</v>
      </c>
      <c r="CW211" t="s">
        <v>26</v>
      </c>
      <c r="CX211" t="s">
        <v>25</v>
      </c>
      <c r="CY211" t="s">
        <v>25</v>
      </c>
      <c r="CZ211" t="s">
        <v>25</v>
      </c>
      <c r="DA211" t="s">
        <v>25</v>
      </c>
      <c r="DB211" t="s">
        <v>25</v>
      </c>
      <c r="DC211" t="s">
        <v>25</v>
      </c>
      <c r="DD211" t="s">
        <v>25</v>
      </c>
      <c r="DE211" t="s">
        <v>25</v>
      </c>
      <c r="DF211" t="s">
        <v>25</v>
      </c>
      <c r="DG211" t="s">
        <v>25</v>
      </c>
      <c r="DH211" t="s">
        <v>25</v>
      </c>
      <c r="DI211" t="s">
        <v>25</v>
      </c>
      <c r="DJ211" s="76">
        <v>0.90500003099441495</v>
      </c>
      <c r="DK211" s="73">
        <v>7843</v>
      </c>
      <c r="DL211" s="73">
        <v>6309</v>
      </c>
      <c r="DM211" s="73">
        <v>1534</v>
      </c>
      <c r="DN211" s="65" t="s">
        <v>126</v>
      </c>
      <c r="DU211"/>
      <c r="DZ211" s="73">
        <v>35251</v>
      </c>
      <c r="EA211" s="73">
        <v>0</v>
      </c>
      <c r="EB211" s="73">
        <v>35251</v>
      </c>
      <c r="EC211" s="65" t="s">
        <v>126</v>
      </c>
    </row>
    <row r="212" spans="1:133" ht="12" customHeight="1" x14ac:dyDescent="0.2">
      <c r="A212" t="s">
        <v>2935</v>
      </c>
      <c r="B212" t="s">
        <v>2946</v>
      </c>
      <c r="C212" t="str">
        <f t="shared" si="11"/>
        <v>Full</v>
      </c>
      <c r="E212" s="65">
        <v>3521</v>
      </c>
      <c r="F212" t="s">
        <v>1719</v>
      </c>
      <c r="G212" s="71" t="s">
        <v>3942</v>
      </c>
      <c r="H212" s="67">
        <v>2.2699999809265101</v>
      </c>
      <c r="I212" s="65">
        <v>527156</v>
      </c>
      <c r="J212" s="65">
        <v>175243</v>
      </c>
      <c r="K212" s="65" t="s">
        <v>1720</v>
      </c>
      <c r="L212" s="65" t="s">
        <v>176</v>
      </c>
      <c r="M212" s="65" t="s">
        <v>33</v>
      </c>
      <c r="N212" s="69">
        <v>41017</v>
      </c>
      <c r="O212" s="69">
        <v>41200</v>
      </c>
      <c r="Q212" s="69">
        <v>41200</v>
      </c>
      <c r="R212" s="65" t="s">
        <v>28</v>
      </c>
      <c r="U212" t="s">
        <v>646</v>
      </c>
      <c r="V212" t="s">
        <v>3190</v>
      </c>
      <c r="W212" s="65" t="s">
        <v>29</v>
      </c>
      <c r="X212" s="65" t="s">
        <v>29</v>
      </c>
      <c r="Y212" s="65" t="s">
        <v>30</v>
      </c>
      <c r="AA212" s="69">
        <v>41304</v>
      </c>
      <c r="AD212" s="65" t="s">
        <v>23</v>
      </c>
      <c r="AE212" s="65" t="s">
        <v>24</v>
      </c>
      <c r="AH212" s="69">
        <f t="shared" si="10"/>
        <v>41304</v>
      </c>
      <c r="AJ212" s="73">
        <v>95</v>
      </c>
      <c r="AK212" s="73">
        <v>95</v>
      </c>
      <c r="AL212" s="73">
        <v>95</v>
      </c>
      <c r="AM212" s="73">
        <v>95</v>
      </c>
      <c r="AN212" s="73">
        <v>95</v>
      </c>
      <c r="AO212" s="73">
        <v>475</v>
      </c>
      <c r="AP212" s="73">
        <v>94</v>
      </c>
      <c r="AS212" s="73">
        <v>94</v>
      </c>
      <c r="AV212" s="73">
        <v>94</v>
      </c>
      <c r="AX212" s="73">
        <v>530</v>
      </c>
      <c r="AY212" s="73">
        <v>530</v>
      </c>
      <c r="BO212" s="185" t="s">
        <v>126</v>
      </c>
      <c r="BP212" s="185" t="s">
        <v>126</v>
      </c>
      <c r="BQ212" s="185" t="s">
        <v>126</v>
      </c>
      <c r="BR212" s="73">
        <v>95</v>
      </c>
      <c r="BS212" s="73">
        <v>95</v>
      </c>
      <c r="BT212" s="73">
        <v>95</v>
      </c>
      <c r="BU212" s="73">
        <v>95</v>
      </c>
      <c r="BV212" s="73">
        <v>95</v>
      </c>
      <c r="BW212" s="73">
        <v>475</v>
      </c>
      <c r="BX212" s="73">
        <v>94</v>
      </c>
      <c r="BY212" s="185" t="s">
        <v>3794</v>
      </c>
      <c r="CD212" s="73">
        <v>94</v>
      </c>
      <c r="CH212" s="73">
        <v>530</v>
      </c>
      <c r="CI212" s="73">
        <v>530</v>
      </c>
      <c r="CJ212" t="s">
        <v>31</v>
      </c>
      <c r="CK212" t="s">
        <v>31</v>
      </c>
      <c r="CL212" t="s">
        <v>31</v>
      </c>
      <c r="CM212" t="s">
        <v>31</v>
      </c>
      <c r="CN212" t="s">
        <v>31</v>
      </c>
      <c r="CO212" t="s">
        <v>25</v>
      </c>
      <c r="CP212" t="s">
        <v>25</v>
      </c>
      <c r="CQ212" t="s">
        <v>25</v>
      </c>
      <c r="CR212" t="s">
        <v>25</v>
      </c>
      <c r="CS212" t="s">
        <v>25</v>
      </c>
      <c r="CT212" t="s">
        <v>25</v>
      </c>
      <c r="CU212" t="s">
        <v>25</v>
      </c>
      <c r="CV212" t="s">
        <v>49</v>
      </c>
      <c r="CW212" t="s">
        <v>25</v>
      </c>
      <c r="CX212" t="s">
        <v>25</v>
      </c>
      <c r="CY212" t="s">
        <v>25</v>
      </c>
      <c r="CZ212" t="s">
        <v>25</v>
      </c>
      <c r="DA212" t="s">
        <v>25</v>
      </c>
      <c r="DB212" t="s">
        <v>25</v>
      </c>
      <c r="DC212" t="s">
        <v>25</v>
      </c>
      <c r="DD212" t="s">
        <v>25</v>
      </c>
      <c r="DE212" t="s">
        <v>25</v>
      </c>
      <c r="DF212" t="s">
        <v>25</v>
      </c>
      <c r="DG212" t="s">
        <v>25</v>
      </c>
      <c r="DH212" t="s">
        <v>25</v>
      </c>
      <c r="DI212" t="s">
        <v>25</v>
      </c>
      <c r="DJ212" s="76">
        <v>7.2999989613883098E-2</v>
      </c>
      <c r="DK212" s="73">
        <v>1099</v>
      </c>
      <c r="DL212" s="73">
        <v>0</v>
      </c>
      <c r="DM212" s="73">
        <v>1099</v>
      </c>
      <c r="DU212"/>
      <c r="DZ212" s="73">
        <v>49268</v>
      </c>
      <c r="EA212" s="73">
        <v>16541</v>
      </c>
      <c r="EB212" s="73">
        <v>32727</v>
      </c>
      <c r="EC212" s="65" t="s">
        <v>126</v>
      </c>
    </row>
    <row r="213" spans="1:133" ht="12" customHeight="1" x14ac:dyDescent="0.2">
      <c r="A213" t="s">
        <v>2938</v>
      </c>
      <c r="B213" t="s">
        <v>2945</v>
      </c>
      <c r="C213" t="str">
        <f t="shared" si="11"/>
        <v>Pending Legal Agreement</v>
      </c>
      <c r="E213" s="65">
        <v>3522</v>
      </c>
      <c r="F213" t="s">
        <v>1721</v>
      </c>
      <c r="G213" s="71" t="s">
        <v>3944</v>
      </c>
      <c r="H213" s="67">
        <v>1</v>
      </c>
      <c r="I213" s="65">
        <v>525912</v>
      </c>
      <c r="J213" s="65">
        <v>175143</v>
      </c>
      <c r="K213" s="65" t="s">
        <v>1722</v>
      </c>
      <c r="L213" s="65" t="s">
        <v>1198</v>
      </c>
      <c r="M213" s="65" t="s">
        <v>228</v>
      </c>
      <c r="N213" s="69">
        <v>42739</v>
      </c>
      <c r="Q213" s="69">
        <v>42851</v>
      </c>
      <c r="R213" s="65" t="s">
        <v>28</v>
      </c>
      <c r="U213" t="s">
        <v>1199</v>
      </c>
      <c r="V213" t="s">
        <v>3191</v>
      </c>
      <c r="W213" s="65" t="s">
        <v>29</v>
      </c>
      <c r="X213" s="65" t="s">
        <v>29</v>
      </c>
      <c r="Y213" s="65" t="s">
        <v>69</v>
      </c>
      <c r="AD213" s="65" t="s">
        <v>173</v>
      </c>
      <c r="AE213" s="65" t="s">
        <v>24</v>
      </c>
      <c r="AJ213" s="73">
        <v>199</v>
      </c>
      <c r="AK213" s="73">
        <v>823</v>
      </c>
      <c r="AL213" s="73">
        <v>199</v>
      </c>
      <c r="AN213" s="73">
        <v>199</v>
      </c>
      <c r="AO213" s="73">
        <v>1420</v>
      </c>
      <c r="AP213" s="73">
        <v>824</v>
      </c>
      <c r="AS213" s="73">
        <v>824</v>
      </c>
      <c r="AV213" s="73">
        <v>824</v>
      </c>
      <c r="AW213" s="73">
        <v>164</v>
      </c>
      <c r="AY213" s="73">
        <v>164</v>
      </c>
      <c r="AZ213" s="73">
        <v>3701</v>
      </c>
      <c r="BE213" s="73">
        <v>3701</v>
      </c>
      <c r="BO213" s="185" t="s">
        <v>126</v>
      </c>
      <c r="BP213" s="185" t="s">
        <v>126</v>
      </c>
      <c r="BQ213" s="185" t="s">
        <v>126</v>
      </c>
      <c r="BR213" s="73">
        <v>-3502</v>
      </c>
      <c r="BS213" s="73">
        <v>823</v>
      </c>
      <c r="BT213" s="73">
        <v>199</v>
      </c>
      <c r="BV213" s="73">
        <v>199</v>
      </c>
      <c r="BW213" s="73">
        <v>-2281</v>
      </c>
      <c r="BX213" s="73">
        <v>824</v>
      </c>
      <c r="BY213" s="185" t="s">
        <v>3794</v>
      </c>
      <c r="CD213" s="73">
        <v>824</v>
      </c>
      <c r="CG213" s="73">
        <v>164</v>
      </c>
      <c r="CI213" s="73">
        <v>164</v>
      </c>
      <c r="CJ213" t="s">
        <v>25</v>
      </c>
      <c r="CK213" t="s">
        <v>25</v>
      </c>
      <c r="CL213" t="s">
        <v>25</v>
      </c>
      <c r="CM213" t="s">
        <v>25</v>
      </c>
      <c r="CN213" t="s">
        <v>25</v>
      </c>
      <c r="CO213" t="s">
        <v>25</v>
      </c>
      <c r="CP213" t="s">
        <v>25</v>
      </c>
      <c r="CQ213" t="s">
        <v>25</v>
      </c>
      <c r="CR213" t="s">
        <v>25</v>
      </c>
      <c r="CS213" t="s">
        <v>25</v>
      </c>
      <c r="CT213" t="s">
        <v>25</v>
      </c>
      <c r="CU213" t="s">
        <v>25</v>
      </c>
      <c r="CV213" t="s">
        <v>25</v>
      </c>
      <c r="CW213" t="s">
        <v>26</v>
      </c>
      <c r="CX213" t="s">
        <v>25</v>
      </c>
      <c r="CY213" t="s">
        <v>25</v>
      </c>
      <c r="CZ213" t="s">
        <v>25</v>
      </c>
      <c r="DA213" t="s">
        <v>25</v>
      </c>
      <c r="DB213" t="s">
        <v>25</v>
      </c>
      <c r="DC213" t="s">
        <v>25</v>
      </c>
      <c r="DD213" t="s">
        <v>25</v>
      </c>
      <c r="DE213" t="s">
        <v>25</v>
      </c>
      <c r="DF213" t="s">
        <v>25</v>
      </c>
      <c r="DG213" t="s">
        <v>25</v>
      </c>
      <c r="DH213" t="s">
        <v>25</v>
      </c>
      <c r="DI213" t="s">
        <v>25</v>
      </c>
      <c r="DJ213" s="76">
        <v>7.1999989449976987E-2</v>
      </c>
      <c r="DK213" s="73">
        <v>2408</v>
      </c>
      <c r="DL213" s="73">
        <v>3701</v>
      </c>
      <c r="DM213" s="73">
        <v>-1293</v>
      </c>
      <c r="DN213" s="65" t="s">
        <v>126</v>
      </c>
      <c r="DU213"/>
      <c r="DZ213" s="73">
        <v>26024</v>
      </c>
      <c r="EA213" s="73">
        <v>0</v>
      </c>
      <c r="EB213" s="73">
        <v>26024</v>
      </c>
      <c r="EC213" s="65" t="s">
        <v>126</v>
      </c>
    </row>
    <row r="214" spans="1:133" ht="12" customHeight="1" x14ac:dyDescent="0.2">
      <c r="A214" t="s">
        <v>2935</v>
      </c>
      <c r="B214" t="s">
        <v>2946</v>
      </c>
      <c r="C214" t="str">
        <f t="shared" si="11"/>
        <v>Full</v>
      </c>
      <c r="E214" s="65">
        <v>3526</v>
      </c>
      <c r="F214" t="s">
        <v>1723</v>
      </c>
      <c r="G214" s="71" t="s">
        <v>3943</v>
      </c>
      <c r="H214" s="67">
        <v>0.81999999284744296</v>
      </c>
      <c r="I214" s="65">
        <v>526547</v>
      </c>
      <c r="J214" s="65">
        <v>175744</v>
      </c>
      <c r="K214" s="65" t="s">
        <v>1724</v>
      </c>
      <c r="L214" s="65" t="s">
        <v>1725</v>
      </c>
      <c r="M214" s="65" t="s">
        <v>434</v>
      </c>
      <c r="N214" s="69">
        <v>42928</v>
      </c>
      <c r="O214" s="69">
        <v>43160</v>
      </c>
      <c r="P214" s="65" t="s">
        <v>126</v>
      </c>
      <c r="Q214" s="69">
        <v>42998</v>
      </c>
      <c r="R214" s="65" t="s">
        <v>28</v>
      </c>
      <c r="U214" t="s">
        <v>1726</v>
      </c>
      <c r="V214" t="s">
        <v>3192</v>
      </c>
      <c r="W214" s="65" t="s">
        <v>29</v>
      </c>
      <c r="X214" s="65" t="s">
        <v>29</v>
      </c>
      <c r="Y214" s="65" t="s">
        <v>30</v>
      </c>
      <c r="AA214" s="69">
        <v>42937</v>
      </c>
      <c r="AD214" s="65" t="s">
        <v>23</v>
      </c>
      <c r="AE214" s="65" t="s">
        <v>24</v>
      </c>
      <c r="AH214" s="69">
        <f t="shared" si="10"/>
        <v>42937</v>
      </c>
      <c r="AW214" s="73">
        <v>6423</v>
      </c>
      <c r="AY214" s="73">
        <v>6423</v>
      </c>
      <c r="AZ214" s="73">
        <v>5011</v>
      </c>
      <c r="BE214" s="73">
        <v>5011</v>
      </c>
      <c r="BO214" s="185" t="s">
        <v>126</v>
      </c>
      <c r="BP214" s="185" t="s">
        <v>3794</v>
      </c>
      <c r="BQ214" s="185" t="s">
        <v>126</v>
      </c>
      <c r="BR214" s="73">
        <v>-5011</v>
      </c>
      <c r="BW214" s="73">
        <v>-5011</v>
      </c>
      <c r="BY214" s="185" t="s">
        <v>3794</v>
      </c>
      <c r="CG214" s="73">
        <v>6423</v>
      </c>
      <c r="CI214" s="73">
        <v>6423</v>
      </c>
      <c r="CJ214" t="s">
        <v>25</v>
      </c>
      <c r="CK214" t="s">
        <v>25</v>
      </c>
      <c r="CL214" t="s">
        <v>25</v>
      </c>
      <c r="CM214" t="s">
        <v>25</v>
      </c>
      <c r="CN214" t="s">
        <v>25</v>
      </c>
      <c r="CO214" t="s">
        <v>25</v>
      </c>
      <c r="CP214" t="s">
        <v>25</v>
      </c>
      <c r="CQ214" t="s">
        <v>25</v>
      </c>
      <c r="CR214" t="s">
        <v>25</v>
      </c>
      <c r="CS214" t="s">
        <v>25</v>
      </c>
      <c r="CT214" t="s">
        <v>25</v>
      </c>
      <c r="CU214" t="s">
        <v>60</v>
      </c>
      <c r="CV214" t="s">
        <v>25</v>
      </c>
      <c r="CW214" t="s">
        <v>26</v>
      </c>
      <c r="CX214" t="s">
        <v>25</v>
      </c>
      <c r="CY214" t="s">
        <v>25</v>
      </c>
      <c r="CZ214" t="s">
        <v>25</v>
      </c>
      <c r="DA214" t="s">
        <v>25</v>
      </c>
      <c r="DB214" t="s">
        <v>25</v>
      </c>
      <c r="DC214" t="s">
        <v>25</v>
      </c>
      <c r="DD214" t="s">
        <v>25</v>
      </c>
      <c r="DE214" t="s">
        <v>25</v>
      </c>
      <c r="DF214" t="s">
        <v>25</v>
      </c>
      <c r="DG214" t="s">
        <v>25</v>
      </c>
      <c r="DH214" t="s">
        <v>25</v>
      </c>
      <c r="DI214" t="s">
        <v>25</v>
      </c>
      <c r="DJ214" s="76">
        <v>0.10300000570714496</v>
      </c>
      <c r="DK214" s="73">
        <v>6423</v>
      </c>
      <c r="DL214" s="73">
        <v>5011</v>
      </c>
      <c r="DM214" s="73">
        <v>1412</v>
      </c>
      <c r="DN214" s="65" t="s">
        <v>126</v>
      </c>
      <c r="DU214"/>
      <c r="DZ214" s="73">
        <v>29298</v>
      </c>
      <c r="EA214" s="73">
        <v>0</v>
      </c>
      <c r="EB214" s="73">
        <v>29298</v>
      </c>
      <c r="EC214" s="65" t="s">
        <v>126</v>
      </c>
    </row>
    <row r="215" spans="1:133" ht="12" customHeight="1" x14ac:dyDescent="0.2">
      <c r="A215" t="s">
        <v>2936</v>
      </c>
      <c r="B215" t="s">
        <v>2946</v>
      </c>
      <c r="C215" t="str">
        <f t="shared" si="11"/>
        <v>Full</v>
      </c>
      <c r="D215" t="s">
        <v>2942</v>
      </c>
      <c r="E215" s="65">
        <v>3577</v>
      </c>
      <c r="F215" t="s">
        <v>1729</v>
      </c>
      <c r="G215" s="71" t="s">
        <v>3947</v>
      </c>
      <c r="H215" s="67">
        <v>4.1000001132488299E-2</v>
      </c>
      <c r="I215" s="65">
        <v>529035</v>
      </c>
      <c r="J215" s="65">
        <v>176328</v>
      </c>
      <c r="L215" s="65" t="s">
        <v>67</v>
      </c>
      <c r="M215" s="65" t="s">
        <v>27</v>
      </c>
      <c r="N215" s="69">
        <v>40382</v>
      </c>
      <c r="O215" s="69">
        <v>40464</v>
      </c>
      <c r="R215" s="65" t="s">
        <v>28</v>
      </c>
      <c r="U215" t="s">
        <v>414</v>
      </c>
      <c r="V215" t="s">
        <v>3193</v>
      </c>
      <c r="W215" s="65" t="s">
        <v>29</v>
      </c>
      <c r="X215" s="65" t="s">
        <v>29</v>
      </c>
      <c r="Y215" s="65" t="s">
        <v>22</v>
      </c>
      <c r="AA215" s="69">
        <v>40945</v>
      </c>
      <c r="AB215" s="69">
        <v>43087</v>
      </c>
      <c r="AD215" s="65" t="s">
        <v>23</v>
      </c>
      <c r="AE215" s="65" t="s">
        <v>24</v>
      </c>
      <c r="AH215" s="69">
        <f t="shared" si="10"/>
        <v>40945</v>
      </c>
      <c r="AI215" s="69">
        <f t="shared" si="9"/>
        <v>43087</v>
      </c>
      <c r="AJ215" s="73">
        <v>135</v>
      </c>
      <c r="AL215" s="73">
        <v>23</v>
      </c>
      <c r="AO215" s="73">
        <v>158</v>
      </c>
      <c r="AW215" s="73">
        <v>22</v>
      </c>
      <c r="AY215" s="73">
        <v>22</v>
      </c>
      <c r="BB215" s="73">
        <v>90</v>
      </c>
      <c r="BC215" s="73">
        <v>630</v>
      </c>
      <c r="BE215" s="73">
        <v>720</v>
      </c>
      <c r="BO215" s="185" t="s">
        <v>126</v>
      </c>
      <c r="BP215" s="185" t="s">
        <v>3794</v>
      </c>
      <c r="BQ215" s="185" t="s">
        <v>126</v>
      </c>
      <c r="BR215" s="73">
        <v>135</v>
      </c>
      <c r="BT215" s="73">
        <v>-67</v>
      </c>
      <c r="BU215" s="73">
        <v>-630</v>
      </c>
      <c r="BW215" s="73">
        <v>-562</v>
      </c>
      <c r="BY215" s="185" t="s">
        <v>3794</v>
      </c>
      <c r="CG215" s="73">
        <v>22</v>
      </c>
      <c r="CI215" s="73">
        <v>22</v>
      </c>
      <c r="CJ215" t="s">
        <v>31</v>
      </c>
      <c r="CK215" t="s">
        <v>25</v>
      </c>
      <c r="CL215" t="s">
        <v>50</v>
      </c>
      <c r="CM215" t="s">
        <v>25</v>
      </c>
      <c r="CN215" t="s">
        <v>25</v>
      </c>
      <c r="CO215" t="s">
        <v>25</v>
      </c>
      <c r="CP215" t="s">
        <v>25</v>
      </c>
      <c r="CQ215" t="s">
        <v>25</v>
      </c>
      <c r="CR215" t="s">
        <v>25</v>
      </c>
      <c r="CS215" t="s">
        <v>25</v>
      </c>
      <c r="CT215" t="s">
        <v>25</v>
      </c>
      <c r="CU215" t="s">
        <v>41</v>
      </c>
      <c r="CV215" t="s">
        <v>25</v>
      </c>
      <c r="CW215" t="s">
        <v>25</v>
      </c>
      <c r="CX215" t="s">
        <v>25</v>
      </c>
      <c r="CY215" t="s">
        <v>47</v>
      </c>
      <c r="CZ215" t="s">
        <v>47</v>
      </c>
      <c r="DA215" t="s">
        <v>25</v>
      </c>
      <c r="DB215" t="s">
        <v>25</v>
      </c>
      <c r="DC215" t="s">
        <v>25</v>
      </c>
      <c r="DD215" t="s">
        <v>25</v>
      </c>
      <c r="DE215" t="s">
        <v>25</v>
      </c>
      <c r="DF215" t="s">
        <v>25</v>
      </c>
      <c r="DG215" t="s">
        <v>25</v>
      </c>
      <c r="DH215" t="s">
        <v>25</v>
      </c>
      <c r="DI215" t="s">
        <v>25</v>
      </c>
      <c r="DJ215" s="76">
        <v>8.0000013113021989E-3</v>
      </c>
      <c r="DK215" s="73">
        <v>180</v>
      </c>
      <c r="DL215" s="73">
        <v>720</v>
      </c>
      <c r="DM215" s="73">
        <v>-540</v>
      </c>
      <c r="DU215" s="65" t="s">
        <v>126</v>
      </c>
      <c r="DZ215" s="73">
        <v>0</v>
      </c>
      <c r="EA215" s="73">
        <v>0</v>
      </c>
      <c r="EB215" s="73">
        <v>0</v>
      </c>
    </row>
    <row r="216" spans="1:133" ht="12" customHeight="1" x14ac:dyDescent="0.2">
      <c r="A216" t="s">
        <v>2938</v>
      </c>
      <c r="B216" t="s">
        <v>2946</v>
      </c>
      <c r="C216" t="str">
        <f t="shared" si="11"/>
        <v>Full</v>
      </c>
      <c r="E216" s="65">
        <v>3588</v>
      </c>
      <c r="F216" t="s">
        <v>1730</v>
      </c>
      <c r="G216" s="71" t="s">
        <v>3945</v>
      </c>
      <c r="H216" s="67">
        <v>1.4999999664723899E-2</v>
      </c>
      <c r="I216" s="65">
        <v>528283</v>
      </c>
      <c r="J216" s="65">
        <v>175682</v>
      </c>
      <c r="L216" s="65" t="s">
        <v>1731</v>
      </c>
      <c r="M216" s="65" t="s">
        <v>172</v>
      </c>
      <c r="N216" s="69">
        <v>43070</v>
      </c>
      <c r="R216" s="65" t="s">
        <v>28</v>
      </c>
      <c r="U216" t="s">
        <v>1732</v>
      </c>
      <c r="V216" t="s">
        <v>3194</v>
      </c>
      <c r="W216" s="65" t="s">
        <v>34</v>
      </c>
      <c r="X216" s="65" t="s">
        <v>29</v>
      </c>
      <c r="Y216" s="65" t="s">
        <v>69</v>
      </c>
      <c r="AD216" s="65" t="s">
        <v>173</v>
      </c>
      <c r="AE216" s="65" t="s">
        <v>24</v>
      </c>
      <c r="BO216" s="185" t="s">
        <v>3794</v>
      </c>
      <c r="BP216" s="185" t="s">
        <v>3794</v>
      </c>
      <c r="BQ216" s="185" t="s">
        <v>3794</v>
      </c>
      <c r="BW216" s="73"/>
      <c r="BY216" s="185" t="s">
        <v>3794</v>
      </c>
      <c r="CJ216" t="s">
        <v>25</v>
      </c>
      <c r="CK216" t="s">
        <v>25</v>
      </c>
      <c r="CL216" t="s">
        <v>25</v>
      </c>
      <c r="CM216" t="s">
        <v>25</v>
      </c>
      <c r="CN216" t="s">
        <v>25</v>
      </c>
      <c r="CO216" t="s">
        <v>25</v>
      </c>
      <c r="CP216" t="s">
        <v>25</v>
      </c>
      <c r="CQ216" t="s">
        <v>25</v>
      </c>
      <c r="CR216" t="s">
        <v>25</v>
      </c>
      <c r="CS216" t="s">
        <v>25</v>
      </c>
      <c r="CT216" t="s">
        <v>25</v>
      </c>
      <c r="CU216" t="s">
        <v>25</v>
      </c>
      <c r="CV216" t="s">
        <v>25</v>
      </c>
      <c r="CW216" t="s">
        <v>25</v>
      </c>
      <c r="CX216" t="s">
        <v>25</v>
      </c>
      <c r="CY216" t="s">
        <v>25</v>
      </c>
      <c r="CZ216" t="s">
        <v>25</v>
      </c>
      <c r="DA216" t="s">
        <v>25</v>
      </c>
      <c r="DB216" t="s">
        <v>25</v>
      </c>
      <c r="DC216" t="s">
        <v>25</v>
      </c>
      <c r="DD216" t="s">
        <v>25</v>
      </c>
      <c r="DE216" t="s">
        <v>25</v>
      </c>
      <c r="DF216" t="s">
        <v>25</v>
      </c>
      <c r="DG216" t="s">
        <v>25</v>
      </c>
      <c r="DH216" t="s">
        <v>25</v>
      </c>
      <c r="DI216" t="s">
        <v>25</v>
      </c>
      <c r="DJ216" s="76">
        <v>6.9999992847442887E-3</v>
      </c>
      <c r="DK216" s="73">
        <v>243</v>
      </c>
      <c r="DL216" s="73">
        <v>0</v>
      </c>
      <c r="DM216" s="73">
        <v>243</v>
      </c>
      <c r="DU216"/>
      <c r="DZ216" s="73">
        <v>0</v>
      </c>
      <c r="EA216" s="73">
        <v>137</v>
      </c>
      <c r="EB216" s="73">
        <v>-137</v>
      </c>
    </row>
    <row r="217" spans="1:133" ht="12" customHeight="1" x14ac:dyDescent="0.2">
      <c r="A217" t="s">
        <v>2935</v>
      </c>
      <c r="B217" t="s">
        <v>2946</v>
      </c>
      <c r="C217" t="str">
        <f t="shared" si="11"/>
        <v>Full</v>
      </c>
      <c r="E217" s="65">
        <v>3598</v>
      </c>
      <c r="F217" t="s">
        <v>1733</v>
      </c>
      <c r="G217" s="71" t="s">
        <v>3941</v>
      </c>
      <c r="H217" s="67">
        <v>0.365000009536743</v>
      </c>
      <c r="I217" s="65">
        <v>528192</v>
      </c>
      <c r="J217" s="65">
        <v>173340</v>
      </c>
      <c r="L217" s="65" t="s">
        <v>1105</v>
      </c>
      <c r="M217" s="65" t="s">
        <v>27</v>
      </c>
      <c r="N217" s="69">
        <v>42669</v>
      </c>
      <c r="O217" s="69">
        <v>42723</v>
      </c>
      <c r="R217" s="65" t="s">
        <v>28</v>
      </c>
      <c r="U217" t="s">
        <v>1106</v>
      </c>
      <c r="V217" t="s">
        <v>3195</v>
      </c>
      <c r="W217" s="65" t="s">
        <v>29</v>
      </c>
      <c r="X217" s="65" t="s">
        <v>29</v>
      </c>
      <c r="Y217" s="65" t="s">
        <v>30</v>
      </c>
      <c r="AA217" s="69">
        <v>43190</v>
      </c>
      <c r="AD217" s="65" t="s">
        <v>23</v>
      </c>
      <c r="AE217" s="65" t="s">
        <v>24</v>
      </c>
      <c r="AH217" s="69">
        <f t="shared" si="10"/>
        <v>43190</v>
      </c>
      <c r="AW217" s="73">
        <v>227</v>
      </c>
      <c r="AY217" s="73">
        <v>227</v>
      </c>
      <c r="BO217" s="185" t="s">
        <v>3794</v>
      </c>
      <c r="BP217" s="185" t="s">
        <v>3794</v>
      </c>
      <c r="BQ217" s="185" t="s">
        <v>126</v>
      </c>
      <c r="BW217" s="73"/>
      <c r="BY217" s="185" t="s">
        <v>3794</v>
      </c>
      <c r="CG217" s="73">
        <v>227</v>
      </c>
      <c r="CI217" s="73">
        <v>227</v>
      </c>
      <c r="CJ217" t="s">
        <v>25</v>
      </c>
      <c r="CK217" t="s">
        <v>25</v>
      </c>
      <c r="CL217" t="s">
        <v>25</v>
      </c>
      <c r="CM217" t="s">
        <v>25</v>
      </c>
      <c r="CN217" t="s">
        <v>25</v>
      </c>
      <c r="CO217" t="s">
        <v>25</v>
      </c>
      <c r="CP217" t="s">
        <v>25</v>
      </c>
      <c r="CQ217" t="s">
        <v>25</v>
      </c>
      <c r="CR217" t="s">
        <v>25</v>
      </c>
      <c r="CS217" t="s">
        <v>25</v>
      </c>
      <c r="CT217" t="s">
        <v>25</v>
      </c>
      <c r="CU217" t="s">
        <v>60</v>
      </c>
      <c r="CV217" t="s">
        <v>25</v>
      </c>
      <c r="CW217" t="s">
        <v>25</v>
      </c>
      <c r="CX217" t="s">
        <v>25</v>
      </c>
      <c r="CY217" t="s">
        <v>25</v>
      </c>
      <c r="CZ217" t="s">
        <v>25</v>
      </c>
      <c r="DA217" t="s">
        <v>25</v>
      </c>
      <c r="DB217" t="s">
        <v>25</v>
      </c>
      <c r="DC217" t="s">
        <v>25</v>
      </c>
      <c r="DD217" t="s">
        <v>25</v>
      </c>
      <c r="DE217" t="s">
        <v>25</v>
      </c>
      <c r="DF217" t="s">
        <v>25</v>
      </c>
      <c r="DG217" t="s">
        <v>25</v>
      </c>
      <c r="DH217" t="s">
        <v>25</v>
      </c>
      <c r="DI217" t="s">
        <v>25</v>
      </c>
      <c r="DJ217" s="76">
        <v>0.365000009536743</v>
      </c>
      <c r="DK217" s="73">
        <v>227</v>
      </c>
      <c r="DL217" s="73">
        <v>0</v>
      </c>
      <c r="DM217" s="73">
        <v>227</v>
      </c>
      <c r="DU217"/>
      <c r="DZ217" s="73">
        <v>0</v>
      </c>
      <c r="EA217" s="73">
        <v>0</v>
      </c>
      <c r="EB217" s="73">
        <v>0</v>
      </c>
    </row>
    <row r="218" spans="1:133" ht="12" customHeight="1" x14ac:dyDescent="0.2">
      <c r="A218" t="s">
        <v>2935</v>
      </c>
      <c r="B218" t="s">
        <v>2948</v>
      </c>
      <c r="C218" t="str">
        <f t="shared" si="11"/>
        <v>Prior Approval</v>
      </c>
      <c r="E218" s="65">
        <v>3603</v>
      </c>
      <c r="F218" t="s">
        <v>1736</v>
      </c>
      <c r="G218" s="71" t="s">
        <v>3942</v>
      </c>
      <c r="H218" s="67">
        <v>1.4000000432133701E-2</v>
      </c>
      <c r="I218" s="65">
        <v>527109</v>
      </c>
      <c r="J218" s="65">
        <v>174953</v>
      </c>
      <c r="L218" s="65" t="s">
        <v>1737</v>
      </c>
      <c r="M218" s="65" t="s">
        <v>244</v>
      </c>
      <c r="N218" s="69">
        <v>42863</v>
      </c>
      <c r="O218" s="69">
        <v>42919</v>
      </c>
      <c r="P218" s="65" t="s">
        <v>126</v>
      </c>
      <c r="R218" s="65" t="s">
        <v>28</v>
      </c>
      <c r="U218" t="s">
        <v>1738</v>
      </c>
      <c r="V218" t="s">
        <v>3196</v>
      </c>
      <c r="W218" s="65" t="s">
        <v>21</v>
      </c>
      <c r="X218" s="65" t="s">
        <v>21</v>
      </c>
      <c r="Y218" s="65" t="s">
        <v>30</v>
      </c>
      <c r="AA218" s="69">
        <v>42936</v>
      </c>
      <c r="AD218" s="65" t="s">
        <v>23</v>
      </c>
      <c r="AE218" s="65" t="s">
        <v>24</v>
      </c>
      <c r="AH218" s="69">
        <f t="shared" si="10"/>
        <v>42936</v>
      </c>
      <c r="BF218" s="73">
        <v>298</v>
      </c>
      <c r="BK218" s="73">
        <v>298</v>
      </c>
      <c r="BO218" s="185" t="s">
        <v>3794</v>
      </c>
      <c r="BP218" s="185" t="s">
        <v>126</v>
      </c>
      <c r="BQ218" s="185" t="s">
        <v>3794</v>
      </c>
      <c r="BW218" s="73"/>
      <c r="BX218" s="73">
        <v>-298</v>
      </c>
      <c r="BY218" s="185" t="s">
        <v>126</v>
      </c>
      <c r="CD218" s="73">
        <v>-298</v>
      </c>
      <c r="CE218" s="65" t="s">
        <v>126</v>
      </c>
      <c r="CJ218" t="s">
        <v>25</v>
      </c>
      <c r="CK218" t="s">
        <v>25</v>
      </c>
      <c r="CL218" t="s">
        <v>25</v>
      </c>
      <c r="CM218" t="s">
        <v>25</v>
      </c>
      <c r="CN218" t="s">
        <v>25</v>
      </c>
      <c r="CO218" t="s">
        <v>25</v>
      </c>
      <c r="CP218" t="s">
        <v>25</v>
      </c>
      <c r="CQ218" t="s">
        <v>25</v>
      </c>
      <c r="CR218" t="s">
        <v>25</v>
      </c>
      <c r="CS218" t="s">
        <v>25</v>
      </c>
      <c r="CT218" t="s">
        <v>25</v>
      </c>
      <c r="CU218" t="s">
        <v>25</v>
      </c>
      <c r="CV218" t="s">
        <v>25</v>
      </c>
      <c r="CW218" t="s">
        <v>25</v>
      </c>
      <c r="CX218" t="s">
        <v>25</v>
      </c>
      <c r="CY218" t="s">
        <v>25</v>
      </c>
      <c r="CZ218" t="s">
        <v>25</v>
      </c>
      <c r="DA218" t="s">
        <v>25</v>
      </c>
      <c r="DB218" t="s">
        <v>72</v>
      </c>
      <c r="DC218" t="s">
        <v>25</v>
      </c>
      <c r="DD218" t="s">
        <v>25</v>
      </c>
      <c r="DE218" t="s">
        <v>25</v>
      </c>
      <c r="DF218" t="s">
        <v>25</v>
      </c>
      <c r="DG218" t="s">
        <v>25</v>
      </c>
      <c r="DH218" t="s">
        <v>25</v>
      </c>
      <c r="DI218" t="s">
        <v>25</v>
      </c>
      <c r="DJ218" s="76">
        <v>0</v>
      </c>
      <c r="DK218" s="73">
        <v>0</v>
      </c>
      <c r="DL218" s="73">
        <v>298</v>
      </c>
      <c r="DM218" s="73">
        <v>-298</v>
      </c>
      <c r="DU218"/>
      <c r="DZ218" s="73">
        <v>298</v>
      </c>
      <c r="EA218" s="73">
        <v>0</v>
      </c>
      <c r="EB218" s="73">
        <v>298</v>
      </c>
      <c r="EC218" s="65" t="s">
        <v>126</v>
      </c>
    </row>
    <row r="219" spans="1:133" ht="12" customHeight="1" x14ac:dyDescent="0.2">
      <c r="A219" t="s">
        <v>2937</v>
      </c>
      <c r="B219" t="s">
        <v>2946</v>
      </c>
      <c r="C219" t="str">
        <f t="shared" si="11"/>
        <v>Full</v>
      </c>
      <c r="E219" s="65">
        <v>3621</v>
      </c>
      <c r="F219" t="s">
        <v>1739</v>
      </c>
      <c r="G219" s="71" t="s">
        <v>2904</v>
      </c>
      <c r="H219" s="67">
        <v>1.30000002682209E-2</v>
      </c>
      <c r="I219" s="65">
        <v>526154</v>
      </c>
      <c r="J219" s="65">
        <v>172573</v>
      </c>
      <c r="L219" s="65" t="s">
        <v>265</v>
      </c>
      <c r="M219" s="65" t="s">
        <v>27</v>
      </c>
      <c r="N219" s="69">
        <v>42067</v>
      </c>
      <c r="O219" s="69">
        <v>42121</v>
      </c>
      <c r="R219" s="65" t="s">
        <v>28</v>
      </c>
      <c r="U219" t="s">
        <v>266</v>
      </c>
      <c r="V219" t="s">
        <v>3197</v>
      </c>
      <c r="W219" s="65" t="s">
        <v>21</v>
      </c>
      <c r="X219" s="65" t="s">
        <v>21</v>
      </c>
      <c r="Y219" s="65" t="s">
        <v>69</v>
      </c>
      <c r="AD219" s="65" t="s">
        <v>23</v>
      </c>
      <c r="AE219" s="65" t="s">
        <v>24</v>
      </c>
      <c r="AJ219" s="73">
        <v>37</v>
      </c>
      <c r="AO219" s="73">
        <v>37</v>
      </c>
      <c r="AW219" s="73">
        <v>38</v>
      </c>
      <c r="AY219" s="73">
        <v>38</v>
      </c>
      <c r="AZ219" s="73">
        <v>75</v>
      </c>
      <c r="BE219" s="73">
        <v>75</v>
      </c>
      <c r="BO219" s="185" t="s">
        <v>126</v>
      </c>
      <c r="BP219" s="185" t="s">
        <v>3794</v>
      </c>
      <c r="BQ219" s="185" t="s">
        <v>126</v>
      </c>
      <c r="BR219" s="73">
        <v>-38</v>
      </c>
      <c r="BW219" s="73">
        <v>-38</v>
      </c>
      <c r="BY219" s="185" t="s">
        <v>3794</v>
      </c>
      <c r="CG219" s="73">
        <v>38</v>
      </c>
      <c r="CI219" s="73">
        <v>38</v>
      </c>
      <c r="CJ219" t="s">
        <v>46</v>
      </c>
      <c r="CK219" t="s">
        <v>25</v>
      </c>
      <c r="CL219" t="s">
        <v>25</v>
      </c>
      <c r="CM219" t="s">
        <v>25</v>
      </c>
      <c r="CN219" t="s">
        <v>25</v>
      </c>
      <c r="CO219" t="s">
        <v>25</v>
      </c>
      <c r="CP219" t="s">
        <v>25</v>
      </c>
      <c r="CQ219" t="s">
        <v>25</v>
      </c>
      <c r="CR219" t="s">
        <v>25</v>
      </c>
      <c r="CS219" t="s">
        <v>25</v>
      </c>
      <c r="CT219" t="s">
        <v>25</v>
      </c>
      <c r="CU219" t="s">
        <v>49</v>
      </c>
      <c r="CV219" t="s">
        <v>25</v>
      </c>
      <c r="CW219" t="s">
        <v>47</v>
      </c>
      <c r="CX219" t="s">
        <v>25</v>
      </c>
      <c r="CY219" t="s">
        <v>25</v>
      </c>
      <c r="CZ219" t="s">
        <v>25</v>
      </c>
      <c r="DA219" t="s">
        <v>25</v>
      </c>
      <c r="DB219" t="s">
        <v>25</v>
      </c>
      <c r="DC219" t="s">
        <v>25</v>
      </c>
      <c r="DD219" t="s">
        <v>25</v>
      </c>
      <c r="DE219" t="s">
        <v>25</v>
      </c>
      <c r="DF219" t="s">
        <v>25</v>
      </c>
      <c r="DG219" t="s">
        <v>25</v>
      </c>
      <c r="DH219" t="s">
        <v>25</v>
      </c>
      <c r="DI219" t="s">
        <v>25</v>
      </c>
      <c r="DJ219" s="76">
        <v>1.30000002682209E-2</v>
      </c>
      <c r="DK219" s="73">
        <v>75</v>
      </c>
      <c r="DL219" s="73">
        <v>75</v>
      </c>
      <c r="DM219" s="73">
        <v>0</v>
      </c>
      <c r="DU219"/>
      <c r="DZ219" s="73">
        <v>0</v>
      </c>
      <c r="EA219" s="73">
        <v>0</v>
      </c>
      <c r="EB219" s="73">
        <v>0</v>
      </c>
    </row>
    <row r="220" spans="1:133" ht="12" customHeight="1" x14ac:dyDescent="0.2">
      <c r="A220" t="s">
        <v>2937</v>
      </c>
      <c r="B220" t="s">
        <v>2946</v>
      </c>
      <c r="C220" t="str">
        <f t="shared" si="11"/>
        <v>Full</v>
      </c>
      <c r="E220" s="65">
        <v>3645</v>
      </c>
      <c r="F220" t="s">
        <v>1740</v>
      </c>
      <c r="G220" s="71" t="s">
        <v>3952</v>
      </c>
      <c r="H220" s="67">
        <v>1.60000007599592E-2</v>
      </c>
      <c r="I220" s="65">
        <v>527903</v>
      </c>
      <c r="J220" s="65">
        <v>172219</v>
      </c>
      <c r="L220" s="65" t="s">
        <v>1741</v>
      </c>
      <c r="M220" s="65" t="s">
        <v>27</v>
      </c>
      <c r="N220" s="69">
        <v>42933</v>
      </c>
      <c r="O220" s="69">
        <v>42989</v>
      </c>
      <c r="P220" s="65" t="s">
        <v>126</v>
      </c>
      <c r="R220" s="65" t="s">
        <v>28</v>
      </c>
      <c r="U220" t="s">
        <v>1742</v>
      </c>
      <c r="V220" t="s">
        <v>3198</v>
      </c>
      <c r="W220" s="65" t="s">
        <v>29</v>
      </c>
      <c r="X220" s="65" t="s">
        <v>29</v>
      </c>
      <c r="Y220" s="65" t="s">
        <v>69</v>
      </c>
      <c r="AD220" s="65" t="s">
        <v>23</v>
      </c>
      <c r="AE220" s="65" t="s">
        <v>24</v>
      </c>
      <c r="AP220" s="73">
        <v>80</v>
      </c>
      <c r="AS220" s="73">
        <v>80</v>
      </c>
      <c r="AV220" s="73">
        <v>80</v>
      </c>
      <c r="BO220" s="185" t="s">
        <v>3794</v>
      </c>
      <c r="BP220" s="185" t="s">
        <v>126</v>
      </c>
      <c r="BQ220" s="185" t="s">
        <v>3794</v>
      </c>
      <c r="BW220" s="73"/>
      <c r="BX220" s="73">
        <v>80</v>
      </c>
      <c r="BY220" s="185" t="s">
        <v>3794</v>
      </c>
      <c r="CD220" s="73">
        <v>80</v>
      </c>
      <c r="CJ220" t="s">
        <v>25</v>
      </c>
      <c r="CK220" t="s">
        <v>25</v>
      </c>
      <c r="CL220" t="s">
        <v>25</v>
      </c>
      <c r="CM220" t="s">
        <v>25</v>
      </c>
      <c r="CN220" t="s">
        <v>25</v>
      </c>
      <c r="CO220" t="s">
        <v>31</v>
      </c>
      <c r="CP220" t="s">
        <v>25</v>
      </c>
      <c r="CQ220" t="s">
        <v>25</v>
      </c>
      <c r="CR220" t="s">
        <v>25</v>
      </c>
      <c r="CS220" t="s">
        <v>25</v>
      </c>
      <c r="CT220" t="s">
        <v>25</v>
      </c>
      <c r="CU220" t="s">
        <v>25</v>
      </c>
      <c r="CV220" t="s">
        <v>25</v>
      </c>
      <c r="CW220" t="s">
        <v>25</v>
      </c>
      <c r="CX220" t="s">
        <v>25</v>
      </c>
      <c r="CY220" t="s">
        <v>25</v>
      </c>
      <c r="CZ220" t="s">
        <v>25</v>
      </c>
      <c r="DA220" t="s">
        <v>25</v>
      </c>
      <c r="DB220" t="s">
        <v>25</v>
      </c>
      <c r="DC220" t="s">
        <v>25</v>
      </c>
      <c r="DD220" t="s">
        <v>25</v>
      </c>
      <c r="DE220" t="s">
        <v>25</v>
      </c>
      <c r="DF220" t="s">
        <v>25</v>
      </c>
      <c r="DG220" t="s">
        <v>25</v>
      </c>
      <c r="DH220" t="s">
        <v>25</v>
      </c>
      <c r="DI220" t="s">
        <v>25</v>
      </c>
      <c r="DJ220" s="76">
        <v>1.60000007599592E-2</v>
      </c>
      <c r="DK220" s="73">
        <v>80</v>
      </c>
      <c r="DL220" s="73">
        <v>0</v>
      </c>
      <c r="DM220" s="73">
        <v>80</v>
      </c>
      <c r="DU220"/>
      <c r="DZ220" s="73">
        <v>0</v>
      </c>
      <c r="EA220" s="73">
        <v>0</v>
      </c>
      <c r="EB220" s="73">
        <v>0</v>
      </c>
    </row>
    <row r="221" spans="1:133" ht="12" customHeight="1" x14ac:dyDescent="0.2">
      <c r="A221" t="s">
        <v>2937</v>
      </c>
      <c r="B221" t="s">
        <v>2946</v>
      </c>
      <c r="C221" t="str">
        <f t="shared" si="11"/>
        <v>Full</v>
      </c>
      <c r="E221" s="65">
        <v>3652</v>
      </c>
      <c r="F221" t="s">
        <v>1743</v>
      </c>
      <c r="G221" s="71" t="s">
        <v>3943</v>
      </c>
      <c r="H221" s="67">
        <v>5.2000001072883599E-2</v>
      </c>
      <c r="I221" s="65">
        <v>527224</v>
      </c>
      <c r="J221" s="65">
        <v>177200</v>
      </c>
      <c r="L221" s="65" t="s">
        <v>267</v>
      </c>
      <c r="M221" s="65" t="s">
        <v>33</v>
      </c>
      <c r="N221" s="69">
        <v>42068</v>
      </c>
      <c r="O221" s="69">
        <v>42345</v>
      </c>
      <c r="Q221" s="69">
        <v>42173</v>
      </c>
      <c r="R221" s="65" t="s">
        <v>28</v>
      </c>
      <c r="U221" t="s">
        <v>733</v>
      </c>
      <c r="V221" t="s">
        <v>3199</v>
      </c>
      <c r="W221" s="65" t="s">
        <v>29</v>
      </c>
      <c r="X221" s="65" t="s">
        <v>29</v>
      </c>
      <c r="Y221" s="65" t="s">
        <v>69</v>
      </c>
      <c r="AD221" s="65" t="s">
        <v>23</v>
      </c>
      <c r="AE221" s="65" t="s">
        <v>24</v>
      </c>
      <c r="AP221" s="73">
        <v>2036</v>
      </c>
      <c r="AS221" s="73">
        <v>2036</v>
      </c>
      <c r="AV221" s="73">
        <v>2036</v>
      </c>
      <c r="BO221" s="185" t="s">
        <v>3794</v>
      </c>
      <c r="BP221" s="185" t="s">
        <v>126</v>
      </c>
      <c r="BQ221" s="185" t="s">
        <v>3794</v>
      </c>
      <c r="BW221" s="73"/>
      <c r="BX221" s="73">
        <v>2036</v>
      </c>
      <c r="BY221" s="185" t="s">
        <v>3794</v>
      </c>
      <c r="CD221" s="73">
        <v>2036</v>
      </c>
      <c r="CJ221" t="s">
        <v>25</v>
      </c>
      <c r="CK221" t="s">
        <v>25</v>
      </c>
      <c r="CL221" t="s">
        <v>25</v>
      </c>
      <c r="CM221" t="s">
        <v>25</v>
      </c>
      <c r="CN221" t="s">
        <v>25</v>
      </c>
      <c r="CO221" t="s">
        <v>31</v>
      </c>
      <c r="CP221" t="s">
        <v>25</v>
      </c>
      <c r="CQ221" t="s">
        <v>25</v>
      </c>
      <c r="CR221" t="s">
        <v>25</v>
      </c>
      <c r="CS221" t="s">
        <v>25</v>
      </c>
      <c r="CT221" t="s">
        <v>25</v>
      </c>
      <c r="CU221" t="s">
        <v>25</v>
      </c>
      <c r="CV221" t="s">
        <v>25</v>
      </c>
      <c r="CW221" t="s">
        <v>25</v>
      </c>
      <c r="CX221" t="s">
        <v>25</v>
      </c>
      <c r="CY221" t="s">
        <v>25</v>
      </c>
      <c r="CZ221" t="s">
        <v>25</v>
      </c>
      <c r="DA221" t="s">
        <v>25</v>
      </c>
      <c r="DB221" t="s">
        <v>25</v>
      </c>
      <c r="DC221" t="s">
        <v>25</v>
      </c>
      <c r="DD221" t="s">
        <v>25</v>
      </c>
      <c r="DE221" t="s">
        <v>25</v>
      </c>
      <c r="DF221" t="s">
        <v>25</v>
      </c>
      <c r="DG221" t="s">
        <v>25</v>
      </c>
      <c r="DH221" t="s">
        <v>25</v>
      </c>
      <c r="DI221" t="s">
        <v>25</v>
      </c>
      <c r="DJ221" s="76">
        <v>5.2000001072883599E-2</v>
      </c>
      <c r="DK221" s="73">
        <v>2036</v>
      </c>
      <c r="DL221" s="73">
        <v>0</v>
      </c>
      <c r="DM221" s="73">
        <v>2036</v>
      </c>
      <c r="DN221" s="65" t="s">
        <v>126</v>
      </c>
      <c r="DS221" s="65" t="s">
        <v>126</v>
      </c>
      <c r="DT221" t="s">
        <v>2911</v>
      </c>
      <c r="DU221"/>
      <c r="DZ221" s="73">
        <v>0</v>
      </c>
      <c r="EA221" s="73">
        <v>0</v>
      </c>
      <c r="EB221" s="73">
        <v>0</v>
      </c>
    </row>
    <row r="222" spans="1:133" ht="12" customHeight="1" x14ac:dyDescent="0.2">
      <c r="A222" t="s">
        <v>2937</v>
      </c>
      <c r="B222" t="s">
        <v>2946</v>
      </c>
      <c r="C222" t="str">
        <f t="shared" si="11"/>
        <v>Full</v>
      </c>
      <c r="E222" s="65">
        <v>3652</v>
      </c>
      <c r="F222" t="s">
        <v>1743</v>
      </c>
      <c r="G222" s="71" t="s">
        <v>3943</v>
      </c>
      <c r="H222" s="67">
        <v>5.2000001072883599E-2</v>
      </c>
      <c r="I222" s="65">
        <v>527224</v>
      </c>
      <c r="J222" s="65">
        <v>177200</v>
      </c>
      <c r="L222" s="65" t="s">
        <v>790</v>
      </c>
      <c r="M222" s="65" t="s">
        <v>27</v>
      </c>
      <c r="N222" s="69">
        <v>42367</v>
      </c>
      <c r="O222" s="69">
        <v>42423</v>
      </c>
      <c r="R222" s="65" t="s">
        <v>28</v>
      </c>
      <c r="U222" t="s">
        <v>791</v>
      </c>
      <c r="V222" t="s">
        <v>3200</v>
      </c>
      <c r="W222" s="65" t="s">
        <v>39</v>
      </c>
      <c r="X222" s="65" t="s">
        <v>39</v>
      </c>
      <c r="Y222" s="65" t="s">
        <v>69</v>
      </c>
      <c r="AD222" s="65" t="s">
        <v>23</v>
      </c>
      <c r="AE222" s="65" t="s">
        <v>24</v>
      </c>
      <c r="AP222" s="73">
        <v>669</v>
      </c>
      <c r="AS222" s="73">
        <v>669</v>
      </c>
      <c r="AV222" s="73">
        <v>669</v>
      </c>
      <c r="BO222" s="185" t="s">
        <v>3794</v>
      </c>
      <c r="BP222" s="185" t="s">
        <v>126</v>
      </c>
      <c r="BQ222" s="185" t="s">
        <v>3794</v>
      </c>
      <c r="BW222" s="73"/>
      <c r="BX222" s="73">
        <v>669</v>
      </c>
      <c r="BY222" s="185" t="s">
        <v>3794</v>
      </c>
      <c r="CD222" s="73">
        <v>669</v>
      </c>
      <c r="CJ222" t="s">
        <v>25</v>
      </c>
      <c r="CK222" t="s">
        <v>25</v>
      </c>
      <c r="CL222" t="s">
        <v>25</v>
      </c>
      <c r="CM222" t="s">
        <v>25</v>
      </c>
      <c r="CN222" t="s">
        <v>25</v>
      </c>
      <c r="CO222" t="s">
        <v>49</v>
      </c>
      <c r="CP222" t="s">
        <v>25</v>
      </c>
      <c r="CQ222" t="s">
        <v>25</v>
      </c>
      <c r="CR222" t="s">
        <v>25</v>
      </c>
      <c r="CS222" t="s">
        <v>25</v>
      </c>
      <c r="CT222" t="s">
        <v>25</v>
      </c>
      <c r="CU222" t="s">
        <v>25</v>
      </c>
      <c r="CV222" t="s">
        <v>25</v>
      </c>
      <c r="CW222" t="s">
        <v>25</v>
      </c>
      <c r="CX222" t="s">
        <v>25</v>
      </c>
      <c r="CY222" t="s">
        <v>25</v>
      </c>
      <c r="CZ222" t="s">
        <v>25</v>
      </c>
      <c r="DA222" t="s">
        <v>25</v>
      </c>
      <c r="DB222" t="s">
        <v>25</v>
      </c>
      <c r="DC222" t="s">
        <v>25</v>
      </c>
      <c r="DD222" t="s">
        <v>25</v>
      </c>
      <c r="DE222" t="s">
        <v>25</v>
      </c>
      <c r="DF222" t="s">
        <v>25</v>
      </c>
      <c r="DG222" t="s">
        <v>25</v>
      </c>
      <c r="DH222" t="s">
        <v>25</v>
      </c>
      <c r="DI222" t="s">
        <v>25</v>
      </c>
      <c r="DJ222" s="76">
        <v>5.2000001072883599E-2</v>
      </c>
      <c r="DK222" s="73">
        <v>669</v>
      </c>
      <c r="DL222" s="73">
        <v>0</v>
      </c>
      <c r="DM222" s="73">
        <v>669</v>
      </c>
      <c r="DN222" s="65" t="s">
        <v>126</v>
      </c>
      <c r="DS222" s="65" t="s">
        <v>126</v>
      </c>
      <c r="DT222" t="s">
        <v>2911</v>
      </c>
      <c r="DU222"/>
      <c r="DZ222" s="73">
        <v>0</v>
      </c>
      <c r="EA222" s="73">
        <v>0</v>
      </c>
      <c r="EB222" s="73">
        <v>0</v>
      </c>
    </row>
    <row r="223" spans="1:133" ht="12" customHeight="1" x14ac:dyDescent="0.2">
      <c r="A223" t="s">
        <v>2937</v>
      </c>
      <c r="B223" t="s">
        <v>2946</v>
      </c>
      <c r="C223" t="str">
        <f t="shared" si="11"/>
        <v>Full</v>
      </c>
      <c r="E223" s="65">
        <v>3652</v>
      </c>
      <c r="F223" t="s">
        <v>1743</v>
      </c>
      <c r="G223" s="71" t="s">
        <v>3943</v>
      </c>
      <c r="H223" s="67">
        <v>5.2000001072883599E-2</v>
      </c>
      <c r="I223" s="65">
        <v>527224</v>
      </c>
      <c r="J223" s="65">
        <v>177200</v>
      </c>
      <c r="L223" s="65" t="s">
        <v>621</v>
      </c>
      <c r="M223" s="65" t="s">
        <v>27</v>
      </c>
      <c r="N223" s="69">
        <v>42412</v>
      </c>
      <c r="O223" s="69">
        <v>42517</v>
      </c>
      <c r="R223" s="65" t="s">
        <v>28</v>
      </c>
      <c r="U223" t="s">
        <v>804</v>
      </c>
      <c r="V223" t="s">
        <v>3201</v>
      </c>
      <c r="W223" s="65" t="s">
        <v>29</v>
      </c>
      <c r="X223" s="65" t="s">
        <v>29</v>
      </c>
      <c r="Y223" s="65" t="s">
        <v>69</v>
      </c>
      <c r="AD223" s="65" t="s">
        <v>23</v>
      </c>
      <c r="AE223" s="65" t="s">
        <v>24</v>
      </c>
      <c r="AJ223" s="73">
        <v>27</v>
      </c>
      <c r="AL223" s="73">
        <v>27</v>
      </c>
      <c r="AO223" s="73">
        <v>54</v>
      </c>
      <c r="AP223" s="73">
        <v>26</v>
      </c>
      <c r="AS223" s="73">
        <v>26</v>
      </c>
      <c r="AV223" s="73">
        <v>26</v>
      </c>
      <c r="AW223" s="73">
        <v>26</v>
      </c>
      <c r="AY223" s="73">
        <v>26</v>
      </c>
      <c r="BJ223" s="73">
        <v>97</v>
      </c>
      <c r="BK223" s="73">
        <v>97</v>
      </c>
      <c r="BO223" s="185" t="s">
        <v>126</v>
      </c>
      <c r="BP223" s="185" t="s">
        <v>126</v>
      </c>
      <c r="BQ223" s="185" t="s">
        <v>126</v>
      </c>
      <c r="BR223" s="73">
        <v>27</v>
      </c>
      <c r="BT223" s="73">
        <v>27</v>
      </c>
      <c r="BW223" s="73">
        <v>54</v>
      </c>
      <c r="BX223" s="73">
        <v>26</v>
      </c>
      <c r="BY223" s="185" t="s">
        <v>3794</v>
      </c>
      <c r="CC223" s="73">
        <v>-97</v>
      </c>
      <c r="CD223" s="73">
        <v>-71</v>
      </c>
      <c r="CE223" s="65" t="s">
        <v>126</v>
      </c>
      <c r="CG223" s="73">
        <v>26</v>
      </c>
      <c r="CI223" s="73">
        <v>26</v>
      </c>
      <c r="CJ223" t="s">
        <v>31</v>
      </c>
      <c r="CK223" t="s">
        <v>25</v>
      </c>
      <c r="CL223" t="s">
        <v>31</v>
      </c>
      <c r="CM223" t="s">
        <v>25</v>
      </c>
      <c r="CN223" t="s">
        <v>25</v>
      </c>
      <c r="CO223" t="s">
        <v>31</v>
      </c>
      <c r="CP223" t="s">
        <v>25</v>
      </c>
      <c r="CQ223" t="s">
        <v>25</v>
      </c>
      <c r="CR223" t="s">
        <v>25</v>
      </c>
      <c r="CS223" t="s">
        <v>25</v>
      </c>
      <c r="CT223" t="s">
        <v>25</v>
      </c>
      <c r="CU223" t="s">
        <v>31</v>
      </c>
      <c r="CV223" t="s">
        <v>25</v>
      </c>
      <c r="CW223" t="s">
        <v>25</v>
      </c>
      <c r="CX223" t="s">
        <v>25</v>
      </c>
      <c r="CY223" t="s">
        <v>25</v>
      </c>
      <c r="CZ223" t="s">
        <v>25</v>
      </c>
      <c r="DA223" t="s">
        <v>25</v>
      </c>
      <c r="DB223" t="s">
        <v>25</v>
      </c>
      <c r="DC223" t="s">
        <v>25</v>
      </c>
      <c r="DD223" t="s">
        <v>25</v>
      </c>
      <c r="DE223" t="s">
        <v>25</v>
      </c>
      <c r="DF223" t="s">
        <v>52</v>
      </c>
      <c r="DG223" t="s">
        <v>25</v>
      </c>
      <c r="DH223" t="s">
        <v>25</v>
      </c>
      <c r="DI223" t="s">
        <v>25</v>
      </c>
      <c r="DJ223" s="76">
        <v>1.0000001639127697E-2</v>
      </c>
      <c r="DK223" s="73">
        <v>106</v>
      </c>
      <c r="DL223" s="73">
        <v>97</v>
      </c>
      <c r="DM223" s="73">
        <v>9</v>
      </c>
      <c r="DN223" s="65" t="s">
        <v>126</v>
      </c>
      <c r="DS223" s="65" t="s">
        <v>126</v>
      </c>
      <c r="DT223" t="s">
        <v>2911</v>
      </c>
      <c r="DU223"/>
      <c r="DZ223" s="73">
        <v>483</v>
      </c>
      <c r="EA223" s="73">
        <v>0</v>
      </c>
      <c r="EB223" s="73">
        <v>483</v>
      </c>
      <c r="EC223" s="65" t="s">
        <v>126</v>
      </c>
    </row>
    <row r="224" spans="1:133" ht="12" customHeight="1" x14ac:dyDescent="0.2">
      <c r="A224" t="s">
        <v>2937</v>
      </c>
      <c r="B224" t="s">
        <v>2946</v>
      </c>
      <c r="C224" t="str">
        <f t="shared" si="11"/>
        <v>Full</v>
      </c>
      <c r="E224" s="65">
        <v>3660</v>
      </c>
      <c r="F224" t="s">
        <v>1744</v>
      </c>
      <c r="G224" s="71" t="s">
        <v>150</v>
      </c>
      <c r="H224" s="67">
        <v>2.8000000864267301E-2</v>
      </c>
      <c r="I224" s="65">
        <v>527153</v>
      </c>
      <c r="J224" s="65">
        <v>171082</v>
      </c>
      <c r="L224" s="65" t="s">
        <v>1745</v>
      </c>
      <c r="M224" s="65" t="s">
        <v>27</v>
      </c>
      <c r="N224" s="69">
        <v>42898</v>
      </c>
      <c r="O224" s="69">
        <v>42954</v>
      </c>
      <c r="P224" s="65" t="s">
        <v>126</v>
      </c>
      <c r="R224" s="65" t="s">
        <v>28</v>
      </c>
      <c r="U224" t="s">
        <v>1746</v>
      </c>
      <c r="V224" t="s">
        <v>3202</v>
      </c>
      <c r="W224" s="65" t="s">
        <v>29</v>
      </c>
      <c r="X224" s="65" t="s">
        <v>29</v>
      </c>
      <c r="Y224" s="65" t="s">
        <v>69</v>
      </c>
      <c r="AD224" s="65" t="s">
        <v>23</v>
      </c>
      <c r="AE224" s="65" t="s">
        <v>24</v>
      </c>
      <c r="BO224" s="185" t="s">
        <v>3794</v>
      </c>
      <c r="BP224" s="185" t="s">
        <v>3794</v>
      </c>
      <c r="BQ224" s="185" t="s">
        <v>3794</v>
      </c>
      <c r="BW224" s="73"/>
      <c r="BY224" s="185" t="s">
        <v>3794</v>
      </c>
      <c r="CJ224" t="s">
        <v>25</v>
      </c>
      <c r="CK224" t="s">
        <v>25</v>
      </c>
      <c r="CL224" t="s">
        <v>25</v>
      </c>
      <c r="CM224" t="s">
        <v>25</v>
      </c>
      <c r="CN224" t="s">
        <v>25</v>
      </c>
      <c r="CO224" t="s">
        <v>25</v>
      </c>
      <c r="CP224" t="s">
        <v>25</v>
      </c>
      <c r="CQ224" t="s">
        <v>25</v>
      </c>
      <c r="CR224" t="s">
        <v>25</v>
      </c>
      <c r="CS224" t="s">
        <v>25</v>
      </c>
      <c r="CT224" t="s">
        <v>25</v>
      </c>
      <c r="CU224" t="s">
        <v>25</v>
      </c>
      <c r="CV224" t="s">
        <v>25</v>
      </c>
      <c r="CW224" t="s">
        <v>25</v>
      </c>
      <c r="CX224" t="s">
        <v>25</v>
      </c>
      <c r="CY224" t="s">
        <v>25</v>
      </c>
      <c r="CZ224" t="s">
        <v>25</v>
      </c>
      <c r="DA224" t="s">
        <v>25</v>
      </c>
      <c r="DB224" t="s">
        <v>25</v>
      </c>
      <c r="DC224" t="s">
        <v>25</v>
      </c>
      <c r="DD224" t="s">
        <v>25</v>
      </c>
      <c r="DE224" t="s">
        <v>25</v>
      </c>
      <c r="DF224" t="s">
        <v>25</v>
      </c>
      <c r="DG224" t="s">
        <v>25</v>
      </c>
      <c r="DH224" t="s">
        <v>25</v>
      </c>
      <c r="DI224" t="s">
        <v>25</v>
      </c>
      <c r="DJ224" s="76">
        <v>0</v>
      </c>
      <c r="DK224" s="73">
        <v>0</v>
      </c>
      <c r="DL224" s="73">
        <v>81</v>
      </c>
      <c r="DM224" s="73">
        <v>-81</v>
      </c>
      <c r="DU224"/>
      <c r="DZ224" s="73">
        <v>219</v>
      </c>
      <c r="EA224" s="73">
        <v>0</v>
      </c>
      <c r="EB224" s="73">
        <v>219</v>
      </c>
      <c r="EC224" s="65" t="s">
        <v>126</v>
      </c>
    </row>
    <row r="225" spans="1:133" ht="12" customHeight="1" x14ac:dyDescent="0.2">
      <c r="A225" t="s">
        <v>2936</v>
      </c>
      <c r="B225" t="s">
        <v>2946</v>
      </c>
      <c r="C225" t="str">
        <f t="shared" si="11"/>
        <v>Full</v>
      </c>
      <c r="D225" t="s">
        <v>2943</v>
      </c>
      <c r="E225" s="65">
        <v>3673</v>
      </c>
      <c r="F225" t="s">
        <v>1747</v>
      </c>
      <c r="G225" s="71" t="s">
        <v>2904</v>
      </c>
      <c r="H225" s="67">
        <v>0.27700001001357999</v>
      </c>
      <c r="I225" s="65">
        <v>525765</v>
      </c>
      <c r="J225" s="65">
        <v>174114</v>
      </c>
      <c r="L225" s="65" t="s">
        <v>909</v>
      </c>
      <c r="M225" s="65" t="s">
        <v>27</v>
      </c>
      <c r="N225" s="69">
        <v>42524</v>
      </c>
      <c r="O225" s="69">
        <v>42717</v>
      </c>
      <c r="R225" s="65" t="s">
        <v>28</v>
      </c>
      <c r="U225" t="s">
        <v>910</v>
      </c>
      <c r="V225" t="s">
        <v>3203</v>
      </c>
      <c r="W225" s="65" t="s">
        <v>29</v>
      </c>
      <c r="X225" s="65" t="s">
        <v>29</v>
      </c>
      <c r="Y225" s="65" t="s">
        <v>35</v>
      </c>
      <c r="AA225" s="69">
        <v>42825</v>
      </c>
      <c r="AB225" s="69">
        <v>43190</v>
      </c>
      <c r="AC225" s="69">
        <v>43190</v>
      </c>
      <c r="AD225" s="65" t="s">
        <v>23</v>
      </c>
      <c r="AE225" s="65" t="s">
        <v>24</v>
      </c>
      <c r="AH225" s="69">
        <f t="shared" si="10"/>
        <v>42825</v>
      </c>
      <c r="AI225" s="69">
        <f t="shared" si="9"/>
        <v>43190</v>
      </c>
      <c r="AU225" s="73">
        <v>772</v>
      </c>
      <c r="AV225" s="73">
        <v>772</v>
      </c>
      <c r="BF225" s="73">
        <v>1965</v>
      </c>
      <c r="BK225" s="73">
        <v>1965</v>
      </c>
      <c r="BO225" s="185" t="s">
        <v>3794</v>
      </c>
      <c r="BP225" s="185" t="s">
        <v>126</v>
      </c>
      <c r="BQ225" s="185" t="s">
        <v>3794</v>
      </c>
      <c r="BW225" s="73"/>
      <c r="BX225" s="73">
        <v>-1965</v>
      </c>
      <c r="BY225" s="185" t="s">
        <v>126</v>
      </c>
      <c r="CC225" s="73">
        <v>772</v>
      </c>
      <c r="CD225" s="73">
        <v>-1193</v>
      </c>
      <c r="CE225" s="65" t="s">
        <v>126</v>
      </c>
      <c r="CJ225" t="s">
        <v>25</v>
      </c>
      <c r="CK225" t="s">
        <v>25</v>
      </c>
      <c r="CL225" t="s">
        <v>25</v>
      </c>
      <c r="CM225" t="s">
        <v>25</v>
      </c>
      <c r="CN225" t="s">
        <v>25</v>
      </c>
      <c r="CO225" t="s">
        <v>25</v>
      </c>
      <c r="CP225" t="s">
        <v>25</v>
      </c>
      <c r="CQ225" t="s">
        <v>25</v>
      </c>
      <c r="CR225" t="s">
        <v>25</v>
      </c>
      <c r="CS225" t="s">
        <v>53</v>
      </c>
      <c r="CT225" t="s">
        <v>25</v>
      </c>
      <c r="CU225" t="s">
        <v>25</v>
      </c>
      <c r="CV225" t="s">
        <v>25</v>
      </c>
      <c r="CW225" t="s">
        <v>25</v>
      </c>
      <c r="CX225" t="s">
        <v>25</v>
      </c>
      <c r="CY225" t="s">
        <v>25</v>
      </c>
      <c r="CZ225" t="s">
        <v>25</v>
      </c>
      <c r="DA225" t="s">
        <v>25</v>
      </c>
      <c r="DB225" t="s">
        <v>47</v>
      </c>
      <c r="DC225" t="s">
        <v>25</v>
      </c>
      <c r="DD225" t="s">
        <v>25</v>
      </c>
      <c r="DE225" t="s">
        <v>25</v>
      </c>
      <c r="DF225" t="s">
        <v>25</v>
      </c>
      <c r="DG225" t="s">
        <v>25</v>
      </c>
      <c r="DH225" t="s">
        <v>25</v>
      </c>
      <c r="DI225" t="s">
        <v>25</v>
      </c>
      <c r="DJ225" s="76">
        <v>0.27700001001357999</v>
      </c>
      <c r="DK225" s="73">
        <v>772</v>
      </c>
      <c r="DL225" s="73">
        <v>1965</v>
      </c>
      <c r="DM225" s="73">
        <v>-1193</v>
      </c>
      <c r="DQ225" s="65" t="s">
        <v>126</v>
      </c>
      <c r="DR225" t="s">
        <v>2902</v>
      </c>
      <c r="DU225"/>
      <c r="DZ225" s="73">
        <v>0</v>
      </c>
      <c r="EA225" s="73">
        <v>0</v>
      </c>
      <c r="EB225" s="73">
        <v>0</v>
      </c>
    </row>
    <row r="226" spans="1:133" ht="12" customHeight="1" x14ac:dyDescent="0.2">
      <c r="A226" t="s">
        <v>2936</v>
      </c>
      <c r="B226" t="s">
        <v>2946</v>
      </c>
      <c r="C226" t="str">
        <f t="shared" si="11"/>
        <v>Full</v>
      </c>
      <c r="D226" t="s">
        <v>2943</v>
      </c>
      <c r="E226" s="65">
        <v>3704</v>
      </c>
      <c r="F226" t="s">
        <v>1748</v>
      </c>
      <c r="G226" s="71" t="s">
        <v>3951</v>
      </c>
      <c r="H226" s="67">
        <v>4.0000001899898104E-3</v>
      </c>
      <c r="I226" s="65">
        <v>527795</v>
      </c>
      <c r="J226" s="65">
        <v>171699</v>
      </c>
      <c r="L226" s="65" t="s">
        <v>357</v>
      </c>
      <c r="M226" s="65" t="s">
        <v>27</v>
      </c>
      <c r="N226" s="69">
        <v>41823</v>
      </c>
      <c r="O226" s="69">
        <v>41893</v>
      </c>
      <c r="R226" s="65" t="s">
        <v>28</v>
      </c>
      <c r="U226" t="s">
        <v>358</v>
      </c>
      <c r="V226" t="s">
        <v>3204</v>
      </c>
      <c r="W226" s="65" t="s">
        <v>21</v>
      </c>
      <c r="X226" s="65" t="s">
        <v>21</v>
      </c>
      <c r="Y226" s="65" t="s">
        <v>35</v>
      </c>
      <c r="AA226" s="69">
        <v>42963</v>
      </c>
      <c r="AB226" s="69">
        <v>43080</v>
      </c>
      <c r="AC226" s="69">
        <v>43080</v>
      </c>
      <c r="AD226" s="65" t="s">
        <v>23</v>
      </c>
      <c r="AE226" s="65" t="s">
        <v>24</v>
      </c>
      <c r="AH226" s="69">
        <f t="shared" si="10"/>
        <v>42963</v>
      </c>
      <c r="AI226" s="69">
        <f t="shared" si="9"/>
        <v>43080</v>
      </c>
      <c r="BJ226" s="73">
        <v>51</v>
      </c>
      <c r="BK226" s="73">
        <v>51</v>
      </c>
      <c r="BO226" s="185" t="s">
        <v>3794</v>
      </c>
      <c r="BP226" s="185" t="s">
        <v>126</v>
      </c>
      <c r="BQ226" s="185" t="s">
        <v>3794</v>
      </c>
      <c r="BW226" s="73"/>
      <c r="BY226" s="185" t="s">
        <v>3794</v>
      </c>
      <c r="CC226" s="73">
        <v>-51</v>
      </c>
      <c r="CD226" s="73">
        <v>-51</v>
      </c>
      <c r="CE226" s="65" t="s">
        <v>126</v>
      </c>
      <c r="CJ226" t="s">
        <v>25</v>
      </c>
      <c r="CK226" t="s">
        <v>25</v>
      </c>
      <c r="CL226" t="s">
        <v>25</v>
      </c>
      <c r="CM226" t="s">
        <v>25</v>
      </c>
      <c r="CN226" t="s">
        <v>25</v>
      </c>
      <c r="CO226" t="s">
        <v>25</v>
      </c>
      <c r="CP226" t="s">
        <v>25</v>
      </c>
      <c r="CQ226" t="s">
        <v>25</v>
      </c>
      <c r="CR226" t="s">
        <v>25</v>
      </c>
      <c r="CS226" t="s">
        <v>25</v>
      </c>
      <c r="CT226" t="s">
        <v>25</v>
      </c>
      <c r="CU226" t="s">
        <v>25</v>
      </c>
      <c r="CV226" t="s">
        <v>25</v>
      </c>
      <c r="CW226" t="s">
        <v>25</v>
      </c>
      <c r="CX226" t="s">
        <v>25</v>
      </c>
      <c r="CY226" t="s">
        <v>25</v>
      </c>
      <c r="CZ226" t="s">
        <v>25</v>
      </c>
      <c r="DA226" t="s">
        <v>25</v>
      </c>
      <c r="DB226" t="s">
        <v>25</v>
      </c>
      <c r="DC226" t="s">
        <v>25</v>
      </c>
      <c r="DD226" t="s">
        <v>25</v>
      </c>
      <c r="DE226" t="s">
        <v>25</v>
      </c>
      <c r="DF226" t="s">
        <v>53</v>
      </c>
      <c r="DG226" t="s">
        <v>25</v>
      </c>
      <c r="DH226" t="s">
        <v>25</v>
      </c>
      <c r="DI226" t="s">
        <v>25</v>
      </c>
      <c r="DJ226" s="76">
        <v>0</v>
      </c>
      <c r="DK226" s="73">
        <v>0</v>
      </c>
      <c r="DL226" s="73">
        <v>51</v>
      </c>
      <c r="DM226" s="73">
        <v>-51</v>
      </c>
      <c r="DU226"/>
      <c r="DZ226" s="73">
        <v>51</v>
      </c>
      <c r="EA226" s="73">
        <v>0</v>
      </c>
      <c r="EB226" s="73">
        <v>51</v>
      </c>
      <c r="EC226" s="65" t="s">
        <v>126</v>
      </c>
    </row>
    <row r="227" spans="1:133" ht="12" customHeight="1" x14ac:dyDescent="0.2">
      <c r="A227" t="s">
        <v>2937</v>
      </c>
      <c r="B227" t="s">
        <v>2946</v>
      </c>
      <c r="C227" t="str">
        <f t="shared" si="11"/>
        <v>Full</v>
      </c>
      <c r="E227" s="65">
        <v>3726</v>
      </c>
      <c r="F227" t="s">
        <v>1749</v>
      </c>
      <c r="G227" s="71" t="s">
        <v>2904</v>
      </c>
      <c r="H227" s="67">
        <v>1.7000000923872001E-2</v>
      </c>
      <c r="I227" s="65">
        <v>525701</v>
      </c>
      <c r="J227" s="65">
        <v>173658</v>
      </c>
      <c r="L227" s="65" t="s">
        <v>1750</v>
      </c>
      <c r="M227" s="65" t="s">
        <v>27</v>
      </c>
      <c r="N227" s="69">
        <v>42916</v>
      </c>
      <c r="O227" s="69">
        <v>43158</v>
      </c>
      <c r="P227" s="65" t="s">
        <v>126</v>
      </c>
      <c r="R227" s="65" t="s">
        <v>28</v>
      </c>
      <c r="U227" t="s">
        <v>387</v>
      </c>
      <c r="V227" t="s">
        <v>3205</v>
      </c>
      <c r="W227" s="65" t="s">
        <v>29</v>
      </c>
      <c r="X227" s="65" t="s">
        <v>29</v>
      </c>
      <c r="Y227" s="65" t="s">
        <v>59</v>
      </c>
      <c r="AD227" s="65" t="s">
        <v>23</v>
      </c>
      <c r="AE227" s="65" t="s">
        <v>24</v>
      </c>
      <c r="BO227" s="185" t="s">
        <v>3794</v>
      </c>
      <c r="BP227" s="185" t="s">
        <v>3794</v>
      </c>
      <c r="BQ227" s="185" t="s">
        <v>3794</v>
      </c>
      <c r="BW227" s="73"/>
      <c r="BY227" s="185" t="s">
        <v>3794</v>
      </c>
      <c r="CJ227" t="s">
        <v>25</v>
      </c>
      <c r="CK227" t="s">
        <v>25</v>
      </c>
      <c r="CL227" t="s">
        <v>25</v>
      </c>
      <c r="CM227" t="s">
        <v>25</v>
      </c>
      <c r="CN227" t="s">
        <v>25</v>
      </c>
      <c r="CO227" t="s">
        <v>25</v>
      </c>
      <c r="CP227" t="s">
        <v>25</v>
      </c>
      <c r="CQ227" t="s">
        <v>25</v>
      </c>
      <c r="CR227" t="s">
        <v>25</v>
      </c>
      <c r="CS227" t="s">
        <v>25</v>
      </c>
      <c r="CT227" t="s">
        <v>25</v>
      </c>
      <c r="CU227" t="s">
        <v>25</v>
      </c>
      <c r="CV227" t="s">
        <v>25</v>
      </c>
      <c r="CW227" t="s">
        <v>25</v>
      </c>
      <c r="CX227" t="s">
        <v>25</v>
      </c>
      <c r="CY227" t="s">
        <v>25</v>
      </c>
      <c r="CZ227" t="s">
        <v>25</v>
      </c>
      <c r="DA227" t="s">
        <v>25</v>
      </c>
      <c r="DB227" t="s">
        <v>25</v>
      </c>
      <c r="DC227" t="s">
        <v>25</v>
      </c>
      <c r="DD227" t="s">
        <v>25</v>
      </c>
      <c r="DE227" t="s">
        <v>25</v>
      </c>
      <c r="DF227" t="s">
        <v>25</v>
      </c>
      <c r="DG227" t="s">
        <v>25</v>
      </c>
      <c r="DH227" t="s">
        <v>25</v>
      </c>
      <c r="DI227" t="s">
        <v>25</v>
      </c>
      <c r="DJ227" s="76">
        <v>0</v>
      </c>
      <c r="DK227" s="73">
        <v>0</v>
      </c>
      <c r="DL227" s="73">
        <v>65</v>
      </c>
      <c r="DM227" s="73">
        <v>-65</v>
      </c>
      <c r="DU227"/>
      <c r="DZ227" s="73">
        <v>126</v>
      </c>
      <c r="EA227" s="73">
        <v>0</v>
      </c>
      <c r="EB227" s="73">
        <v>126</v>
      </c>
      <c r="EC227" s="65" t="s">
        <v>126</v>
      </c>
    </row>
    <row r="228" spans="1:133" ht="12" customHeight="1" x14ac:dyDescent="0.2">
      <c r="A228" t="s">
        <v>2936</v>
      </c>
      <c r="B228" t="s">
        <v>2946</v>
      </c>
      <c r="C228" t="str">
        <f t="shared" si="11"/>
        <v>Full</v>
      </c>
      <c r="D228" t="s">
        <v>2943</v>
      </c>
      <c r="E228" s="65">
        <v>3743</v>
      </c>
      <c r="F228" t="s">
        <v>1751</v>
      </c>
      <c r="G228" s="71" t="s">
        <v>149</v>
      </c>
      <c r="H228" s="67">
        <v>9.9999997764825804E-3</v>
      </c>
      <c r="I228" s="65">
        <v>529002</v>
      </c>
      <c r="J228" s="65">
        <v>173313</v>
      </c>
      <c r="L228" s="65" t="s">
        <v>853</v>
      </c>
      <c r="M228" s="65" t="s">
        <v>27</v>
      </c>
      <c r="N228" s="69">
        <v>42507</v>
      </c>
      <c r="O228" s="69">
        <v>42563</v>
      </c>
      <c r="R228" s="65" t="s">
        <v>28</v>
      </c>
      <c r="U228" t="s">
        <v>854</v>
      </c>
      <c r="V228" t="s">
        <v>3206</v>
      </c>
      <c r="W228" s="65" t="s">
        <v>34</v>
      </c>
      <c r="X228" s="65" t="s">
        <v>29</v>
      </c>
      <c r="Y228" s="65" t="s">
        <v>35</v>
      </c>
      <c r="AA228" s="69">
        <v>42810</v>
      </c>
      <c r="AB228" s="69">
        <v>42915</v>
      </c>
      <c r="AC228" s="69">
        <v>42915</v>
      </c>
      <c r="AD228" s="65" t="s">
        <v>23</v>
      </c>
      <c r="AE228" s="65" t="s">
        <v>24</v>
      </c>
      <c r="AH228" s="69">
        <f t="shared" si="10"/>
        <v>42810</v>
      </c>
      <c r="AI228" s="69">
        <f t="shared" si="9"/>
        <v>42915</v>
      </c>
      <c r="BO228" s="185" t="s">
        <v>3794</v>
      </c>
      <c r="BP228" s="185" t="s">
        <v>3794</v>
      </c>
      <c r="BQ228" s="185" t="s">
        <v>3794</v>
      </c>
      <c r="BW228" s="73"/>
      <c r="BY228" s="185" t="s">
        <v>3794</v>
      </c>
      <c r="CJ228" t="s">
        <v>25</v>
      </c>
      <c r="CK228" t="s">
        <v>25</v>
      </c>
      <c r="CL228" t="s">
        <v>25</v>
      </c>
      <c r="CM228" t="s">
        <v>25</v>
      </c>
      <c r="CN228" t="s">
        <v>25</v>
      </c>
      <c r="CO228" t="s">
        <v>25</v>
      </c>
      <c r="CP228" t="s">
        <v>25</v>
      </c>
      <c r="CQ228" t="s">
        <v>25</v>
      </c>
      <c r="CR228" t="s">
        <v>25</v>
      </c>
      <c r="CS228" t="s">
        <v>25</v>
      </c>
      <c r="CT228" t="s">
        <v>25</v>
      </c>
      <c r="CU228" t="s">
        <v>25</v>
      </c>
      <c r="CV228" t="s">
        <v>25</v>
      </c>
      <c r="CW228" t="s">
        <v>25</v>
      </c>
      <c r="CX228" t="s">
        <v>25</v>
      </c>
      <c r="CY228" t="s">
        <v>25</v>
      </c>
      <c r="CZ228" t="s">
        <v>25</v>
      </c>
      <c r="DA228" t="s">
        <v>25</v>
      </c>
      <c r="DB228" t="s">
        <v>25</v>
      </c>
      <c r="DC228" t="s">
        <v>25</v>
      </c>
      <c r="DD228" t="s">
        <v>25</v>
      </c>
      <c r="DE228" t="s">
        <v>25</v>
      </c>
      <c r="DF228" t="s">
        <v>25</v>
      </c>
      <c r="DG228" t="s">
        <v>25</v>
      </c>
      <c r="DH228" t="s">
        <v>25</v>
      </c>
      <c r="DI228" t="s">
        <v>25</v>
      </c>
      <c r="DJ228" s="76">
        <v>0</v>
      </c>
      <c r="DK228" s="73">
        <v>0</v>
      </c>
      <c r="DL228" s="73">
        <v>30</v>
      </c>
      <c r="DM228" s="73">
        <v>-30</v>
      </c>
      <c r="DU228"/>
      <c r="DZ228" s="73">
        <v>132</v>
      </c>
      <c r="EA228" s="73">
        <v>102</v>
      </c>
      <c r="EB228" s="73">
        <v>30</v>
      </c>
      <c r="EC228" s="65" t="s">
        <v>126</v>
      </c>
    </row>
    <row r="229" spans="1:133" ht="12" customHeight="1" x14ac:dyDescent="0.2">
      <c r="A229" t="s">
        <v>2938</v>
      </c>
      <c r="B229" t="s">
        <v>2946</v>
      </c>
      <c r="C229" t="str">
        <f t="shared" si="11"/>
        <v>Full</v>
      </c>
      <c r="E229" s="65">
        <v>3744</v>
      </c>
      <c r="F229" t="s">
        <v>1752</v>
      </c>
      <c r="G229" s="71" t="s">
        <v>3944</v>
      </c>
      <c r="H229" s="67">
        <v>9.6000000834464999E-2</v>
      </c>
      <c r="I229" s="65">
        <v>525311</v>
      </c>
      <c r="J229" s="65">
        <v>174903</v>
      </c>
      <c r="L229" s="65" t="s">
        <v>1753</v>
      </c>
      <c r="M229" s="65" t="s">
        <v>172</v>
      </c>
      <c r="N229" s="69">
        <v>43031</v>
      </c>
      <c r="R229" s="65" t="s">
        <v>28</v>
      </c>
      <c r="U229" t="s">
        <v>1754</v>
      </c>
      <c r="V229" t="s">
        <v>3207</v>
      </c>
      <c r="W229" s="65" t="s">
        <v>29</v>
      </c>
      <c r="X229" s="65" t="s">
        <v>29</v>
      </c>
      <c r="Y229" s="65" t="s">
        <v>69</v>
      </c>
      <c r="AD229" s="65" t="s">
        <v>173</v>
      </c>
      <c r="AE229" s="65" t="s">
        <v>24</v>
      </c>
      <c r="AW229" s="73">
        <v>785</v>
      </c>
      <c r="AY229" s="73">
        <v>785</v>
      </c>
      <c r="BL229" s="73">
        <v>1273</v>
      </c>
      <c r="BN229" s="73">
        <v>1273</v>
      </c>
      <c r="BO229" s="185" t="s">
        <v>3794</v>
      </c>
      <c r="BP229" s="185" t="s">
        <v>3794</v>
      </c>
      <c r="BQ229" s="185" t="s">
        <v>126</v>
      </c>
      <c r="BW229" s="73"/>
      <c r="BY229" s="185" t="s">
        <v>3794</v>
      </c>
      <c r="CG229" s="73">
        <v>-488</v>
      </c>
      <c r="CI229" s="73">
        <v>-488</v>
      </c>
      <c r="CJ229" t="s">
        <v>25</v>
      </c>
      <c r="CK229" t="s">
        <v>25</v>
      </c>
      <c r="CL229" t="s">
        <v>25</v>
      </c>
      <c r="CM229" t="s">
        <v>25</v>
      </c>
      <c r="CN229" t="s">
        <v>25</v>
      </c>
      <c r="CO229" t="s">
        <v>25</v>
      </c>
      <c r="CP229" t="s">
        <v>25</v>
      </c>
      <c r="CQ229" t="s">
        <v>25</v>
      </c>
      <c r="CR229" t="s">
        <v>25</v>
      </c>
      <c r="CS229" t="s">
        <v>25</v>
      </c>
      <c r="CT229" t="s">
        <v>25</v>
      </c>
      <c r="CU229" t="s">
        <v>60</v>
      </c>
      <c r="CV229" t="s">
        <v>25</v>
      </c>
      <c r="CW229" t="s">
        <v>25</v>
      </c>
      <c r="CX229" t="s">
        <v>25</v>
      </c>
      <c r="CY229" t="s">
        <v>25</v>
      </c>
      <c r="CZ229" t="s">
        <v>25</v>
      </c>
      <c r="DA229" t="s">
        <v>25</v>
      </c>
      <c r="DB229" t="s">
        <v>25</v>
      </c>
      <c r="DC229" t="s">
        <v>25</v>
      </c>
      <c r="DD229" t="s">
        <v>25</v>
      </c>
      <c r="DE229" t="s">
        <v>25</v>
      </c>
      <c r="DF229" t="s">
        <v>25</v>
      </c>
      <c r="DG229" t="s">
        <v>25</v>
      </c>
      <c r="DH229" t="s">
        <v>60</v>
      </c>
      <c r="DI229" t="s">
        <v>25</v>
      </c>
      <c r="DJ229" s="76">
        <v>9.6000000834464999E-2</v>
      </c>
      <c r="DK229" s="73">
        <v>785</v>
      </c>
      <c r="DL229" s="73">
        <v>1273</v>
      </c>
      <c r="DM229" s="73">
        <v>-488</v>
      </c>
      <c r="DU229"/>
      <c r="DZ229" s="73">
        <v>0</v>
      </c>
      <c r="EA229" s="73">
        <v>0</v>
      </c>
      <c r="EB229" s="73">
        <v>0</v>
      </c>
    </row>
    <row r="230" spans="1:133" ht="12" customHeight="1" x14ac:dyDescent="0.2">
      <c r="A230" t="s">
        <v>2935</v>
      </c>
      <c r="B230" t="s">
        <v>2946</v>
      </c>
      <c r="C230" t="str">
        <f t="shared" si="11"/>
        <v>Full</v>
      </c>
      <c r="E230" s="65">
        <v>3745</v>
      </c>
      <c r="F230" t="s">
        <v>1755</v>
      </c>
      <c r="G230" s="71" t="s">
        <v>3950</v>
      </c>
      <c r="H230" s="67">
        <v>0.19799999892711601</v>
      </c>
      <c r="I230" s="65">
        <v>529291</v>
      </c>
      <c r="J230" s="65">
        <v>171210</v>
      </c>
      <c r="L230" s="65" t="s">
        <v>584</v>
      </c>
      <c r="M230" s="65" t="s">
        <v>27</v>
      </c>
      <c r="N230" s="69">
        <v>42361</v>
      </c>
      <c r="O230" s="69">
        <v>42517</v>
      </c>
      <c r="R230" s="65" t="s">
        <v>28</v>
      </c>
      <c r="U230" t="s">
        <v>585</v>
      </c>
      <c r="V230" t="s">
        <v>3208</v>
      </c>
      <c r="W230" s="65" t="s">
        <v>29</v>
      </c>
      <c r="X230" s="65" t="s">
        <v>29</v>
      </c>
      <c r="Y230" s="65" t="s">
        <v>30</v>
      </c>
      <c r="AA230" s="69">
        <v>42826</v>
      </c>
      <c r="AD230" s="65" t="s">
        <v>23</v>
      </c>
      <c r="AE230" s="65" t="s">
        <v>24</v>
      </c>
      <c r="AH230" s="69">
        <f t="shared" si="10"/>
        <v>42826</v>
      </c>
      <c r="BJ230" s="73">
        <v>89</v>
      </c>
      <c r="BK230" s="73">
        <v>89</v>
      </c>
      <c r="BO230" s="185" t="s">
        <v>3794</v>
      </c>
      <c r="BP230" s="185" t="s">
        <v>126</v>
      </c>
      <c r="BQ230" s="185" t="s">
        <v>3794</v>
      </c>
      <c r="BW230" s="73"/>
      <c r="BY230" s="185" t="s">
        <v>3794</v>
      </c>
      <c r="CC230" s="73">
        <v>-89</v>
      </c>
      <c r="CD230" s="73">
        <v>-89</v>
      </c>
      <c r="CE230" s="65" t="s">
        <v>126</v>
      </c>
      <c r="CJ230" t="s">
        <v>25</v>
      </c>
      <c r="CK230" t="s">
        <v>25</v>
      </c>
      <c r="CL230" t="s">
        <v>25</v>
      </c>
      <c r="CM230" t="s">
        <v>25</v>
      </c>
      <c r="CN230" t="s">
        <v>25</v>
      </c>
      <c r="CO230" t="s">
        <v>25</v>
      </c>
      <c r="CP230" t="s">
        <v>25</v>
      </c>
      <c r="CQ230" t="s">
        <v>25</v>
      </c>
      <c r="CR230" t="s">
        <v>25</v>
      </c>
      <c r="CS230" t="s">
        <v>25</v>
      </c>
      <c r="CT230" t="s">
        <v>25</v>
      </c>
      <c r="CU230" t="s">
        <v>25</v>
      </c>
      <c r="CV230" t="s">
        <v>25</v>
      </c>
      <c r="CW230" t="s">
        <v>25</v>
      </c>
      <c r="CX230" t="s">
        <v>25</v>
      </c>
      <c r="CY230" t="s">
        <v>25</v>
      </c>
      <c r="CZ230" t="s">
        <v>25</v>
      </c>
      <c r="DA230" t="s">
        <v>25</v>
      </c>
      <c r="DB230" t="s">
        <v>25</v>
      </c>
      <c r="DC230" t="s">
        <v>25</v>
      </c>
      <c r="DD230" t="s">
        <v>25</v>
      </c>
      <c r="DE230" t="s">
        <v>25</v>
      </c>
      <c r="DF230" t="s">
        <v>47</v>
      </c>
      <c r="DG230" t="s">
        <v>25</v>
      </c>
      <c r="DH230" t="s">
        <v>25</v>
      </c>
      <c r="DI230" t="s">
        <v>25</v>
      </c>
      <c r="DJ230" s="76">
        <v>0</v>
      </c>
      <c r="DK230" s="73">
        <v>0</v>
      </c>
      <c r="DL230" s="73">
        <v>525</v>
      </c>
      <c r="DM230" s="73">
        <v>-525</v>
      </c>
      <c r="DU230"/>
      <c r="DZ230" s="73">
        <v>730</v>
      </c>
      <c r="EA230" s="73">
        <v>0</v>
      </c>
      <c r="EB230" s="73">
        <v>730</v>
      </c>
      <c r="EC230" s="65" t="s">
        <v>126</v>
      </c>
    </row>
    <row r="231" spans="1:133" ht="12" customHeight="1" x14ac:dyDescent="0.2">
      <c r="A231" t="s">
        <v>2936</v>
      </c>
      <c r="B231" t="s">
        <v>2946</v>
      </c>
      <c r="C231" t="str">
        <f t="shared" si="11"/>
        <v>Full</v>
      </c>
      <c r="D231" t="s">
        <v>2943</v>
      </c>
      <c r="E231" s="65">
        <v>3756</v>
      </c>
      <c r="F231" t="s">
        <v>1756</v>
      </c>
      <c r="G231" s="71" t="s">
        <v>3947</v>
      </c>
      <c r="H231" s="67">
        <v>6.7000001668930095E-2</v>
      </c>
      <c r="I231" s="65">
        <v>529208</v>
      </c>
      <c r="J231" s="65">
        <v>177206</v>
      </c>
      <c r="L231" s="65" t="s">
        <v>622</v>
      </c>
      <c r="M231" s="65" t="s">
        <v>27</v>
      </c>
      <c r="N231" s="69">
        <v>42411</v>
      </c>
      <c r="O231" s="69">
        <v>42438</v>
      </c>
      <c r="R231" s="65" t="s">
        <v>28</v>
      </c>
      <c r="U231" t="s">
        <v>623</v>
      </c>
      <c r="V231" t="s">
        <v>3209</v>
      </c>
      <c r="W231" s="65" t="s">
        <v>21</v>
      </c>
      <c r="X231" s="65" t="s">
        <v>21</v>
      </c>
      <c r="Y231" s="65" t="s">
        <v>35</v>
      </c>
      <c r="AA231" s="69">
        <v>42826</v>
      </c>
      <c r="AB231" s="69">
        <v>43190</v>
      </c>
      <c r="AC231" s="69">
        <v>43190</v>
      </c>
      <c r="AD231" s="65" t="s">
        <v>23</v>
      </c>
      <c r="AE231" s="65" t="s">
        <v>24</v>
      </c>
      <c r="AH231" s="69">
        <f t="shared" si="10"/>
        <v>42826</v>
      </c>
      <c r="AI231" s="69">
        <f t="shared" si="9"/>
        <v>43190</v>
      </c>
      <c r="AJ231" s="73">
        <v>70</v>
      </c>
      <c r="AO231" s="73">
        <v>70</v>
      </c>
      <c r="BO231" s="185" t="s">
        <v>126</v>
      </c>
      <c r="BP231" s="185" t="s">
        <v>3794</v>
      </c>
      <c r="BQ231" s="185" t="s">
        <v>3794</v>
      </c>
      <c r="BR231" s="73">
        <v>70</v>
      </c>
      <c r="BW231" s="73">
        <v>70</v>
      </c>
      <c r="BY231" s="185" t="s">
        <v>3794</v>
      </c>
      <c r="CJ231" t="s">
        <v>40</v>
      </c>
      <c r="CK231" t="s">
        <v>25</v>
      </c>
      <c r="CL231" t="s">
        <v>25</v>
      </c>
      <c r="CM231" t="s">
        <v>25</v>
      </c>
      <c r="CN231" t="s">
        <v>25</v>
      </c>
      <c r="CO231" t="s">
        <v>25</v>
      </c>
      <c r="CP231" t="s">
        <v>25</v>
      </c>
      <c r="CQ231" t="s">
        <v>25</v>
      </c>
      <c r="CR231" t="s">
        <v>25</v>
      </c>
      <c r="CS231" t="s">
        <v>25</v>
      </c>
      <c r="CT231" t="s">
        <v>25</v>
      </c>
      <c r="CU231" t="s">
        <v>25</v>
      </c>
      <c r="CV231" t="s">
        <v>25</v>
      </c>
      <c r="CW231" t="s">
        <v>25</v>
      </c>
      <c r="CX231" t="s">
        <v>25</v>
      </c>
      <c r="CY231" t="s">
        <v>25</v>
      </c>
      <c r="CZ231" t="s">
        <v>25</v>
      </c>
      <c r="DA231" t="s">
        <v>25</v>
      </c>
      <c r="DB231" t="s">
        <v>25</v>
      </c>
      <c r="DC231" t="s">
        <v>25</v>
      </c>
      <c r="DD231" t="s">
        <v>25</v>
      </c>
      <c r="DE231" t="s">
        <v>25</v>
      </c>
      <c r="DF231" t="s">
        <v>25</v>
      </c>
      <c r="DG231" t="s">
        <v>25</v>
      </c>
      <c r="DH231" t="s">
        <v>25</v>
      </c>
      <c r="DI231" t="s">
        <v>25</v>
      </c>
      <c r="DJ231" s="76">
        <v>6.7000001668930095E-2</v>
      </c>
      <c r="DK231" s="73">
        <v>70</v>
      </c>
      <c r="DL231" s="73">
        <v>70</v>
      </c>
      <c r="DM231" s="73">
        <v>0</v>
      </c>
      <c r="DU231" s="65" t="s">
        <v>126</v>
      </c>
      <c r="DZ231" s="73">
        <v>0</v>
      </c>
      <c r="EA231" s="73">
        <v>0</v>
      </c>
      <c r="EB231" s="73">
        <v>0</v>
      </c>
    </row>
    <row r="232" spans="1:133" ht="12" customHeight="1" x14ac:dyDescent="0.2">
      <c r="A232" t="s">
        <v>2937</v>
      </c>
      <c r="B232" t="s">
        <v>2946</v>
      </c>
      <c r="C232" t="str">
        <f t="shared" si="11"/>
        <v>Full</v>
      </c>
      <c r="E232" s="65">
        <v>3779</v>
      </c>
      <c r="F232" t="s">
        <v>1757</v>
      </c>
      <c r="G232" s="71" t="s">
        <v>3942</v>
      </c>
      <c r="H232" s="67">
        <v>4.0000001899898104E-3</v>
      </c>
      <c r="I232" s="65">
        <v>527389</v>
      </c>
      <c r="J232" s="65">
        <v>175139</v>
      </c>
      <c r="L232" s="65" t="s">
        <v>701</v>
      </c>
      <c r="M232" s="65" t="s">
        <v>27</v>
      </c>
      <c r="N232" s="69">
        <v>41810</v>
      </c>
      <c r="O232" s="69">
        <v>41866</v>
      </c>
      <c r="R232" s="65" t="s">
        <v>28</v>
      </c>
      <c r="U232" t="s">
        <v>702</v>
      </c>
      <c r="V232" t="s">
        <v>3210</v>
      </c>
      <c r="W232" s="65" t="s">
        <v>34</v>
      </c>
      <c r="X232" s="65" t="s">
        <v>29</v>
      </c>
      <c r="Y232" s="65" t="s">
        <v>69</v>
      </c>
      <c r="AD232" s="65" t="s">
        <v>23</v>
      </c>
      <c r="AE232" s="65" t="s">
        <v>24</v>
      </c>
      <c r="AN232" s="73">
        <v>52</v>
      </c>
      <c r="AO232" s="73">
        <v>52</v>
      </c>
      <c r="BD232" s="73">
        <v>37</v>
      </c>
      <c r="BE232" s="73">
        <v>37</v>
      </c>
      <c r="BO232" s="185" t="s">
        <v>126</v>
      </c>
      <c r="BP232" s="185" t="s">
        <v>3794</v>
      </c>
      <c r="BQ232" s="185" t="s">
        <v>3794</v>
      </c>
      <c r="BV232" s="73">
        <v>15</v>
      </c>
      <c r="BW232" s="73">
        <v>15</v>
      </c>
      <c r="BY232" s="185" t="s">
        <v>3794</v>
      </c>
      <c r="CJ232" t="s">
        <v>25</v>
      </c>
      <c r="CK232" t="s">
        <v>25</v>
      </c>
      <c r="CL232" t="s">
        <v>25</v>
      </c>
      <c r="CM232" t="s">
        <v>25</v>
      </c>
      <c r="CN232" t="s">
        <v>65</v>
      </c>
      <c r="CO232" t="s">
        <v>25</v>
      </c>
      <c r="CP232" t="s">
        <v>25</v>
      </c>
      <c r="CQ232" t="s">
        <v>25</v>
      </c>
      <c r="CR232" t="s">
        <v>25</v>
      </c>
      <c r="CS232" t="s">
        <v>25</v>
      </c>
      <c r="CT232" t="s">
        <v>25</v>
      </c>
      <c r="CU232" t="s">
        <v>25</v>
      </c>
      <c r="CV232" t="s">
        <v>25</v>
      </c>
      <c r="CW232" t="s">
        <v>25</v>
      </c>
      <c r="CX232" t="s">
        <v>25</v>
      </c>
      <c r="CY232" t="s">
        <v>25</v>
      </c>
      <c r="CZ232" t="s">
        <v>25</v>
      </c>
      <c r="DA232" t="s">
        <v>47</v>
      </c>
      <c r="DB232" t="s">
        <v>25</v>
      </c>
      <c r="DC232" t="s">
        <v>25</v>
      </c>
      <c r="DD232" t="s">
        <v>25</v>
      </c>
      <c r="DE232" t="s">
        <v>25</v>
      </c>
      <c r="DF232" t="s">
        <v>25</v>
      </c>
      <c r="DG232" t="s">
        <v>25</v>
      </c>
      <c r="DH232" t="s">
        <v>25</v>
      </c>
      <c r="DI232" t="s">
        <v>25</v>
      </c>
      <c r="DJ232" s="76">
        <v>4.0000001899898104E-3</v>
      </c>
      <c r="DK232" s="73">
        <v>52</v>
      </c>
      <c r="DL232" s="73">
        <v>37</v>
      </c>
      <c r="DM232" s="73">
        <v>15</v>
      </c>
      <c r="DU232"/>
      <c r="DV232" s="65" t="s">
        <v>126</v>
      </c>
      <c r="DW232" t="s">
        <v>132</v>
      </c>
      <c r="DZ232" s="73">
        <v>0</v>
      </c>
      <c r="EA232" s="73">
        <v>0</v>
      </c>
      <c r="EB232" s="73">
        <v>0</v>
      </c>
    </row>
    <row r="233" spans="1:133" ht="12" customHeight="1" x14ac:dyDescent="0.2">
      <c r="A233" t="s">
        <v>2938</v>
      </c>
      <c r="B233" t="s">
        <v>2946</v>
      </c>
      <c r="C233" t="str">
        <f t="shared" si="11"/>
        <v>Full</v>
      </c>
      <c r="E233" s="65">
        <v>3801</v>
      </c>
      <c r="F233" t="s">
        <v>1758</v>
      </c>
      <c r="G233" s="71" t="s">
        <v>3952</v>
      </c>
      <c r="H233" s="67">
        <v>1.60000007599592E-2</v>
      </c>
      <c r="I233" s="65">
        <v>527923</v>
      </c>
      <c r="J233" s="65">
        <v>172241</v>
      </c>
      <c r="L233" s="65" t="s">
        <v>1759</v>
      </c>
      <c r="M233" s="65" t="s">
        <v>172</v>
      </c>
      <c r="N233" s="69">
        <v>43046</v>
      </c>
      <c r="R233" s="65" t="s">
        <v>28</v>
      </c>
      <c r="U233" t="s">
        <v>1760</v>
      </c>
      <c r="V233" t="s">
        <v>3211</v>
      </c>
      <c r="W233" s="65" t="s">
        <v>21</v>
      </c>
      <c r="X233" s="65" t="s">
        <v>21</v>
      </c>
      <c r="Y233" s="65" t="s">
        <v>69</v>
      </c>
      <c r="AD233" s="65" t="s">
        <v>173</v>
      </c>
      <c r="AE233" s="65" t="s">
        <v>24</v>
      </c>
      <c r="AL233" s="73">
        <v>147</v>
      </c>
      <c r="AO233" s="73">
        <v>147</v>
      </c>
      <c r="BB233" s="73">
        <v>147</v>
      </c>
      <c r="BE233" s="73">
        <v>147</v>
      </c>
      <c r="BO233" s="185" t="s">
        <v>126</v>
      </c>
      <c r="BP233" s="185" t="s">
        <v>3794</v>
      </c>
      <c r="BQ233" s="185" t="s">
        <v>3794</v>
      </c>
      <c r="BW233" s="73"/>
      <c r="BY233" s="185" t="s">
        <v>3794</v>
      </c>
      <c r="CJ233" t="s">
        <v>25</v>
      </c>
      <c r="CK233" t="s">
        <v>25</v>
      </c>
      <c r="CL233" t="s">
        <v>38</v>
      </c>
      <c r="CM233" t="s">
        <v>25</v>
      </c>
      <c r="CN233" t="s">
        <v>25</v>
      </c>
      <c r="CO233" t="s">
        <v>25</v>
      </c>
      <c r="CP233" t="s">
        <v>25</v>
      </c>
      <c r="CQ233" t="s">
        <v>25</v>
      </c>
      <c r="CR233" t="s">
        <v>25</v>
      </c>
      <c r="CS233" t="s">
        <v>25</v>
      </c>
      <c r="CT233" t="s">
        <v>25</v>
      </c>
      <c r="CU233" t="s">
        <v>25</v>
      </c>
      <c r="CV233" t="s">
        <v>25</v>
      </c>
      <c r="CW233" t="s">
        <v>25</v>
      </c>
      <c r="CX233" t="s">
        <v>25</v>
      </c>
      <c r="CY233" t="s">
        <v>38</v>
      </c>
      <c r="CZ233" t="s">
        <v>25</v>
      </c>
      <c r="DA233" t="s">
        <v>25</v>
      </c>
      <c r="DB233" t="s">
        <v>25</v>
      </c>
      <c r="DC233" t="s">
        <v>25</v>
      </c>
      <c r="DD233" t="s">
        <v>25</v>
      </c>
      <c r="DE233" t="s">
        <v>25</v>
      </c>
      <c r="DF233" t="s">
        <v>25</v>
      </c>
      <c r="DG233" t="s">
        <v>25</v>
      </c>
      <c r="DH233" t="s">
        <v>25</v>
      </c>
      <c r="DI233" t="s">
        <v>25</v>
      </c>
      <c r="DJ233" s="76">
        <v>1.60000007599592E-2</v>
      </c>
      <c r="DK233" s="73">
        <v>147</v>
      </c>
      <c r="DL233" s="73">
        <v>147</v>
      </c>
      <c r="DM233" s="73">
        <v>0</v>
      </c>
      <c r="DU233"/>
      <c r="DZ233" s="73">
        <v>0</v>
      </c>
      <c r="EA233" s="73">
        <v>0</v>
      </c>
      <c r="EB233" s="73">
        <v>0</v>
      </c>
    </row>
    <row r="234" spans="1:133" ht="12" customHeight="1" x14ac:dyDescent="0.2">
      <c r="A234" t="s">
        <v>2937</v>
      </c>
      <c r="B234" t="s">
        <v>2946</v>
      </c>
      <c r="C234" t="str">
        <f t="shared" si="11"/>
        <v>Full</v>
      </c>
      <c r="E234" s="65">
        <v>3832</v>
      </c>
      <c r="F234" t="s">
        <v>1761</v>
      </c>
      <c r="G234" s="71" t="s">
        <v>2904</v>
      </c>
      <c r="H234" s="67">
        <v>1.30000002682209E-2</v>
      </c>
      <c r="I234" s="65">
        <v>526244</v>
      </c>
      <c r="J234" s="65">
        <v>172186</v>
      </c>
      <c r="L234" s="65" t="s">
        <v>961</v>
      </c>
      <c r="M234" s="65" t="s">
        <v>27</v>
      </c>
      <c r="N234" s="69">
        <v>42576</v>
      </c>
      <c r="O234" s="69">
        <v>42626</v>
      </c>
      <c r="R234" s="65" t="s">
        <v>28</v>
      </c>
      <c r="U234" t="s">
        <v>962</v>
      </c>
      <c r="V234" t="s">
        <v>3212</v>
      </c>
      <c r="W234" s="65" t="s">
        <v>34</v>
      </c>
      <c r="X234" s="65" t="s">
        <v>29</v>
      </c>
      <c r="Y234" s="65" t="s">
        <v>69</v>
      </c>
      <c r="AD234" s="65" t="s">
        <v>23</v>
      </c>
      <c r="AE234" s="65" t="s">
        <v>24</v>
      </c>
      <c r="AL234" s="73">
        <v>100</v>
      </c>
      <c r="AO234" s="73">
        <v>100</v>
      </c>
      <c r="AZ234" s="73">
        <v>50</v>
      </c>
      <c r="BE234" s="73">
        <v>50</v>
      </c>
      <c r="BO234" s="185" t="s">
        <v>126</v>
      </c>
      <c r="BP234" s="185" t="s">
        <v>3794</v>
      </c>
      <c r="BQ234" s="185" t="s">
        <v>3794</v>
      </c>
      <c r="BR234" s="73">
        <v>-50</v>
      </c>
      <c r="BT234" s="73">
        <v>100</v>
      </c>
      <c r="BW234" s="73">
        <v>50</v>
      </c>
      <c r="BY234" s="185" t="s">
        <v>3794</v>
      </c>
      <c r="CJ234" t="s">
        <v>25</v>
      </c>
      <c r="CK234" t="s">
        <v>25</v>
      </c>
      <c r="CL234" t="s">
        <v>38</v>
      </c>
      <c r="CM234" t="s">
        <v>25</v>
      </c>
      <c r="CN234" t="s">
        <v>25</v>
      </c>
      <c r="CO234" t="s">
        <v>25</v>
      </c>
      <c r="CP234" t="s">
        <v>25</v>
      </c>
      <c r="CQ234" t="s">
        <v>25</v>
      </c>
      <c r="CR234" t="s">
        <v>25</v>
      </c>
      <c r="CS234" t="s">
        <v>25</v>
      </c>
      <c r="CT234" t="s">
        <v>25</v>
      </c>
      <c r="CU234" t="s">
        <v>25</v>
      </c>
      <c r="CV234" t="s">
        <v>25</v>
      </c>
      <c r="CW234" t="s">
        <v>49</v>
      </c>
      <c r="CX234" t="s">
        <v>25</v>
      </c>
      <c r="CY234" t="s">
        <v>25</v>
      </c>
      <c r="CZ234" t="s">
        <v>25</v>
      </c>
      <c r="DA234" t="s">
        <v>25</v>
      </c>
      <c r="DB234" t="s">
        <v>25</v>
      </c>
      <c r="DC234" t="s">
        <v>25</v>
      </c>
      <c r="DD234" t="s">
        <v>25</v>
      </c>
      <c r="DE234" t="s">
        <v>25</v>
      </c>
      <c r="DF234" t="s">
        <v>25</v>
      </c>
      <c r="DG234" t="s">
        <v>25</v>
      </c>
      <c r="DH234" t="s">
        <v>25</v>
      </c>
      <c r="DI234" t="s">
        <v>25</v>
      </c>
      <c r="DJ234" s="76">
        <v>1.30000002682209E-2</v>
      </c>
      <c r="DK234" s="73">
        <v>100</v>
      </c>
      <c r="DL234" s="73">
        <v>50</v>
      </c>
      <c r="DM234" s="73">
        <v>50</v>
      </c>
      <c r="DU234"/>
      <c r="DZ234" s="73">
        <v>0</v>
      </c>
      <c r="EA234" s="73">
        <v>0</v>
      </c>
      <c r="EB234" s="73">
        <v>0</v>
      </c>
    </row>
    <row r="235" spans="1:133" ht="12" customHeight="1" x14ac:dyDescent="0.2">
      <c r="A235" t="s">
        <v>2936</v>
      </c>
      <c r="B235" t="s">
        <v>2946</v>
      </c>
      <c r="C235" t="str">
        <f t="shared" si="11"/>
        <v>Full</v>
      </c>
      <c r="D235" t="s">
        <v>2943</v>
      </c>
      <c r="E235" s="65">
        <v>3845</v>
      </c>
      <c r="F235" t="s">
        <v>1762</v>
      </c>
      <c r="G235" s="71" t="s">
        <v>3941</v>
      </c>
      <c r="H235" s="67">
        <v>1.09999999403954E-2</v>
      </c>
      <c r="I235" s="65">
        <v>528714</v>
      </c>
      <c r="J235" s="65">
        <v>173055</v>
      </c>
      <c r="L235" s="65" t="s">
        <v>885</v>
      </c>
      <c r="M235" s="65" t="s">
        <v>27</v>
      </c>
      <c r="N235" s="69">
        <v>42509</v>
      </c>
      <c r="O235" s="69">
        <v>42600</v>
      </c>
      <c r="R235" s="65" t="s">
        <v>28</v>
      </c>
      <c r="U235" t="s">
        <v>886</v>
      </c>
      <c r="V235" t="s">
        <v>3213</v>
      </c>
      <c r="W235" s="65" t="s">
        <v>34</v>
      </c>
      <c r="X235" s="65" t="s">
        <v>29</v>
      </c>
      <c r="Y235" s="65" t="s">
        <v>35</v>
      </c>
      <c r="AA235" s="69">
        <v>42677</v>
      </c>
      <c r="AB235" s="69">
        <v>42943</v>
      </c>
      <c r="AC235" s="69">
        <v>42943</v>
      </c>
      <c r="AD235" s="65" t="s">
        <v>23</v>
      </c>
      <c r="AE235" s="65" t="s">
        <v>24</v>
      </c>
      <c r="AH235" s="69">
        <f t="shared" si="10"/>
        <v>42677</v>
      </c>
      <c r="AI235" s="69">
        <f t="shared" si="9"/>
        <v>42943</v>
      </c>
      <c r="AZ235" s="73">
        <v>75</v>
      </c>
      <c r="BE235" s="73">
        <v>75</v>
      </c>
      <c r="BO235" s="185" t="s">
        <v>126</v>
      </c>
      <c r="BP235" s="185" t="s">
        <v>3794</v>
      </c>
      <c r="BQ235" s="185" t="s">
        <v>3794</v>
      </c>
      <c r="BR235" s="73">
        <v>-75</v>
      </c>
      <c r="BW235" s="73">
        <v>-75</v>
      </c>
      <c r="BY235" s="185" t="s">
        <v>3794</v>
      </c>
      <c r="CJ235" t="s">
        <v>25</v>
      </c>
      <c r="CK235" t="s">
        <v>25</v>
      </c>
      <c r="CL235" t="s">
        <v>25</v>
      </c>
      <c r="CM235" t="s">
        <v>25</v>
      </c>
      <c r="CN235" t="s">
        <v>25</v>
      </c>
      <c r="CO235" t="s">
        <v>25</v>
      </c>
      <c r="CP235" t="s">
        <v>25</v>
      </c>
      <c r="CQ235" t="s">
        <v>25</v>
      </c>
      <c r="CR235" t="s">
        <v>25</v>
      </c>
      <c r="CS235" t="s">
        <v>25</v>
      </c>
      <c r="CT235" t="s">
        <v>25</v>
      </c>
      <c r="CU235" t="s">
        <v>25</v>
      </c>
      <c r="CV235" t="s">
        <v>25</v>
      </c>
      <c r="CW235" t="s">
        <v>31</v>
      </c>
      <c r="CX235" t="s">
        <v>25</v>
      </c>
      <c r="CY235" t="s">
        <v>25</v>
      </c>
      <c r="CZ235" t="s">
        <v>25</v>
      </c>
      <c r="DA235" t="s">
        <v>25</v>
      </c>
      <c r="DB235" t="s">
        <v>25</v>
      </c>
      <c r="DC235" t="s">
        <v>25</v>
      </c>
      <c r="DD235" t="s">
        <v>25</v>
      </c>
      <c r="DE235" t="s">
        <v>25</v>
      </c>
      <c r="DF235" t="s">
        <v>25</v>
      </c>
      <c r="DG235" t="s">
        <v>25</v>
      </c>
      <c r="DH235" t="s">
        <v>25</v>
      </c>
      <c r="DI235" t="s">
        <v>25</v>
      </c>
      <c r="DJ235" s="76">
        <v>6.9999997504055899E-3</v>
      </c>
      <c r="DK235" s="73">
        <v>0</v>
      </c>
      <c r="DL235" s="73">
        <v>75</v>
      </c>
      <c r="DM235" s="73">
        <v>-75</v>
      </c>
      <c r="DU235"/>
      <c r="DZ235" s="73">
        <v>78</v>
      </c>
      <c r="EA235" s="73">
        <v>0</v>
      </c>
      <c r="EB235" s="73">
        <v>78</v>
      </c>
      <c r="EC235" s="65" t="s">
        <v>126</v>
      </c>
    </row>
    <row r="236" spans="1:133" ht="12" customHeight="1" x14ac:dyDescent="0.2">
      <c r="A236" t="s">
        <v>2937</v>
      </c>
      <c r="B236" t="s">
        <v>2948</v>
      </c>
      <c r="C236" t="str">
        <f t="shared" si="11"/>
        <v>Prior Approval</v>
      </c>
      <c r="E236" s="65">
        <v>3860</v>
      </c>
      <c r="F236" t="s">
        <v>1763</v>
      </c>
      <c r="G236" s="71" t="s">
        <v>2907</v>
      </c>
      <c r="H236" s="67">
        <v>4.6000000089407002E-2</v>
      </c>
      <c r="I236" s="65">
        <v>525273</v>
      </c>
      <c r="J236" s="65">
        <v>174622</v>
      </c>
      <c r="L236" s="65" t="s">
        <v>1764</v>
      </c>
      <c r="M236" s="65" t="s">
        <v>244</v>
      </c>
      <c r="N236" s="69">
        <v>42900</v>
      </c>
      <c r="O236" s="69">
        <v>42948</v>
      </c>
      <c r="P236" s="65" t="s">
        <v>126</v>
      </c>
      <c r="R236" s="65" t="s">
        <v>28</v>
      </c>
      <c r="U236" t="s">
        <v>1765</v>
      </c>
      <c r="V236" t="s">
        <v>3214</v>
      </c>
      <c r="W236" s="65" t="s">
        <v>21</v>
      </c>
      <c r="X236" s="65" t="s">
        <v>21</v>
      </c>
      <c r="Y236" s="65" t="s">
        <v>69</v>
      </c>
      <c r="AD236" s="65" t="s">
        <v>23</v>
      </c>
      <c r="AE236" s="65" t="s">
        <v>24</v>
      </c>
      <c r="BF236" s="73">
        <v>207</v>
      </c>
      <c r="BK236" s="73">
        <v>207</v>
      </c>
      <c r="BO236" s="185" t="s">
        <v>3794</v>
      </c>
      <c r="BP236" s="185" t="s">
        <v>126</v>
      </c>
      <c r="BQ236" s="185" t="s">
        <v>3794</v>
      </c>
      <c r="BW236" s="73"/>
      <c r="BX236" s="73">
        <v>-207</v>
      </c>
      <c r="BY236" s="185" t="s">
        <v>126</v>
      </c>
      <c r="CD236" s="73">
        <v>-207</v>
      </c>
      <c r="CE236" s="65" t="s">
        <v>126</v>
      </c>
      <c r="CJ236" t="s">
        <v>25</v>
      </c>
      <c r="CK236" t="s">
        <v>25</v>
      </c>
      <c r="CL236" t="s">
        <v>25</v>
      </c>
      <c r="CM236" t="s">
        <v>25</v>
      </c>
      <c r="CN236" t="s">
        <v>25</v>
      </c>
      <c r="CO236" t="s">
        <v>25</v>
      </c>
      <c r="CP236" t="s">
        <v>25</v>
      </c>
      <c r="CQ236" t="s">
        <v>25</v>
      </c>
      <c r="CR236" t="s">
        <v>25</v>
      </c>
      <c r="CS236" t="s">
        <v>25</v>
      </c>
      <c r="CT236" t="s">
        <v>25</v>
      </c>
      <c r="CU236" t="s">
        <v>25</v>
      </c>
      <c r="CV236" t="s">
        <v>25</v>
      </c>
      <c r="CW236" t="s">
        <v>25</v>
      </c>
      <c r="CX236" t="s">
        <v>25</v>
      </c>
      <c r="CY236" t="s">
        <v>25</v>
      </c>
      <c r="CZ236" t="s">
        <v>25</v>
      </c>
      <c r="DA236" t="s">
        <v>25</v>
      </c>
      <c r="DB236" t="s">
        <v>49</v>
      </c>
      <c r="DC236" t="s">
        <v>25</v>
      </c>
      <c r="DD236" t="s">
        <v>25</v>
      </c>
      <c r="DE236" t="s">
        <v>25</v>
      </c>
      <c r="DF236" t="s">
        <v>25</v>
      </c>
      <c r="DG236" t="s">
        <v>25</v>
      </c>
      <c r="DH236" t="s">
        <v>25</v>
      </c>
      <c r="DI236" t="s">
        <v>25</v>
      </c>
      <c r="DJ236" s="76">
        <v>0</v>
      </c>
      <c r="DK236" s="73">
        <v>0</v>
      </c>
      <c r="DL236" s="73">
        <v>207</v>
      </c>
      <c r="DM236" s="73">
        <v>-207</v>
      </c>
      <c r="DU236"/>
      <c r="DZ236" s="73">
        <v>207</v>
      </c>
      <c r="EA236" s="73">
        <v>0</v>
      </c>
      <c r="EB236" s="73">
        <v>207</v>
      </c>
      <c r="EC236" s="65" t="s">
        <v>126</v>
      </c>
    </row>
    <row r="237" spans="1:133" ht="12" customHeight="1" x14ac:dyDescent="0.2">
      <c r="A237" t="s">
        <v>2935</v>
      </c>
      <c r="B237" t="s">
        <v>2946</v>
      </c>
      <c r="C237" t="str">
        <f t="shared" si="11"/>
        <v>Full</v>
      </c>
      <c r="E237" s="65">
        <v>3902</v>
      </c>
      <c r="F237" t="s">
        <v>1766</v>
      </c>
      <c r="G237" s="71" t="s">
        <v>3948</v>
      </c>
      <c r="H237" s="67">
        <v>0.26300001144409202</v>
      </c>
      <c r="I237" s="65">
        <v>526710</v>
      </c>
      <c r="J237" s="65">
        <v>175659</v>
      </c>
      <c r="K237" s="65" t="s">
        <v>1767</v>
      </c>
      <c r="L237" s="65" t="s">
        <v>57</v>
      </c>
      <c r="M237" s="65" t="s">
        <v>33</v>
      </c>
      <c r="N237" s="69">
        <v>39931</v>
      </c>
      <c r="O237" s="69">
        <v>40921</v>
      </c>
      <c r="Q237" s="69">
        <v>40283</v>
      </c>
      <c r="R237" s="65" t="s">
        <v>28</v>
      </c>
      <c r="U237" t="s">
        <v>639</v>
      </c>
      <c r="V237" t="s">
        <v>3215</v>
      </c>
      <c r="W237" s="65" t="s">
        <v>29</v>
      </c>
      <c r="X237" s="65" t="s">
        <v>29</v>
      </c>
      <c r="Y237" s="65" t="s">
        <v>30</v>
      </c>
      <c r="AA237" s="69">
        <v>41729</v>
      </c>
      <c r="AD237" s="65" t="s">
        <v>23</v>
      </c>
      <c r="AE237" s="65" t="s">
        <v>24</v>
      </c>
      <c r="AH237" s="69">
        <f t="shared" si="10"/>
        <v>41729</v>
      </c>
      <c r="AW237" s="73">
        <v>1250</v>
      </c>
      <c r="AY237" s="73">
        <v>1250</v>
      </c>
      <c r="AZ237" s="73">
        <v>200</v>
      </c>
      <c r="BE237" s="73">
        <v>200</v>
      </c>
      <c r="BL237" s="73">
        <v>494</v>
      </c>
      <c r="BN237" s="73">
        <v>494</v>
      </c>
      <c r="BO237" s="185" t="s">
        <v>126</v>
      </c>
      <c r="BP237" s="185" t="s">
        <v>3794</v>
      </c>
      <c r="BQ237" s="185" t="s">
        <v>126</v>
      </c>
      <c r="BR237" s="73">
        <v>-200</v>
      </c>
      <c r="BW237" s="73">
        <v>-200</v>
      </c>
      <c r="BY237" s="185" t="s">
        <v>3794</v>
      </c>
      <c r="CG237" s="73">
        <v>756</v>
      </c>
      <c r="CI237" s="73">
        <v>756</v>
      </c>
      <c r="CJ237" t="s">
        <v>25</v>
      </c>
      <c r="CK237" t="s">
        <v>25</v>
      </c>
      <c r="CL237" t="s">
        <v>25</v>
      </c>
      <c r="CM237" t="s">
        <v>25</v>
      </c>
      <c r="CN237" t="s">
        <v>25</v>
      </c>
      <c r="CO237" t="s">
        <v>25</v>
      </c>
      <c r="CP237" t="s">
        <v>25</v>
      </c>
      <c r="CQ237" t="s">
        <v>25</v>
      </c>
      <c r="CR237" t="s">
        <v>25</v>
      </c>
      <c r="CS237" t="s">
        <v>25</v>
      </c>
      <c r="CT237" t="s">
        <v>25</v>
      </c>
      <c r="CU237" t="s">
        <v>37</v>
      </c>
      <c r="CV237" t="s">
        <v>25</v>
      </c>
      <c r="CW237" t="s">
        <v>31</v>
      </c>
      <c r="CX237" t="s">
        <v>25</v>
      </c>
      <c r="CY237" t="s">
        <v>25</v>
      </c>
      <c r="CZ237" t="s">
        <v>25</v>
      </c>
      <c r="DA237" t="s">
        <v>25</v>
      </c>
      <c r="DB237" t="s">
        <v>25</v>
      </c>
      <c r="DC237" t="s">
        <v>25</v>
      </c>
      <c r="DD237" t="s">
        <v>25</v>
      </c>
      <c r="DE237" t="s">
        <v>25</v>
      </c>
      <c r="DF237" t="s">
        <v>25</v>
      </c>
      <c r="DG237" t="s">
        <v>25</v>
      </c>
      <c r="DH237" t="s">
        <v>37</v>
      </c>
      <c r="DI237" t="s">
        <v>25</v>
      </c>
      <c r="DJ237" s="76">
        <v>0.15700000897049904</v>
      </c>
      <c r="DK237" s="73">
        <v>1250</v>
      </c>
      <c r="DL237" s="73">
        <v>694</v>
      </c>
      <c r="DM237" s="73">
        <v>556</v>
      </c>
      <c r="DU237"/>
      <c r="DZ237" s="73">
        <v>4569</v>
      </c>
      <c r="EA237" s="73">
        <v>363</v>
      </c>
      <c r="EB237" s="73">
        <v>4206</v>
      </c>
      <c r="EC237" s="65" t="s">
        <v>126</v>
      </c>
    </row>
    <row r="238" spans="1:133" ht="12" customHeight="1" x14ac:dyDescent="0.2">
      <c r="A238" t="s">
        <v>2937</v>
      </c>
      <c r="B238" t="s">
        <v>2946</v>
      </c>
      <c r="C238" t="str">
        <f t="shared" si="11"/>
        <v>Full</v>
      </c>
      <c r="E238" s="65">
        <v>3906</v>
      </c>
      <c r="F238" t="s">
        <v>1768</v>
      </c>
      <c r="G238" s="71" t="s">
        <v>149</v>
      </c>
      <c r="H238" s="67">
        <v>1.2000000104308101E-2</v>
      </c>
      <c r="I238" s="65">
        <v>528674</v>
      </c>
      <c r="J238" s="65">
        <v>173583</v>
      </c>
      <c r="L238" s="65" t="s">
        <v>751</v>
      </c>
      <c r="M238" s="65" t="s">
        <v>27</v>
      </c>
      <c r="N238" s="69">
        <v>42156</v>
      </c>
      <c r="O238" s="69">
        <v>42212</v>
      </c>
      <c r="R238" s="65" t="s">
        <v>28</v>
      </c>
      <c r="U238" t="s">
        <v>752</v>
      </c>
      <c r="V238" t="s">
        <v>3216</v>
      </c>
      <c r="W238" s="65" t="s">
        <v>39</v>
      </c>
      <c r="X238" s="65" t="s">
        <v>39</v>
      </c>
      <c r="Y238" s="65" t="s">
        <v>69</v>
      </c>
      <c r="AD238" s="65" t="s">
        <v>23</v>
      </c>
      <c r="AE238" s="65" t="s">
        <v>24</v>
      </c>
      <c r="AU238" s="73">
        <v>18</v>
      </c>
      <c r="AV238" s="73">
        <v>18</v>
      </c>
      <c r="BO238" s="185" t="s">
        <v>3794</v>
      </c>
      <c r="BP238" s="185" t="s">
        <v>126</v>
      </c>
      <c r="BQ238" s="185" t="s">
        <v>3794</v>
      </c>
      <c r="BW238" s="73"/>
      <c r="BY238" s="185" t="s">
        <v>3794</v>
      </c>
      <c r="CC238" s="73">
        <v>18</v>
      </c>
      <c r="CD238" s="73">
        <v>18</v>
      </c>
      <c r="CJ238" t="s">
        <v>25</v>
      </c>
      <c r="CK238" t="s">
        <v>25</v>
      </c>
      <c r="CL238" t="s">
        <v>25</v>
      </c>
      <c r="CM238" t="s">
        <v>25</v>
      </c>
      <c r="CN238" t="s">
        <v>25</v>
      </c>
      <c r="CO238" t="s">
        <v>25</v>
      </c>
      <c r="CP238" t="s">
        <v>25</v>
      </c>
      <c r="CQ238" t="s">
        <v>25</v>
      </c>
      <c r="CR238" t="s">
        <v>25</v>
      </c>
      <c r="CS238" t="s">
        <v>53</v>
      </c>
      <c r="CT238" t="s">
        <v>25</v>
      </c>
      <c r="CU238" t="s">
        <v>25</v>
      </c>
      <c r="CV238" t="s">
        <v>25</v>
      </c>
      <c r="CW238" t="s">
        <v>25</v>
      </c>
      <c r="CX238" t="s">
        <v>25</v>
      </c>
      <c r="CY238" t="s">
        <v>25</v>
      </c>
      <c r="CZ238" t="s">
        <v>25</v>
      </c>
      <c r="DA238" t="s">
        <v>25</v>
      </c>
      <c r="DB238" t="s">
        <v>25</v>
      </c>
      <c r="DC238" t="s">
        <v>25</v>
      </c>
      <c r="DD238" t="s">
        <v>25</v>
      </c>
      <c r="DE238" t="s">
        <v>25</v>
      </c>
      <c r="DF238" t="s">
        <v>25</v>
      </c>
      <c r="DG238" t="s">
        <v>25</v>
      </c>
      <c r="DH238" t="s">
        <v>25</v>
      </c>
      <c r="DI238" t="s">
        <v>25</v>
      </c>
      <c r="DJ238" s="76">
        <v>1.2000000104308101E-2</v>
      </c>
      <c r="DK238" s="73">
        <v>18</v>
      </c>
      <c r="DL238" s="73">
        <v>0</v>
      </c>
      <c r="DM238" s="73">
        <v>18</v>
      </c>
      <c r="DU238"/>
      <c r="DV238" s="65" t="s">
        <v>126</v>
      </c>
      <c r="DW238" t="s">
        <v>149</v>
      </c>
      <c r="DZ238" s="73">
        <v>0</v>
      </c>
      <c r="EA238" s="73">
        <v>0</v>
      </c>
      <c r="EB238" s="73">
        <v>0</v>
      </c>
    </row>
    <row r="239" spans="1:133" ht="12" customHeight="1" x14ac:dyDescent="0.2">
      <c r="A239" t="s">
        <v>2936</v>
      </c>
      <c r="B239" t="s">
        <v>2946</v>
      </c>
      <c r="C239" t="str">
        <f t="shared" si="11"/>
        <v>Full</v>
      </c>
      <c r="D239" t="s">
        <v>2943</v>
      </c>
      <c r="E239" s="65">
        <v>3922</v>
      </c>
      <c r="F239" t="s">
        <v>1769</v>
      </c>
      <c r="G239" s="71" t="s">
        <v>3947</v>
      </c>
      <c r="H239" s="67">
        <v>0.16200000047683699</v>
      </c>
      <c r="I239" s="65">
        <v>528312</v>
      </c>
      <c r="J239" s="65">
        <v>177443</v>
      </c>
      <c r="L239" s="65" t="s">
        <v>868</v>
      </c>
      <c r="M239" s="65" t="s">
        <v>27</v>
      </c>
      <c r="N239" s="69">
        <v>42545</v>
      </c>
      <c r="O239" s="69">
        <v>42598</v>
      </c>
      <c r="R239" s="65" t="s">
        <v>28</v>
      </c>
      <c r="U239" t="s">
        <v>869</v>
      </c>
      <c r="V239" t="s">
        <v>3217</v>
      </c>
      <c r="W239" s="65" t="s">
        <v>29</v>
      </c>
      <c r="X239" s="65" t="s">
        <v>29</v>
      </c>
      <c r="Y239" s="65" t="s">
        <v>35</v>
      </c>
      <c r="AA239" s="69">
        <v>42614</v>
      </c>
      <c r="AB239" s="69">
        <v>43190</v>
      </c>
      <c r="AC239" s="69">
        <v>43190</v>
      </c>
      <c r="AD239" s="65" t="s">
        <v>23</v>
      </c>
      <c r="AE239" s="65" t="s">
        <v>24</v>
      </c>
      <c r="AH239" s="69">
        <f t="shared" si="10"/>
        <v>42614</v>
      </c>
      <c r="AI239" s="69">
        <f t="shared" si="9"/>
        <v>43190</v>
      </c>
      <c r="AW239" s="73">
        <v>28</v>
      </c>
      <c r="AY239" s="73">
        <v>28</v>
      </c>
      <c r="BL239" s="73">
        <v>24</v>
      </c>
      <c r="BN239" s="73">
        <v>24</v>
      </c>
      <c r="BO239" s="185" t="s">
        <v>3794</v>
      </c>
      <c r="BP239" s="185" t="s">
        <v>3794</v>
      </c>
      <c r="BQ239" s="185" t="s">
        <v>126</v>
      </c>
      <c r="BW239" s="73"/>
      <c r="BY239" s="185" t="s">
        <v>3794</v>
      </c>
      <c r="CG239" s="73">
        <v>4</v>
      </c>
      <c r="CI239" s="73">
        <v>4</v>
      </c>
      <c r="CJ239" t="s">
        <v>25</v>
      </c>
      <c r="CK239" t="s">
        <v>25</v>
      </c>
      <c r="CL239" t="s">
        <v>25</v>
      </c>
      <c r="CM239" t="s">
        <v>25</v>
      </c>
      <c r="CN239" t="s">
        <v>25</v>
      </c>
      <c r="CO239" t="s">
        <v>25</v>
      </c>
      <c r="CP239" t="s">
        <v>25</v>
      </c>
      <c r="CQ239" t="s">
        <v>25</v>
      </c>
      <c r="CR239" t="s">
        <v>25</v>
      </c>
      <c r="CS239" t="s">
        <v>25</v>
      </c>
      <c r="CT239" t="s">
        <v>25</v>
      </c>
      <c r="CU239" t="s">
        <v>60</v>
      </c>
      <c r="CV239" t="s">
        <v>25</v>
      </c>
      <c r="CW239" t="s">
        <v>25</v>
      </c>
      <c r="CX239" t="s">
        <v>25</v>
      </c>
      <c r="CY239" t="s">
        <v>25</v>
      </c>
      <c r="CZ239" t="s">
        <v>25</v>
      </c>
      <c r="DA239" t="s">
        <v>25</v>
      </c>
      <c r="DB239" t="s">
        <v>25</v>
      </c>
      <c r="DC239" t="s">
        <v>25</v>
      </c>
      <c r="DD239" t="s">
        <v>25</v>
      </c>
      <c r="DE239" t="s">
        <v>25</v>
      </c>
      <c r="DF239" t="s">
        <v>25</v>
      </c>
      <c r="DG239" t="s">
        <v>25</v>
      </c>
      <c r="DH239" t="s">
        <v>60</v>
      </c>
      <c r="DI239" t="s">
        <v>25</v>
      </c>
      <c r="DJ239" s="76">
        <v>0.16200000047683699</v>
      </c>
      <c r="DK239" s="73">
        <v>28</v>
      </c>
      <c r="DL239" s="73">
        <v>24</v>
      </c>
      <c r="DM239" s="73">
        <v>4</v>
      </c>
      <c r="DN239" s="65" t="s">
        <v>126</v>
      </c>
      <c r="DU239"/>
      <c r="DZ239" s="73">
        <v>0</v>
      </c>
      <c r="EA239" s="73">
        <v>0</v>
      </c>
      <c r="EB239" s="73">
        <v>0</v>
      </c>
    </row>
    <row r="240" spans="1:133" ht="12" customHeight="1" x14ac:dyDescent="0.2">
      <c r="A240" t="s">
        <v>2937</v>
      </c>
      <c r="B240" t="s">
        <v>2946</v>
      </c>
      <c r="C240" t="str">
        <f t="shared" si="11"/>
        <v>Full</v>
      </c>
      <c r="E240" s="65">
        <v>3938</v>
      </c>
      <c r="F240" t="s">
        <v>1770</v>
      </c>
      <c r="G240" s="71" t="s">
        <v>3947</v>
      </c>
      <c r="H240" s="67">
        <v>1.03999996185303</v>
      </c>
      <c r="I240" s="65">
        <v>529318</v>
      </c>
      <c r="J240" s="65">
        <v>177190</v>
      </c>
      <c r="K240" s="65" t="s">
        <v>1771</v>
      </c>
      <c r="L240" s="65" t="s">
        <v>967</v>
      </c>
      <c r="M240" s="65" t="s">
        <v>33</v>
      </c>
      <c r="N240" s="69">
        <v>42551</v>
      </c>
      <c r="O240" s="69">
        <v>42695</v>
      </c>
      <c r="Q240" s="69">
        <v>42627</v>
      </c>
      <c r="R240" s="65" t="s">
        <v>28</v>
      </c>
      <c r="U240" t="s">
        <v>1772</v>
      </c>
      <c r="V240" t="s">
        <v>3218</v>
      </c>
      <c r="W240" s="65" t="s">
        <v>29</v>
      </c>
      <c r="X240" s="65" t="s">
        <v>29</v>
      </c>
      <c r="Y240" s="65" t="s">
        <v>69</v>
      </c>
      <c r="AD240" s="65" t="s">
        <v>23</v>
      </c>
      <c r="AE240" s="65" t="s">
        <v>24</v>
      </c>
      <c r="AG240" s="65" t="s">
        <v>23</v>
      </c>
      <c r="AJ240" s="73">
        <v>62</v>
      </c>
      <c r="AL240" s="73">
        <v>62</v>
      </c>
      <c r="AO240" s="73">
        <v>124</v>
      </c>
      <c r="AP240" s="73">
        <v>405</v>
      </c>
      <c r="AQ240" s="73">
        <v>405</v>
      </c>
      <c r="AR240" s="73">
        <v>405</v>
      </c>
      <c r="AS240" s="73">
        <v>1215</v>
      </c>
      <c r="AV240" s="73">
        <v>1215</v>
      </c>
      <c r="AW240" s="73">
        <v>1924</v>
      </c>
      <c r="AY240" s="73">
        <v>1924</v>
      </c>
      <c r="BH240" s="73">
        <v>2196</v>
      </c>
      <c r="BJ240" s="73">
        <v>2171</v>
      </c>
      <c r="BK240" s="73">
        <v>4367</v>
      </c>
      <c r="BO240" s="185" t="s">
        <v>126</v>
      </c>
      <c r="BP240" s="185" t="s">
        <v>126</v>
      </c>
      <c r="BQ240" s="185" t="s">
        <v>126</v>
      </c>
      <c r="BR240" s="73">
        <v>62</v>
      </c>
      <c r="BT240" s="73">
        <v>62</v>
      </c>
      <c r="BW240" s="73">
        <v>124</v>
      </c>
      <c r="BX240" s="73">
        <v>405</v>
      </c>
      <c r="BY240" s="185" t="s">
        <v>3794</v>
      </c>
      <c r="BZ240" s="73">
        <v>405</v>
      </c>
      <c r="CA240" s="73">
        <v>-1791</v>
      </c>
      <c r="CC240" s="73">
        <v>-2171</v>
      </c>
      <c r="CD240" s="73">
        <v>-3152</v>
      </c>
      <c r="CE240" s="65" t="s">
        <v>126</v>
      </c>
      <c r="CG240" s="73">
        <v>1924</v>
      </c>
      <c r="CI240" s="73">
        <v>1924</v>
      </c>
      <c r="CJ240" t="s">
        <v>31</v>
      </c>
      <c r="CK240" t="s">
        <v>25</v>
      </c>
      <c r="CL240" t="s">
        <v>31</v>
      </c>
      <c r="CM240" t="s">
        <v>25</v>
      </c>
      <c r="CN240" t="s">
        <v>25</v>
      </c>
      <c r="CO240" t="s">
        <v>31</v>
      </c>
      <c r="CP240" t="s">
        <v>31</v>
      </c>
      <c r="CQ240" t="s">
        <v>31</v>
      </c>
      <c r="CR240" t="s">
        <v>25</v>
      </c>
      <c r="CS240" t="s">
        <v>25</v>
      </c>
      <c r="CT240" t="s">
        <v>25</v>
      </c>
      <c r="CU240" t="s">
        <v>56</v>
      </c>
      <c r="CV240" t="s">
        <v>25</v>
      </c>
      <c r="CW240" t="s">
        <v>25</v>
      </c>
      <c r="CX240" t="s">
        <v>25</v>
      </c>
      <c r="CY240" t="s">
        <v>25</v>
      </c>
      <c r="CZ240" t="s">
        <v>25</v>
      </c>
      <c r="DA240" t="s">
        <v>25</v>
      </c>
      <c r="DB240" t="s">
        <v>25</v>
      </c>
      <c r="DC240" t="s">
        <v>25</v>
      </c>
      <c r="DD240" t="s">
        <v>47</v>
      </c>
      <c r="DE240" t="s">
        <v>25</v>
      </c>
      <c r="DF240" t="s">
        <v>47</v>
      </c>
      <c r="DG240" t="s">
        <v>25</v>
      </c>
      <c r="DH240" t="s">
        <v>25</v>
      </c>
      <c r="DI240" t="s">
        <v>25</v>
      </c>
      <c r="DJ240" s="76">
        <v>6.9999992847444958E-2</v>
      </c>
      <c r="DK240" s="73">
        <v>3654</v>
      </c>
      <c r="DL240" s="73">
        <v>5072</v>
      </c>
      <c r="DM240" s="73">
        <v>-1418</v>
      </c>
      <c r="DU240" s="65" t="s">
        <v>126</v>
      </c>
      <c r="DZ240" s="73">
        <v>36918</v>
      </c>
      <c r="EA240" s="73">
        <v>0</v>
      </c>
      <c r="EB240" s="73">
        <v>36918</v>
      </c>
      <c r="EC240" s="65" t="s">
        <v>126</v>
      </c>
    </row>
    <row r="241" spans="1:133" ht="12" customHeight="1" x14ac:dyDescent="0.2">
      <c r="A241" t="s">
        <v>2935</v>
      </c>
      <c r="B241" t="s">
        <v>2946</v>
      </c>
      <c r="C241" t="str">
        <f t="shared" si="11"/>
        <v>Full</v>
      </c>
      <c r="E241" s="65">
        <v>3943</v>
      </c>
      <c r="F241" t="s">
        <v>1773</v>
      </c>
      <c r="G241" s="71" t="s">
        <v>3947</v>
      </c>
      <c r="H241" s="67">
        <v>5.2300000190734899</v>
      </c>
      <c r="I241" s="65">
        <v>529575</v>
      </c>
      <c r="J241" s="65">
        <v>177401</v>
      </c>
      <c r="K241" s="65" t="s">
        <v>1774</v>
      </c>
      <c r="L241" s="65" t="s">
        <v>861</v>
      </c>
      <c r="M241" s="65" t="s">
        <v>434</v>
      </c>
      <c r="N241" s="69">
        <v>42481</v>
      </c>
      <c r="O241" s="69">
        <v>42758</v>
      </c>
      <c r="Q241" s="69">
        <v>42627</v>
      </c>
      <c r="R241" s="65" t="s">
        <v>28</v>
      </c>
      <c r="U241" t="s">
        <v>862</v>
      </c>
      <c r="V241" t="s">
        <v>3219</v>
      </c>
      <c r="W241" s="65" t="s">
        <v>29</v>
      </c>
      <c r="X241" s="65" t="s">
        <v>29</v>
      </c>
      <c r="Y241" s="65" t="s">
        <v>30</v>
      </c>
      <c r="Z241" s="69">
        <v>41456</v>
      </c>
      <c r="AA241" s="69">
        <v>41456</v>
      </c>
      <c r="AD241" s="65" t="s">
        <v>23</v>
      </c>
      <c r="AE241" s="65" t="s">
        <v>24</v>
      </c>
      <c r="AF241" s="71" t="s">
        <v>1156</v>
      </c>
      <c r="AG241" s="65" t="s">
        <v>23</v>
      </c>
      <c r="AH241" s="69">
        <f t="shared" si="10"/>
        <v>41456</v>
      </c>
      <c r="BJ241" s="73">
        <v>32314</v>
      </c>
      <c r="BK241" s="73">
        <v>32314</v>
      </c>
      <c r="BO241" s="185" t="s">
        <v>3794</v>
      </c>
      <c r="BP241" s="185" t="s">
        <v>126</v>
      </c>
      <c r="BQ241" s="185" t="s">
        <v>3794</v>
      </c>
      <c r="BW241" s="73"/>
      <c r="BY241" s="185" t="s">
        <v>3794</v>
      </c>
      <c r="CC241" s="73">
        <v>-32314</v>
      </c>
      <c r="CD241" s="73">
        <v>-32314</v>
      </c>
      <c r="CE241" s="65" t="s">
        <v>126</v>
      </c>
      <c r="CJ241" t="s">
        <v>25</v>
      </c>
      <c r="CK241" t="s">
        <v>25</v>
      </c>
      <c r="CL241" t="s">
        <v>25</v>
      </c>
      <c r="CM241" t="s">
        <v>25</v>
      </c>
      <c r="CN241" t="s">
        <v>25</v>
      </c>
      <c r="CO241" t="s">
        <v>25</v>
      </c>
      <c r="CP241" t="s">
        <v>25</v>
      </c>
      <c r="CQ241" t="s">
        <v>25</v>
      </c>
      <c r="CR241" t="s">
        <v>25</v>
      </c>
      <c r="CS241" t="s">
        <v>25</v>
      </c>
      <c r="CT241" t="s">
        <v>25</v>
      </c>
      <c r="CU241" t="s">
        <v>25</v>
      </c>
      <c r="CV241" t="s">
        <v>25</v>
      </c>
      <c r="CW241" t="s">
        <v>25</v>
      </c>
      <c r="CX241" t="s">
        <v>25</v>
      </c>
      <c r="CY241" t="s">
        <v>25</v>
      </c>
      <c r="CZ241" t="s">
        <v>25</v>
      </c>
      <c r="DA241" t="s">
        <v>25</v>
      </c>
      <c r="DB241" t="s">
        <v>25</v>
      </c>
      <c r="DC241" t="s">
        <v>25</v>
      </c>
      <c r="DD241" t="s">
        <v>25</v>
      </c>
      <c r="DE241" t="s">
        <v>25</v>
      </c>
      <c r="DF241" t="s">
        <v>52</v>
      </c>
      <c r="DG241" t="s">
        <v>25</v>
      </c>
      <c r="DH241" t="s">
        <v>25</v>
      </c>
      <c r="DI241" t="s">
        <v>25</v>
      </c>
      <c r="DJ241" s="76">
        <v>2.2150001265108612</v>
      </c>
      <c r="DK241" s="73">
        <v>0</v>
      </c>
      <c r="DL241" s="73">
        <v>32314</v>
      </c>
      <c r="DM241" s="73">
        <v>-32314</v>
      </c>
      <c r="DU241" s="65" t="s">
        <v>126</v>
      </c>
      <c r="DZ241" s="73">
        <v>0</v>
      </c>
      <c r="EA241" s="73">
        <v>0</v>
      </c>
      <c r="EB241" s="73">
        <v>0</v>
      </c>
    </row>
    <row r="242" spans="1:133" ht="12" customHeight="1" x14ac:dyDescent="0.2">
      <c r="A242" t="s">
        <v>2937</v>
      </c>
      <c r="B242" t="s">
        <v>2947</v>
      </c>
      <c r="C242" t="str">
        <f t="shared" si="11"/>
        <v>Outline</v>
      </c>
      <c r="E242" s="65">
        <v>3943</v>
      </c>
      <c r="F242" t="s">
        <v>1773</v>
      </c>
      <c r="G242" s="71" t="s">
        <v>3947</v>
      </c>
      <c r="H242" s="67">
        <v>5.2300000190734899</v>
      </c>
      <c r="I242" s="65">
        <v>529575</v>
      </c>
      <c r="J242" s="65">
        <v>177401</v>
      </c>
      <c r="K242" s="65" t="s">
        <v>1774</v>
      </c>
      <c r="L242" s="65" t="s">
        <v>861</v>
      </c>
      <c r="M242" s="65" t="s">
        <v>434</v>
      </c>
      <c r="N242" s="69">
        <v>42481</v>
      </c>
      <c r="O242" s="69">
        <v>42758</v>
      </c>
      <c r="Q242" s="69">
        <v>42627</v>
      </c>
      <c r="R242" s="65" t="s">
        <v>28</v>
      </c>
      <c r="U242" t="s">
        <v>862</v>
      </c>
      <c r="V242" t="s">
        <v>3219</v>
      </c>
      <c r="W242" s="65" t="s">
        <v>29</v>
      </c>
      <c r="X242" s="65" t="s">
        <v>29</v>
      </c>
      <c r="Y242" s="65" t="s">
        <v>30</v>
      </c>
      <c r="Z242" s="69">
        <v>41456</v>
      </c>
      <c r="AA242" s="69">
        <v>41456</v>
      </c>
      <c r="AD242" s="65" t="s">
        <v>23</v>
      </c>
      <c r="AE242" s="65" t="s">
        <v>24</v>
      </c>
      <c r="AF242" s="71" t="s">
        <v>1775</v>
      </c>
      <c r="AG242" s="65" t="s">
        <v>23</v>
      </c>
      <c r="AH242" s="69">
        <f t="shared" si="10"/>
        <v>41456</v>
      </c>
      <c r="AJ242" s="73">
        <v>44</v>
      </c>
      <c r="AK242" s="73">
        <v>44</v>
      </c>
      <c r="AL242" s="73">
        <v>44</v>
      </c>
      <c r="AM242" s="73">
        <v>44</v>
      </c>
      <c r="AN242" s="73">
        <v>43</v>
      </c>
      <c r="AO242" s="73">
        <v>219</v>
      </c>
      <c r="AW242" s="73">
        <v>44</v>
      </c>
      <c r="AX242" s="73">
        <v>44</v>
      </c>
      <c r="AY242" s="73">
        <v>88</v>
      </c>
      <c r="BO242" s="185" t="s">
        <v>126</v>
      </c>
      <c r="BP242" s="185" t="s">
        <v>3794</v>
      </c>
      <c r="BQ242" s="185" t="s">
        <v>126</v>
      </c>
      <c r="BR242" s="73">
        <v>44</v>
      </c>
      <c r="BS242" s="73">
        <v>44</v>
      </c>
      <c r="BT242" s="73">
        <v>44</v>
      </c>
      <c r="BU242" s="73">
        <v>44</v>
      </c>
      <c r="BV242" s="73">
        <v>43</v>
      </c>
      <c r="BW242" s="73">
        <v>219</v>
      </c>
      <c r="BY242" s="185" t="s">
        <v>3794</v>
      </c>
      <c r="CG242" s="73">
        <v>44</v>
      </c>
      <c r="CH242" s="73">
        <v>44</v>
      </c>
      <c r="CI242" s="73">
        <v>88</v>
      </c>
      <c r="CJ242" t="s">
        <v>31</v>
      </c>
      <c r="CK242" t="s">
        <v>31</v>
      </c>
      <c r="CL242" t="s">
        <v>31</v>
      </c>
      <c r="CM242" t="s">
        <v>31</v>
      </c>
      <c r="CN242" t="s">
        <v>31</v>
      </c>
      <c r="CO242" t="s">
        <v>25</v>
      </c>
      <c r="CP242" t="s">
        <v>25</v>
      </c>
      <c r="CQ242" t="s">
        <v>25</v>
      </c>
      <c r="CR242" t="s">
        <v>25</v>
      </c>
      <c r="CS242" t="s">
        <v>25</v>
      </c>
      <c r="CT242" t="s">
        <v>25</v>
      </c>
      <c r="CU242" t="s">
        <v>31</v>
      </c>
      <c r="CV242" t="s">
        <v>31</v>
      </c>
      <c r="CW242" t="s">
        <v>25</v>
      </c>
      <c r="CX242" t="s">
        <v>25</v>
      </c>
      <c r="CY242" t="s">
        <v>25</v>
      </c>
      <c r="CZ242" t="s">
        <v>25</v>
      </c>
      <c r="DA242" t="s">
        <v>25</v>
      </c>
      <c r="DB242" t="s">
        <v>25</v>
      </c>
      <c r="DC242" t="s">
        <v>25</v>
      </c>
      <c r="DD242" t="s">
        <v>25</v>
      </c>
      <c r="DE242" t="s">
        <v>25</v>
      </c>
      <c r="DF242" t="s">
        <v>25</v>
      </c>
      <c r="DG242" t="s">
        <v>25</v>
      </c>
      <c r="DH242" t="s">
        <v>25</v>
      </c>
      <c r="DI242" t="s">
        <v>25</v>
      </c>
      <c r="DJ242" s="76">
        <v>2.2150001265108612</v>
      </c>
      <c r="DK242" s="73">
        <v>307</v>
      </c>
      <c r="DL242" s="73">
        <v>0</v>
      </c>
      <c r="DM242" s="73">
        <v>307</v>
      </c>
      <c r="DU242" s="65" t="s">
        <v>126</v>
      </c>
      <c r="DZ242" s="73">
        <v>9972</v>
      </c>
      <c r="EA242" s="73">
        <v>0</v>
      </c>
      <c r="EB242" s="73">
        <v>9972</v>
      </c>
      <c r="EC242" s="65" t="s">
        <v>126</v>
      </c>
    </row>
    <row r="243" spans="1:133" ht="12" customHeight="1" x14ac:dyDescent="0.2">
      <c r="A243" t="s">
        <v>2937</v>
      </c>
      <c r="B243" t="s">
        <v>2947</v>
      </c>
      <c r="C243" t="str">
        <f t="shared" si="11"/>
        <v>Outline</v>
      </c>
      <c r="E243" s="65">
        <v>3943</v>
      </c>
      <c r="F243" t="s">
        <v>1773</v>
      </c>
      <c r="G243" s="71" t="s">
        <v>3947</v>
      </c>
      <c r="H243" s="67">
        <v>5.2300000190734899</v>
      </c>
      <c r="I243" s="65">
        <v>529575</v>
      </c>
      <c r="J243" s="65">
        <v>177401</v>
      </c>
      <c r="K243" s="65" t="s">
        <v>1774</v>
      </c>
      <c r="L243" s="65" t="s">
        <v>861</v>
      </c>
      <c r="M243" s="65" t="s">
        <v>434</v>
      </c>
      <c r="N243" s="69">
        <v>42481</v>
      </c>
      <c r="O243" s="69">
        <v>42758</v>
      </c>
      <c r="Q243" s="69">
        <v>42627</v>
      </c>
      <c r="R243" s="65" t="s">
        <v>28</v>
      </c>
      <c r="U243" t="s">
        <v>862</v>
      </c>
      <c r="V243" t="s">
        <v>3219</v>
      </c>
      <c r="W243" s="65" t="s">
        <v>29</v>
      </c>
      <c r="X243" s="65" t="s">
        <v>29</v>
      </c>
      <c r="Y243" s="65" t="s">
        <v>30</v>
      </c>
      <c r="Z243" s="69">
        <v>41456</v>
      </c>
      <c r="AA243" s="69">
        <v>41456</v>
      </c>
      <c r="AD243" s="65" t="s">
        <v>23</v>
      </c>
      <c r="AE243" s="65" t="s">
        <v>24</v>
      </c>
      <c r="AF243" s="71" t="s">
        <v>1776</v>
      </c>
      <c r="AG243" s="65" t="s">
        <v>23</v>
      </c>
      <c r="AH243" s="69">
        <f t="shared" si="10"/>
        <v>41456</v>
      </c>
      <c r="AJ243" s="73">
        <v>217</v>
      </c>
      <c r="AK243" s="73">
        <v>217</v>
      </c>
      <c r="AL243" s="73">
        <v>217</v>
      </c>
      <c r="AM243" s="73">
        <v>217</v>
      </c>
      <c r="AN243" s="73">
        <v>217</v>
      </c>
      <c r="AO243" s="73">
        <v>1085</v>
      </c>
      <c r="AW243" s="73">
        <v>218</v>
      </c>
      <c r="AX243" s="73">
        <v>218</v>
      </c>
      <c r="AY243" s="73">
        <v>436</v>
      </c>
      <c r="BO243" s="185" t="s">
        <v>126</v>
      </c>
      <c r="BP243" s="185" t="s">
        <v>3794</v>
      </c>
      <c r="BQ243" s="185" t="s">
        <v>126</v>
      </c>
      <c r="BR243" s="73">
        <v>217</v>
      </c>
      <c r="BS243" s="73">
        <v>217</v>
      </c>
      <c r="BT243" s="73">
        <v>217</v>
      </c>
      <c r="BU243" s="73">
        <v>217</v>
      </c>
      <c r="BV243" s="73">
        <v>217</v>
      </c>
      <c r="BW243" s="73">
        <v>1085</v>
      </c>
      <c r="BY243" s="185" t="s">
        <v>3794</v>
      </c>
      <c r="CG243" s="73">
        <v>218</v>
      </c>
      <c r="CH243" s="73">
        <v>218</v>
      </c>
      <c r="CI243" s="73">
        <v>436</v>
      </c>
      <c r="CJ243" t="s">
        <v>25</v>
      </c>
      <c r="CK243" t="s">
        <v>25</v>
      </c>
      <c r="CL243" t="s">
        <v>25</v>
      </c>
      <c r="CM243" t="s">
        <v>25</v>
      </c>
      <c r="CN243" t="s">
        <v>25</v>
      </c>
      <c r="CO243" t="s">
        <v>25</v>
      </c>
      <c r="CP243" t="s">
        <v>25</v>
      </c>
      <c r="CQ243" t="s">
        <v>25</v>
      </c>
      <c r="CR243" t="s">
        <v>25</v>
      </c>
      <c r="CS243" t="s">
        <v>25</v>
      </c>
      <c r="CT243" t="s">
        <v>25</v>
      </c>
      <c r="CU243" t="s">
        <v>25</v>
      </c>
      <c r="CV243" t="s">
        <v>25</v>
      </c>
      <c r="CW243" t="s">
        <v>25</v>
      </c>
      <c r="CX243" t="s">
        <v>25</v>
      </c>
      <c r="CY243" t="s">
        <v>25</v>
      </c>
      <c r="CZ243" t="s">
        <v>25</v>
      </c>
      <c r="DA243" t="s">
        <v>25</v>
      </c>
      <c r="DB243" t="s">
        <v>25</v>
      </c>
      <c r="DC243" t="s">
        <v>25</v>
      </c>
      <c r="DD243" t="s">
        <v>25</v>
      </c>
      <c r="DE243" t="s">
        <v>25</v>
      </c>
      <c r="DF243" t="s">
        <v>25</v>
      </c>
      <c r="DG243" t="s">
        <v>25</v>
      </c>
      <c r="DH243" t="s">
        <v>25</v>
      </c>
      <c r="DI243" t="s">
        <v>25</v>
      </c>
      <c r="DJ243" s="76">
        <v>2.2150001265108612</v>
      </c>
      <c r="DK243" s="73">
        <v>1521</v>
      </c>
      <c r="DL243" s="73">
        <v>0</v>
      </c>
      <c r="DM243" s="73">
        <v>1521</v>
      </c>
      <c r="DU243" s="65" t="s">
        <v>126</v>
      </c>
      <c r="DZ243" s="73">
        <v>37801</v>
      </c>
      <c r="EA243" s="73">
        <v>0</v>
      </c>
      <c r="EB243" s="73">
        <v>37801</v>
      </c>
      <c r="EC243" s="65" t="s">
        <v>126</v>
      </c>
    </row>
    <row r="244" spans="1:133" ht="12" customHeight="1" x14ac:dyDescent="0.2">
      <c r="A244" t="s">
        <v>2937</v>
      </c>
      <c r="B244" t="s">
        <v>2947</v>
      </c>
      <c r="C244" t="str">
        <f t="shared" si="11"/>
        <v>Outline</v>
      </c>
      <c r="E244" s="65">
        <v>3943</v>
      </c>
      <c r="F244" t="s">
        <v>1773</v>
      </c>
      <c r="G244" s="71" t="s">
        <v>3947</v>
      </c>
      <c r="H244" s="67">
        <v>5.2300000190734899</v>
      </c>
      <c r="I244" s="65">
        <v>529575</v>
      </c>
      <c r="J244" s="65">
        <v>177401</v>
      </c>
      <c r="K244" s="65" t="s">
        <v>1774</v>
      </c>
      <c r="L244" s="65" t="s">
        <v>861</v>
      </c>
      <c r="M244" s="65" t="s">
        <v>434</v>
      </c>
      <c r="N244" s="69">
        <v>42481</v>
      </c>
      <c r="O244" s="69">
        <v>42758</v>
      </c>
      <c r="Q244" s="69">
        <v>42627</v>
      </c>
      <c r="R244" s="65" t="s">
        <v>28</v>
      </c>
      <c r="U244" t="s">
        <v>862</v>
      </c>
      <c r="V244" t="s">
        <v>3219</v>
      </c>
      <c r="W244" s="65" t="s">
        <v>29</v>
      </c>
      <c r="X244" s="65" t="s">
        <v>29</v>
      </c>
      <c r="Y244" s="65" t="s">
        <v>30</v>
      </c>
      <c r="Z244" s="69">
        <v>41456</v>
      </c>
      <c r="AA244" s="69">
        <v>41456</v>
      </c>
      <c r="AD244" s="65" t="s">
        <v>23</v>
      </c>
      <c r="AE244" s="65" t="s">
        <v>24</v>
      </c>
      <c r="AF244" s="71" t="s">
        <v>1777</v>
      </c>
      <c r="AG244" s="65" t="s">
        <v>23</v>
      </c>
      <c r="AH244" s="69">
        <f t="shared" si="10"/>
        <v>41456</v>
      </c>
      <c r="AJ244" s="73">
        <v>903</v>
      </c>
      <c r="AK244" s="73">
        <v>903</v>
      </c>
      <c r="AL244" s="73">
        <v>903</v>
      </c>
      <c r="AM244" s="73">
        <v>903</v>
      </c>
      <c r="AN244" s="73">
        <v>903</v>
      </c>
      <c r="AO244" s="73">
        <v>4515</v>
      </c>
      <c r="AW244" s="73">
        <v>903</v>
      </c>
      <c r="AX244" s="73">
        <v>902</v>
      </c>
      <c r="AY244" s="73">
        <v>1805</v>
      </c>
      <c r="BO244" s="185" t="s">
        <v>126</v>
      </c>
      <c r="BP244" s="185" t="s">
        <v>3794</v>
      </c>
      <c r="BQ244" s="185" t="s">
        <v>126</v>
      </c>
      <c r="BR244" s="73">
        <v>903</v>
      </c>
      <c r="BS244" s="73">
        <v>903</v>
      </c>
      <c r="BT244" s="73">
        <v>903</v>
      </c>
      <c r="BU244" s="73">
        <v>903</v>
      </c>
      <c r="BV244" s="73">
        <v>903</v>
      </c>
      <c r="BW244" s="73">
        <v>4515</v>
      </c>
      <c r="BY244" s="185" t="s">
        <v>3794</v>
      </c>
      <c r="CG244" s="73">
        <v>903</v>
      </c>
      <c r="CH244" s="73">
        <v>902</v>
      </c>
      <c r="CI244" s="73">
        <v>1805</v>
      </c>
      <c r="CJ244" t="s">
        <v>25</v>
      </c>
      <c r="CK244" t="s">
        <v>25</v>
      </c>
      <c r="CL244" t="s">
        <v>25</v>
      </c>
      <c r="CM244" t="s">
        <v>25</v>
      </c>
      <c r="CN244" t="s">
        <v>25</v>
      </c>
      <c r="CO244" t="s">
        <v>25</v>
      </c>
      <c r="CP244" t="s">
        <v>25</v>
      </c>
      <c r="CQ244" t="s">
        <v>25</v>
      </c>
      <c r="CR244" t="s">
        <v>25</v>
      </c>
      <c r="CS244" t="s">
        <v>25</v>
      </c>
      <c r="CT244" t="s">
        <v>25</v>
      </c>
      <c r="CU244" t="s">
        <v>25</v>
      </c>
      <c r="CV244" t="s">
        <v>25</v>
      </c>
      <c r="CW244" t="s">
        <v>25</v>
      </c>
      <c r="CX244" t="s">
        <v>25</v>
      </c>
      <c r="CY244" t="s">
        <v>25</v>
      </c>
      <c r="CZ244" t="s">
        <v>25</v>
      </c>
      <c r="DA244" t="s">
        <v>25</v>
      </c>
      <c r="DB244" t="s">
        <v>25</v>
      </c>
      <c r="DC244" t="s">
        <v>25</v>
      </c>
      <c r="DD244" t="s">
        <v>25</v>
      </c>
      <c r="DE244" t="s">
        <v>25</v>
      </c>
      <c r="DF244" t="s">
        <v>25</v>
      </c>
      <c r="DG244" t="s">
        <v>25</v>
      </c>
      <c r="DH244" t="s">
        <v>25</v>
      </c>
      <c r="DI244" t="s">
        <v>25</v>
      </c>
      <c r="DJ244" s="76">
        <v>2.2150001265108612</v>
      </c>
      <c r="DK244" s="73">
        <v>6320</v>
      </c>
      <c r="DL244" s="73">
        <v>0</v>
      </c>
      <c r="DM244" s="73">
        <v>6320</v>
      </c>
      <c r="DU244" s="65" t="s">
        <v>126</v>
      </c>
      <c r="DZ244" s="73">
        <v>23364</v>
      </c>
      <c r="EA244" s="73">
        <v>0</v>
      </c>
      <c r="EB244" s="73">
        <v>23364</v>
      </c>
      <c r="EC244" s="65" t="s">
        <v>126</v>
      </c>
    </row>
    <row r="245" spans="1:133" ht="12" customHeight="1" x14ac:dyDescent="0.2">
      <c r="A245" t="s">
        <v>2937</v>
      </c>
      <c r="B245" t="s">
        <v>2947</v>
      </c>
      <c r="C245" t="str">
        <f t="shared" si="11"/>
        <v>Outline</v>
      </c>
      <c r="E245" s="65">
        <v>3943</v>
      </c>
      <c r="F245" t="s">
        <v>1773</v>
      </c>
      <c r="G245" s="71" t="s">
        <v>3947</v>
      </c>
      <c r="H245" s="67">
        <v>5.2300000190734899</v>
      </c>
      <c r="I245" s="65">
        <v>529575</v>
      </c>
      <c r="J245" s="65">
        <v>177401</v>
      </c>
      <c r="K245" s="65" t="s">
        <v>1774</v>
      </c>
      <c r="L245" s="65" t="s">
        <v>861</v>
      </c>
      <c r="M245" s="65" t="s">
        <v>434</v>
      </c>
      <c r="N245" s="69">
        <v>42481</v>
      </c>
      <c r="O245" s="69">
        <v>42758</v>
      </c>
      <c r="Q245" s="69">
        <v>42627</v>
      </c>
      <c r="R245" s="65" t="s">
        <v>28</v>
      </c>
      <c r="U245" t="s">
        <v>862</v>
      </c>
      <c r="V245" t="s">
        <v>3219</v>
      </c>
      <c r="W245" s="65" t="s">
        <v>29</v>
      </c>
      <c r="X245" s="65" t="s">
        <v>29</v>
      </c>
      <c r="Y245" s="65" t="s">
        <v>30</v>
      </c>
      <c r="Z245" s="69">
        <v>41456</v>
      </c>
      <c r="AA245" s="69">
        <v>41456</v>
      </c>
      <c r="AD245" s="65" t="s">
        <v>23</v>
      </c>
      <c r="AE245" s="65" t="s">
        <v>24</v>
      </c>
      <c r="AF245" s="71" t="s">
        <v>1778</v>
      </c>
      <c r="AG245" s="65" t="s">
        <v>23</v>
      </c>
      <c r="AH245" s="69">
        <f t="shared" si="10"/>
        <v>41456</v>
      </c>
      <c r="AJ245" s="73">
        <v>169</v>
      </c>
      <c r="AK245" s="73">
        <v>169</v>
      </c>
      <c r="AL245" s="73">
        <v>169</v>
      </c>
      <c r="AM245" s="73">
        <v>169</v>
      </c>
      <c r="AN245" s="73">
        <v>169</v>
      </c>
      <c r="AO245" s="73">
        <v>845</v>
      </c>
      <c r="AW245" s="73">
        <v>169</v>
      </c>
      <c r="AX245" s="73">
        <v>170</v>
      </c>
      <c r="AY245" s="73">
        <v>339</v>
      </c>
      <c r="BO245" s="185" t="s">
        <v>126</v>
      </c>
      <c r="BP245" s="185" t="s">
        <v>3794</v>
      </c>
      <c r="BQ245" s="185" t="s">
        <v>126</v>
      </c>
      <c r="BR245" s="73">
        <v>169</v>
      </c>
      <c r="BS245" s="73">
        <v>169</v>
      </c>
      <c r="BT245" s="73">
        <v>169</v>
      </c>
      <c r="BU245" s="73">
        <v>169</v>
      </c>
      <c r="BV245" s="73">
        <v>169</v>
      </c>
      <c r="BW245" s="73">
        <v>845</v>
      </c>
      <c r="BY245" s="185" t="s">
        <v>3794</v>
      </c>
      <c r="CG245" s="73">
        <v>169</v>
      </c>
      <c r="CH245" s="73">
        <v>170</v>
      </c>
      <c r="CI245" s="73">
        <v>339</v>
      </c>
      <c r="CJ245" t="s">
        <v>25</v>
      </c>
      <c r="CK245" t="s">
        <v>25</v>
      </c>
      <c r="CL245" t="s">
        <v>25</v>
      </c>
      <c r="CM245" t="s">
        <v>25</v>
      </c>
      <c r="CN245" t="s">
        <v>25</v>
      </c>
      <c r="CO245" t="s">
        <v>25</v>
      </c>
      <c r="CP245" t="s">
        <v>25</v>
      </c>
      <c r="CQ245" t="s">
        <v>25</v>
      </c>
      <c r="CR245" t="s">
        <v>25</v>
      </c>
      <c r="CS245" t="s">
        <v>25</v>
      </c>
      <c r="CT245" t="s">
        <v>25</v>
      </c>
      <c r="CU245" t="s">
        <v>25</v>
      </c>
      <c r="CV245" t="s">
        <v>25</v>
      </c>
      <c r="CW245" t="s">
        <v>25</v>
      </c>
      <c r="CX245" t="s">
        <v>25</v>
      </c>
      <c r="CY245" t="s">
        <v>25</v>
      </c>
      <c r="CZ245" t="s">
        <v>25</v>
      </c>
      <c r="DA245" t="s">
        <v>25</v>
      </c>
      <c r="DB245" t="s">
        <v>25</v>
      </c>
      <c r="DC245" t="s">
        <v>25</v>
      </c>
      <c r="DD245" t="s">
        <v>25</v>
      </c>
      <c r="DE245" t="s">
        <v>25</v>
      </c>
      <c r="DF245" t="s">
        <v>25</v>
      </c>
      <c r="DG245" t="s">
        <v>25</v>
      </c>
      <c r="DH245" t="s">
        <v>25</v>
      </c>
      <c r="DI245" t="s">
        <v>25</v>
      </c>
      <c r="DJ245" s="76">
        <v>2.2150001265108612</v>
      </c>
      <c r="DK245" s="73">
        <v>1184</v>
      </c>
      <c r="DL245" s="73">
        <v>0</v>
      </c>
      <c r="DM245" s="73">
        <v>1184</v>
      </c>
      <c r="DU245" s="65" t="s">
        <v>126</v>
      </c>
      <c r="DZ245" s="73">
        <v>37425</v>
      </c>
      <c r="EA245" s="73">
        <v>0</v>
      </c>
      <c r="EB245" s="73">
        <v>37425</v>
      </c>
      <c r="EC245" s="65" t="s">
        <v>126</v>
      </c>
    </row>
    <row r="246" spans="1:133" ht="12" customHeight="1" x14ac:dyDescent="0.2">
      <c r="A246" t="s">
        <v>2937</v>
      </c>
      <c r="B246" t="s">
        <v>2947</v>
      </c>
      <c r="C246" t="str">
        <f t="shared" si="11"/>
        <v>Outline</v>
      </c>
      <c r="E246" s="65">
        <v>3943</v>
      </c>
      <c r="F246" t="s">
        <v>1773</v>
      </c>
      <c r="G246" s="71" t="s">
        <v>3947</v>
      </c>
      <c r="H246" s="67">
        <v>5.2300000190734899</v>
      </c>
      <c r="I246" s="65">
        <v>529575</v>
      </c>
      <c r="J246" s="65">
        <v>177401</v>
      </c>
      <c r="K246" s="65" t="s">
        <v>1774</v>
      </c>
      <c r="L246" s="65" t="s">
        <v>861</v>
      </c>
      <c r="M246" s="65" t="s">
        <v>434</v>
      </c>
      <c r="N246" s="69">
        <v>42481</v>
      </c>
      <c r="O246" s="69">
        <v>42758</v>
      </c>
      <c r="Q246" s="69">
        <v>42627</v>
      </c>
      <c r="R246" s="65" t="s">
        <v>28</v>
      </c>
      <c r="U246" t="s">
        <v>862</v>
      </c>
      <c r="V246" t="s">
        <v>3219</v>
      </c>
      <c r="W246" s="65" t="s">
        <v>29</v>
      </c>
      <c r="X246" s="65" t="s">
        <v>29</v>
      </c>
      <c r="Y246" s="65" t="s">
        <v>30</v>
      </c>
      <c r="Z246" s="69">
        <v>41456</v>
      </c>
      <c r="AA246" s="69">
        <v>41456</v>
      </c>
      <c r="AD246" s="65" t="s">
        <v>23</v>
      </c>
      <c r="AE246" s="65" t="s">
        <v>24</v>
      </c>
      <c r="AF246" s="71" t="s">
        <v>1779</v>
      </c>
      <c r="AG246" s="65" t="s">
        <v>23</v>
      </c>
      <c r="AH246" s="69">
        <f t="shared" si="10"/>
        <v>41456</v>
      </c>
      <c r="AJ246" s="73">
        <v>44</v>
      </c>
      <c r="AK246" s="73">
        <v>44</v>
      </c>
      <c r="AL246" s="73">
        <v>44</v>
      </c>
      <c r="AM246" s="73">
        <v>44</v>
      </c>
      <c r="AN246" s="73">
        <v>43</v>
      </c>
      <c r="AO246" s="73">
        <v>219</v>
      </c>
      <c r="AW246" s="73">
        <v>43</v>
      </c>
      <c r="AX246" s="73">
        <v>43</v>
      </c>
      <c r="AY246" s="73">
        <v>86</v>
      </c>
      <c r="BO246" s="185" t="s">
        <v>126</v>
      </c>
      <c r="BP246" s="185" t="s">
        <v>3794</v>
      </c>
      <c r="BQ246" s="185" t="s">
        <v>126</v>
      </c>
      <c r="BR246" s="73">
        <v>44</v>
      </c>
      <c r="BS246" s="73">
        <v>44</v>
      </c>
      <c r="BT246" s="73">
        <v>44</v>
      </c>
      <c r="BU246" s="73">
        <v>44</v>
      </c>
      <c r="BV246" s="73">
        <v>43</v>
      </c>
      <c r="BW246" s="73">
        <v>219</v>
      </c>
      <c r="BY246" s="185" t="s">
        <v>3794</v>
      </c>
      <c r="CG246" s="73">
        <v>43</v>
      </c>
      <c r="CH246" s="73">
        <v>43</v>
      </c>
      <c r="CI246" s="73">
        <v>86</v>
      </c>
      <c r="CJ246" t="s">
        <v>25</v>
      </c>
      <c r="CK246" t="s">
        <v>25</v>
      </c>
      <c r="CL246" t="s">
        <v>25</v>
      </c>
      <c r="CM246" t="s">
        <v>25</v>
      </c>
      <c r="CN246" t="s">
        <v>25</v>
      </c>
      <c r="CO246" t="s">
        <v>25</v>
      </c>
      <c r="CP246" t="s">
        <v>25</v>
      </c>
      <c r="CQ246" t="s">
        <v>25</v>
      </c>
      <c r="CR246" t="s">
        <v>25</v>
      </c>
      <c r="CS246" t="s">
        <v>25</v>
      </c>
      <c r="CT246" t="s">
        <v>25</v>
      </c>
      <c r="CU246" t="s">
        <v>25</v>
      </c>
      <c r="CV246" t="s">
        <v>25</v>
      </c>
      <c r="CW246" t="s">
        <v>25</v>
      </c>
      <c r="CX246" t="s">
        <v>25</v>
      </c>
      <c r="CY246" t="s">
        <v>25</v>
      </c>
      <c r="CZ246" t="s">
        <v>25</v>
      </c>
      <c r="DA246" t="s">
        <v>25</v>
      </c>
      <c r="DB246" t="s">
        <v>25</v>
      </c>
      <c r="DC246" t="s">
        <v>25</v>
      </c>
      <c r="DD246" t="s">
        <v>25</v>
      </c>
      <c r="DE246" t="s">
        <v>25</v>
      </c>
      <c r="DF246" t="s">
        <v>25</v>
      </c>
      <c r="DG246" t="s">
        <v>25</v>
      </c>
      <c r="DH246" t="s">
        <v>25</v>
      </c>
      <c r="DI246" t="s">
        <v>25</v>
      </c>
      <c r="DJ246" s="76">
        <v>2.2150001265108612</v>
      </c>
      <c r="DK246" s="73">
        <v>305</v>
      </c>
      <c r="DL246" s="73">
        <v>0</v>
      </c>
      <c r="DM246" s="73">
        <v>305</v>
      </c>
      <c r="DU246" s="65" t="s">
        <v>126</v>
      </c>
      <c r="DZ246" s="73">
        <v>26427</v>
      </c>
      <c r="EA246" s="73">
        <v>0</v>
      </c>
      <c r="EB246" s="73">
        <v>26427</v>
      </c>
      <c r="EC246" s="65" t="s">
        <v>126</v>
      </c>
    </row>
    <row r="247" spans="1:133" ht="12" customHeight="1" x14ac:dyDescent="0.2">
      <c r="A247" t="s">
        <v>2937</v>
      </c>
      <c r="B247" t="s">
        <v>2947</v>
      </c>
      <c r="C247" t="str">
        <f t="shared" si="11"/>
        <v>Outline</v>
      </c>
      <c r="E247" s="65">
        <v>3943</v>
      </c>
      <c r="F247" t="s">
        <v>1773</v>
      </c>
      <c r="G247" s="71" t="s">
        <v>3947</v>
      </c>
      <c r="H247" s="67">
        <v>5.2300000190734899</v>
      </c>
      <c r="I247" s="65">
        <v>529575</v>
      </c>
      <c r="J247" s="65">
        <v>177401</v>
      </c>
      <c r="K247" s="65" t="s">
        <v>1774</v>
      </c>
      <c r="L247" s="65" t="s">
        <v>861</v>
      </c>
      <c r="M247" s="65" t="s">
        <v>434</v>
      </c>
      <c r="N247" s="69">
        <v>42481</v>
      </c>
      <c r="O247" s="69">
        <v>42758</v>
      </c>
      <c r="Q247" s="69">
        <v>42627</v>
      </c>
      <c r="R247" s="65" t="s">
        <v>28</v>
      </c>
      <c r="U247" t="s">
        <v>862</v>
      </c>
      <c r="V247" t="s">
        <v>3219</v>
      </c>
      <c r="W247" s="65" t="s">
        <v>29</v>
      </c>
      <c r="X247" s="65" t="s">
        <v>29</v>
      </c>
      <c r="Y247" s="65" t="s">
        <v>30</v>
      </c>
      <c r="Z247" s="69">
        <v>41456</v>
      </c>
      <c r="AA247" s="69">
        <v>41456</v>
      </c>
      <c r="AD247" s="65" t="s">
        <v>23</v>
      </c>
      <c r="AE247" s="65" t="s">
        <v>24</v>
      </c>
      <c r="AF247" s="71" t="s">
        <v>1780</v>
      </c>
      <c r="AG247" s="65" t="s">
        <v>23</v>
      </c>
      <c r="AH247" s="69">
        <f t="shared" si="10"/>
        <v>41456</v>
      </c>
      <c r="AJ247" s="73">
        <v>66</v>
      </c>
      <c r="AK247" s="73">
        <v>66</v>
      </c>
      <c r="AL247" s="73">
        <v>66</v>
      </c>
      <c r="AM247" s="73">
        <v>66</v>
      </c>
      <c r="AN247" s="73">
        <v>66</v>
      </c>
      <c r="AO247" s="73">
        <v>330</v>
      </c>
      <c r="AW247" s="73">
        <v>66</v>
      </c>
      <c r="AX247" s="73">
        <v>66</v>
      </c>
      <c r="AY247" s="73">
        <v>132</v>
      </c>
      <c r="BO247" s="185" t="s">
        <v>126</v>
      </c>
      <c r="BP247" s="185" t="s">
        <v>3794</v>
      </c>
      <c r="BQ247" s="185" t="s">
        <v>126</v>
      </c>
      <c r="BR247" s="73">
        <v>66</v>
      </c>
      <c r="BS247" s="73">
        <v>66</v>
      </c>
      <c r="BT247" s="73">
        <v>66</v>
      </c>
      <c r="BU247" s="73">
        <v>66</v>
      </c>
      <c r="BV247" s="73">
        <v>66</v>
      </c>
      <c r="BW247" s="73">
        <v>330</v>
      </c>
      <c r="BY247" s="185" t="s">
        <v>3794</v>
      </c>
      <c r="CG247" s="73">
        <v>66</v>
      </c>
      <c r="CH247" s="73">
        <v>66</v>
      </c>
      <c r="CI247" s="73">
        <v>132</v>
      </c>
      <c r="CJ247" t="s">
        <v>25</v>
      </c>
      <c r="CK247" t="s">
        <v>25</v>
      </c>
      <c r="CL247" t="s">
        <v>25</v>
      </c>
      <c r="CM247" t="s">
        <v>25</v>
      </c>
      <c r="CN247" t="s">
        <v>25</v>
      </c>
      <c r="CO247" t="s">
        <v>25</v>
      </c>
      <c r="CP247" t="s">
        <v>25</v>
      </c>
      <c r="CQ247" t="s">
        <v>25</v>
      </c>
      <c r="CR247" t="s">
        <v>25</v>
      </c>
      <c r="CS247" t="s">
        <v>25</v>
      </c>
      <c r="CT247" t="s">
        <v>25</v>
      </c>
      <c r="CU247" t="s">
        <v>25</v>
      </c>
      <c r="CV247" t="s">
        <v>25</v>
      </c>
      <c r="CW247" t="s">
        <v>25</v>
      </c>
      <c r="CX247" t="s">
        <v>25</v>
      </c>
      <c r="CY247" t="s">
        <v>25</v>
      </c>
      <c r="CZ247" t="s">
        <v>25</v>
      </c>
      <c r="DA247" t="s">
        <v>25</v>
      </c>
      <c r="DB247" t="s">
        <v>25</v>
      </c>
      <c r="DC247" t="s">
        <v>25</v>
      </c>
      <c r="DD247" t="s">
        <v>25</v>
      </c>
      <c r="DE247" t="s">
        <v>25</v>
      </c>
      <c r="DF247" t="s">
        <v>25</v>
      </c>
      <c r="DG247" t="s">
        <v>25</v>
      </c>
      <c r="DH247" t="s">
        <v>25</v>
      </c>
      <c r="DI247" t="s">
        <v>25</v>
      </c>
      <c r="DJ247" s="76">
        <v>2.2150001265108612</v>
      </c>
      <c r="DK247" s="73">
        <v>462</v>
      </c>
      <c r="DL247" s="73">
        <v>0</v>
      </c>
      <c r="DM247" s="73">
        <v>462</v>
      </c>
      <c r="DU247" s="65" t="s">
        <v>126</v>
      </c>
      <c r="DZ247" s="73">
        <v>17911</v>
      </c>
      <c r="EA247" s="73">
        <v>0</v>
      </c>
      <c r="EB247" s="73">
        <v>17911</v>
      </c>
      <c r="EC247" s="65" t="s">
        <v>126</v>
      </c>
    </row>
    <row r="248" spans="1:133" ht="12" customHeight="1" x14ac:dyDescent="0.2">
      <c r="A248" t="s">
        <v>2935</v>
      </c>
      <c r="B248" t="s">
        <v>2946</v>
      </c>
      <c r="C248" t="str">
        <f t="shared" si="11"/>
        <v>Full</v>
      </c>
      <c r="E248" s="65">
        <v>3944</v>
      </c>
      <c r="F248" t="s">
        <v>1781</v>
      </c>
      <c r="G248" s="71" t="s">
        <v>3947</v>
      </c>
      <c r="H248" s="67">
        <v>1.0700000524520901</v>
      </c>
      <c r="I248" s="65">
        <v>529725</v>
      </c>
      <c r="J248" s="65">
        <v>177404</v>
      </c>
      <c r="K248" s="65" t="s">
        <v>1782</v>
      </c>
      <c r="L248" s="65" t="s">
        <v>1783</v>
      </c>
      <c r="M248" s="65" t="s">
        <v>434</v>
      </c>
      <c r="N248" s="69">
        <v>42669</v>
      </c>
      <c r="O248" s="69">
        <v>42810</v>
      </c>
      <c r="R248" s="65" t="s">
        <v>28</v>
      </c>
      <c r="U248" t="s">
        <v>1784</v>
      </c>
      <c r="V248" t="s">
        <v>3220</v>
      </c>
      <c r="W248" s="65" t="s">
        <v>29</v>
      </c>
      <c r="X248" s="65" t="s">
        <v>29</v>
      </c>
      <c r="Y248" s="65" t="s">
        <v>30</v>
      </c>
      <c r="Z248" s="69">
        <v>42094</v>
      </c>
      <c r="AA248" s="69">
        <v>42095</v>
      </c>
      <c r="AD248" s="65" t="s">
        <v>23</v>
      </c>
      <c r="AE248" s="65" t="s">
        <v>24</v>
      </c>
      <c r="AH248" s="69">
        <f t="shared" si="10"/>
        <v>42095</v>
      </c>
      <c r="AJ248" s="73">
        <v>312</v>
      </c>
      <c r="AK248" s="73">
        <v>312</v>
      </c>
      <c r="AL248" s="73">
        <v>312</v>
      </c>
      <c r="AO248" s="73">
        <v>936</v>
      </c>
      <c r="AP248" s="73">
        <v>312</v>
      </c>
      <c r="AS248" s="73">
        <v>312</v>
      </c>
      <c r="AV248" s="73">
        <v>312</v>
      </c>
      <c r="AW248" s="73">
        <v>561</v>
      </c>
      <c r="AX248" s="73">
        <v>561</v>
      </c>
      <c r="AY248" s="73">
        <v>1122</v>
      </c>
      <c r="BJ248" s="73">
        <v>9375</v>
      </c>
      <c r="BK248" s="73">
        <v>9375</v>
      </c>
      <c r="BO248" s="185" t="s">
        <v>126</v>
      </c>
      <c r="BP248" s="185" t="s">
        <v>126</v>
      </c>
      <c r="BQ248" s="185" t="s">
        <v>126</v>
      </c>
      <c r="BR248" s="73">
        <v>312</v>
      </c>
      <c r="BS248" s="73">
        <v>312</v>
      </c>
      <c r="BT248" s="73">
        <v>312</v>
      </c>
      <c r="BW248" s="73">
        <v>936</v>
      </c>
      <c r="BX248" s="73">
        <v>312</v>
      </c>
      <c r="BY248" s="185" t="s">
        <v>3794</v>
      </c>
      <c r="CC248" s="73">
        <v>-9375</v>
      </c>
      <c r="CD248" s="73">
        <v>-9063</v>
      </c>
      <c r="CE248" s="65" t="s">
        <v>126</v>
      </c>
      <c r="CG248" s="73">
        <v>561</v>
      </c>
      <c r="CH248" s="73">
        <v>561</v>
      </c>
      <c r="CI248" s="73">
        <v>1122</v>
      </c>
      <c r="CJ248" t="s">
        <v>31</v>
      </c>
      <c r="CK248" t="s">
        <v>31</v>
      </c>
      <c r="CL248" t="s">
        <v>38</v>
      </c>
      <c r="CM248" t="s">
        <v>25</v>
      </c>
      <c r="CN248" t="s">
        <v>25</v>
      </c>
      <c r="CO248" t="s">
        <v>31</v>
      </c>
      <c r="CP248" t="s">
        <v>25</v>
      </c>
      <c r="CQ248" t="s">
        <v>25</v>
      </c>
      <c r="CR248" t="s">
        <v>25</v>
      </c>
      <c r="CS248" t="s">
        <v>25</v>
      </c>
      <c r="CT248" t="s">
        <v>25</v>
      </c>
      <c r="CU248" t="s">
        <v>41</v>
      </c>
      <c r="CV248" t="s">
        <v>31</v>
      </c>
      <c r="CW248" t="s">
        <v>25</v>
      </c>
      <c r="CX248" t="s">
        <v>25</v>
      </c>
      <c r="CY248" t="s">
        <v>25</v>
      </c>
      <c r="CZ248" t="s">
        <v>25</v>
      </c>
      <c r="DA248" t="s">
        <v>25</v>
      </c>
      <c r="DB248" t="s">
        <v>25</v>
      </c>
      <c r="DC248" t="s">
        <v>25</v>
      </c>
      <c r="DD248" t="s">
        <v>25</v>
      </c>
      <c r="DE248" t="s">
        <v>25</v>
      </c>
      <c r="DF248" t="s">
        <v>53</v>
      </c>
      <c r="DG248" t="s">
        <v>25</v>
      </c>
      <c r="DH248" t="s">
        <v>25</v>
      </c>
      <c r="DI248" t="s">
        <v>25</v>
      </c>
      <c r="DJ248" s="76">
        <v>3.4000050276520088E-2</v>
      </c>
      <c r="DK248" s="73">
        <v>2370</v>
      </c>
      <c r="DL248" s="73">
        <v>9375</v>
      </c>
      <c r="DM248" s="73">
        <v>-7005</v>
      </c>
      <c r="DU248" s="65" t="s">
        <v>126</v>
      </c>
      <c r="DZ248" s="73">
        <v>62540</v>
      </c>
      <c r="EA248" s="73">
        <v>0</v>
      </c>
      <c r="EB248" s="73">
        <v>62540</v>
      </c>
      <c r="EC248" s="65" t="s">
        <v>126</v>
      </c>
    </row>
    <row r="249" spans="1:133" ht="12" customHeight="1" x14ac:dyDescent="0.2">
      <c r="A249" t="s">
        <v>2938</v>
      </c>
      <c r="B249" t="s">
        <v>2946</v>
      </c>
      <c r="C249" t="str">
        <f t="shared" si="11"/>
        <v>Full</v>
      </c>
      <c r="E249" s="65">
        <v>3961</v>
      </c>
      <c r="F249" t="s">
        <v>1785</v>
      </c>
      <c r="G249" s="71" t="s">
        <v>150</v>
      </c>
      <c r="H249" s="67">
        <v>0.56000000238418601</v>
      </c>
      <c r="I249" s="65">
        <v>527645</v>
      </c>
      <c r="J249" s="65">
        <v>171873</v>
      </c>
      <c r="K249" s="65" t="s">
        <v>1786</v>
      </c>
      <c r="L249" s="65" t="s">
        <v>1787</v>
      </c>
      <c r="M249" s="65" t="s">
        <v>172</v>
      </c>
      <c r="N249" s="69">
        <v>42971</v>
      </c>
      <c r="R249" s="65" t="s">
        <v>28</v>
      </c>
      <c r="U249" t="s">
        <v>1788</v>
      </c>
      <c r="V249" t="s">
        <v>3221</v>
      </c>
      <c r="W249" s="65" t="s">
        <v>29</v>
      </c>
      <c r="X249" s="65" t="s">
        <v>29</v>
      </c>
      <c r="Y249" s="65" t="s">
        <v>69</v>
      </c>
      <c r="AD249" s="65" t="s">
        <v>173</v>
      </c>
      <c r="AE249" s="65" t="s">
        <v>24</v>
      </c>
      <c r="AJ249" s="73">
        <v>214</v>
      </c>
      <c r="AK249" s="73">
        <v>204</v>
      </c>
      <c r="AL249" s="73">
        <v>367</v>
      </c>
      <c r="AM249" s="73">
        <v>1320</v>
      </c>
      <c r="AO249" s="73">
        <v>2105</v>
      </c>
      <c r="AW249" s="73">
        <v>87</v>
      </c>
      <c r="AX249" s="73">
        <v>86</v>
      </c>
      <c r="AY249" s="73">
        <v>173</v>
      </c>
      <c r="AZ249" s="73">
        <v>3898</v>
      </c>
      <c r="BB249" s="73">
        <v>176</v>
      </c>
      <c r="BE249" s="73">
        <v>4074</v>
      </c>
      <c r="BO249" s="185" t="s">
        <v>126</v>
      </c>
      <c r="BP249" s="185" t="s">
        <v>3794</v>
      </c>
      <c r="BQ249" s="185" t="s">
        <v>126</v>
      </c>
      <c r="BR249" s="73">
        <v>-3684</v>
      </c>
      <c r="BS249" s="73">
        <v>204</v>
      </c>
      <c r="BT249" s="73">
        <v>191</v>
      </c>
      <c r="BU249" s="73">
        <v>1320</v>
      </c>
      <c r="BW249" s="73">
        <v>-1969</v>
      </c>
      <c r="BY249" s="185" t="s">
        <v>3794</v>
      </c>
      <c r="CF249" s="73">
        <v>4154</v>
      </c>
      <c r="CG249" s="73">
        <v>87</v>
      </c>
      <c r="CH249" s="73">
        <v>86</v>
      </c>
      <c r="CI249" s="73">
        <v>173</v>
      </c>
      <c r="CJ249" t="s">
        <v>31</v>
      </c>
      <c r="CK249" t="s">
        <v>31</v>
      </c>
      <c r="CL249" t="s">
        <v>38</v>
      </c>
      <c r="CM249" t="s">
        <v>31</v>
      </c>
      <c r="CN249" t="s">
        <v>25</v>
      </c>
      <c r="CO249" t="s">
        <v>25</v>
      </c>
      <c r="CP249" t="s">
        <v>25</v>
      </c>
      <c r="CQ249" t="s">
        <v>25</v>
      </c>
      <c r="CR249" t="s">
        <v>25</v>
      </c>
      <c r="CS249" t="s">
        <v>25</v>
      </c>
      <c r="CT249" t="s">
        <v>63</v>
      </c>
      <c r="CU249" t="s">
        <v>31</v>
      </c>
      <c r="CV249" t="s">
        <v>31</v>
      </c>
      <c r="CW249" t="s">
        <v>46</v>
      </c>
      <c r="CX249" t="s">
        <v>25</v>
      </c>
      <c r="CY249" t="s">
        <v>38</v>
      </c>
      <c r="CZ249" t="s">
        <v>25</v>
      </c>
      <c r="DA249" t="s">
        <v>25</v>
      </c>
      <c r="DB249" t="s">
        <v>25</v>
      </c>
      <c r="DC249" t="s">
        <v>25</v>
      </c>
      <c r="DD249" t="s">
        <v>25</v>
      </c>
      <c r="DE249" t="s">
        <v>25</v>
      </c>
      <c r="DF249" t="s">
        <v>25</v>
      </c>
      <c r="DG249" t="s">
        <v>25</v>
      </c>
      <c r="DH249" t="s">
        <v>25</v>
      </c>
      <c r="DI249" t="s">
        <v>25</v>
      </c>
      <c r="DJ249" s="76">
        <v>0.35400000214576699</v>
      </c>
      <c r="DK249" s="73">
        <v>6432</v>
      </c>
      <c r="DL249" s="73">
        <v>6132</v>
      </c>
      <c r="DM249" s="73">
        <v>300</v>
      </c>
      <c r="DU249"/>
      <c r="DV249" s="65" t="s">
        <v>126</v>
      </c>
      <c r="DW249" t="s">
        <v>150</v>
      </c>
      <c r="DZ249" s="73">
        <v>3728</v>
      </c>
      <c r="EA249" s="73">
        <v>0</v>
      </c>
      <c r="EB249" s="73">
        <v>3728</v>
      </c>
      <c r="EC249" s="65" t="s">
        <v>126</v>
      </c>
    </row>
    <row r="250" spans="1:133" ht="12" customHeight="1" x14ac:dyDescent="0.2">
      <c r="A250" t="s">
        <v>2937</v>
      </c>
      <c r="B250" t="s">
        <v>2948</v>
      </c>
      <c r="C250" t="str">
        <f t="shared" si="11"/>
        <v>Prior Approval</v>
      </c>
      <c r="E250" s="65">
        <v>3975</v>
      </c>
      <c r="F250" t="s">
        <v>1789</v>
      </c>
      <c r="G250" s="71" t="s">
        <v>3943</v>
      </c>
      <c r="H250" s="67">
        <v>0.25099998712539701</v>
      </c>
      <c r="I250" s="65">
        <v>526857</v>
      </c>
      <c r="J250" s="65">
        <v>176315</v>
      </c>
      <c r="L250" s="65" t="s">
        <v>555</v>
      </c>
      <c r="M250" s="65" t="s">
        <v>244</v>
      </c>
      <c r="N250" s="69">
        <v>42284</v>
      </c>
      <c r="O250" s="69">
        <v>42340</v>
      </c>
      <c r="R250" s="65" t="s">
        <v>28</v>
      </c>
      <c r="U250" t="s">
        <v>494</v>
      </c>
      <c r="V250" t="s">
        <v>3162</v>
      </c>
      <c r="W250" s="65" t="s">
        <v>21</v>
      </c>
      <c r="X250" s="65" t="s">
        <v>21</v>
      </c>
      <c r="Y250" s="65" t="s">
        <v>59</v>
      </c>
      <c r="AD250" s="65" t="s">
        <v>23</v>
      </c>
      <c r="AE250" s="65" t="s">
        <v>24</v>
      </c>
      <c r="BF250" s="73">
        <v>48</v>
      </c>
      <c r="BK250" s="73">
        <v>48</v>
      </c>
      <c r="BO250" s="185" t="s">
        <v>3794</v>
      </c>
      <c r="BP250" s="185" t="s">
        <v>126</v>
      </c>
      <c r="BQ250" s="185" t="s">
        <v>3794</v>
      </c>
      <c r="BW250" s="73"/>
      <c r="BX250" s="73">
        <v>-48</v>
      </c>
      <c r="BY250" s="185" t="s">
        <v>126</v>
      </c>
      <c r="CD250" s="73">
        <v>-48</v>
      </c>
      <c r="CE250" s="65" t="s">
        <v>126</v>
      </c>
      <c r="CJ250" t="s">
        <v>25</v>
      </c>
      <c r="CK250" t="s">
        <v>25</v>
      </c>
      <c r="CL250" t="s">
        <v>25</v>
      </c>
      <c r="CM250" t="s">
        <v>25</v>
      </c>
      <c r="CN250" t="s">
        <v>25</v>
      </c>
      <c r="CO250" t="s">
        <v>25</v>
      </c>
      <c r="CP250" t="s">
        <v>25</v>
      </c>
      <c r="CQ250" t="s">
        <v>25</v>
      </c>
      <c r="CR250" t="s">
        <v>25</v>
      </c>
      <c r="CS250" t="s">
        <v>25</v>
      </c>
      <c r="CT250" t="s">
        <v>25</v>
      </c>
      <c r="CU250" t="s">
        <v>25</v>
      </c>
      <c r="CV250" t="s">
        <v>25</v>
      </c>
      <c r="CW250" t="s">
        <v>25</v>
      </c>
      <c r="CX250" t="s">
        <v>25</v>
      </c>
      <c r="CY250" t="s">
        <v>25</v>
      </c>
      <c r="CZ250" t="s">
        <v>25</v>
      </c>
      <c r="DA250" t="s">
        <v>25</v>
      </c>
      <c r="DB250" t="s">
        <v>47</v>
      </c>
      <c r="DC250" t="s">
        <v>25</v>
      </c>
      <c r="DD250" t="s">
        <v>25</v>
      </c>
      <c r="DE250" t="s">
        <v>25</v>
      </c>
      <c r="DF250" t="s">
        <v>25</v>
      </c>
      <c r="DG250" t="s">
        <v>25</v>
      </c>
      <c r="DH250" t="s">
        <v>25</v>
      </c>
      <c r="DI250" t="s">
        <v>25</v>
      </c>
      <c r="DJ250" s="76">
        <v>0.24599998723715572</v>
      </c>
      <c r="DK250" s="73">
        <v>0</v>
      </c>
      <c r="DL250" s="73">
        <v>48</v>
      </c>
      <c r="DM250" s="73">
        <v>-48</v>
      </c>
      <c r="DS250" s="65" t="s">
        <v>126</v>
      </c>
      <c r="DT250" t="s">
        <v>174</v>
      </c>
      <c r="DU250"/>
      <c r="DZ250" s="73">
        <v>48</v>
      </c>
      <c r="EA250" s="73">
        <v>0</v>
      </c>
      <c r="EB250" s="73">
        <v>48</v>
      </c>
      <c r="EC250" s="65" t="s">
        <v>126</v>
      </c>
    </row>
    <row r="251" spans="1:133" ht="12" customHeight="1" x14ac:dyDescent="0.2">
      <c r="A251" t="s">
        <v>2935</v>
      </c>
      <c r="B251" t="s">
        <v>2946</v>
      </c>
      <c r="C251" t="str">
        <f t="shared" si="11"/>
        <v>Full</v>
      </c>
      <c r="E251" s="65">
        <v>3978</v>
      </c>
      <c r="F251" t="s">
        <v>1790</v>
      </c>
      <c r="G251" s="71" t="s">
        <v>3944</v>
      </c>
      <c r="H251" s="67">
        <v>0.158999994397163</v>
      </c>
      <c r="I251" s="65">
        <v>526357</v>
      </c>
      <c r="J251" s="65">
        <v>174832</v>
      </c>
      <c r="K251" s="65" t="s">
        <v>1791</v>
      </c>
      <c r="L251" s="65" t="s">
        <v>1127</v>
      </c>
      <c r="M251" s="65" t="s">
        <v>33</v>
      </c>
      <c r="N251" s="69">
        <v>42681</v>
      </c>
      <c r="O251" s="69">
        <v>42836</v>
      </c>
      <c r="P251" s="65" t="s">
        <v>126</v>
      </c>
      <c r="Q251" s="69">
        <v>42817</v>
      </c>
      <c r="R251" s="65" t="s">
        <v>28</v>
      </c>
      <c r="U251" t="s">
        <v>1128</v>
      </c>
      <c r="V251" t="s">
        <v>3222</v>
      </c>
      <c r="W251" s="65" t="s">
        <v>29</v>
      </c>
      <c r="X251" s="65" t="s">
        <v>29</v>
      </c>
      <c r="Y251" s="65" t="s">
        <v>30</v>
      </c>
      <c r="AA251" s="69">
        <v>42936</v>
      </c>
      <c r="AD251" s="65" t="s">
        <v>23</v>
      </c>
      <c r="AE251" s="65" t="s">
        <v>24</v>
      </c>
      <c r="AH251" s="69">
        <f t="shared" si="10"/>
        <v>42936</v>
      </c>
      <c r="BH251" s="73">
        <v>1031</v>
      </c>
      <c r="BK251" s="73">
        <v>1031</v>
      </c>
      <c r="BO251" s="185" t="s">
        <v>3794</v>
      </c>
      <c r="BP251" s="185" t="s">
        <v>126</v>
      </c>
      <c r="BQ251" s="185" t="s">
        <v>3794</v>
      </c>
      <c r="BW251" s="73"/>
      <c r="BY251" s="185" t="s">
        <v>3794</v>
      </c>
      <c r="CA251" s="73">
        <v>-1031</v>
      </c>
      <c r="CD251" s="73">
        <v>-1031</v>
      </c>
      <c r="CE251" s="65" t="s">
        <v>126</v>
      </c>
      <c r="CJ251" t="s">
        <v>25</v>
      </c>
      <c r="CK251" t="s">
        <v>25</v>
      </c>
      <c r="CL251" t="s">
        <v>25</v>
      </c>
      <c r="CM251" t="s">
        <v>25</v>
      </c>
      <c r="CN251" t="s">
        <v>25</v>
      </c>
      <c r="CO251" t="s">
        <v>25</v>
      </c>
      <c r="CP251" t="s">
        <v>25</v>
      </c>
      <c r="CQ251" t="s">
        <v>25</v>
      </c>
      <c r="CR251" t="s">
        <v>25</v>
      </c>
      <c r="CS251" t="s">
        <v>25</v>
      </c>
      <c r="CT251" t="s">
        <v>25</v>
      </c>
      <c r="CU251" t="s">
        <v>25</v>
      </c>
      <c r="CV251" t="s">
        <v>25</v>
      </c>
      <c r="CW251" t="s">
        <v>25</v>
      </c>
      <c r="CX251" t="s">
        <v>25</v>
      </c>
      <c r="CY251" t="s">
        <v>25</v>
      </c>
      <c r="CZ251" t="s">
        <v>25</v>
      </c>
      <c r="DA251" t="s">
        <v>25</v>
      </c>
      <c r="DB251" t="s">
        <v>25</v>
      </c>
      <c r="DC251" t="s">
        <v>25</v>
      </c>
      <c r="DD251" t="s">
        <v>47</v>
      </c>
      <c r="DE251" t="s">
        <v>25</v>
      </c>
      <c r="DF251" t="s">
        <v>25</v>
      </c>
      <c r="DG251" t="s">
        <v>25</v>
      </c>
      <c r="DH251" t="s">
        <v>25</v>
      </c>
      <c r="DI251" t="s">
        <v>25</v>
      </c>
      <c r="DJ251" s="76">
        <v>0.158999994397163</v>
      </c>
      <c r="DK251" s="73">
        <v>0</v>
      </c>
      <c r="DL251" s="73">
        <v>3442</v>
      </c>
      <c r="DM251" s="73">
        <v>-3442</v>
      </c>
      <c r="DU251"/>
      <c r="DZ251" s="73">
        <v>0</v>
      </c>
      <c r="EA251" s="73">
        <v>0</v>
      </c>
      <c r="EB251" s="73">
        <v>0</v>
      </c>
    </row>
    <row r="252" spans="1:133" ht="12" customHeight="1" x14ac:dyDescent="0.2">
      <c r="A252" t="s">
        <v>2938</v>
      </c>
      <c r="B252" t="s">
        <v>2945</v>
      </c>
      <c r="C252" t="str">
        <f t="shared" si="11"/>
        <v>Pending Legal Agreement</v>
      </c>
      <c r="E252" s="65">
        <v>3980</v>
      </c>
      <c r="F252" t="s">
        <v>1792</v>
      </c>
      <c r="G252" s="71" t="s">
        <v>3943</v>
      </c>
      <c r="H252" s="67">
        <v>0.79000002145767201</v>
      </c>
      <c r="I252" s="65">
        <v>526592</v>
      </c>
      <c r="J252" s="65">
        <v>175883</v>
      </c>
      <c r="K252" s="65" t="s">
        <v>1793</v>
      </c>
      <c r="L252" s="65" t="s">
        <v>1257</v>
      </c>
      <c r="M252" s="65" t="s">
        <v>228</v>
      </c>
      <c r="N252" s="69">
        <v>42788</v>
      </c>
      <c r="Q252" s="69">
        <v>42936</v>
      </c>
      <c r="R252" s="65" t="s">
        <v>28</v>
      </c>
      <c r="U252" t="s">
        <v>1258</v>
      </c>
      <c r="V252" t="s">
        <v>3223</v>
      </c>
      <c r="W252" s="65" t="s">
        <v>29</v>
      </c>
      <c r="X252" s="65" t="s">
        <v>29</v>
      </c>
      <c r="Y252" s="65" t="s">
        <v>69</v>
      </c>
      <c r="AD252" s="65" t="s">
        <v>173</v>
      </c>
      <c r="AE252" s="65" t="s">
        <v>24</v>
      </c>
      <c r="AJ252" s="73">
        <v>4277</v>
      </c>
      <c r="AK252" s="73">
        <v>155</v>
      </c>
      <c r="AL252" s="73">
        <v>155</v>
      </c>
      <c r="AM252" s="73">
        <v>156</v>
      </c>
      <c r="AO252" s="73">
        <v>4743</v>
      </c>
      <c r="AP252" s="73">
        <v>7649</v>
      </c>
      <c r="AS252" s="73">
        <v>7649</v>
      </c>
      <c r="AV252" s="73">
        <v>7649</v>
      </c>
      <c r="AZ252" s="73">
        <v>2865</v>
      </c>
      <c r="BE252" s="73">
        <v>2865</v>
      </c>
      <c r="BF252" s="73">
        <v>615</v>
      </c>
      <c r="BK252" s="73">
        <v>615</v>
      </c>
      <c r="BO252" s="185" t="s">
        <v>126</v>
      </c>
      <c r="BP252" s="185" t="s">
        <v>126</v>
      </c>
      <c r="BQ252" s="185" t="s">
        <v>3794</v>
      </c>
      <c r="BR252" s="73">
        <v>1412</v>
      </c>
      <c r="BS252" s="73">
        <v>155</v>
      </c>
      <c r="BT252" s="73">
        <v>155</v>
      </c>
      <c r="BU252" s="73">
        <v>156</v>
      </c>
      <c r="BW252" s="73">
        <v>1878</v>
      </c>
      <c r="BX252" s="73">
        <v>7034</v>
      </c>
      <c r="BY252" s="185" t="s">
        <v>3794</v>
      </c>
      <c r="CD252" s="73">
        <v>7034</v>
      </c>
      <c r="CJ252" t="s">
        <v>31</v>
      </c>
      <c r="CK252" t="s">
        <v>31</v>
      </c>
      <c r="CL252" t="s">
        <v>31</v>
      </c>
      <c r="CM252" t="s">
        <v>31</v>
      </c>
      <c r="CN252" t="s">
        <v>25</v>
      </c>
      <c r="CO252" t="s">
        <v>49</v>
      </c>
      <c r="CP252" t="s">
        <v>25</v>
      </c>
      <c r="CQ252" t="s">
        <v>25</v>
      </c>
      <c r="CR252" t="s">
        <v>25</v>
      </c>
      <c r="CS252" t="s">
        <v>25</v>
      </c>
      <c r="CT252" t="s">
        <v>25</v>
      </c>
      <c r="CU252" t="s">
        <v>25</v>
      </c>
      <c r="CV252" t="s">
        <v>25</v>
      </c>
      <c r="CW252" t="s">
        <v>46</v>
      </c>
      <c r="CX252" t="s">
        <v>25</v>
      </c>
      <c r="CY252" t="s">
        <v>25</v>
      </c>
      <c r="CZ252" t="s">
        <v>25</v>
      </c>
      <c r="DA252" t="s">
        <v>25</v>
      </c>
      <c r="DB252" t="s">
        <v>49</v>
      </c>
      <c r="DC252" t="s">
        <v>25</v>
      </c>
      <c r="DD252" t="s">
        <v>25</v>
      </c>
      <c r="DE252" t="s">
        <v>25</v>
      </c>
      <c r="DF252" t="s">
        <v>25</v>
      </c>
      <c r="DG252" t="s">
        <v>25</v>
      </c>
      <c r="DH252" t="s">
        <v>25</v>
      </c>
      <c r="DI252" t="s">
        <v>25</v>
      </c>
      <c r="DJ252" s="76">
        <v>0.153</v>
      </c>
      <c r="DK252" s="73">
        <v>12392</v>
      </c>
      <c r="DL252" s="73">
        <v>3856</v>
      </c>
      <c r="DM252" s="73">
        <v>8536</v>
      </c>
      <c r="DN252" s="65" t="s">
        <v>126</v>
      </c>
      <c r="DU252"/>
      <c r="DZ252" s="73">
        <v>17718</v>
      </c>
      <c r="EA252" s="73">
        <v>0</v>
      </c>
      <c r="EB252" s="73">
        <v>17718</v>
      </c>
      <c r="EC252" s="65" t="s">
        <v>126</v>
      </c>
    </row>
    <row r="253" spans="1:133" ht="12" customHeight="1" x14ac:dyDescent="0.2">
      <c r="A253" t="s">
        <v>2937</v>
      </c>
      <c r="B253" t="s">
        <v>2946</v>
      </c>
      <c r="C253" t="str">
        <f t="shared" si="11"/>
        <v>Full</v>
      </c>
      <c r="E253" s="65">
        <v>3992</v>
      </c>
      <c r="F253" t="s">
        <v>1794</v>
      </c>
      <c r="G253" s="71" t="s">
        <v>150</v>
      </c>
      <c r="H253" s="67">
        <v>1.9999999552965199E-2</v>
      </c>
      <c r="I253" s="65">
        <v>527556</v>
      </c>
      <c r="J253" s="65">
        <v>171684</v>
      </c>
      <c r="L253" s="65" t="s">
        <v>988</v>
      </c>
      <c r="M253" s="65" t="s">
        <v>27</v>
      </c>
      <c r="N253" s="69">
        <v>42569</v>
      </c>
      <c r="O253" s="69">
        <v>42650</v>
      </c>
      <c r="R253" s="65" t="s">
        <v>28</v>
      </c>
      <c r="U253" t="s">
        <v>989</v>
      </c>
      <c r="V253" t="s">
        <v>3224</v>
      </c>
      <c r="W253" s="65" t="s">
        <v>21</v>
      </c>
      <c r="X253" s="65" t="s">
        <v>21</v>
      </c>
      <c r="Y253" s="65" t="s">
        <v>69</v>
      </c>
      <c r="AD253" s="65" t="s">
        <v>23</v>
      </c>
      <c r="AE253" s="65" t="s">
        <v>24</v>
      </c>
      <c r="AZ253" s="73">
        <v>44</v>
      </c>
      <c r="BE253" s="73">
        <v>44</v>
      </c>
      <c r="BO253" s="185" t="s">
        <v>126</v>
      </c>
      <c r="BP253" s="185" t="s">
        <v>3794</v>
      </c>
      <c r="BQ253" s="185" t="s">
        <v>3794</v>
      </c>
      <c r="BR253" s="73">
        <v>-44</v>
      </c>
      <c r="BW253" s="73">
        <v>-44</v>
      </c>
      <c r="BY253" s="185" t="s">
        <v>3794</v>
      </c>
      <c r="CJ253" t="s">
        <v>25</v>
      </c>
      <c r="CK253" t="s">
        <v>25</v>
      </c>
      <c r="CL253" t="s">
        <v>25</v>
      </c>
      <c r="CM253" t="s">
        <v>25</v>
      </c>
      <c r="CN253" t="s">
        <v>25</v>
      </c>
      <c r="CO253" t="s">
        <v>25</v>
      </c>
      <c r="CP253" t="s">
        <v>25</v>
      </c>
      <c r="CQ253" t="s">
        <v>25</v>
      </c>
      <c r="CR253" t="s">
        <v>25</v>
      </c>
      <c r="CS253" t="s">
        <v>25</v>
      </c>
      <c r="CT253" t="s">
        <v>25</v>
      </c>
      <c r="CU253" t="s">
        <v>25</v>
      </c>
      <c r="CV253" t="s">
        <v>25</v>
      </c>
      <c r="CW253" t="s">
        <v>40</v>
      </c>
      <c r="CX253" t="s">
        <v>25</v>
      </c>
      <c r="CY253" t="s">
        <v>25</v>
      </c>
      <c r="CZ253" t="s">
        <v>25</v>
      </c>
      <c r="DA253" t="s">
        <v>25</v>
      </c>
      <c r="DB253" t="s">
        <v>25</v>
      </c>
      <c r="DC253" t="s">
        <v>25</v>
      </c>
      <c r="DD253" t="s">
        <v>25</v>
      </c>
      <c r="DE253" t="s">
        <v>25</v>
      </c>
      <c r="DF253" t="s">
        <v>25</v>
      </c>
      <c r="DG253" t="s">
        <v>25</v>
      </c>
      <c r="DH253" t="s">
        <v>25</v>
      </c>
      <c r="DI253" t="s">
        <v>25</v>
      </c>
      <c r="DJ253" s="76">
        <v>1.9999999552965199E-2</v>
      </c>
      <c r="DK253" s="73">
        <v>44</v>
      </c>
      <c r="DL253" s="73">
        <v>44</v>
      </c>
      <c r="DM253" s="73">
        <v>0</v>
      </c>
      <c r="DU253"/>
      <c r="DV253" s="65" t="s">
        <v>126</v>
      </c>
      <c r="DW253" t="s">
        <v>150</v>
      </c>
      <c r="DZ253" s="73">
        <v>0</v>
      </c>
      <c r="EA253" s="73">
        <v>0</v>
      </c>
      <c r="EB253" s="73">
        <v>0</v>
      </c>
    </row>
    <row r="254" spans="1:133" ht="12" customHeight="1" x14ac:dyDescent="0.2">
      <c r="A254" t="s">
        <v>2936</v>
      </c>
      <c r="B254" t="s">
        <v>2946</v>
      </c>
      <c r="C254" t="str">
        <f t="shared" si="11"/>
        <v>Full</v>
      </c>
      <c r="D254" t="s">
        <v>2943</v>
      </c>
      <c r="E254" s="65">
        <v>4000</v>
      </c>
      <c r="F254" t="s">
        <v>1795</v>
      </c>
      <c r="G254" s="71" t="s">
        <v>2904</v>
      </c>
      <c r="H254" s="67">
        <v>8.9999996125698107E-3</v>
      </c>
      <c r="I254" s="65">
        <v>526061</v>
      </c>
      <c r="J254" s="65">
        <v>173002</v>
      </c>
      <c r="L254" s="65" t="s">
        <v>965</v>
      </c>
      <c r="M254" s="65" t="s">
        <v>27</v>
      </c>
      <c r="N254" s="69">
        <v>42563</v>
      </c>
      <c r="O254" s="69">
        <v>42618</v>
      </c>
      <c r="R254" s="65" t="s">
        <v>28</v>
      </c>
      <c r="U254" t="s">
        <v>966</v>
      </c>
      <c r="V254" t="s">
        <v>3225</v>
      </c>
      <c r="W254" s="65" t="s">
        <v>34</v>
      </c>
      <c r="X254" s="65" t="s">
        <v>29</v>
      </c>
      <c r="Y254" s="65" t="s">
        <v>35</v>
      </c>
      <c r="AA254" s="69">
        <v>42703</v>
      </c>
      <c r="AB254" s="69">
        <v>42893</v>
      </c>
      <c r="AC254" s="69">
        <v>42893</v>
      </c>
      <c r="AD254" s="65" t="s">
        <v>23</v>
      </c>
      <c r="AE254" s="65" t="s">
        <v>24</v>
      </c>
      <c r="AH254" s="69">
        <f t="shared" ref="AH254:AH304" si="12">AA254</f>
        <v>42703</v>
      </c>
      <c r="AI254" s="69">
        <f t="shared" ref="AI254:AI288" si="13">AB254</f>
        <v>42893</v>
      </c>
      <c r="AL254" s="73">
        <v>20</v>
      </c>
      <c r="AO254" s="73">
        <v>20</v>
      </c>
      <c r="BJ254" s="73">
        <v>13</v>
      </c>
      <c r="BK254" s="73">
        <v>13</v>
      </c>
      <c r="BO254" s="185" t="s">
        <v>126</v>
      </c>
      <c r="BP254" s="185" t="s">
        <v>126</v>
      </c>
      <c r="BQ254" s="185" t="s">
        <v>3794</v>
      </c>
      <c r="BT254" s="73">
        <v>20</v>
      </c>
      <c r="BW254" s="73">
        <v>20</v>
      </c>
      <c r="BY254" s="185" t="s">
        <v>3794</v>
      </c>
      <c r="CC254" s="73">
        <v>-13</v>
      </c>
      <c r="CD254" s="73">
        <v>-13</v>
      </c>
      <c r="CE254" s="65" t="s">
        <v>126</v>
      </c>
      <c r="CJ254" t="s">
        <v>25</v>
      </c>
      <c r="CK254" t="s">
        <v>25</v>
      </c>
      <c r="CL254" t="s">
        <v>49</v>
      </c>
      <c r="CM254" t="s">
        <v>25</v>
      </c>
      <c r="CN254" t="s">
        <v>25</v>
      </c>
      <c r="CO254" t="s">
        <v>25</v>
      </c>
      <c r="CP254" t="s">
        <v>25</v>
      </c>
      <c r="CQ254" t="s">
        <v>25</v>
      </c>
      <c r="CR254" t="s">
        <v>25</v>
      </c>
      <c r="CS254" t="s">
        <v>25</v>
      </c>
      <c r="CT254" t="s">
        <v>25</v>
      </c>
      <c r="CU254" t="s">
        <v>25</v>
      </c>
      <c r="CV254" t="s">
        <v>25</v>
      </c>
      <c r="CW254" t="s">
        <v>25</v>
      </c>
      <c r="CX254" t="s">
        <v>25</v>
      </c>
      <c r="CY254" t="s">
        <v>25</v>
      </c>
      <c r="CZ254" t="s">
        <v>25</v>
      </c>
      <c r="DA254" t="s">
        <v>25</v>
      </c>
      <c r="DB254" t="s">
        <v>25</v>
      </c>
      <c r="DC254" t="s">
        <v>25</v>
      </c>
      <c r="DD254" t="s">
        <v>25</v>
      </c>
      <c r="DE254" t="s">
        <v>25</v>
      </c>
      <c r="DF254" t="s">
        <v>53</v>
      </c>
      <c r="DG254" t="s">
        <v>25</v>
      </c>
      <c r="DH254" t="s">
        <v>25</v>
      </c>
      <c r="DI254" t="s">
        <v>25</v>
      </c>
      <c r="DJ254" s="76">
        <v>8.9999996125698107E-3</v>
      </c>
      <c r="DK254" s="73">
        <v>20</v>
      </c>
      <c r="DL254" s="73">
        <v>13</v>
      </c>
      <c r="DM254" s="73">
        <v>7</v>
      </c>
      <c r="DU254"/>
      <c r="DX254" s="65" t="s">
        <v>126</v>
      </c>
      <c r="DY254" t="s">
        <v>2904</v>
      </c>
      <c r="DZ254" s="73">
        <v>0</v>
      </c>
      <c r="EA254" s="73">
        <v>0</v>
      </c>
      <c r="EB254" s="73">
        <v>0</v>
      </c>
    </row>
    <row r="255" spans="1:133" ht="12" customHeight="1" x14ac:dyDescent="0.2">
      <c r="A255" t="s">
        <v>2936</v>
      </c>
      <c r="B255" t="s">
        <v>2948</v>
      </c>
      <c r="C255" t="str">
        <f t="shared" si="11"/>
        <v>Prior Approval</v>
      </c>
      <c r="D255" t="s">
        <v>2943</v>
      </c>
      <c r="E255" s="65">
        <v>4043</v>
      </c>
      <c r="F255" t="s">
        <v>1796</v>
      </c>
      <c r="G255" s="71" t="s">
        <v>3942</v>
      </c>
      <c r="H255" s="67">
        <v>1.2000000104308101E-2</v>
      </c>
      <c r="I255" s="65">
        <v>527663</v>
      </c>
      <c r="J255" s="65">
        <v>174334</v>
      </c>
      <c r="L255" s="65" t="s">
        <v>1216</v>
      </c>
      <c r="M255" s="65" t="s">
        <v>244</v>
      </c>
      <c r="N255" s="69">
        <v>42780</v>
      </c>
      <c r="O255" s="69">
        <v>42836</v>
      </c>
      <c r="P255" s="65" t="s">
        <v>126</v>
      </c>
      <c r="R255" s="65" t="s">
        <v>28</v>
      </c>
      <c r="U255" t="s">
        <v>1217</v>
      </c>
      <c r="V255" t="s">
        <v>3226</v>
      </c>
      <c r="W255" s="65" t="s">
        <v>21</v>
      </c>
      <c r="X255" s="65" t="s">
        <v>21</v>
      </c>
      <c r="Y255" s="65" t="s">
        <v>35</v>
      </c>
      <c r="AA255" s="69">
        <v>42936</v>
      </c>
      <c r="AB255" s="69">
        <v>43185</v>
      </c>
      <c r="AC255" s="69">
        <v>43185</v>
      </c>
      <c r="AD255" s="65" t="s">
        <v>23</v>
      </c>
      <c r="AE255" s="65" t="s">
        <v>24</v>
      </c>
      <c r="AH255" s="69">
        <f t="shared" si="12"/>
        <v>42936</v>
      </c>
      <c r="AI255" s="69">
        <f t="shared" si="13"/>
        <v>43185</v>
      </c>
      <c r="AJ255" s="73">
        <v>38</v>
      </c>
      <c r="AO255" s="73">
        <v>38</v>
      </c>
      <c r="AZ255" s="73">
        <v>95</v>
      </c>
      <c r="BE255" s="73">
        <v>95</v>
      </c>
      <c r="BO255" s="185" t="s">
        <v>126</v>
      </c>
      <c r="BP255" s="185" t="s">
        <v>3794</v>
      </c>
      <c r="BQ255" s="185" t="s">
        <v>3794</v>
      </c>
      <c r="BR255" s="73">
        <v>-57</v>
      </c>
      <c r="BW255" s="73">
        <v>-57</v>
      </c>
      <c r="BY255" s="185" t="s">
        <v>3794</v>
      </c>
      <c r="CJ255" t="s">
        <v>31</v>
      </c>
      <c r="CK255" t="s">
        <v>25</v>
      </c>
      <c r="CL255" t="s">
        <v>25</v>
      </c>
      <c r="CM255" t="s">
        <v>25</v>
      </c>
      <c r="CN255" t="s">
        <v>25</v>
      </c>
      <c r="CO255" t="s">
        <v>25</v>
      </c>
      <c r="CP255" t="s">
        <v>25</v>
      </c>
      <c r="CQ255" t="s">
        <v>25</v>
      </c>
      <c r="CR255" t="s">
        <v>25</v>
      </c>
      <c r="CS255" t="s">
        <v>25</v>
      </c>
      <c r="CT255" t="s">
        <v>25</v>
      </c>
      <c r="CU255" t="s">
        <v>25</v>
      </c>
      <c r="CV255" t="s">
        <v>25</v>
      </c>
      <c r="CW255" t="s">
        <v>31</v>
      </c>
      <c r="CX255" t="s">
        <v>25</v>
      </c>
      <c r="CY255" t="s">
        <v>25</v>
      </c>
      <c r="CZ255" t="s">
        <v>25</v>
      </c>
      <c r="DA255" t="s">
        <v>25</v>
      </c>
      <c r="DB255" t="s">
        <v>25</v>
      </c>
      <c r="DC255" t="s">
        <v>25</v>
      </c>
      <c r="DD255" t="s">
        <v>25</v>
      </c>
      <c r="DE255" t="s">
        <v>25</v>
      </c>
      <c r="DF255" t="s">
        <v>25</v>
      </c>
      <c r="DG255" t="s">
        <v>25</v>
      </c>
      <c r="DH255" t="s">
        <v>25</v>
      </c>
      <c r="DI255" t="s">
        <v>25</v>
      </c>
      <c r="DJ255" s="76">
        <v>3.9999997243284902E-3</v>
      </c>
      <c r="DK255" s="73">
        <v>38</v>
      </c>
      <c r="DL255" s="73">
        <v>95</v>
      </c>
      <c r="DM255" s="73">
        <v>-57</v>
      </c>
      <c r="DU255"/>
      <c r="DZ255" s="73">
        <v>57</v>
      </c>
      <c r="EA255" s="73">
        <v>0</v>
      </c>
      <c r="EB255" s="73">
        <v>57</v>
      </c>
      <c r="EC255" s="65" t="s">
        <v>126</v>
      </c>
    </row>
    <row r="256" spans="1:133" ht="12" customHeight="1" x14ac:dyDescent="0.2">
      <c r="A256" t="s">
        <v>2936</v>
      </c>
      <c r="B256" t="s">
        <v>2948</v>
      </c>
      <c r="C256" t="str">
        <f t="shared" si="11"/>
        <v>Prior Approval</v>
      </c>
      <c r="D256" t="s">
        <v>2943</v>
      </c>
      <c r="E256" s="65">
        <v>4047</v>
      </c>
      <c r="F256" t="s">
        <v>1797</v>
      </c>
      <c r="G256" s="71" t="s">
        <v>3946</v>
      </c>
      <c r="H256" s="67">
        <v>8.0000003799796104E-3</v>
      </c>
      <c r="I256" s="65">
        <v>524590</v>
      </c>
      <c r="J256" s="65">
        <v>175197</v>
      </c>
      <c r="L256" s="65" t="s">
        <v>468</v>
      </c>
      <c r="M256" s="65" t="s">
        <v>244</v>
      </c>
      <c r="N256" s="69">
        <v>42139</v>
      </c>
      <c r="O256" s="69">
        <v>42195</v>
      </c>
      <c r="R256" s="65" t="s">
        <v>28</v>
      </c>
      <c r="U256" t="s">
        <v>469</v>
      </c>
      <c r="V256" t="s">
        <v>3227</v>
      </c>
      <c r="W256" s="65" t="s">
        <v>21</v>
      </c>
      <c r="X256" s="65" t="s">
        <v>21</v>
      </c>
      <c r="Y256" s="65" t="s">
        <v>35</v>
      </c>
      <c r="AA256" s="69">
        <v>42857</v>
      </c>
      <c r="AB256" s="69">
        <v>43108</v>
      </c>
      <c r="AC256" s="69">
        <v>43108</v>
      </c>
      <c r="AD256" s="65" t="s">
        <v>23</v>
      </c>
      <c r="AE256" s="65" t="s">
        <v>24</v>
      </c>
      <c r="AH256" s="69">
        <f t="shared" si="12"/>
        <v>42857</v>
      </c>
      <c r="AI256" s="69">
        <f t="shared" si="13"/>
        <v>43108</v>
      </c>
      <c r="BF256" s="73">
        <v>71</v>
      </c>
      <c r="BK256" s="73">
        <v>71</v>
      </c>
      <c r="BO256" s="185" t="s">
        <v>3794</v>
      </c>
      <c r="BP256" s="185" t="s">
        <v>126</v>
      </c>
      <c r="BQ256" s="185" t="s">
        <v>3794</v>
      </c>
      <c r="BW256" s="73"/>
      <c r="BX256" s="73">
        <v>-71</v>
      </c>
      <c r="BY256" s="185" t="s">
        <v>126</v>
      </c>
      <c r="CD256" s="73">
        <v>-71</v>
      </c>
      <c r="CE256" s="65" t="s">
        <v>126</v>
      </c>
      <c r="CJ256" t="s">
        <v>25</v>
      </c>
      <c r="CK256" t="s">
        <v>25</v>
      </c>
      <c r="CL256" t="s">
        <v>25</v>
      </c>
      <c r="CM256" t="s">
        <v>25</v>
      </c>
      <c r="CN256" t="s">
        <v>25</v>
      </c>
      <c r="CO256" t="s">
        <v>25</v>
      </c>
      <c r="CP256" t="s">
        <v>25</v>
      </c>
      <c r="CQ256" t="s">
        <v>25</v>
      </c>
      <c r="CR256" t="s">
        <v>25</v>
      </c>
      <c r="CS256" t="s">
        <v>25</v>
      </c>
      <c r="CT256" t="s">
        <v>25</v>
      </c>
      <c r="CU256" t="s">
        <v>25</v>
      </c>
      <c r="CV256" t="s">
        <v>25</v>
      </c>
      <c r="CW256" t="s">
        <v>25</v>
      </c>
      <c r="CX256" t="s">
        <v>25</v>
      </c>
      <c r="CY256" t="s">
        <v>25</v>
      </c>
      <c r="CZ256" t="s">
        <v>25</v>
      </c>
      <c r="DA256" t="s">
        <v>25</v>
      </c>
      <c r="DB256" t="s">
        <v>47</v>
      </c>
      <c r="DC256" t="s">
        <v>25</v>
      </c>
      <c r="DD256" t="s">
        <v>25</v>
      </c>
      <c r="DE256" t="s">
        <v>25</v>
      </c>
      <c r="DF256" t="s">
        <v>25</v>
      </c>
      <c r="DG256" t="s">
        <v>25</v>
      </c>
      <c r="DH256" t="s">
        <v>25</v>
      </c>
      <c r="DI256" t="s">
        <v>25</v>
      </c>
      <c r="DJ256" s="76">
        <v>0</v>
      </c>
      <c r="DK256" s="73">
        <v>0</v>
      </c>
      <c r="DL256" s="73">
        <v>71</v>
      </c>
      <c r="DM256" s="73">
        <v>-71</v>
      </c>
      <c r="DU256"/>
      <c r="DZ256" s="73">
        <v>71</v>
      </c>
      <c r="EA256" s="73">
        <v>0</v>
      </c>
      <c r="EB256" s="73">
        <v>71</v>
      </c>
      <c r="EC256" s="65" t="s">
        <v>126</v>
      </c>
    </row>
    <row r="257" spans="1:133" ht="12" customHeight="1" x14ac:dyDescent="0.2">
      <c r="A257" t="s">
        <v>2937</v>
      </c>
      <c r="B257" t="s">
        <v>2946</v>
      </c>
      <c r="C257" t="str">
        <f t="shared" si="11"/>
        <v>Full</v>
      </c>
      <c r="E257" s="65">
        <v>4056</v>
      </c>
      <c r="F257" t="s">
        <v>1798</v>
      </c>
      <c r="G257" s="71" t="s">
        <v>3942</v>
      </c>
      <c r="H257" s="67">
        <v>8.9999996125698107E-3</v>
      </c>
      <c r="I257" s="65">
        <v>527655</v>
      </c>
      <c r="J257" s="65">
        <v>174876</v>
      </c>
      <c r="L257" s="65" t="s">
        <v>900</v>
      </c>
      <c r="M257" s="65" t="s">
        <v>27</v>
      </c>
      <c r="N257" s="69">
        <v>42529</v>
      </c>
      <c r="O257" s="69">
        <v>42585</v>
      </c>
      <c r="R257" s="65" t="s">
        <v>28</v>
      </c>
      <c r="U257" t="s">
        <v>901</v>
      </c>
      <c r="V257" t="s">
        <v>3228</v>
      </c>
      <c r="W257" s="65" t="s">
        <v>29</v>
      </c>
      <c r="X257" s="65" t="s">
        <v>29</v>
      </c>
      <c r="Y257" s="65" t="s">
        <v>69</v>
      </c>
      <c r="AD257" s="65" t="s">
        <v>23</v>
      </c>
      <c r="AE257" s="65" t="s">
        <v>24</v>
      </c>
      <c r="AK257" s="73">
        <v>17</v>
      </c>
      <c r="AO257" s="73">
        <v>17</v>
      </c>
      <c r="BO257" s="185" t="s">
        <v>126</v>
      </c>
      <c r="BP257" s="185" t="s">
        <v>3794</v>
      </c>
      <c r="BQ257" s="185" t="s">
        <v>3794</v>
      </c>
      <c r="BS257" s="73">
        <v>17</v>
      </c>
      <c r="BW257" s="73">
        <v>17</v>
      </c>
      <c r="BY257" s="185" t="s">
        <v>3794</v>
      </c>
      <c r="CJ257" t="s">
        <v>25</v>
      </c>
      <c r="CK257" t="s">
        <v>64</v>
      </c>
      <c r="CL257" t="s">
        <v>25</v>
      </c>
      <c r="CM257" t="s">
        <v>25</v>
      </c>
      <c r="CN257" t="s">
        <v>25</v>
      </c>
      <c r="CO257" t="s">
        <v>25</v>
      </c>
      <c r="CP257" t="s">
        <v>25</v>
      </c>
      <c r="CQ257" t="s">
        <v>25</v>
      </c>
      <c r="CR257" t="s">
        <v>25</v>
      </c>
      <c r="CS257" t="s">
        <v>25</v>
      </c>
      <c r="CT257" t="s">
        <v>25</v>
      </c>
      <c r="CU257" t="s">
        <v>25</v>
      </c>
      <c r="CV257" t="s">
        <v>25</v>
      </c>
      <c r="CW257" t="s">
        <v>25</v>
      </c>
      <c r="CX257" t="s">
        <v>25</v>
      </c>
      <c r="CY257" t="s">
        <v>25</v>
      </c>
      <c r="CZ257" t="s">
        <v>25</v>
      </c>
      <c r="DA257" t="s">
        <v>25</v>
      </c>
      <c r="DB257" t="s">
        <v>25</v>
      </c>
      <c r="DC257" t="s">
        <v>25</v>
      </c>
      <c r="DD257" t="s">
        <v>25</v>
      </c>
      <c r="DE257" t="s">
        <v>25</v>
      </c>
      <c r="DF257" t="s">
        <v>25</v>
      </c>
      <c r="DG257" t="s">
        <v>25</v>
      </c>
      <c r="DH257" t="s">
        <v>25</v>
      </c>
      <c r="DI257" t="s">
        <v>25</v>
      </c>
      <c r="DJ257" s="76">
        <v>8.9999996125698107E-3</v>
      </c>
      <c r="DK257" s="73">
        <v>17</v>
      </c>
      <c r="DL257" s="73">
        <v>0</v>
      </c>
      <c r="DM257" s="73">
        <v>17</v>
      </c>
      <c r="DU257"/>
      <c r="DZ257" s="73">
        <v>0</v>
      </c>
      <c r="EA257" s="73">
        <v>0</v>
      </c>
      <c r="EB257" s="73">
        <v>0</v>
      </c>
    </row>
    <row r="258" spans="1:133" ht="12" customHeight="1" x14ac:dyDescent="0.2">
      <c r="A258" t="s">
        <v>2937</v>
      </c>
      <c r="B258" t="s">
        <v>2948</v>
      </c>
      <c r="C258" t="str">
        <f t="shared" si="11"/>
        <v>Prior Approval</v>
      </c>
      <c r="E258" s="65">
        <v>4056</v>
      </c>
      <c r="F258" t="s">
        <v>1798</v>
      </c>
      <c r="G258" s="71" t="s">
        <v>3942</v>
      </c>
      <c r="H258" s="67">
        <v>8.9999996125698107E-3</v>
      </c>
      <c r="I258" s="65">
        <v>527655</v>
      </c>
      <c r="J258" s="65">
        <v>174876</v>
      </c>
      <c r="L258" s="65" t="s">
        <v>1208</v>
      </c>
      <c r="M258" s="65" t="s">
        <v>244</v>
      </c>
      <c r="N258" s="69">
        <v>42748</v>
      </c>
      <c r="O258" s="69">
        <v>42804</v>
      </c>
      <c r="R258" s="65" t="s">
        <v>28</v>
      </c>
      <c r="U258" t="s">
        <v>1209</v>
      </c>
      <c r="V258" t="s">
        <v>3229</v>
      </c>
      <c r="W258" s="65" t="s">
        <v>21</v>
      </c>
      <c r="X258" s="65" t="s">
        <v>21</v>
      </c>
      <c r="Y258" s="65" t="s">
        <v>69</v>
      </c>
      <c r="AD258" s="65" t="s">
        <v>23</v>
      </c>
      <c r="AE258" s="65" t="s">
        <v>24</v>
      </c>
      <c r="BA258" s="73">
        <v>19</v>
      </c>
      <c r="BE258" s="73">
        <v>19</v>
      </c>
      <c r="BO258" s="185" t="s">
        <v>126</v>
      </c>
      <c r="BP258" s="185" t="s">
        <v>3794</v>
      </c>
      <c r="BQ258" s="185" t="s">
        <v>3794</v>
      </c>
      <c r="BS258" s="73">
        <v>-19</v>
      </c>
      <c r="BW258" s="73">
        <v>-19</v>
      </c>
      <c r="BY258" s="185" t="s">
        <v>3794</v>
      </c>
      <c r="CJ258" t="s">
        <v>25</v>
      </c>
      <c r="CK258" t="s">
        <v>25</v>
      </c>
      <c r="CL258" t="s">
        <v>25</v>
      </c>
      <c r="CM258" t="s">
        <v>25</v>
      </c>
      <c r="CN258" t="s">
        <v>25</v>
      </c>
      <c r="CO258" t="s">
        <v>25</v>
      </c>
      <c r="CP258" t="s">
        <v>25</v>
      </c>
      <c r="CQ258" t="s">
        <v>25</v>
      </c>
      <c r="CR258" t="s">
        <v>25</v>
      </c>
      <c r="CS258" t="s">
        <v>25</v>
      </c>
      <c r="CT258" t="s">
        <v>25</v>
      </c>
      <c r="CU258" t="s">
        <v>25</v>
      </c>
      <c r="CV258" t="s">
        <v>25</v>
      </c>
      <c r="CW258" t="s">
        <v>25</v>
      </c>
      <c r="CX258" t="s">
        <v>64</v>
      </c>
      <c r="CY258" t="s">
        <v>25</v>
      </c>
      <c r="CZ258" t="s">
        <v>25</v>
      </c>
      <c r="DA258" t="s">
        <v>25</v>
      </c>
      <c r="DB258" t="s">
        <v>25</v>
      </c>
      <c r="DC258" t="s">
        <v>25</v>
      </c>
      <c r="DD258" t="s">
        <v>25</v>
      </c>
      <c r="DE258" t="s">
        <v>25</v>
      </c>
      <c r="DF258" t="s">
        <v>25</v>
      </c>
      <c r="DG258" t="s">
        <v>25</v>
      </c>
      <c r="DH258" t="s">
        <v>25</v>
      </c>
      <c r="DI258" t="s">
        <v>25</v>
      </c>
      <c r="DJ258" s="76">
        <v>6.9999995175749107E-3</v>
      </c>
      <c r="DK258" s="73">
        <v>0</v>
      </c>
      <c r="DL258" s="73">
        <v>19</v>
      </c>
      <c r="DM258" s="73">
        <v>-19</v>
      </c>
      <c r="DU258"/>
      <c r="DZ258" s="73">
        <v>19</v>
      </c>
      <c r="EA258" s="73">
        <v>0</v>
      </c>
      <c r="EB258" s="73">
        <v>19</v>
      </c>
      <c r="EC258" s="65" t="s">
        <v>126</v>
      </c>
    </row>
    <row r="259" spans="1:133" ht="12" customHeight="1" x14ac:dyDescent="0.2">
      <c r="A259" t="s">
        <v>2937</v>
      </c>
      <c r="B259" t="s">
        <v>2946</v>
      </c>
      <c r="C259" t="str">
        <f t="shared" ref="C259:C322" si="14">RIGHT(B259,LEN(B259)-3)</f>
        <v>Full</v>
      </c>
      <c r="E259" s="65">
        <v>4084</v>
      </c>
      <c r="F259" t="s">
        <v>1799</v>
      </c>
      <c r="G259" s="71" t="s">
        <v>3941</v>
      </c>
      <c r="H259" s="67">
        <v>1.2000000104308101E-2</v>
      </c>
      <c r="I259" s="65">
        <v>527971</v>
      </c>
      <c r="J259" s="65">
        <v>172408</v>
      </c>
      <c r="L259" s="65" t="s">
        <v>1009</v>
      </c>
      <c r="M259" s="65" t="s">
        <v>27</v>
      </c>
      <c r="N259" s="69">
        <v>42594</v>
      </c>
      <c r="O259" s="69">
        <v>42699</v>
      </c>
      <c r="R259" s="65" t="s">
        <v>28</v>
      </c>
      <c r="U259" t="s">
        <v>1010</v>
      </c>
      <c r="V259" t="s">
        <v>3230</v>
      </c>
      <c r="W259" s="65" t="s">
        <v>34</v>
      </c>
      <c r="X259" s="65" t="s">
        <v>29</v>
      </c>
      <c r="Y259" s="65" t="s">
        <v>59</v>
      </c>
      <c r="AD259" s="65" t="s">
        <v>23</v>
      </c>
      <c r="AE259" s="65" t="s">
        <v>24</v>
      </c>
      <c r="AK259" s="73">
        <v>36</v>
      </c>
      <c r="AO259" s="73">
        <v>36</v>
      </c>
      <c r="BO259" s="185" t="s">
        <v>126</v>
      </c>
      <c r="BP259" s="185" t="s">
        <v>3794</v>
      </c>
      <c r="BQ259" s="185" t="s">
        <v>3794</v>
      </c>
      <c r="BS259" s="73">
        <v>36</v>
      </c>
      <c r="BW259" s="73">
        <v>36</v>
      </c>
      <c r="BY259" s="185" t="s">
        <v>3794</v>
      </c>
      <c r="CJ259" t="s">
        <v>25</v>
      </c>
      <c r="CK259" t="s">
        <v>31</v>
      </c>
      <c r="CL259" t="s">
        <v>25</v>
      </c>
      <c r="CM259" t="s">
        <v>25</v>
      </c>
      <c r="CN259" t="s">
        <v>25</v>
      </c>
      <c r="CO259" t="s">
        <v>25</v>
      </c>
      <c r="CP259" t="s">
        <v>25</v>
      </c>
      <c r="CQ259" t="s">
        <v>25</v>
      </c>
      <c r="CR259" t="s">
        <v>25</v>
      </c>
      <c r="CS259" t="s">
        <v>25</v>
      </c>
      <c r="CT259" t="s">
        <v>25</v>
      </c>
      <c r="CU259" t="s">
        <v>25</v>
      </c>
      <c r="CV259" t="s">
        <v>25</v>
      </c>
      <c r="CW259" t="s">
        <v>25</v>
      </c>
      <c r="CX259" t="s">
        <v>25</v>
      </c>
      <c r="CY259" t="s">
        <v>25</v>
      </c>
      <c r="CZ259" t="s">
        <v>25</v>
      </c>
      <c r="DA259" t="s">
        <v>25</v>
      </c>
      <c r="DB259" t="s">
        <v>25</v>
      </c>
      <c r="DC259" t="s">
        <v>25</v>
      </c>
      <c r="DD259" t="s">
        <v>25</v>
      </c>
      <c r="DE259" t="s">
        <v>25</v>
      </c>
      <c r="DF259" t="s">
        <v>25</v>
      </c>
      <c r="DG259" t="s">
        <v>25</v>
      </c>
      <c r="DH259" t="s">
        <v>25</v>
      </c>
      <c r="DI259" t="s">
        <v>25</v>
      </c>
      <c r="DJ259" s="76">
        <v>6.0000000521540408E-3</v>
      </c>
      <c r="DK259" s="73">
        <v>36</v>
      </c>
      <c r="DL259" s="73">
        <v>39</v>
      </c>
      <c r="DM259" s="73">
        <v>-3</v>
      </c>
      <c r="DU259"/>
      <c r="DX259" s="65" t="s">
        <v>126</v>
      </c>
      <c r="DY259" t="s">
        <v>2906</v>
      </c>
      <c r="DZ259" s="73">
        <v>143</v>
      </c>
      <c r="EA259" s="73">
        <v>36</v>
      </c>
      <c r="EB259" s="73">
        <v>107</v>
      </c>
      <c r="EC259" s="65" t="s">
        <v>126</v>
      </c>
    </row>
    <row r="260" spans="1:133" ht="12" customHeight="1" x14ac:dyDescent="0.2">
      <c r="A260" t="s">
        <v>2937</v>
      </c>
      <c r="B260" t="s">
        <v>2946</v>
      </c>
      <c r="C260" t="str">
        <f t="shared" si="14"/>
        <v>Full</v>
      </c>
      <c r="E260" s="65">
        <v>4089</v>
      </c>
      <c r="F260" t="s">
        <v>1800</v>
      </c>
      <c r="G260" s="71" t="s">
        <v>3946</v>
      </c>
      <c r="H260" s="67">
        <v>1.4000000432133701E-2</v>
      </c>
      <c r="I260" s="65">
        <v>523671</v>
      </c>
      <c r="J260" s="65">
        <v>175184</v>
      </c>
      <c r="L260" s="65" t="s">
        <v>1801</v>
      </c>
      <c r="M260" s="65" t="s">
        <v>27</v>
      </c>
      <c r="N260" s="69">
        <v>42941</v>
      </c>
      <c r="O260" s="69">
        <v>43019</v>
      </c>
      <c r="P260" s="65" t="s">
        <v>126</v>
      </c>
      <c r="R260" s="65" t="s">
        <v>28</v>
      </c>
      <c r="U260" t="s">
        <v>1802</v>
      </c>
      <c r="V260" t="s">
        <v>3231</v>
      </c>
      <c r="W260" s="65" t="s">
        <v>34</v>
      </c>
      <c r="X260" s="65" t="s">
        <v>29</v>
      </c>
      <c r="Y260" s="65" t="s">
        <v>69</v>
      </c>
      <c r="AD260" s="65" t="s">
        <v>23</v>
      </c>
      <c r="AE260" s="65" t="s">
        <v>24</v>
      </c>
      <c r="AL260" s="73">
        <v>84</v>
      </c>
      <c r="AO260" s="73">
        <v>84</v>
      </c>
      <c r="BB260" s="73">
        <v>72</v>
      </c>
      <c r="BE260" s="73">
        <v>72</v>
      </c>
      <c r="BO260" s="185" t="s">
        <v>126</v>
      </c>
      <c r="BP260" s="185" t="s">
        <v>3794</v>
      </c>
      <c r="BQ260" s="185" t="s">
        <v>3794</v>
      </c>
      <c r="BT260" s="73">
        <v>12</v>
      </c>
      <c r="BW260" s="73">
        <v>12</v>
      </c>
      <c r="BY260" s="185" t="s">
        <v>3794</v>
      </c>
      <c r="CJ260" t="s">
        <v>25</v>
      </c>
      <c r="CK260" t="s">
        <v>25</v>
      </c>
      <c r="CL260" t="s">
        <v>38</v>
      </c>
      <c r="CM260" t="s">
        <v>25</v>
      </c>
      <c r="CN260" t="s">
        <v>25</v>
      </c>
      <c r="CO260" t="s">
        <v>25</v>
      </c>
      <c r="CP260" t="s">
        <v>25</v>
      </c>
      <c r="CQ260" t="s">
        <v>25</v>
      </c>
      <c r="CR260" t="s">
        <v>25</v>
      </c>
      <c r="CS260" t="s">
        <v>25</v>
      </c>
      <c r="CT260" t="s">
        <v>25</v>
      </c>
      <c r="CU260" t="s">
        <v>25</v>
      </c>
      <c r="CV260" t="s">
        <v>25</v>
      </c>
      <c r="CW260" t="s">
        <v>25</v>
      </c>
      <c r="CX260" t="s">
        <v>25</v>
      </c>
      <c r="CY260" t="s">
        <v>38</v>
      </c>
      <c r="CZ260" t="s">
        <v>25</v>
      </c>
      <c r="DA260" t="s">
        <v>25</v>
      </c>
      <c r="DB260" t="s">
        <v>25</v>
      </c>
      <c r="DC260" t="s">
        <v>25</v>
      </c>
      <c r="DD260" t="s">
        <v>25</v>
      </c>
      <c r="DE260" t="s">
        <v>25</v>
      </c>
      <c r="DF260" t="s">
        <v>25</v>
      </c>
      <c r="DG260" t="s">
        <v>25</v>
      </c>
      <c r="DH260" t="s">
        <v>25</v>
      </c>
      <c r="DI260" t="s">
        <v>25</v>
      </c>
      <c r="DJ260" s="76">
        <v>9.0000005438924113E-3</v>
      </c>
      <c r="DK260" s="73">
        <v>84</v>
      </c>
      <c r="DL260" s="73">
        <v>72</v>
      </c>
      <c r="DM260" s="73">
        <v>12</v>
      </c>
      <c r="DU260"/>
      <c r="DV260" s="65" t="s">
        <v>126</v>
      </c>
      <c r="DW260" t="s">
        <v>131</v>
      </c>
      <c r="DZ260" s="73">
        <v>90</v>
      </c>
      <c r="EA260" s="73">
        <v>0</v>
      </c>
      <c r="EB260" s="73">
        <v>90</v>
      </c>
      <c r="EC260" s="65" t="s">
        <v>126</v>
      </c>
    </row>
    <row r="261" spans="1:133" ht="12" customHeight="1" x14ac:dyDescent="0.2">
      <c r="A261" t="s">
        <v>2937</v>
      </c>
      <c r="B261" t="s">
        <v>2946</v>
      </c>
      <c r="C261" t="str">
        <f t="shared" si="14"/>
        <v>Full</v>
      </c>
      <c r="E261" s="65">
        <v>4116</v>
      </c>
      <c r="F261" t="s">
        <v>1806</v>
      </c>
      <c r="G261" s="71" t="s">
        <v>3950</v>
      </c>
      <c r="H261" s="67">
        <v>1.60000007599592E-2</v>
      </c>
      <c r="I261" s="65">
        <v>529336</v>
      </c>
      <c r="J261" s="65">
        <v>171126</v>
      </c>
      <c r="L261" s="65" t="s">
        <v>320</v>
      </c>
      <c r="M261" s="65" t="s">
        <v>27</v>
      </c>
      <c r="N261" s="69">
        <v>42051</v>
      </c>
      <c r="O261" s="69">
        <v>42304</v>
      </c>
      <c r="R261" s="65" t="s">
        <v>28</v>
      </c>
      <c r="U261" t="s">
        <v>262</v>
      </c>
      <c r="V261" t="s">
        <v>3232</v>
      </c>
      <c r="W261" s="65" t="s">
        <v>34</v>
      </c>
      <c r="X261" s="65" t="s">
        <v>29</v>
      </c>
      <c r="Y261" s="65" t="s">
        <v>69</v>
      </c>
      <c r="AD261" s="65" t="s">
        <v>23</v>
      </c>
      <c r="AE261" s="65" t="s">
        <v>24</v>
      </c>
      <c r="AJ261" s="73">
        <v>108</v>
      </c>
      <c r="AO261" s="73">
        <v>108</v>
      </c>
      <c r="AZ261" s="73">
        <v>158</v>
      </c>
      <c r="BE261" s="73">
        <v>158</v>
      </c>
      <c r="BO261" s="185" t="s">
        <v>126</v>
      </c>
      <c r="BP261" s="185" t="s">
        <v>3794</v>
      </c>
      <c r="BQ261" s="185" t="s">
        <v>3794</v>
      </c>
      <c r="BR261" s="73">
        <v>-50</v>
      </c>
      <c r="BW261" s="73">
        <v>-50</v>
      </c>
      <c r="BY261" s="185" t="s">
        <v>3794</v>
      </c>
      <c r="CJ261" t="s">
        <v>31</v>
      </c>
      <c r="CK261" t="s">
        <v>25</v>
      </c>
      <c r="CL261" t="s">
        <v>25</v>
      </c>
      <c r="CM261" t="s">
        <v>25</v>
      </c>
      <c r="CN261" t="s">
        <v>25</v>
      </c>
      <c r="CO261" t="s">
        <v>25</v>
      </c>
      <c r="CP261" t="s">
        <v>25</v>
      </c>
      <c r="CQ261" t="s">
        <v>25</v>
      </c>
      <c r="CR261" t="s">
        <v>25</v>
      </c>
      <c r="CS261" t="s">
        <v>25</v>
      </c>
      <c r="CT261" t="s">
        <v>25</v>
      </c>
      <c r="CU261" t="s">
        <v>25</v>
      </c>
      <c r="CV261" t="s">
        <v>25</v>
      </c>
      <c r="CW261" t="s">
        <v>31</v>
      </c>
      <c r="CX261" t="s">
        <v>25</v>
      </c>
      <c r="CY261" t="s">
        <v>25</v>
      </c>
      <c r="CZ261" t="s">
        <v>25</v>
      </c>
      <c r="DA261" t="s">
        <v>25</v>
      </c>
      <c r="DB261" t="s">
        <v>25</v>
      </c>
      <c r="DC261" t="s">
        <v>25</v>
      </c>
      <c r="DD261" t="s">
        <v>25</v>
      </c>
      <c r="DE261" t="s">
        <v>25</v>
      </c>
      <c r="DF261" t="s">
        <v>25</v>
      </c>
      <c r="DG261" t="s">
        <v>25</v>
      </c>
      <c r="DH261" t="s">
        <v>25</v>
      </c>
      <c r="DI261" t="s">
        <v>25</v>
      </c>
      <c r="DJ261" s="76">
        <v>1.0000000707805139E-2</v>
      </c>
      <c r="DK261" s="73">
        <v>108</v>
      </c>
      <c r="DL261" s="73">
        <v>158</v>
      </c>
      <c r="DM261" s="73">
        <v>-50</v>
      </c>
      <c r="DU261"/>
      <c r="DX261" s="65" t="s">
        <v>126</v>
      </c>
      <c r="DY261" t="s">
        <v>183</v>
      </c>
      <c r="DZ261" s="73">
        <v>56</v>
      </c>
      <c r="EA261" s="73">
        <v>0</v>
      </c>
      <c r="EB261" s="73">
        <v>56</v>
      </c>
      <c r="EC261" s="65" t="s">
        <v>126</v>
      </c>
    </row>
    <row r="262" spans="1:133" ht="12" customHeight="1" x14ac:dyDescent="0.2">
      <c r="A262" t="s">
        <v>2937</v>
      </c>
      <c r="B262" t="s">
        <v>2946</v>
      </c>
      <c r="C262" t="str">
        <f t="shared" si="14"/>
        <v>Full</v>
      </c>
      <c r="E262" s="65">
        <v>4122</v>
      </c>
      <c r="F262" t="s">
        <v>1807</v>
      </c>
      <c r="G262" s="71" t="s">
        <v>149</v>
      </c>
      <c r="H262" s="67">
        <v>7.0000002160668399E-3</v>
      </c>
      <c r="I262" s="65">
        <v>529138</v>
      </c>
      <c r="J262" s="65">
        <v>174076</v>
      </c>
      <c r="L262" s="65" t="s">
        <v>1281</v>
      </c>
      <c r="M262" s="65" t="s">
        <v>27</v>
      </c>
      <c r="N262" s="69">
        <v>42790</v>
      </c>
      <c r="O262" s="69">
        <v>42846</v>
      </c>
      <c r="P262" s="65" t="s">
        <v>126</v>
      </c>
      <c r="R262" s="65" t="s">
        <v>28</v>
      </c>
      <c r="U262" t="s">
        <v>1282</v>
      </c>
      <c r="V262" t="s">
        <v>3233</v>
      </c>
      <c r="W262" s="65" t="s">
        <v>29</v>
      </c>
      <c r="X262" s="65" t="s">
        <v>29</v>
      </c>
      <c r="Y262" s="65" t="s">
        <v>59</v>
      </c>
      <c r="AD262" s="65" t="s">
        <v>23</v>
      </c>
      <c r="AE262" s="65" t="s">
        <v>24</v>
      </c>
      <c r="BJ262" s="73">
        <v>30</v>
      </c>
      <c r="BK262" s="73">
        <v>30</v>
      </c>
      <c r="BO262" s="185" t="s">
        <v>3794</v>
      </c>
      <c r="BP262" s="185" t="s">
        <v>126</v>
      </c>
      <c r="BQ262" s="185" t="s">
        <v>3794</v>
      </c>
      <c r="BW262" s="73"/>
      <c r="BY262" s="185" t="s">
        <v>3794</v>
      </c>
      <c r="CC262" s="73">
        <v>-30</v>
      </c>
      <c r="CD262" s="73">
        <v>-30</v>
      </c>
      <c r="CE262" s="65" t="s">
        <v>126</v>
      </c>
      <c r="CJ262" t="s">
        <v>25</v>
      </c>
      <c r="CK262" t="s">
        <v>25</v>
      </c>
      <c r="CL262" t="s">
        <v>25</v>
      </c>
      <c r="CM262" t="s">
        <v>25</v>
      </c>
      <c r="CN262" t="s">
        <v>25</v>
      </c>
      <c r="CO262" t="s">
        <v>25</v>
      </c>
      <c r="CP262" t="s">
        <v>25</v>
      </c>
      <c r="CQ262" t="s">
        <v>25</v>
      </c>
      <c r="CR262" t="s">
        <v>25</v>
      </c>
      <c r="CS262" t="s">
        <v>25</v>
      </c>
      <c r="CT262" t="s">
        <v>25</v>
      </c>
      <c r="CU262" t="s">
        <v>25</v>
      </c>
      <c r="CV262" t="s">
        <v>25</v>
      </c>
      <c r="CW262" t="s">
        <v>25</v>
      </c>
      <c r="CX262" t="s">
        <v>25</v>
      </c>
      <c r="CY262" t="s">
        <v>25</v>
      </c>
      <c r="CZ262" t="s">
        <v>25</v>
      </c>
      <c r="DA262" t="s">
        <v>25</v>
      </c>
      <c r="DB262" t="s">
        <v>25</v>
      </c>
      <c r="DC262" t="s">
        <v>25</v>
      </c>
      <c r="DD262" t="s">
        <v>25</v>
      </c>
      <c r="DE262" t="s">
        <v>25</v>
      </c>
      <c r="DF262" t="s">
        <v>53</v>
      </c>
      <c r="DG262" t="s">
        <v>25</v>
      </c>
      <c r="DH262" t="s">
        <v>25</v>
      </c>
      <c r="DI262" t="s">
        <v>25</v>
      </c>
      <c r="DJ262" s="76">
        <v>0</v>
      </c>
      <c r="DK262" s="73">
        <v>0</v>
      </c>
      <c r="DL262" s="73">
        <v>30</v>
      </c>
      <c r="DM262" s="73">
        <v>-30</v>
      </c>
      <c r="DU262"/>
      <c r="DZ262" s="73">
        <v>162</v>
      </c>
      <c r="EA262" s="73">
        <v>0</v>
      </c>
      <c r="EB262" s="73">
        <v>162</v>
      </c>
      <c r="EC262" s="65" t="s">
        <v>126</v>
      </c>
    </row>
    <row r="263" spans="1:133" ht="12" customHeight="1" x14ac:dyDescent="0.2">
      <c r="A263" t="s">
        <v>2935</v>
      </c>
      <c r="B263" t="s">
        <v>2946</v>
      </c>
      <c r="C263" t="str">
        <f t="shared" si="14"/>
        <v>Full</v>
      </c>
      <c r="E263" s="65">
        <v>4150</v>
      </c>
      <c r="F263" t="s">
        <v>1808</v>
      </c>
      <c r="G263" s="71" t="s">
        <v>3942</v>
      </c>
      <c r="H263" s="67">
        <v>6.0000000521540598E-3</v>
      </c>
      <c r="I263" s="65">
        <v>527485</v>
      </c>
      <c r="J263" s="65">
        <v>175037</v>
      </c>
      <c r="L263" s="65" t="s">
        <v>537</v>
      </c>
      <c r="M263" s="65" t="s">
        <v>27</v>
      </c>
      <c r="N263" s="69">
        <v>42277</v>
      </c>
      <c r="O263" s="69">
        <v>42486</v>
      </c>
      <c r="R263" s="65" t="s">
        <v>28</v>
      </c>
      <c r="U263" t="s">
        <v>538</v>
      </c>
      <c r="V263" t="s">
        <v>3234</v>
      </c>
      <c r="W263" s="65" t="s">
        <v>39</v>
      </c>
      <c r="X263" s="65" t="s">
        <v>39</v>
      </c>
      <c r="Y263" s="65" t="s">
        <v>30</v>
      </c>
      <c r="AA263" s="69">
        <v>43190</v>
      </c>
      <c r="AD263" s="65" t="s">
        <v>23</v>
      </c>
      <c r="AE263" s="65" t="s">
        <v>24</v>
      </c>
      <c r="AH263" s="69">
        <f t="shared" si="12"/>
        <v>43190</v>
      </c>
      <c r="AP263" s="73">
        <v>117</v>
      </c>
      <c r="AS263" s="73">
        <v>117</v>
      </c>
      <c r="AV263" s="73">
        <v>117</v>
      </c>
      <c r="BO263" s="185" t="s">
        <v>3794</v>
      </c>
      <c r="BP263" s="185" t="s">
        <v>126</v>
      </c>
      <c r="BQ263" s="185" t="s">
        <v>3794</v>
      </c>
      <c r="BW263" s="73"/>
      <c r="BX263" s="73">
        <v>117</v>
      </c>
      <c r="BY263" s="185" t="s">
        <v>3794</v>
      </c>
      <c r="CD263" s="73">
        <v>117</v>
      </c>
      <c r="CJ263" t="s">
        <v>25</v>
      </c>
      <c r="CK263" t="s">
        <v>25</v>
      </c>
      <c r="CL263" t="s">
        <v>25</v>
      </c>
      <c r="CM263" t="s">
        <v>25</v>
      </c>
      <c r="CN263" t="s">
        <v>25</v>
      </c>
      <c r="CO263" t="s">
        <v>72</v>
      </c>
      <c r="CP263" t="s">
        <v>25</v>
      </c>
      <c r="CQ263" t="s">
        <v>25</v>
      </c>
      <c r="CR263" t="s">
        <v>25</v>
      </c>
      <c r="CS263" t="s">
        <v>25</v>
      </c>
      <c r="CT263" t="s">
        <v>25</v>
      </c>
      <c r="CU263" t="s">
        <v>25</v>
      </c>
      <c r="CV263" t="s">
        <v>25</v>
      </c>
      <c r="CW263" t="s">
        <v>25</v>
      </c>
      <c r="CX263" t="s">
        <v>25</v>
      </c>
      <c r="CY263" t="s">
        <v>25</v>
      </c>
      <c r="CZ263" t="s">
        <v>25</v>
      </c>
      <c r="DA263" t="s">
        <v>25</v>
      </c>
      <c r="DB263" t="s">
        <v>25</v>
      </c>
      <c r="DC263" t="s">
        <v>25</v>
      </c>
      <c r="DD263" t="s">
        <v>25</v>
      </c>
      <c r="DE263" t="s">
        <v>25</v>
      </c>
      <c r="DF263" t="s">
        <v>25</v>
      </c>
      <c r="DG263" t="s">
        <v>25</v>
      </c>
      <c r="DH263" t="s">
        <v>25</v>
      </c>
      <c r="DI263" t="s">
        <v>25</v>
      </c>
      <c r="DJ263" s="76">
        <v>6.0000000521540598E-3</v>
      </c>
      <c r="DK263" s="73">
        <v>117</v>
      </c>
      <c r="DL263" s="73">
        <v>0</v>
      </c>
      <c r="DM263" s="73">
        <v>117</v>
      </c>
      <c r="DU263"/>
      <c r="DV263" s="65" t="s">
        <v>126</v>
      </c>
      <c r="DW263" t="s">
        <v>132</v>
      </c>
      <c r="DZ263" s="73">
        <v>0</v>
      </c>
      <c r="EA263" s="73">
        <v>0</v>
      </c>
      <c r="EB263" s="73">
        <v>0</v>
      </c>
    </row>
    <row r="264" spans="1:133" ht="12" customHeight="1" x14ac:dyDescent="0.2">
      <c r="A264" t="s">
        <v>2935</v>
      </c>
      <c r="B264" t="s">
        <v>2948</v>
      </c>
      <c r="C264" t="str">
        <f t="shared" si="14"/>
        <v>Prior Approval</v>
      </c>
      <c r="E264" s="65">
        <v>4167</v>
      </c>
      <c r="F264" t="s">
        <v>1809</v>
      </c>
      <c r="G264" s="71" t="s">
        <v>3940</v>
      </c>
      <c r="H264" s="67">
        <v>3.7999998778104803E-2</v>
      </c>
      <c r="I264" s="65">
        <v>522501</v>
      </c>
      <c r="J264" s="65">
        <v>173758</v>
      </c>
      <c r="L264" s="65" t="s">
        <v>1120</v>
      </c>
      <c r="M264" s="65" t="s">
        <v>243</v>
      </c>
      <c r="N264" s="69">
        <v>42668</v>
      </c>
      <c r="O264" s="69">
        <v>42723</v>
      </c>
      <c r="R264" s="65" t="s">
        <v>28</v>
      </c>
      <c r="U264" t="s">
        <v>1121</v>
      </c>
      <c r="V264" t="s">
        <v>3235</v>
      </c>
      <c r="W264" s="65" t="s">
        <v>21</v>
      </c>
      <c r="X264" s="65" t="s">
        <v>21</v>
      </c>
      <c r="Y264" s="65" t="s">
        <v>30</v>
      </c>
      <c r="AA264" s="69">
        <v>43190</v>
      </c>
      <c r="AD264" s="65" t="s">
        <v>23</v>
      </c>
      <c r="AE264" s="65" t="s">
        <v>24</v>
      </c>
      <c r="AH264" s="69">
        <f t="shared" si="12"/>
        <v>43190</v>
      </c>
      <c r="BF264" s="73">
        <v>128</v>
      </c>
      <c r="BK264" s="73">
        <v>128</v>
      </c>
      <c r="BO264" s="185" t="s">
        <v>3794</v>
      </c>
      <c r="BP264" s="185" t="s">
        <v>126</v>
      </c>
      <c r="BQ264" s="185" t="s">
        <v>3794</v>
      </c>
      <c r="BW264" s="73"/>
      <c r="BX264" s="73">
        <v>-128</v>
      </c>
      <c r="BY264" s="185" t="s">
        <v>126</v>
      </c>
      <c r="CD264" s="73">
        <v>-128</v>
      </c>
      <c r="CE264" s="65" t="s">
        <v>126</v>
      </c>
      <c r="CJ264" t="s">
        <v>25</v>
      </c>
      <c r="CK264" t="s">
        <v>25</v>
      </c>
      <c r="CL264" t="s">
        <v>25</v>
      </c>
      <c r="CM264" t="s">
        <v>25</v>
      </c>
      <c r="CN264" t="s">
        <v>25</v>
      </c>
      <c r="CO264" t="s">
        <v>25</v>
      </c>
      <c r="CP264" t="s">
        <v>25</v>
      </c>
      <c r="CQ264" t="s">
        <v>25</v>
      </c>
      <c r="CR264" t="s">
        <v>25</v>
      </c>
      <c r="CS264" t="s">
        <v>25</v>
      </c>
      <c r="CT264" t="s">
        <v>25</v>
      </c>
      <c r="CU264" t="s">
        <v>25</v>
      </c>
      <c r="CV264" t="s">
        <v>25</v>
      </c>
      <c r="CW264" t="s">
        <v>25</v>
      </c>
      <c r="CX264" t="s">
        <v>25</v>
      </c>
      <c r="CY264" t="s">
        <v>25</v>
      </c>
      <c r="CZ264" t="s">
        <v>25</v>
      </c>
      <c r="DA264" t="s">
        <v>25</v>
      </c>
      <c r="DB264" t="s">
        <v>49</v>
      </c>
      <c r="DC264" t="s">
        <v>25</v>
      </c>
      <c r="DD264" t="s">
        <v>25</v>
      </c>
      <c r="DE264" t="s">
        <v>25</v>
      </c>
      <c r="DF264" t="s">
        <v>25</v>
      </c>
      <c r="DG264" t="s">
        <v>25</v>
      </c>
      <c r="DH264" t="s">
        <v>25</v>
      </c>
      <c r="DI264" t="s">
        <v>25</v>
      </c>
      <c r="DJ264" s="76">
        <v>2.5999998673796702E-2</v>
      </c>
      <c r="DK264" s="73">
        <v>0</v>
      </c>
      <c r="DL264" s="73">
        <v>128</v>
      </c>
      <c r="DM264" s="73">
        <v>-128</v>
      </c>
      <c r="DU264"/>
      <c r="DZ264" s="73">
        <v>128</v>
      </c>
      <c r="EA264" s="73">
        <v>0</v>
      </c>
      <c r="EB264" s="73">
        <v>128</v>
      </c>
      <c r="EC264" s="65" t="s">
        <v>126</v>
      </c>
    </row>
    <row r="265" spans="1:133" ht="12" customHeight="1" x14ac:dyDescent="0.2">
      <c r="A265" t="s">
        <v>2935</v>
      </c>
      <c r="B265" t="s">
        <v>2946</v>
      </c>
      <c r="C265" t="str">
        <f t="shared" si="14"/>
        <v>Full</v>
      </c>
      <c r="E265" s="65">
        <v>4167</v>
      </c>
      <c r="F265" t="s">
        <v>1809</v>
      </c>
      <c r="G265" s="71" t="s">
        <v>3940</v>
      </c>
      <c r="H265" s="67">
        <v>3.7999998778104803E-2</v>
      </c>
      <c r="I265" s="65">
        <v>522501</v>
      </c>
      <c r="J265" s="65">
        <v>173758</v>
      </c>
      <c r="L265" s="65" t="s">
        <v>1214</v>
      </c>
      <c r="M265" s="65" t="s">
        <v>27</v>
      </c>
      <c r="N265" s="69">
        <v>42748</v>
      </c>
      <c r="O265" s="69">
        <v>42804</v>
      </c>
      <c r="R265" s="65" t="s">
        <v>28</v>
      </c>
      <c r="U265" t="s">
        <v>1215</v>
      </c>
      <c r="V265" t="s">
        <v>3236</v>
      </c>
      <c r="W265" s="65" t="s">
        <v>34</v>
      </c>
      <c r="X265" s="65" t="s">
        <v>29</v>
      </c>
      <c r="Y265" s="65" t="s">
        <v>30</v>
      </c>
      <c r="AA265" s="69">
        <v>43190</v>
      </c>
      <c r="AD265" s="65" t="s">
        <v>23</v>
      </c>
      <c r="AE265" s="65" t="s">
        <v>24</v>
      </c>
      <c r="AH265" s="69">
        <f t="shared" si="12"/>
        <v>43190</v>
      </c>
      <c r="BL265" s="73">
        <v>116</v>
      </c>
      <c r="BN265" s="73">
        <v>116</v>
      </c>
      <c r="BO265" s="185" t="s">
        <v>3794</v>
      </c>
      <c r="BP265" s="185" t="s">
        <v>3794</v>
      </c>
      <c r="BQ265" s="185" t="s">
        <v>126</v>
      </c>
      <c r="BW265" s="73"/>
      <c r="BY265" s="185" t="s">
        <v>3794</v>
      </c>
      <c r="CG265" s="73">
        <v>-116</v>
      </c>
      <c r="CI265" s="73">
        <v>-116</v>
      </c>
      <c r="CJ265" t="s">
        <v>25</v>
      </c>
      <c r="CK265" t="s">
        <v>25</v>
      </c>
      <c r="CL265" t="s">
        <v>25</v>
      </c>
      <c r="CM265" t="s">
        <v>25</v>
      </c>
      <c r="CN265" t="s">
        <v>25</v>
      </c>
      <c r="CO265" t="s">
        <v>25</v>
      </c>
      <c r="CP265" t="s">
        <v>25</v>
      </c>
      <c r="CQ265" t="s">
        <v>25</v>
      </c>
      <c r="CR265" t="s">
        <v>25</v>
      </c>
      <c r="CS265" t="s">
        <v>25</v>
      </c>
      <c r="CT265" t="s">
        <v>25</v>
      </c>
      <c r="CU265" t="s">
        <v>25</v>
      </c>
      <c r="CV265" t="s">
        <v>25</v>
      </c>
      <c r="CW265" t="s">
        <v>25</v>
      </c>
      <c r="CX265" t="s">
        <v>25</v>
      </c>
      <c r="CY265" t="s">
        <v>25</v>
      </c>
      <c r="CZ265" t="s">
        <v>25</v>
      </c>
      <c r="DA265" t="s">
        <v>25</v>
      </c>
      <c r="DB265" t="s">
        <v>25</v>
      </c>
      <c r="DC265" t="s">
        <v>25</v>
      </c>
      <c r="DD265" t="s">
        <v>25</v>
      </c>
      <c r="DE265" t="s">
        <v>25</v>
      </c>
      <c r="DF265" t="s">
        <v>25</v>
      </c>
      <c r="DG265" t="s">
        <v>25</v>
      </c>
      <c r="DH265" t="s">
        <v>47</v>
      </c>
      <c r="DI265" t="s">
        <v>25</v>
      </c>
      <c r="DJ265" s="76">
        <v>1.8999999389052401E-2</v>
      </c>
      <c r="DK265" s="73">
        <v>0</v>
      </c>
      <c r="DL265" s="73">
        <v>116</v>
      </c>
      <c r="DM265" s="73">
        <v>-116</v>
      </c>
      <c r="DU265"/>
      <c r="DZ265" s="73">
        <v>168</v>
      </c>
      <c r="EA265" s="73">
        <v>0</v>
      </c>
      <c r="EB265" s="73">
        <v>168</v>
      </c>
      <c r="EC265" s="65" t="s">
        <v>126</v>
      </c>
    </row>
    <row r="266" spans="1:133" ht="12" customHeight="1" x14ac:dyDescent="0.2">
      <c r="A266" t="s">
        <v>2937</v>
      </c>
      <c r="B266" t="s">
        <v>2946</v>
      </c>
      <c r="C266" t="str">
        <f t="shared" si="14"/>
        <v>Full</v>
      </c>
      <c r="E266" s="65">
        <v>4173</v>
      </c>
      <c r="F266" t="s">
        <v>1810</v>
      </c>
      <c r="G266" s="71" t="s">
        <v>2907</v>
      </c>
      <c r="H266" s="67">
        <v>1.4000000432133701E-2</v>
      </c>
      <c r="I266" s="65">
        <v>525437</v>
      </c>
      <c r="J266" s="65">
        <v>174675</v>
      </c>
      <c r="L266" s="65" t="s">
        <v>1811</v>
      </c>
      <c r="M266" s="65" t="s">
        <v>27</v>
      </c>
      <c r="N266" s="69">
        <v>42955</v>
      </c>
      <c r="O266" s="69">
        <v>43033</v>
      </c>
      <c r="P266" s="65" t="s">
        <v>126</v>
      </c>
      <c r="R266" s="65" t="s">
        <v>28</v>
      </c>
      <c r="U266" t="s">
        <v>1812</v>
      </c>
      <c r="V266" t="s">
        <v>3237</v>
      </c>
      <c r="W266" s="65" t="s">
        <v>29</v>
      </c>
      <c r="X266" s="65" t="s">
        <v>29</v>
      </c>
      <c r="Y266" s="65" t="s">
        <v>69</v>
      </c>
      <c r="AD266" s="65" t="s">
        <v>23</v>
      </c>
      <c r="AE266" s="65" t="s">
        <v>24</v>
      </c>
      <c r="AJ266" s="73">
        <v>97</v>
      </c>
      <c r="AO266" s="73">
        <v>97</v>
      </c>
      <c r="AZ266" s="73">
        <v>117</v>
      </c>
      <c r="BE266" s="73">
        <v>117</v>
      </c>
      <c r="BO266" s="185" t="s">
        <v>126</v>
      </c>
      <c r="BP266" s="185" t="s">
        <v>3794</v>
      </c>
      <c r="BQ266" s="185" t="s">
        <v>3794</v>
      </c>
      <c r="BR266" s="73">
        <v>-20</v>
      </c>
      <c r="BW266" s="73">
        <v>-20</v>
      </c>
      <c r="BY266" s="185" t="s">
        <v>3794</v>
      </c>
      <c r="CJ266" t="s">
        <v>31</v>
      </c>
      <c r="CK266" t="s">
        <v>25</v>
      </c>
      <c r="CL266" t="s">
        <v>25</v>
      </c>
      <c r="CM266" t="s">
        <v>25</v>
      </c>
      <c r="CN266" t="s">
        <v>25</v>
      </c>
      <c r="CO266" t="s">
        <v>25</v>
      </c>
      <c r="CP266" t="s">
        <v>25</v>
      </c>
      <c r="CQ266" t="s">
        <v>25</v>
      </c>
      <c r="CR266" t="s">
        <v>25</v>
      </c>
      <c r="CS266" t="s">
        <v>25</v>
      </c>
      <c r="CT266" t="s">
        <v>25</v>
      </c>
      <c r="CU266" t="s">
        <v>25</v>
      </c>
      <c r="CV266" t="s">
        <v>25</v>
      </c>
      <c r="CW266" t="s">
        <v>47</v>
      </c>
      <c r="CX266" t="s">
        <v>25</v>
      </c>
      <c r="CY266" t="s">
        <v>25</v>
      </c>
      <c r="CZ266" t="s">
        <v>25</v>
      </c>
      <c r="DA266" t="s">
        <v>25</v>
      </c>
      <c r="DB266" t="s">
        <v>25</v>
      </c>
      <c r="DC266" t="s">
        <v>25</v>
      </c>
      <c r="DD266" t="s">
        <v>25</v>
      </c>
      <c r="DE266" t="s">
        <v>25</v>
      </c>
      <c r="DF266" t="s">
        <v>25</v>
      </c>
      <c r="DG266" t="s">
        <v>25</v>
      </c>
      <c r="DH266" t="s">
        <v>25</v>
      </c>
      <c r="DI266" t="s">
        <v>25</v>
      </c>
      <c r="DJ266" s="76">
        <v>0</v>
      </c>
      <c r="DK266" s="73">
        <v>97</v>
      </c>
      <c r="DL266" s="73">
        <v>117</v>
      </c>
      <c r="DM266" s="73">
        <v>-20</v>
      </c>
      <c r="DU266"/>
      <c r="DV266" s="65" t="s">
        <v>126</v>
      </c>
      <c r="DW266" t="s">
        <v>151</v>
      </c>
      <c r="DZ266" s="73">
        <v>274</v>
      </c>
      <c r="EA266" s="73">
        <v>95</v>
      </c>
      <c r="EB266" s="73">
        <v>179</v>
      </c>
      <c r="EC266" s="65" t="s">
        <v>126</v>
      </c>
    </row>
    <row r="267" spans="1:133" ht="12" customHeight="1" x14ac:dyDescent="0.2">
      <c r="A267" t="s">
        <v>2935</v>
      </c>
      <c r="B267" t="s">
        <v>2948</v>
      </c>
      <c r="C267" t="str">
        <f t="shared" si="14"/>
        <v>Prior Approval</v>
      </c>
      <c r="E267" s="65">
        <v>4205</v>
      </c>
      <c r="F267" t="s">
        <v>1813</v>
      </c>
      <c r="G267" s="71" t="s">
        <v>3941</v>
      </c>
      <c r="H267" s="67">
        <v>1.78100001811981</v>
      </c>
      <c r="I267" s="65">
        <v>527989</v>
      </c>
      <c r="J267" s="65">
        <v>173844</v>
      </c>
      <c r="L267" s="65" t="s">
        <v>905</v>
      </c>
      <c r="M267" s="65" t="s">
        <v>243</v>
      </c>
      <c r="N267" s="69">
        <v>42515</v>
      </c>
      <c r="O267" s="69">
        <v>42571</v>
      </c>
      <c r="R267" s="65" t="s">
        <v>28</v>
      </c>
      <c r="U267" t="s">
        <v>906</v>
      </c>
      <c r="V267" t="s">
        <v>3238</v>
      </c>
      <c r="W267" s="65" t="s">
        <v>21</v>
      </c>
      <c r="X267" s="65" t="s">
        <v>21</v>
      </c>
      <c r="Y267" s="65" t="s">
        <v>30</v>
      </c>
      <c r="AA267" s="69">
        <v>42826</v>
      </c>
      <c r="AD267" s="65" t="s">
        <v>23</v>
      </c>
      <c r="AE267" s="65" t="s">
        <v>24</v>
      </c>
      <c r="AH267" s="69">
        <f t="shared" si="12"/>
        <v>42826</v>
      </c>
      <c r="AW267" s="73">
        <v>75</v>
      </c>
      <c r="AY267" s="73">
        <v>75</v>
      </c>
      <c r="BO267" s="185" t="s">
        <v>3794</v>
      </c>
      <c r="BP267" s="185" t="s">
        <v>3794</v>
      </c>
      <c r="BQ267" s="185" t="s">
        <v>126</v>
      </c>
      <c r="BW267" s="73"/>
      <c r="BY267" s="185" t="s">
        <v>3794</v>
      </c>
      <c r="CG267" s="73">
        <v>75</v>
      </c>
      <c r="CI267" s="73">
        <v>75</v>
      </c>
      <c r="CJ267" t="s">
        <v>25</v>
      </c>
      <c r="CK267" t="s">
        <v>25</v>
      </c>
      <c r="CL267" t="s">
        <v>25</v>
      </c>
      <c r="CM267" t="s">
        <v>25</v>
      </c>
      <c r="CN267" t="s">
        <v>25</v>
      </c>
      <c r="CO267" t="s">
        <v>25</v>
      </c>
      <c r="CP267" t="s">
        <v>25</v>
      </c>
      <c r="CQ267" t="s">
        <v>25</v>
      </c>
      <c r="CR267" t="s">
        <v>25</v>
      </c>
      <c r="CS267" t="s">
        <v>25</v>
      </c>
      <c r="CT267" t="s">
        <v>25</v>
      </c>
      <c r="CU267" t="s">
        <v>43</v>
      </c>
      <c r="CV267" t="s">
        <v>25</v>
      </c>
      <c r="CW267" t="s">
        <v>25</v>
      </c>
      <c r="CX267" t="s">
        <v>25</v>
      </c>
      <c r="CY267" t="s">
        <v>25</v>
      </c>
      <c r="CZ267" t="s">
        <v>25</v>
      </c>
      <c r="DA267" t="s">
        <v>25</v>
      </c>
      <c r="DB267" t="s">
        <v>25</v>
      </c>
      <c r="DC267" t="s">
        <v>25</v>
      </c>
      <c r="DD267" t="s">
        <v>25</v>
      </c>
      <c r="DE267" t="s">
        <v>25</v>
      </c>
      <c r="DF267" t="s">
        <v>25</v>
      </c>
      <c r="DG267" t="s">
        <v>25</v>
      </c>
      <c r="DH267" t="s">
        <v>25</v>
      </c>
      <c r="DI267" t="s">
        <v>25</v>
      </c>
      <c r="DJ267" s="76">
        <v>1.78100001811981</v>
      </c>
      <c r="DK267" s="73">
        <v>75</v>
      </c>
      <c r="DL267" s="73">
        <v>0</v>
      </c>
      <c r="DM267" s="73">
        <v>75</v>
      </c>
      <c r="DU267"/>
      <c r="DZ267" s="73">
        <v>0</v>
      </c>
      <c r="EA267" s="73">
        <v>0</v>
      </c>
      <c r="EB267" s="73">
        <v>0</v>
      </c>
    </row>
    <row r="268" spans="1:133" ht="12" customHeight="1" x14ac:dyDescent="0.2">
      <c r="A268" t="s">
        <v>2937</v>
      </c>
      <c r="B268" t="s">
        <v>2946</v>
      </c>
      <c r="C268" t="str">
        <f t="shared" si="14"/>
        <v>Full</v>
      </c>
      <c r="E268" s="65">
        <v>4207</v>
      </c>
      <c r="F268" t="s">
        <v>1814</v>
      </c>
      <c r="G268" s="71" t="s">
        <v>3952</v>
      </c>
      <c r="H268" s="67">
        <v>4.9999998882412902E-3</v>
      </c>
      <c r="I268" s="65">
        <v>528913</v>
      </c>
      <c r="J268" s="65">
        <v>173014</v>
      </c>
      <c r="L268" s="65" t="s">
        <v>945</v>
      </c>
      <c r="M268" s="65" t="s">
        <v>27</v>
      </c>
      <c r="N268" s="69">
        <v>42535</v>
      </c>
      <c r="O268" s="69">
        <v>43069</v>
      </c>
      <c r="P268" s="65" t="s">
        <v>126</v>
      </c>
      <c r="R268" s="65" t="s">
        <v>28</v>
      </c>
      <c r="U268" t="s">
        <v>946</v>
      </c>
      <c r="V268" t="s">
        <v>3239</v>
      </c>
      <c r="W268" s="65" t="s">
        <v>34</v>
      </c>
      <c r="X268" s="65" t="s">
        <v>29</v>
      </c>
      <c r="Y268" s="65" t="s">
        <v>69</v>
      </c>
      <c r="AD268" s="65" t="s">
        <v>23</v>
      </c>
      <c r="AE268" s="65" t="s">
        <v>24</v>
      </c>
      <c r="BO268" s="185" t="s">
        <v>3794</v>
      </c>
      <c r="BP268" s="185" t="s">
        <v>3794</v>
      </c>
      <c r="BQ268" s="185" t="s">
        <v>3794</v>
      </c>
      <c r="BW268" s="73"/>
      <c r="BY268" s="185" t="s">
        <v>3794</v>
      </c>
      <c r="CJ268" t="s">
        <v>25</v>
      </c>
      <c r="CK268" t="s">
        <v>25</v>
      </c>
      <c r="CL268" t="s">
        <v>25</v>
      </c>
      <c r="CM268" t="s">
        <v>25</v>
      </c>
      <c r="CN268" t="s">
        <v>25</v>
      </c>
      <c r="CO268" t="s">
        <v>25</v>
      </c>
      <c r="CP268" t="s">
        <v>25</v>
      </c>
      <c r="CQ268" t="s">
        <v>25</v>
      </c>
      <c r="CR268" t="s">
        <v>25</v>
      </c>
      <c r="CS268" t="s">
        <v>25</v>
      </c>
      <c r="CT268" t="s">
        <v>25</v>
      </c>
      <c r="CU268" t="s">
        <v>25</v>
      </c>
      <c r="CV268" t="s">
        <v>25</v>
      </c>
      <c r="CW268" t="s">
        <v>25</v>
      </c>
      <c r="CX268" t="s">
        <v>25</v>
      </c>
      <c r="CY268" t="s">
        <v>25</v>
      </c>
      <c r="CZ268" t="s">
        <v>25</v>
      </c>
      <c r="DA268" t="s">
        <v>25</v>
      </c>
      <c r="DB268" t="s">
        <v>25</v>
      </c>
      <c r="DC268" t="s">
        <v>25</v>
      </c>
      <c r="DD268" t="s">
        <v>25</v>
      </c>
      <c r="DE268" t="s">
        <v>25</v>
      </c>
      <c r="DF268" t="s">
        <v>25</v>
      </c>
      <c r="DG268" t="s">
        <v>25</v>
      </c>
      <c r="DH268" t="s">
        <v>25</v>
      </c>
      <c r="DI268" t="s">
        <v>25</v>
      </c>
      <c r="DJ268" s="76">
        <v>0</v>
      </c>
      <c r="DK268" s="73">
        <v>0</v>
      </c>
      <c r="DL268" s="73">
        <v>29</v>
      </c>
      <c r="DM268" s="73">
        <v>-29</v>
      </c>
      <c r="DU268"/>
      <c r="DZ268" s="73">
        <v>39</v>
      </c>
      <c r="EA268" s="73">
        <v>0</v>
      </c>
      <c r="EB268" s="73">
        <v>39</v>
      </c>
      <c r="EC268" s="65" t="s">
        <v>126</v>
      </c>
    </row>
    <row r="269" spans="1:133" ht="12" customHeight="1" x14ac:dyDescent="0.2">
      <c r="A269" t="s">
        <v>2937</v>
      </c>
      <c r="B269" t="s">
        <v>2946</v>
      </c>
      <c r="C269" t="str">
        <f t="shared" si="14"/>
        <v>Full</v>
      </c>
      <c r="E269" s="65">
        <v>4229</v>
      </c>
      <c r="F269" t="s">
        <v>1815</v>
      </c>
      <c r="G269" s="71" t="s">
        <v>3944</v>
      </c>
      <c r="H269" s="67">
        <v>8.9999996125698107E-3</v>
      </c>
      <c r="I269" s="65">
        <v>525819</v>
      </c>
      <c r="J269" s="65">
        <v>174910</v>
      </c>
      <c r="L269" s="65" t="s">
        <v>608</v>
      </c>
      <c r="M269" s="65" t="s">
        <v>27</v>
      </c>
      <c r="N269" s="69">
        <v>42444</v>
      </c>
      <c r="O269" s="69">
        <v>42446</v>
      </c>
      <c r="R269" s="65" t="s">
        <v>28</v>
      </c>
      <c r="U269" t="s">
        <v>609</v>
      </c>
      <c r="V269" t="s">
        <v>3240</v>
      </c>
      <c r="W269" s="65" t="s">
        <v>34</v>
      </c>
      <c r="X269" s="65" t="s">
        <v>29</v>
      </c>
      <c r="Y269" s="65" t="s">
        <v>59</v>
      </c>
      <c r="AD269" s="65" t="s">
        <v>23</v>
      </c>
      <c r="AE269" s="65" t="s">
        <v>24</v>
      </c>
      <c r="AK269" s="73">
        <v>129</v>
      </c>
      <c r="AO269" s="73">
        <v>129</v>
      </c>
      <c r="AP269" s="73">
        <v>80</v>
      </c>
      <c r="AS269" s="73">
        <v>80</v>
      </c>
      <c r="AV269" s="73">
        <v>80</v>
      </c>
      <c r="AZ269" s="73">
        <v>48</v>
      </c>
      <c r="BE269" s="73">
        <v>48</v>
      </c>
      <c r="BO269" s="185" t="s">
        <v>126</v>
      </c>
      <c r="BP269" s="185" t="s">
        <v>126</v>
      </c>
      <c r="BQ269" s="185" t="s">
        <v>3794</v>
      </c>
      <c r="BR269" s="73">
        <v>-48</v>
      </c>
      <c r="BS269" s="73">
        <v>129</v>
      </c>
      <c r="BW269" s="73">
        <v>81</v>
      </c>
      <c r="BX269" s="73">
        <v>80</v>
      </c>
      <c r="BY269" s="185" t="s">
        <v>3794</v>
      </c>
      <c r="CD269" s="73">
        <v>80</v>
      </c>
      <c r="CJ269" t="s">
        <v>25</v>
      </c>
      <c r="CK269" t="s">
        <v>31</v>
      </c>
      <c r="CL269" t="s">
        <v>25</v>
      </c>
      <c r="CM269" t="s">
        <v>25</v>
      </c>
      <c r="CN269" t="s">
        <v>25</v>
      </c>
      <c r="CO269" t="s">
        <v>31</v>
      </c>
      <c r="CP269" t="s">
        <v>25</v>
      </c>
      <c r="CQ269" t="s">
        <v>25</v>
      </c>
      <c r="CR269" t="s">
        <v>25</v>
      </c>
      <c r="CS269" t="s">
        <v>25</v>
      </c>
      <c r="CT269" t="s">
        <v>25</v>
      </c>
      <c r="CU269" t="s">
        <v>25</v>
      </c>
      <c r="CV269" t="s">
        <v>25</v>
      </c>
      <c r="CW269" t="s">
        <v>47</v>
      </c>
      <c r="CX269" t="s">
        <v>25</v>
      </c>
      <c r="CY269" t="s">
        <v>25</v>
      </c>
      <c r="CZ269" t="s">
        <v>25</v>
      </c>
      <c r="DA269" t="s">
        <v>25</v>
      </c>
      <c r="DB269" t="s">
        <v>25</v>
      </c>
      <c r="DC269" t="s">
        <v>25</v>
      </c>
      <c r="DD269" t="s">
        <v>25</v>
      </c>
      <c r="DE269" t="s">
        <v>25</v>
      </c>
      <c r="DF269" t="s">
        <v>25</v>
      </c>
      <c r="DG269" t="s">
        <v>25</v>
      </c>
      <c r="DH269" t="s">
        <v>25</v>
      </c>
      <c r="DI269" t="s">
        <v>25</v>
      </c>
      <c r="DJ269" s="76">
        <v>8.9999996125698107E-3</v>
      </c>
      <c r="DK269" s="73">
        <v>209</v>
      </c>
      <c r="DL269" s="73">
        <v>48</v>
      </c>
      <c r="DM269" s="73">
        <v>161</v>
      </c>
      <c r="DU269"/>
      <c r="DZ269" s="73">
        <v>0</v>
      </c>
      <c r="EA269" s="73">
        <v>64</v>
      </c>
      <c r="EB269" s="73">
        <v>-64</v>
      </c>
    </row>
    <row r="270" spans="1:133" ht="12" customHeight="1" x14ac:dyDescent="0.2">
      <c r="A270" t="s">
        <v>2937</v>
      </c>
      <c r="B270" t="s">
        <v>2946</v>
      </c>
      <c r="C270" t="str">
        <f t="shared" si="14"/>
        <v>Full</v>
      </c>
      <c r="E270" s="65">
        <v>4252</v>
      </c>
      <c r="F270" t="s">
        <v>1816</v>
      </c>
      <c r="G270" s="71" t="s">
        <v>3943</v>
      </c>
      <c r="H270" s="67">
        <v>6.0000000521540598E-3</v>
      </c>
      <c r="I270" s="65">
        <v>527344</v>
      </c>
      <c r="J270" s="65">
        <v>176643</v>
      </c>
      <c r="L270" s="65" t="s">
        <v>314</v>
      </c>
      <c r="M270" s="65" t="s">
        <v>27</v>
      </c>
      <c r="N270" s="69">
        <v>42023</v>
      </c>
      <c r="O270" s="69">
        <v>42153</v>
      </c>
      <c r="R270" s="65" t="s">
        <v>28</v>
      </c>
      <c r="U270" t="s">
        <v>315</v>
      </c>
      <c r="V270" t="s">
        <v>3241</v>
      </c>
      <c r="W270" s="65" t="s">
        <v>34</v>
      </c>
      <c r="X270" s="65" t="s">
        <v>29</v>
      </c>
      <c r="Y270" s="65" t="s">
        <v>69</v>
      </c>
      <c r="AD270" s="65" t="s">
        <v>23</v>
      </c>
      <c r="AE270" s="65" t="s">
        <v>24</v>
      </c>
      <c r="BF270" s="73">
        <v>64</v>
      </c>
      <c r="BK270" s="73">
        <v>64</v>
      </c>
      <c r="BO270" s="185" t="s">
        <v>3794</v>
      </c>
      <c r="BP270" s="185" t="s">
        <v>126</v>
      </c>
      <c r="BQ270" s="185" t="s">
        <v>3794</v>
      </c>
      <c r="BW270" s="73"/>
      <c r="BX270" s="73">
        <v>-64</v>
      </c>
      <c r="BY270" s="185" t="s">
        <v>126</v>
      </c>
      <c r="CD270" s="73">
        <v>-64</v>
      </c>
      <c r="CE270" s="65" t="s">
        <v>126</v>
      </c>
      <c r="CJ270" t="s">
        <v>25</v>
      </c>
      <c r="CK270" t="s">
        <v>25</v>
      </c>
      <c r="CL270" t="s">
        <v>25</v>
      </c>
      <c r="CM270" t="s">
        <v>25</v>
      </c>
      <c r="CN270" t="s">
        <v>25</v>
      </c>
      <c r="CO270" t="s">
        <v>25</v>
      </c>
      <c r="CP270" t="s">
        <v>25</v>
      </c>
      <c r="CQ270" t="s">
        <v>25</v>
      </c>
      <c r="CR270" t="s">
        <v>25</v>
      </c>
      <c r="CS270" t="s">
        <v>25</v>
      </c>
      <c r="CT270" t="s">
        <v>25</v>
      </c>
      <c r="CU270" t="s">
        <v>25</v>
      </c>
      <c r="CV270" t="s">
        <v>25</v>
      </c>
      <c r="CW270" t="s">
        <v>25</v>
      </c>
      <c r="CX270" t="s">
        <v>25</v>
      </c>
      <c r="CY270" t="s">
        <v>25</v>
      </c>
      <c r="CZ270" t="s">
        <v>25</v>
      </c>
      <c r="DA270" t="s">
        <v>25</v>
      </c>
      <c r="DB270" t="s">
        <v>31</v>
      </c>
      <c r="DC270" t="s">
        <v>25</v>
      </c>
      <c r="DD270" t="s">
        <v>25</v>
      </c>
      <c r="DE270" t="s">
        <v>25</v>
      </c>
      <c r="DF270" t="s">
        <v>25</v>
      </c>
      <c r="DG270" t="s">
        <v>25</v>
      </c>
      <c r="DH270" t="s">
        <v>25</v>
      </c>
      <c r="DI270" t="s">
        <v>25</v>
      </c>
      <c r="DJ270" s="76">
        <v>0</v>
      </c>
      <c r="DK270" s="73">
        <v>0</v>
      </c>
      <c r="DL270" s="73">
        <v>64</v>
      </c>
      <c r="DM270" s="73">
        <v>-64</v>
      </c>
      <c r="DU270"/>
      <c r="DZ270" s="73">
        <v>85</v>
      </c>
      <c r="EA270" s="73">
        <v>0</v>
      </c>
      <c r="EB270" s="73">
        <v>85</v>
      </c>
      <c r="EC270" s="65" t="s">
        <v>126</v>
      </c>
    </row>
    <row r="271" spans="1:133" ht="12" customHeight="1" x14ac:dyDescent="0.2">
      <c r="A271" t="s">
        <v>2935</v>
      </c>
      <c r="B271" t="s">
        <v>2946</v>
      </c>
      <c r="C271" t="str">
        <f t="shared" si="14"/>
        <v>Full</v>
      </c>
      <c r="E271" s="65">
        <v>4260</v>
      </c>
      <c r="F271" t="s">
        <v>1817</v>
      </c>
      <c r="G271" s="71" t="s">
        <v>2904</v>
      </c>
      <c r="H271" s="67">
        <v>3.4000001847744002E-2</v>
      </c>
      <c r="I271" s="65">
        <v>526461</v>
      </c>
      <c r="J271" s="65">
        <v>172543</v>
      </c>
      <c r="L271" s="65" t="s">
        <v>256</v>
      </c>
      <c r="M271" s="65" t="s">
        <v>27</v>
      </c>
      <c r="N271" s="69">
        <v>41568</v>
      </c>
      <c r="O271" s="69">
        <v>41568</v>
      </c>
      <c r="R271" s="65" t="s">
        <v>28</v>
      </c>
      <c r="U271" t="s">
        <v>690</v>
      </c>
      <c r="V271" t="s">
        <v>3242</v>
      </c>
      <c r="W271" s="65" t="s">
        <v>34</v>
      </c>
      <c r="X271" s="65" t="s">
        <v>29</v>
      </c>
      <c r="Y271" s="65" t="s">
        <v>30</v>
      </c>
      <c r="AA271" s="69">
        <v>43190</v>
      </c>
      <c r="AD271" s="65" t="s">
        <v>23</v>
      </c>
      <c r="AE271" s="65" t="s">
        <v>24</v>
      </c>
      <c r="AH271" s="69">
        <f t="shared" si="12"/>
        <v>43190</v>
      </c>
      <c r="AZ271" s="73">
        <v>41</v>
      </c>
      <c r="BE271" s="73">
        <v>41</v>
      </c>
      <c r="BO271" s="185" t="s">
        <v>126</v>
      </c>
      <c r="BP271" s="185" t="s">
        <v>3794</v>
      </c>
      <c r="BQ271" s="185" t="s">
        <v>3794</v>
      </c>
      <c r="BR271" s="73">
        <v>-41</v>
      </c>
      <c r="BW271" s="73">
        <v>-41</v>
      </c>
      <c r="BY271" s="185" t="s">
        <v>3794</v>
      </c>
      <c r="CJ271" t="s">
        <v>25</v>
      </c>
      <c r="CK271" t="s">
        <v>25</v>
      </c>
      <c r="CL271" t="s">
        <v>25</v>
      </c>
      <c r="CM271" t="s">
        <v>25</v>
      </c>
      <c r="CN271" t="s">
        <v>25</v>
      </c>
      <c r="CO271" t="s">
        <v>25</v>
      </c>
      <c r="CP271" t="s">
        <v>25</v>
      </c>
      <c r="CQ271" t="s">
        <v>25</v>
      </c>
      <c r="CR271" t="s">
        <v>25</v>
      </c>
      <c r="CS271" t="s">
        <v>25</v>
      </c>
      <c r="CT271" t="s">
        <v>25</v>
      </c>
      <c r="CU271" t="s">
        <v>25</v>
      </c>
      <c r="CV271" t="s">
        <v>25</v>
      </c>
      <c r="CW271" t="s">
        <v>40</v>
      </c>
      <c r="CX271" t="s">
        <v>25</v>
      </c>
      <c r="CY271" t="s">
        <v>25</v>
      </c>
      <c r="CZ271" t="s">
        <v>25</v>
      </c>
      <c r="DA271" t="s">
        <v>25</v>
      </c>
      <c r="DB271" t="s">
        <v>25</v>
      </c>
      <c r="DC271" t="s">
        <v>25</v>
      </c>
      <c r="DD271" t="s">
        <v>25</v>
      </c>
      <c r="DE271" t="s">
        <v>25</v>
      </c>
      <c r="DF271" t="s">
        <v>25</v>
      </c>
      <c r="DG271" t="s">
        <v>25</v>
      </c>
      <c r="DH271" t="s">
        <v>25</v>
      </c>
      <c r="DI271" t="s">
        <v>25</v>
      </c>
      <c r="DJ271" s="76">
        <v>0</v>
      </c>
      <c r="DK271" s="73">
        <v>0</v>
      </c>
      <c r="DL271" s="73">
        <v>41</v>
      </c>
      <c r="DM271" s="73">
        <v>-41</v>
      </c>
      <c r="DU271"/>
      <c r="DZ271" s="73">
        <v>334</v>
      </c>
      <c r="EA271" s="73">
        <v>131</v>
      </c>
      <c r="EB271" s="73">
        <v>203</v>
      </c>
      <c r="EC271" s="65" t="s">
        <v>126</v>
      </c>
    </row>
    <row r="272" spans="1:133" ht="12" customHeight="1" x14ac:dyDescent="0.2">
      <c r="A272" t="s">
        <v>2938</v>
      </c>
      <c r="B272" t="s">
        <v>2946</v>
      </c>
      <c r="C272" t="str">
        <f t="shared" si="14"/>
        <v>Full</v>
      </c>
      <c r="E272" s="65">
        <v>4280</v>
      </c>
      <c r="F272" t="s">
        <v>1818</v>
      </c>
      <c r="G272" s="71" t="s">
        <v>3944</v>
      </c>
      <c r="H272" s="67">
        <v>1.8999999389052401E-2</v>
      </c>
      <c r="I272" s="65">
        <v>524989</v>
      </c>
      <c r="J272" s="65">
        <v>174632</v>
      </c>
      <c r="L272" s="65" t="s">
        <v>1819</v>
      </c>
      <c r="M272" s="65" t="s">
        <v>172</v>
      </c>
      <c r="N272" s="69">
        <v>43174</v>
      </c>
      <c r="R272" s="65" t="s">
        <v>28</v>
      </c>
      <c r="U272" t="s">
        <v>1820</v>
      </c>
      <c r="V272" t="s">
        <v>3243</v>
      </c>
      <c r="W272" s="65" t="s">
        <v>21</v>
      </c>
      <c r="X272" s="65" t="s">
        <v>21</v>
      </c>
      <c r="Y272" s="65" t="s">
        <v>69</v>
      </c>
      <c r="AD272" s="65" t="s">
        <v>173</v>
      </c>
      <c r="AE272" s="65" t="s">
        <v>24</v>
      </c>
      <c r="AW272" s="73">
        <v>22</v>
      </c>
      <c r="AY272" s="73">
        <v>22</v>
      </c>
      <c r="BJ272" s="73">
        <v>25</v>
      </c>
      <c r="BK272" s="73">
        <v>25</v>
      </c>
      <c r="BO272" s="185" t="s">
        <v>3794</v>
      </c>
      <c r="BP272" s="185" t="s">
        <v>126</v>
      </c>
      <c r="BQ272" s="185" t="s">
        <v>126</v>
      </c>
      <c r="BW272" s="73"/>
      <c r="BY272" s="185" t="s">
        <v>3794</v>
      </c>
      <c r="CC272" s="73">
        <v>-25</v>
      </c>
      <c r="CD272" s="73">
        <v>-25</v>
      </c>
      <c r="CE272" s="65" t="s">
        <v>126</v>
      </c>
      <c r="CG272" s="73">
        <v>22</v>
      </c>
      <c r="CI272" s="73">
        <v>22</v>
      </c>
      <c r="CJ272" t="s">
        <v>25</v>
      </c>
      <c r="CK272" t="s">
        <v>25</v>
      </c>
      <c r="CL272" t="s">
        <v>25</v>
      </c>
      <c r="CM272" t="s">
        <v>25</v>
      </c>
      <c r="CN272" t="s">
        <v>25</v>
      </c>
      <c r="CO272" t="s">
        <v>25</v>
      </c>
      <c r="CP272" t="s">
        <v>25</v>
      </c>
      <c r="CQ272" t="s">
        <v>25</v>
      </c>
      <c r="CR272" t="s">
        <v>25</v>
      </c>
      <c r="CS272" t="s">
        <v>25</v>
      </c>
      <c r="CT272" t="s">
        <v>25</v>
      </c>
      <c r="CU272" t="s">
        <v>60</v>
      </c>
      <c r="CV272" t="s">
        <v>25</v>
      </c>
      <c r="CW272" t="s">
        <v>25</v>
      </c>
      <c r="CX272" t="s">
        <v>25</v>
      </c>
      <c r="CY272" t="s">
        <v>25</v>
      </c>
      <c r="CZ272" t="s">
        <v>25</v>
      </c>
      <c r="DA272" t="s">
        <v>25</v>
      </c>
      <c r="DB272" t="s">
        <v>25</v>
      </c>
      <c r="DC272" t="s">
        <v>25</v>
      </c>
      <c r="DD272" t="s">
        <v>25</v>
      </c>
      <c r="DE272" t="s">
        <v>25</v>
      </c>
      <c r="DF272" t="s">
        <v>47</v>
      </c>
      <c r="DG272" t="s">
        <v>25</v>
      </c>
      <c r="DH272" t="s">
        <v>25</v>
      </c>
      <c r="DI272" t="s">
        <v>25</v>
      </c>
      <c r="DJ272" s="76">
        <v>1.8999999389052401E-2</v>
      </c>
      <c r="DK272" s="73">
        <v>22</v>
      </c>
      <c r="DL272" s="73">
        <v>25</v>
      </c>
      <c r="DM272" s="73">
        <v>-3</v>
      </c>
      <c r="DU272"/>
      <c r="DZ272" s="73">
        <v>0</v>
      </c>
      <c r="EA272" s="73">
        <v>0</v>
      </c>
      <c r="EB272" s="73">
        <v>0</v>
      </c>
    </row>
    <row r="273" spans="1:133" ht="12" customHeight="1" x14ac:dyDescent="0.2">
      <c r="A273" t="s">
        <v>2935</v>
      </c>
      <c r="B273" t="s">
        <v>2946</v>
      </c>
      <c r="C273" t="str">
        <f t="shared" si="14"/>
        <v>Full</v>
      </c>
      <c r="E273" s="65">
        <v>4308</v>
      </c>
      <c r="F273" t="s">
        <v>1821</v>
      </c>
      <c r="G273" s="71" t="s">
        <v>149</v>
      </c>
      <c r="H273" s="67">
        <v>0.21799999475479101</v>
      </c>
      <c r="I273" s="65">
        <v>528260</v>
      </c>
      <c r="J273" s="65">
        <v>174215</v>
      </c>
      <c r="L273" s="65" t="s">
        <v>359</v>
      </c>
      <c r="M273" s="65" t="s">
        <v>27</v>
      </c>
      <c r="N273" s="69">
        <v>41788</v>
      </c>
      <c r="O273" s="69">
        <v>41906</v>
      </c>
      <c r="R273" s="65" t="s">
        <v>28</v>
      </c>
      <c r="U273" t="s">
        <v>360</v>
      </c>
      <c r="V273" t="s">
        <v>3244</v>
      </c>
      <c r="W273" s="65" t="s">
        <v>29</v>
      </c>
      <c r="X273" s="65" t="s">
        <v>29</v>
      </c>
      <c r="Y273" s="65" t="s">
        <v>30</v>
      </c>
      <c r="AA273" s="69">
        <v>42643</v>
      </c>
      <c r="AD273" s="65" t="s">
        <v>23</v>
      </c>
      <c r="AE273" s="65" t="s">
        <v>24</v>
      </c>
      <c r="AH273" s="69">
        <f t="shared" si="12"/>
        <v>42643</v>
      </c>
      <c r="BO273" s="185" t="s">
        <v>3794</v>
      </c>
      <c r="BP273" s="185" t="s">
        <v>3794</v>
      </c>
      <c r="BQ273" s="185" t="s">
        <v>3794</v>
      </c>
      <c r="BW273" s="73"/>
      <c r="BY273" s="185" t="s">
        <v>3794</v>
      </c>
      <c r="CJ273" t="s">
        <v>25</v>
      </c>
      <c r="CK273" t="s">
        <v>25</v>
      </c>
      <c r="CL273" t="s">
        <v>25</v>
      </c>
      <c r="CM273" t="s">
        <v>25</v>
      </c>
      <c r="CN273" t="s">
        <v>25</v>
      </c>
      <c r="CO273" t="s">
        <v>25</v>
      </c>
      <c r="CP273" t="s">
        <v>25</v>
      </c>
      <c r="CQ273" t="s">
        <v>25</v>
      </c>
      <c r="CR273" t="s">
        <v>25</v>
      </c>
      <c r="CS273" t="s">
        <v>25</v>
      </c>
      <c r="CT273" t="s">
        <v>25</v>
      </c>
      <c r="CU273" t="s">
        <v>25</v>
      </c>
      <c r="CV273" t="s">
        <v>25</v>
      </c>
      <c r="CW273" t="s">
        <v>25</v>
      </c>
      <c r="CX273" t="s">
        <v>25</v>
      </c>
      <c r="CY273" t="s">
        <v>25</v>
      </c>
      <c r="CZ273" t="s">
        <v>25</v>
      </c>
      <c r="DA273" t="s">
        <v>25</v>
      </c>
      <c r="DB273" t="s">
        <v>25</v>
      </c>
      <c r="DC273" t="s">
        <v>25</v>
      </c>
      <c r="DD273" t="s">
        <v>25</v>
      </c>
      <c r="DE273" t="s">
        <v>25</v>
      </c>
      <c r="DF273" t="s">
        <v>25</v>
      </c>
      <c r="DG273" t="s">
        <v>25</v>
      </c>
      <c r="DH273" t="s">
        <v>25</v>
      </c>
      <c r="DI273" t="s">
        <v>25</v>
      </c>
      <c r="DJ273" s="76">
        <v>0</v>
      </c>
      <c r="DK273" s="73">
        <v>0</v>
      </c>
      <c r="DL273" s="73">
        <v>37</v>
      </c>
      <c r="DM273" s="73">
        <v>-37</v>
      </c>
      <c r="DU273"/>
      <c r="DZ273" s="73">
        <v>1780</v>
      </c>
      <c r="EA273" s="73">
        <v>0</v>
      </c>
      <c r="EB273" s="73">
        <v>1780</v>
      </c>
      <c r="EC273" s="65" t="s">
        <v>126</v>
      </c>
    </row>
    <row r="274" spans="1:133" ht="12" customHeight="1" x14ac:dyDescent="0.2">
      <c r="A274" t="s">
        <v>2937</v>
      </c>
      <c r="B274" t="s">
        <v>2948</v>
      </c>
      <c r="C274" t="str">
        <f t="shared" si="14"/>
        <v>Prior Approval</v>
      </c>
      <c r="E274" s="65">
        <v>4314</v>
      </c>
      <c r="F274" t="s">
        <v>1822</v>
      </c>
      <c r="G274" s="71" t="s">
        <v>3943</v>
      </c>
      <c r="H274" s="67">
        <v>4.9999998882412902E-3</v>
      </c>
      <c r="I274" s="65">
        <v>527097</v>
      </c>
      <c r="J274" s="65">
        <v>176190</v>
      </c>
      <c r="L274" s="65" t="s">
        <v>626</v>
      </c>
      <c r="M274" s="65" t="s">
        <v>243</v>
      </c>
      <c r="N274" s="69">
        <v>42404</v>
      </c>
      <c r="O274" s="69">
        <v>42460</v>
      </c>
      <c r="R274" s="65" t="s">
        <v>28</v>
      </c>
      <c r="U274" t="s">
        <v>456</v>
      </c>
      <c r="V274" t="s">
        <v>3245</v>
      </c>
      <c r="W274" s="65" t="s">
        <v>21</v>
      </c>
      <c r="X274" s="65" t="s">
        <v>21</v>
      </c>
      <c r="Y274" s="65" t="s">
        <v>59</v>
      </c>
      <c r="AD274" s="65" t="s">
        <v>23</v>
      </c>
      <c r="AE274" s="65" t="s">
        <v>24</v>
      </c>
      <c r="BF274" s="73">
        <v>51</v>
      </c>
      <c r="BK274" s="73">
        <v>51</v>
      </c>
      <c r="BO274" s="185" t="s">
        <v>3794</v>
      </c>
      <c r="BP274" s="185" t="s">
        <v>126</v>
      </c>
      <c r="BQ274" s="185" t="s">
        <v>3794</v>
      </c>
      <c r="BW274" s="73"/>
      <c r="BX274" s="73">
        <v>-51</v>
      </c>
      <c r="BY274" s="185" t="s">
        <v>126</v>
      </c>
      <c r="CD274" s="73">
        <v>-51</v>
      </c>
      <c r="CE274" s="65" t="s">
        <v>126</v>
      </c>
      <c r="CJ274" t="s">
        <v>25</v>
      </c>
      <c r="CK274" t="s">
        <v>25</v>
      </c>
      <c r="CL274" t="s">
        <v>25</v>
      </c>
      <c r="CM274" t="s">
        <v>25</v>
      </c>
      <c r="CN274" t="s">
        <v>25</v>
      </c>
      <c r="CO274" t="s">
        <v>25</v>
      </c>
      <c r="CP274" t="s">
        <v>25</v>
      </c>
      <c r="CQ274" t="s">
        <v>25</v>
      </c>
      <c r="CR274" t="s">
        <v>25</v>
      </c>
      <c r="CS274" t="s">
        <v>25</v>
      </c>
      <c r="CT274" t="s">
        <v>25</v>
      </c>
      <c r="CU274" t="s">
        <v>25</v>
      </c>
      <c r="CV274" t="s">
        <v>25</v>
      </c>
      <c r="CW274" t="s">
        <v>25</v>
      </c>
      <c r="CX274" t="s">
        <v>25</v>
      </c>
      <c r="CY274" t="s">
        <v>25</v>
      </c>
      <c r="CZ274" t="s">
        <v>25</v>
      </c>
      <c r="DA274" t="s">
        <v>25</v>
      </c>
      <c r="DB274" t="s">
        <v>31</v>
      </c>
      <c r="DC274" t="s">
        <v>25</v>
      </c>
      <c r="DD274" t="s">
        <v>25</v>
      </c>
      <c r="DE274" t="s">
        <v>25</v>
      </c>
      <c r="DF274" t="s">
        <v>25</v>
      </c>
      <c r="DG274" t="s">
        <v>25</v>
      </c>
      <c r="DH274" t="s">
        <v>25</v>
      </c>
      <c r="DI274" t="s">
        <v>25</v>
      </c>
      <c r="DJ274" s="76">
        <v>0</v>
      </c>
      <c r="DK274" s="73">
        <v>0</v>
      </c>
      <c r="DL274" s="73">
        <v>51</v>
      </c>
      <c r="DM274" s="73">
        <v>-51</v>
      </c>
      <c r="DU274"/>
      <c r="DZ274" s="73">
        <v>51</v>
      </c>
      <c r="EA274" s="73">
        <v>0</v>
      </c>
      <c r="EB274" s="73">
        <v>51</v>
      </c>
      <c r="EC274" s="65" t="s">
        <v>126</v>
      </c>
    </row>
    <row r="275" spans="1:133" ht="12" customHeight="1" x14ac:dyDescent="0.2">
      <c r="A275" t="s">
        <v>2937</v>
      </c>
      <c r="B275" t="s">
        <v>2946</v>
      </c>
      <c r="C275" t="str">
        <f t="shared" si="14"/>
        <v>Full</v>
      </c>
      <c r="E275" s="65">
        <v>4316</v>
      </c>
      <c r="F275" t="s">
        <v>1823</v>
      </c>
      <c r="G275" s="71" t="s">
        <v>3951</v>
      </c>
      <c r="H275" s="67">
        <v>0.108999997377396</v>
      </c>
      <c r="I275" s="65">
        <v>527567</v>
      </c>
      <c r="J275" s="65">
        <v>171576</v>
      </c>
      <c r="K275" s="65" t="s">
        <v>1824</v>
      </c>
      <c r="L275" s="65" t="s">
        <v>714</v>
      </c>
      <c r="M275" s="65" t="s">
        <v>33</v>
      </c>
      <c r="N275" s="69">
        <v>41963</v>
      </c>
      <c r="O275" s="69">
        <v>42482</v>
      </c>
      <c r="Q275" s="69">
        <v>42145</v>
      </c>
      <c r="R275" s="65" t="s">
        <v>28</v>
      </c>
      <c r="U275" t="s">
        <v>715</v>
      </c>
      <c r="V275" t="s">
        <v>3246</v>
      </c>
      <c r="W275" s="65" t="s">
        <v>29</v>
      </c>
      <c r="X275" s="65" t="s">
        <v>29</v>
      </c>
      <c r="Y275" s="65" t="s">
        <v>69</v>
      </c>
      <c r="AD275" s="65" t="s">
        <v>23</v>
      </c>
      <c r="AE275" s="65" t="s">
        <v>24</v>
      </c>
      <c r="AJ275" s="73">
        <v>510</v>
      </c>
      <c r="AO275" s="73">
        <v>510</v>
      </c>
      <c r="AP275" s="73">
        <v>327</v>
      </c>
      <c r="AS275" s="73">
        <v>327</v>
      </c>
      <c r="AV275" s="73">
        <v>327</v>
      </c>
      <c r="AZ275" s="73">
        <v>510</v>
      </c>
      <c r="BE275" s="73">
        <v>510</v>
      </c>
      <c r="BF275" s="73">
        <v>327</v>
      </c>
      <c r="BK275" s="73">
        <v>327</v>
      </c>
      <c r="BO275" s="185" t="s">
        <v>126</v>
      </c>
      <c r="BP275" s="185" t="s">
        <v>126</v>
      </c>
      <c r="BQ275" s="185" t="s">
        <v>3794</v>
      </c>
      <c r="BW275" s="73"/>
      <c r="BY275" s="185" t="s">
        <v>3794</v>
      </c>
      <c r="CJ275" t="s">
        <v>40</v>
      </c>
      <c r="CK275" t="s">
        <v>25</v>
      </c>
      <c r="CL275" t="s">
        <v>25</v>
      </c>
      <c r="CM275" t="s">
        <v>25</v>
      </c>
      <c r="CN275" t="s">
        <v>25</v>
      </c>
      <c r="CO275" t="s">
        <v>31</v>
      </c>
      <c r="CP275" t="s">
        <v>25</v>
      </c>
      <c r="CQ275" t="s">
        <v>25</v>
      </c>
      <c r="CR275" t="s">
        <v>25</v>
      </c>
      <c r="CS275" t="s">
        <v>25</v>
      </c>
      <c r="CT275" t="s">
        <v>25</v>
      </c>
      <c r="CU275" t="s">
        <v>25</v>
      </c>
      <c r="CV275" t="s">
        <v>25</v>
      </c>
      <c r="CW275" t="s">
        <v>40</v>
      </c>
      <c r="CX275" t="s">
        <v>25</v>
      </c>
      <c r="CY275" t="s">
        <v>25</v>
      </c>
      <c r="CZ275" t="s">
        <v>25</v>
      </c>
      <c r="DA275" t="s">
        <v>25</v>
      </c>
      <c r="DB275" t="s">
        <v>31</v>
      </c>
      <c r="DC275" t="s">
        <v>25</v>
      </c>
      <c r="DD275" t="s">
        <v>25</v>
      </c>
      <c r="DE275" t="s">
        <v>25</v>
      </c>
      <c r="DF275" t="s">
        <v>25</v>
      </c>
      <c r="DG275" t="s">
        <v>25</v>
      </c>
      <c r="DH275" t="s">
        <v>25</v>
      </c>
      <c r="DI275" t="s">
        <v>25</v>
      </c>
      <c r="DJ275" s="76">
        <v>3.8999998010695411E-2</v>
      </c>
      <c r="DK275" s="73">
        <v>1164</v>
      </c>
      <c r="DL275" s="73">
        <v>1164</v>
      </c>
      <c r="DM275" s="73">
        <v>0</v>
      </c>
      <c r="DU275"/>
      <c r="DV275" s="65" t="s">
        <v>126</v>
      </c>
      <c r="DW275" t="s">
        <v>150</v>
      </c>
      <c r="DZ275" s="73">
        <v>1206</v>
      </c>
      <c r="EA275" s="73">
        <v>0</v>
      </c>
      <c r="EB275" s="73">
        <v>1206</v>
      </c>
      <c r="EC275" s="65" t="s">
        <v>126</v>
      </c>
    </row>
    <row r="276" spans="1:133" ht="12" customHeight="1" x14ac:dyDescent="0.2">
      <c r="A276" t="s">
        <v>2936</v>
      </c>
      <c r="B276" t="s">
        <v>2946</v>
      </c>
      <c r="C276" t="str">
        <f t="shared" si="14"/>
        <v>Full</v>
      </c>
      <c r="D276" t="s">
        <v>2943</v>
      </c>
      <c r="E276" s="65">
        <v>4331</v>
      </c>
      <c r="F276" t="s">
        <v>1825</v>
      </c>
      <c r="G276" s="71" t="s">
        <v>3944</v>
      </c>
      <c r="H276" s="67">
        <v>0.49900001287460299</v>
      </c>
      <c r="I276" s="65">
        <v>526157</v>
      </c>
      <c r="J276" s="65">
        <v>174292</v>
      </c>
      <c r="L276" s="65" t="s">
        <v>250</v>
      </c>
      <c r="M276" s="65" t="s">
        <v>27</v>
      </c>
      <c r="N276" s="69">
        <v>41701</v>
      </c>
      <c r="O276" s="69">
        <v>41810</v>
      </c>
      <c r="R276" s="65" t="s">
        <v>28</v>
      </c>
      <c r="U276" t="s">
        <v>696</v>
      </c>
      <c r="V276" t="s">
        <v>3247</v>
      </c>
      <c r="W276" s="65" t="s">
        <v>29</v>
      </c>
      <c r="X276" s="65" t="s">
        <v>29</v>
      </c>
      <c r="Y276" s="65" t="s">
        <v>35</v>
      </c>
      <c r="AA276" s="69">
        <v>42089</v>
      </c>
      <c r="AB276" s="69">
        <v>43190</v>
      </c>
      <c r="AC276" s="69">
        <v>43190</v>
      </c>
      <c r="AD276" s="65" t="s">
        <v>23</v>
      </c>
      <c r="AE276" s="65" t="s">
        <v>24</v>
      </c>
      <c r="AH276" s="69">
        <f t="shared" si="12"/>
        <v>42089</v>
      </c>
      <c r="AI276" s="69">
        <f t="shared" si="13"/>
        <v>43190</v>
      </c>
      <c r="AW276" s="73">
        <v>533</v>
      </c>
      <c r="AY276" s="73">
        <v>533</v>
      </c>
      <c r="BL276" s="73">
        <v>151</v>
      </c>
      <c r="BN276" s="73">
        <v>151</v>
      </c>
      <c r="BO276" s="185" t="s">
        <v>3794</v>
      </c>
      <c r="BP276" s="185" t="s">
        <v>3794</v>
      </c>
      <c r="BQ276" s="185" t="s">
        <v>126</v>
      </c>
      <c r="BW276" s="73"/>
      <c r="BY276" s="185" t="s">
        <v>3794</v>
      </c>
      <c r="CG276" s="73">
        <v>382</v>
      </c>
      <c r="CI276" s="73">
        <v>382</v>
      </c>
      <c r="CJ276" t="s">
        <v>25</v>
      </c>
      <c r="CK276" t="s">
        <v>25</v>
      </c>
      <c r="CL276" t="s">
        <v>25</v>
      </c>
      <c r="CM276" t="s">
        <v>25</v>
      </c>
      <c r="CN276" t="s">
        <v>25</v>
      </c>
      <c r="CO276" t="s">
        <v>25</v>
      </c>
      <c r="CP276" t="s">
        <v>25</v>
      </c>
      <c r="CQ276" t="s">
        <v>25</v>
      </c>
      <c r="CR276" t="s">
        <v>25</v>
      </c>
      <c r="CS276" t="s">
        <v>25</v>
      </c>
      <c r="CT276" t="s">
        <v>25</v>
      </c>
      <c r="CU276" t="s">
        <v>60</v>
      </c>
      <c r="CV276" t="s">
        <v>25</v>
      </c>
      <c r="CW276" t="s">
        <v>25</v>
      </c>
      <c r="CX276" t="s">
        <v>25</v>
      </c>
      <c r="CY276" t="s">
        <v>25</v>
      </c>
      <c r="CZ276" t="s">
        <v>25</v>
      </c>
      <c r="DA276" t="s">
        <v>25</v>
      </c>
      <c r="DB276" t="s">
        <v>25</v>
      </c>
      <c r="DC276" t="s">
        <v>25</v>
      </c>
      <c r="DD276" t="s">
        <v>25</v>
      </c>
      <c r="DE276" t="s">
        <v>25</v>
      </c>
      <c r="DF276" t="s">
        <v>25</v>
      </c>
      <c r="DG276" t="s">
        <v>25</v>
      </c>
      <c r="DH276" t="s">
        <v>60</v>
      </c>
      <c r="DI276" t="s">
        <v>25</v>
      </c>
      <c r="DJ276" s="76">
        <v>0.49900001287460299</v>
      </c>
      <c r="DK276" s="73">
        <v>533</v>
      </c>
      <c r="DL276" s="73">
        <v>151</v>
      </c>
      <c r="DM276" s="73">
        <v>382</v>
      </c>
      <c r="DU276"/>
      <c r="DZ276" s="73">
        <v>0</v>
      </c>
      <c r="EA276" s="73">
        <v>0</v>
      </c>
      <c r="EB276" s="73">
        <v>0</v>
      </c>
    </row>
    <row r="277" spans="1:133" ht="12" customHeight="1" x14ac:dyDescent="0.2">
      <c r="A277" t="s">
        <v>2936</v>
      </c>
      <c r="B277" t="s">
        <v>2946</v>
      </c>
      <c r="C277" t="str">
        <f t="shared" si="14"/>
        <v>Full</v>
      </c>
      <c r="D277" t="s">
        <v>2943</v>
      </c>
      <c r="E277" s="65">
        <v>4344</v>
      </c>
      <c r="F277" t="s">
        <v>1826</v>
      </c>
      <c r="G277" s="71" t="s">
        <v>3944</v>
      </c>
      <c r="H277" s="67">
        <v>2.19999998807907E-2</v>
      </c>
      <c r="I277" s="65">
        <v>525827</v>
      </c>
      <c r="J277" s="65">
        <v>175063</v>
      </c>
      <c r="L277" s="65" t="s">
        <v>1174</v>
      </c>
      <c r="M277" s="65" t="s">
        <v>27</v>
      </c>
      <c r="N277" s="69">
        <v>42738</v>
      </c>
      <c r="O277" s="69">
        <v>42788</v>
      </c>
      <c r="R277" s="65" t="s">
        <v>28</v>
      </c>
      <c r="U277" t="s">
        <v>1175</v>
      </c>
      <c r="V277" t="s">
        <v>3248</v>
      </c>
      <c r="W277" s="65" t="s">
        <v>21</v>
      </c>
      <c r="X277" s="65" t="s">
        <v>21</v>
      </c>
      <c r="Y277" s="65" t="s">
        <v>35</v>
      </c>
      <c r="AA277" s="69">
        <v>42825</v>
      </c>
      <c r="AB277" s="69">
        <v>43190</v>
      </c>
      <c r="AC277" s="69">
        <v>43190</v>
      </c>
      <c r="AD277" s="65" t="s">
        <v>23</v>
      </c>
      <c r="AE277" s="65" t="s">
        <v>24</v>
      </c>
      <c r="AH277" s="69">
        <f t="shared" si="12"/>
        <v>42825</v>
      </c>
      <c r="AI277" s="69">
        <f t="shared" si="13"/>
        <v>43190</v>
      </c>
      <c r="AR277" s="73">
        <v>189</v>
      </c>
      <c r="AS277" s="73">
        <v>189</v>
      </c>
      <c r="AV277" s="73">
        <v>189</v>
      </c>
      <c r="BO277" s="185" t="s">
        <v>3794</v>
      </c>
      <c r="BP277" s="185" t="s">
        <v>126</v>
      </c>
      <c r="BQ277" s="185" t="s">
        <v>3794</v>
      </c>
      <c r="BW277" s="73"/>
      <c r="BY277" s="185" t="s">
        <v>3794</v>
      </c>
      <c r="CA277" s="73">
        <v>189</v>
      </c>
      <c r="CD277" s="73">
        <v>189</v>
      </c>
      <c r="CJ277" t="s">
        <v>25</v>
      </c>
      <c r="CK277" t="s">
        <v>25</v>
      </c>
      <c r="CL277" t="s">
        <v>25</v>
      </c>
      <c r="CM277" t="s">
        <v>25</v>
      </c>
      <c r="CN277" t="s">
        <v>25</v>
      </c>
      <c r="CO277" t="s">
        <v>25</v>
      </c>
      <c r="CP277" t="s">
        <v>25</v>
      </c>
      <c r="CQ277" t="s">
        <v>51</v>
      </c>
      <c r="CR277" t="s">
        <v>32</v>
      </c>
      <c r="CS277" t="s">
        <v>53</v>
      </c>
      <c r="CT277" t="s">
        <v>25</v>
      </c>
      <c r="CU277" t="s">
        <v>25</v>
      </c>
      <c r="CV277" t="s">
        <v>25</v>
      </c>
      <c r="CW277" t="s">
        <v>25</v>
      </c>
      <c r="CX277" t="s">
        <v>25</v>
      </c>
      <c r="CY277" t="s">
        <v>25</v>
      </c>
      <c r="CZ277" t="s">
        <v>25</v>
      </c>
      <c r="DA277" t="s">
        <v>25</v>
      </c>
      <c r="DB277" t="s">
        <v>25</v>
      </c>
      <c r="DC277" t="s">
        <v>25</v>
      </c>
      <c r="DD277" t="s">
        <v>25</v>
      </c>
      <c r="DE277" t="s">
        <v>25</v>
      </c>
      <c r="DF277" t="s">
        <v>25</v>
      </c>
      <c r="DG277" t="s">
        <v>25</v>
      </c>
      <c r="DH277" t="s">
        <v>25</v>
      </c>
      <c r="DI277" t="s">
        <v>25</v>
      </c>
      <c r="DJ277" s="76">
        <v>2.19999998807907E-2</v>
      </c>
      <c r="DK277" s="73">
        <v>189</v>
      </c>
      <c r="DL277" s="73">
        <v>189</v>
      </c>
      <c r="DM277" s="73">
        <v>0</v>
      </c>
      <c r="DQ277" s="65" t="s">
        <v>126</v>
      </c>
      <c r="DR277" t="s">
        <v>2916</v>
      </c>
      <c r="DU277"/>
      <c r="DZ277" s="73">
        <v>0</v>
      </c>
      <c r="EA277" s="73">
        <v>0</v>
      </c>
      <c r="EB277" s="73">
        <v>0</v>
      </c>
    </row>
    <row r="278" spans="1:133" ht="12" customHeight="1" x14ac:dyDescent="0.2">
      <c r="A278" t="s">
        <v>2937</v>
      </c>
      <c r="B278" t="s">
        <v>2946</v>
      </c>
      <c r="C278" t="str">
        <f t="shared" si="14"/>
        <v>Full</v>
      </c>
      <c r="E278" s="65">
        <v>4350</v>
      </c>
      <c r="F278" t="s">
        <v>1827</v>
      </c>
      <c r="G278" s="71" t="s">
        <v>3949</v>
      </c>
      <c r="H278" s="67">
        <v>0.519999980926514</v>
      </c>
      <c r="I278" s="65">
        <v>524906</v>
      </c>
      <c r="J278" s="65">
        <v>173919</v>
      </c>
      <c r="L278" s="65" t="s">
        <v>1828</v>
      </c>
      <c r="M278" s="65" t="s">
        <v>27</v>
      </c>
      <c r="N278" s="69">
        <v>43075</v>
      </c>
      <c r="O278" s="69">
        <v>43131</v>
      </c>
      <c r="P278" s="65" t="s">
        <v>126</v>
      </c>
      <c r="R278" s="65" t="s">
        <v>28</v>
      </c>
      <c r="U278" t="s">
        <v>1829</v>
      </c>
      <c r="V278" t="s">
        <v>3249</v>
      </c>
      <c r="W278" s="65" t="s">
        <v>29</v>
      </c>
      <c r="X278" s="65" t="s">
        <v>29</v>
      </c>
      <c r="Y278" s="65" t="s">
        <v>69</v>
      </c>
      <c r="AD278" s="65" t="s">
        <v>23</v>
      </c>
      <c r="AE278" s="65" t="s">
        <v>24</v>
      </c>
      <c r="AW278" s="73">
        <v>116</v>
      </c>
      <c r="AY278" s="73">
        <v>116</v>
      </c>
      <c r="BO278" s="185" t="s">
        <v>3794</v>
      </c>
      <c r="BP278" s="185" t="s">
        <v>3794</v>
      </c>
      <c r="BQ278" s="185" t="s">
        <v>126</v>
      </c>
      <c r="BW278" s="73"/>
      <c r="BY278" s="185" t="s">
        <v>3794</v>
      </c>
      <c r="CG278" s="73">
        <v>116</v>
      </c>
      <c r="CI278" s="73">
        <v>116</v>
      </c>
      <c r="CJ278" t="s">
        <v>25</v>
      </c>
      <c r="CK278" t="s">
        <v>25</v>
      </c>
      <c r="CL278" t="s">
        <v>25</v>
      </c>
      <c r="CM278" t="s">
        <v>25</v>
      </c>
      <c r="CN278" t="s">
        <v>25</v>
      </c>
      <c r="CO278" t="s">
        <v>25</v>
      </c>
      <c r="CP278" t="s">
        <v>25</v>
      </c>
      <c r="CQ278" t="s">
        <v>25</v>
      </c>
      <c r="CR278" t="s">
        <v>25</v>
      </c>
      <c r="CS278" t="s">
        <v>25</v>
      </c>
      <c r="CT278" t="s">
        <v>25</v>
      </c>
      <c r="CU278" t="s">
        <v>43</v>
      </c>
      <c r="CV278" t="s">
        <v>25</v>
      </c>
      <c r="CW278" t="s">
        <v>25</v>
      </c>
      <c r="CX278" t="s">
        <v>25</v>
      </c>
      <c r="CY278" t="s">
        <v>25</v>
      </c>
      <c r="CZ278" t="s">
        <v>25</v>
      </c>
      <c r="DA278" t="s">
        <v>25</v>
      </c>
      <c r="DB278" t="s">
        <v>25</v>
      </c>
      <c r="DC278" t="s">
        <v>25</v>
      </c>
      <c r="DD278" t="s">
        <v>25</v>
      </c>
      <c r="DE278" t="s">
        <v>25</v>
      </c>
      <c r="DF278" t="s">
        <v>25</v>
      </c>
      <c r="DG278" t="s">
        <v>25</v>
      </c>
      <c r="DH278" t="s">
        <v>25</v>
      </c>
      <c r="DI278" t="s">
        <v>25</v>
      </c>
      <c r="DJ278" s="76">
        <v>0.519999980926514</v>
      </c>
      <c r="DK278" s="73">
        <v>116</v>
      </c>
      <c r="DL278" s="73">
        <v>0</v>
      </c>
      <c r="DM278" s="73">
        <v>116</v>
      </c>
      <c r="DU278"/>
      <c r="DZ278" s="73">
        <v>0</v>
      </c>
      <c r="EA278" s="73">
        <v>0</v>
      </c>
      <c r="EB278" s="73">
        <v>0</v>
      </c>
    </row>
    <row r="279" spans="1:133" ht="12" customHeight="1" x14ac:dyDescent="0.2">
      <c r="A279" t="s">
        <v>2935</v>
      </c>
      <c r="B279" t="s">
        <v>2946</v>
      </c>
      <c r="C279" t="str">
        <f t="shared" si="14"/>
        <v>Full</v>
      </c>
      <c r="E279" s="65">
        <v>4359</v>
      </c>
      <c r="F279" t="s">
        <v>1830</v>
      </c>
      <c r="G279" s="71" t="s">
        <v>3944</v>
      </c>
      <c r="H279" s="67">
        <v>4.3000001460313797E-2</v>
      </c>
      <c r="I279" s="65">
        <v>526586</v>
      </c>
      <c r="J279" s="65">
        <v>174964</v>
      </c>
      <c r="L279" s="65" t="s">
        <v>802</v>
      </c>
      <c r="M279" s="65" t="s">
        <v>27</v>
      </c>
      <c r="N279" s="69">
        <v>42451</v>
      </c>
      <c r="O279" s="69">
        <v>42628</v>
      </c>
      <c r="R279" s="65" t="s">
        <v>28</v>
      </c>
      <c r="U279" t="s">
        <v>803</v>
      </c>
      <c r="V279" t="s">
        <v>3250</v>
      </c>
      <c r="W279" s="65" t="s">
        <v>29</v>
      </c>
      <c r="X279" s="65" t="s">
        <v>29</v>
      </c>
      <c r="Y279" s="65" t="s">
        <v>30</v>
      </c>
      <c r="AA279" s="69">
        <v>42459</v>
      </c>
      <c r="AD279" s="65" t="s">
        <v>23</v>
      </c>
      <c r="AE279" s="65" t="s">
        <v>24</v>
      </c>
      <c r="AH279" s="69">
        <f t="shared" si="12"/>
        <v>42459</v>
      </c>
      <c r="AJ279" s="73">
        <v>85</v>
      </c>
      <c r="AK279" s="73">
        <v>85</v>
      </c>
      <c r="AL279" s="73">
        <v>86</v>
      </c>
      <c r="AM279" s="73">
        <v>86</v>
      </c>
      <c r="AO279" s="73">
        <v>342</v>
      </c>
      <c r="BC279" s="73">
        <v>298</v>
      </c>
      <c r="BE279" s="73">
        <v>298</v>
      </c>
      <c r="BO279" s="185" t="s">
        <v>126</v>
      </c>
      <c r="BP279" s="185" t="s">
        <v>3794</v>
      </c>
      <c r="BQ279" s="185" t="s">
        <v>3794</v>
      </c>
      <c r="BR279" s="73">
        <v>85</v>
      </c>
      <c r="BS279" s="73">
        <v>85</v>
      </c>
      <c r="BT279" s="73">
        <v>86</v>
      </c>
      <c r="BU279" s="73">
        <v>-212</v>
      </c>
      <c r="BW279" s="73">
        <v>44</v>
      </c>
      <c r="BY279" s="185" t="s">
        <v>3794</v>
      </c>
      <c r="CJ279" t="s">
        <v>31</v>
      </c>
      <c r="CK279" t="s">
        <v>31</v>
      </c>
      <c r="CL279" t="s">
        <v>31</v>
      </c>
      <c r="CM279" t="s">
        <v>71</v>
      </c>
      <c r="CN279" t="s">
        <v>25</v>
      </c>
      <c r="CO279" t="s">
        <v>25</v>
      </c>
      <c r="CP279" t="s">
        <v>25</v>
      </c>
      <c r="CQ279" t="s">
        <v>25</v>
      </c>
      <c r="CR279" t="s">
        <v>25</v>
      </c>
      <c r="CS279" t="s">
        <v>25</v>
      </c>
      <c r="CT279" t="s">
        <v>25</v>
      </c>
      <c r="CU279" t="s">
        <v>25</v>
      </c>
      <c r="CV279" t="s">
        <v>25</v>
      </c>
      <c r="CW279" t="s">
        <v>25</v>
      </c>
      <c r="CX279" t="s">
        <v>25</v>
      </c>
      <c r="CY279" t="s">
        <v>25</v>
      </c>
      <c r="CZ279" t="s">
        <v>71</v>
      </c>
      <c r="DA279" t="s">
        <v>25</v>
      </c>
      <c r="DB279" t="s">
        <v>25</v>
      </c>
      <c r="DC279" t="s">
        <v>25</v>
      </c>
      <c r="DD279" t="s">
        <v>25</v>
      </c>
      <c r="DE279" t="s">
        <v>25</v>
      </c>
      <c r="DF279" t="s">
        <v>25</v>
      </c>
      <c r="DG279" t="s">
        <v>25</v>
      </c>
      <c r="DH279" t="s">
        <v>25</v>
      </c>
      <c r="DI279" t="s">
        <v>25</v>
      </c>
      <c r="DJ279" s="76">
        <v>1.0999999940395397E-2</v>
      </c>
      <c r="DK279" s="73">
        <v>342</v>
      </c>
      <c r="DL279" s="73">
        <v>298</v>
      </c>
      <c r="DM279" s="73">
        <v>44</v>
      </c>
      <c r="DU279"/>
      <c r="DZ279" s="73">
        <v>453</v>
      </c>
      <c r="EA279" s="73">
        <v>146</v>
      </c>
      <c r="EB279" s="73">
        <v>307</v>
      </c>
      <c r="EC279" s="65" t="s">
        <v>126</v>
      </c>
    </row>
    <row r="280" spans="1:133" ht="12" customHeight="1" x14ac:dyDescent="0.2">
      <c r="A280" t="s">
        <v>2935</v>
      </c>
      <c r="B280" t="s">
        <v>2946</v>
      </c>
      <c r="C280" t="str">
        <f t="shared" si="14"/>
        <v>Full</v>
      </c>
      <c r="E280" s="65">
        <v>4368</v>
      </c>
      <c r="F280" t="s">
        <v>1831</v>
      </c>
      <c r="G280" s="71" t="s">
        <v>3945</v>
      </c>
      <c r="H280" s="67">
        <v>9.9999997764825804E-3</v>
      </c>
      <c r="I280" s="65">
        <v>528539</v>
      </c>
      <c r="J280" s="65">
        <v>175783</v>
      </c>
      <c r="L280" s="65" t="s">
        <v>539</v>
      </c>
      <c r="M280" s="65" t="s">
        <v>27</v>
      </c>
      <c r="N280" s="69">
        <v>42293</v>
      </c>
      <c r="O280" s="69">
        <v>42445</v>
      </c>
      <c r="R280" s="65" t="s">
        <v>28</v>
      </c>
      <c r="U280" t="s">
        <v>540</v>
      </c>
      <c r="V280" t="s">
        <v>3251</v>
      </c>
      <c r="W280" s="65" t="s">
        <v>34</v>
      </c>
      <c r="X280" s="65" t="s">
        <v>29</v>
      </c>
      <c r="Y280" s="65" t="s">
        <v>30</v>
      </c>
      <c r="AA280" s="69">
        <v>42445</v>
      </c>
      <c r="AD280" s="65" t="s">
        <v>23</v>
      </c>
      <c r="AE280" s="65" t="s">
        <v>24</v>
      </c>
      <c r="AH280" s="69">
        <f t="shared" si="12"/>
        <v>42445</v>
      </c>
      <c r="AJ280" s="73">
        <v>81</v>
      </c>
      <c r="AO280" s="73">
        <v>81</v>
      </c>
      <c r="AZ280" s="73">
        <v>69</v>
      </c>
      <c r="BE280" s="73">
        <v>69</v>
      </c>
      <c r="BO280" s="185" t="s">
        <v>126</v>
      </c>
      <c r="BP280" s="185" t="s">
        <v>3794</v>
      </c>
      <c r="BQ280" s="185" t="s">
        <v>3794</v>
      </c>
      <c r="BR280" s="73">
        <v>12</v>
      </c>
      <c r="BW280" s="73">
        <v>12</v>
      </c>
      <c r="BY280" s="185" t="s">
        <v>3794</v>
      </c>
      <c r="CJ280" t="s">
        <v>31</v>
      </c>
      <c r="CK280" t="s">
        <v>25</v>
      </c>
      <c r="CL280" t="s">
        <v>25</v>
      </c>
      <c r="CM280" t="s">
        <v>25</v>
      </c>
      <c r="CN280" t="s">
        <v>25</v>
      </c>
      <c r="CO280" t="s">
        <v>25</v>
      </c>
      <c r="CP280" t="s">
        <v>25</v>
      </c>
      <c r="CQ280" t="s">
        <v>25</v>
      </c>
      <c r="CR280" t="s">
        <v>25</v>
      </c>
      <c r="CS280" t="s">
        <v>25</v>
      </c>
      <c r="CT280" t="s">
        <v>25</v>
      </c>
      <c r="CU280" t="s">
        <v>25</v>
      </c>
      <c r="CV280" t="s">
        <v>25</v>
      </c>
      <c r="CW280" t="s">
        <v>31</v>
      </c>
      <c r="CX280" t="s">
        <v>25</v>
      </c>
      <c r="CY280" t="s">
        <v>25</v>
      </c>
      <c r="CZ280" t="s">
        <v>25</v>
      </c>
      <c r="DA280" t="s">
        <v>25</v>
      </c>
      <c r="DB280" t="s">
        <v>25</v>
      </c>
      <c r="DC280" t="s">
        <v>25</v>
      </c>
      <c r="DD280" t="s">
        <v>25</v>
      </c>
      <c r="DE280" t="s">
        <v>25</v>
      </c>
      <c r="DF280" t="s">
        <v>25</v>
      </c>
      <c r="DG280" t="s">
        <v>25</v>
      </c>
      <c r="DH280" t="s">
        <v>25</v>
      </c>
      <c r="DI280" t="s">
        <v>25</v>
      </c>
      <c r="DJ280" s="76">
        <v>2.9999995604157404E-3</v>
      </c>
      <c r="DK280" s="73">
        <v>81</v>
      </c>
      <c r="DL280" s="73">
        <v>69</v>
      </c>
      <c r="DM280" s="73">
        <v>12</v>
      </c>
      <c r="DU280"/>
      <c r="DX280" s="65" t="s">
        <v>126</v>
      </c>
      <c r="DY280" t="s">
        <v>2908</v>
      </c>
      <c r="DZ280" s="73">
        <v>130</v>
      </c>
      <c r="EA280" s="73">
        <v>0</v>
      </c>
      <c r="EB280" s="73">
        <v>130</v>
      </c>
      <c r="EC280" s="65" t="s">
        <v>126</v>
      </c>
    </row>
    <row r="281" spans="1:133" ht="12" customHeight="1" x14ac:dyDescent="0.2">
      <c r="A281" t="s">
        <v>2936</v>
      </c>
      <c r="B281" t="s">
        <v>2946</v>
      </c>
      <c r="C281" t="str">
        <f t="shared" si="14"/>
        <v>Full</v>
      </c>
      <c r="D281" t="s">
        <v>2943</v>
      </c>
      <c r="E281" s="65">
        <v>4388</v>
      </c>
      <c r="F281" t="s">
        <v>1832</v>
      </c>
      <c r="G281" s="71" t="s">
        <v>3953</v>
      </c>
      <c r="H281" s="67">
        <v>0.23199999332428001</v>
      </c>
      <c r="I281" s="65">
        <v>526630</v>
      </c>
      <c r="J281" s="65">
        <v>172980</v>
      </c>
      <c r="L281" s="65" t="s">
        <v>1833</v>
      </c>
      <c r="M281" s="65" t="s">
        <v>27</v>
      </c>
      <c r="N281" s="69">
        <v>43066</v>
      </c>
      <c r="O281" s="69">
        <v>43118</v>
      </c>
      <c r="P281" s="65" t="s">
        <v>126</v>
      </c>
      <c r="R281" s="65" t="s">
        <v>28</v>
      </c>
      <c r="U281" t="s">
        <v>1834</v>
      </c>
      <c r="V281" t="s">
        <v>3252</v>
      </c>
      <c r="W281" s="65" t="s">
        <v>29</v>
      </c>
      <c r="X281" s="65" t="s">
        <v>29</v>
      </c>
      <c r="Y281" s="65" t="s">
        <v>35</v>
      </c>
      <c r="AA281" s="69">
        <v>43118</v>
      </c>
      <c r="AB281" s="69">
        <v>43190</v>
      </c>
      <c r="AC281" s="69">
        <v>43190</v>
      </c>
      <c r="AD281" s="65" t="s">
        <v>23</v>
      </c>
      <c r="AE281" s="65" t="s">
        <v>24</v>
      </c>
      <c r="AH281" s="69">
        <f t="shared" si="12"/>
        <v>43118</v>
      </c>
      <c r="AI281" s="69">
        <f t="shared" si="13"/>
        <v>43190</v>
      </c>
      <c r="AX281" s="73">
        <v>341</v>
      </c>
      <c r="AY281" s="73">
        <v>341</v>
      </c>
      <c r="BM281" s="73">
        <v>95</v>
      </c>
      <c r="BN281" s="73">
        <v>95</v>
      </c>
      <c r="BO281" s="185" t="s">
        <v>3794</v>
      </c>
      <c r="BP281" s="185" t="s">
        <v>3794</v>
      </c>
      <c r="BQ281" s="185" t="s">
        <v>126</v>
      </c>
      <c r="BW281" s="73"/>
      <c r="BY281" s="185" t="s">
        <v>3794</v>
      </c>
      <c r="CH281" s="73">
        <v>246</v>
      </c>
      <c r="CI281" s="73">
        <v>246</v>
      </c>
      <c r="CJ281" t="s">
        <v>25</v>
      </c>
      <c r="CK281" t="s">
        <v>25</v>
      </c>
      <c r="CL281" t="s">
        <v>25</v>
      </c>
      <c r="CM281" t="s">
        <v>25</v>
      </c>
      <c r="CN281" t="s">
        <v>25</v>
      </c>
      <c r="CO281" t="s">
        <v>25</v>
      </c>
      <c r="CP281" t="s">
        <v>25</v>
      </c>
      <c r="CQ281" t="s">
        <v>25</v>
      </c>
      <c r="CR281" t="s">
        <v>25</v>
      </c>
      <c r="CS281" t="s">
        <v>25</v>
      </c>
      <c r="CT281" t="s">
        <v>25</v>
      </c>
      <c r="CU281" t="s">
        <v>25</v>
      </c>
      <c r="CV281" t="s">
        <v>44</v>
      </c>
      <c r="CW281" t="s">
        <v>25</v>
      </c>
      <c r="CX281" t="s">
        <v>25</v>
      </c>
      <c r="CY281" t="s">
        <v>25</v>
      </c>
      <c r="CZ281" t="s">
        <v>25</v>
      </c>
      <c r="DA281" t="s">
        <v>25</v>
      </c>
      <c r="DB281" t="s">
        <v>25</v>
      </c>
      <c r="DC281" t="s">
        <v>25</v>
      </c>
      <c r="DD281" t="s">
        <v>25</v>
      </c>
      <c r="DE281" t="s">
        <v>25</v>
      </c>
      <c r="DF281" t="s">
        <v>25</v>
      </c>
      <c r="DG281" t="s">
        <v>25</v>
      </c>
      <c r="DH281" t="s">
        <v>25</v>
      </c>
      <c r="DI281" t="s">
        <v>44</v>
      </c>
      <c r="DJ281" s="76">
        <v>0.23199999332428001</v>
      </c>
      <c r="DK281" s="73">
        <v>341</v>
      </c>
      <c r="DL281" s="73">
        <v>95</v>
      </c>
      <c r="DM281" s="73">
        <v>246</v>
      </c>
      <c r="DU281"/>
      <c r="DZ281" s="73">
        <v>0</v>
      </c>
      <c r="EA281" s="73">
        <v>0</v>
      </c>
      <c r="EB281" s="73">
        <v>0</v>
      </c>
    </row>
    <row r="282" spans="1:133" ht="12" customHeight="1" x14ac:dyDescent="0.2">
      <c r="A282" t="s">
        <v>2936</v>
      </c>
      <c r="B282" t="s">
        <v>2946</v>
      </c>
      <c r="C282" t="str">
        <f t="shared" si="14"/>
        <v>Full</v>
      </c>
      <c r="D282" t="s">
        <v>2942</v>
      </c>
      <c r="E282" s="65">
        <v>4419</v>
      </c>
      <c r="F282" t="s">
        <v>1835</v>
      </c>
      <c r="G282" s="71" t="s">
        <v>3946</v>
      </c>
      <c r="H282" s="67">
        <v>3.7999998778104803E-2</v>
      </c>
      <c r="I282" s="65">
        <v>523893</v>
      </c>
      <c r="J282" s="65">
        <v>175089</v>
      </c>
      <c r="L282" s="65" t="s">
        <v>1109</v>
      </c>
      <c r="M282" s="65" t="s">
        <v>27</v>
      </c>
      <c r="N282" s="69">
        <v>42724</v>
      </c>
      <c r="O282" s="69">
        <v>42852</v>
      </c>
      <c r="P282" s="65" t="s">
        <v>126</v>
      </c>
      <c r="R282" s="65" t="s">
        <v>28</v>
      </c>
      <c r="U282" t="s">
        <v>1110</v>
      </c>
      <c r="V282" t="s">
        <v>3253</v>
      </c>
      <c r="W282" s="65" t="s">
        <v>29</v>
      </c>
      <c r="X282" s="65" t="s">
        <v>29</v>
      </c>
      <c r="Y282" s="65" t="s">
        <v>22</v>
      </c>
      <c r="AA282" s="69">
        <v>42852</v>
      </c>
      <c r="AB282" s="69">
        <v>43190</v>
      </c>
      <c r="AD282" s="65" t="s">
        <v>23</v>
      </c>
      <c r="AE282" s="65" t="s">
        <v>24</v>
      </c>
      <c r="AH282" s="69">
        <f t="shared" si="12"/>
        <v>42852</v>
      </c>
      <c r="AI282" s="69">
        <f t="shared" si="13"/>
        <v>43190</v>
      </c>
      <c r="AL282" s="73">
        <v>79</v>
      </c>
      <c r="AO282" s="73">
        <v>79</v>
      </c>
      <c r="AW282" s="73">
        <v>130</v>
      </c>
      <c r="AY282" s="73">
        <v>130</v>
      </c>
      <c r="AZ282" s="73">
        <v>214</v>
      </c>
      <c r="BE282" s="73">
        <v>214</v>
      </c>
      <c r="BF282" s="73">
        <v>220</v>
      </c>
      <c r="BK282" s="73">
        <v>220</v>
      </c>
      <c r="BO282" s="185" t="s">
        <v>126</v>
      </c>
      <c r="BP282" s="185" t="s">
        <v>126</v>
      </c>
      <c r="BQ282" s="185" t="s">
        <v>126</v>
      </c>
      <c r="BR282" s="73">
        <v>-214</v>
      </c>
      <c r="BT282" s="73">
        <v>79</v>
      </c>
      <c r="BW282" s="73">
        <v>-135</v>
      </c>
      <c r="BX282" s="73">
        <v>-220</v>
      </c>
      <c r="BY282" s="185" t="s">
        <v>126</v>
      </c>
      <c r="CD282" s="73">
        <v>-220</v>
      </c>
      <c r="CE282" s="65" t="s">
        <v>126</v>
      </c>
      <c r="CF282" s="73">
        <v>1272</v>
      </c>
      <c r="CG282" s="73">
        <v>130</v>
      </c>
      <c r="CI282" s="73">
        <v>130</v>
      </c>
      <c r="CJ282" t="s">
        <v>25</v>
      </c>
      <c r="CK282" t="s">
        <v>25</v>
      </c>
      <c r="CL282" t="s">
        <v>25</v>
      </c>
      <c r="CM282" t="s">
        <v>25</v>
      </c>
      <c r="CN282" t="s">
        <v>25</v>
      </c>
      <c r="CO282" t="s">
        <v>25</v>
      </c>
      <c r="CP282" t="s">
        <v>25</v>
      </c>
      <c r="CQ282" t="s">
        <v>25</v>
      </c>
      <c r="CR282" t="s">
        <v>25</v>
      </c>
      <c r="CS282" t="s">
        <v>25</v>
      </c>
      <c r="CT282" t="s">
        <v>25</v>
      </c>
      <c r="CU282" t="s">
        <v>25</v>
      </c>
      <c r="CV282" t="s">
        <v>25</v>
      </c>
      <c r="CW282" t="s">
        <v>47</v>
      </c>
      <c r="CX282" t="s">
        <v>25</v>
      </c>
      <c r="CY282" t="s">
        <v>25</v>
      </c>
      <c r="CZ282" t="s">
        <v>25</v>
      </c>
      <c r="DA282" t="s">
        <v>25</v>
      </c>
      <c r="DB282" t="s">
        <v>47</v>
      </c>
      <c r="DC282" t="s">
        <v>25</v>
      </c>
      <c r="DD282" t="s">
        <v>25</v>
      </c>
      <c r="DE282" t="s">
        <v>25</v>
      </c>
      <c r="DF282" t="s">
        <v>25</v>
      </c>
      <c r="DG282" t="s">
        <v>25</v>
      </c>
      <c r="DH282" t="s">
        <v>25</v>
      </c>
      <c r="DI282" t="s">
        <v>25</v>
      </c>
      <c r="DJ282" s="76">
        <v>3.7999998778104803E-2</v>
      </c>
      <c r="DK282" s="73">
        <v>1481</v>
      </c>
      <c r="DL282" s="73">
        <v>434</v>
      </c>
      <c r="DM282" s="73">
        <v>1047</v>
      </c>
      <c r="DU282"/>
      <c r="DV282" s="65" t="s">
        <v>126</v>
      </c>
      <c r="DW282" t="s">
        <v>131</v>
      </c>
      <c r="DZ282" s="73">
        <v>0</v>
      </c>
      <c r="EA282" s="73">
        <v>0</v>
      </c>
      <c r="EB282" s="73">
        <v>0</v>
      </c>
    </row>
    <row r="283" spans="1:133" ht="12" customHeight="1" x14ac:dyDescent="0.2">
      <c r="A283" t="s">
        <v>2937</v>
      </c>
      <c r="B283" t="s">
        <v>2946</v>
      </c>
      <c r="C283" t="str">
        <f t="shared" si="14"/>
        <v>Full</v>
      </c>
      <c r="E283" s="65">
        <v>4425</v>
      </c>
      <c r="F283" t="s">
        <v>1836</v>
      </c>
      <c r="G283" s="71" t="s">
        <v>150</v>
      </c>
      <c r="H283" s="67">
        <v>8.0000003799796104E-3</v>
      </c>
      <c r="I283" s="65">
        <v>527763</v>
      </c>
      <c r="J283" s="65">
        <v>172100</v>
      </c>
      <c r="L283" s="65" t="s">
        <v>247</v>
      </c>
      <c r="M283" s="65" t="s">
        <v>27</v>
      </c>
      <c r="N283" s="69">
        <v>41435</v>
      </c>
      <c r="O283" s="69">
        <v>41491</v>
      </c>
      <c r="R283" s="65" t="s">
        <v>28</v>
      </c>
      <c r="U283" t="s">
        <v>406</v>
      </c>
      <c r="V283" t="s">
        <v>3254</v>
      </c>
      <c r="W283" s="65" t="s">
        <v>39</v>
      </c>
      <c r="X283" s="65" t="s">
        <v>39</v>
      </c>
      <c r="Y283" s="65" t="s">
        <v>69</v>
      </c>
      <c r="AD283" s="65" t="s">
        <v>23</v>
      </c>
      <c r="AE283" s="65" t="s">
        <v>24</v>
      </c>
      <c r="BO283" s="185" t="s">
        <v>3794</v>
      </c>
      <c r="BP283" s="185" t="s">
        <v>3794</v>
      </c>
      <c r="BQ283" s="185" t="s">
        <v>3794</v>
      </c>
      <c r="BW283" s="73"/>
      <c r="BY283" s="185" t="s">
        <v>3794</v>
      </c>
      <c r="CJ283" t="s">
        <v>25</v>
      </c>
      <c r="CK283" t="s">
        <v>25</v>
      </c>
      <c r="CL283" t="s">
        <v>25</v>
      </c>
      <c r="CM283" t="s">
        <v>25</v>
      </c>
      <c r="CN283" t="s">
        <v>25</v>
      </c>
      <c r="CO283" t="s">
        <v>25</v>
      </c>
      <c r="CP283" t="s">
        <v>25</v>
      </c>
      <c r="CQ283" t="s">
        <v>25</v>
      </c>
      <c r="CR283" t="s">
        <v>25</v>
      </c>
      <c r="CS283" t="s">
        <v>25</v>
      </c>
      <c r="CT283" t="s">
        <v>25</v>
      </c>
      <c r="CU283" t="s">
        <v>25</v>
      </c>
      <c r="CV283" t="s">
        <v>25</v>
      </c>
      <c r="CW283" t="s">
        <v>25</v>
      </c>
      <c r="CX283" t="s">
        <v>25</v>
      </c>
      <c r="CY283" t="s">
        <v>25</v>
      </c>
      <c r="CZ283" t="s">
        <v>25</v>
      </c>
      <c r="DA283" t="s">
        <v>25</v>
      </c>
      <c r="DB283" t="s">
        <v>25</v>
      </c>
      <c r="DC283" t="s">
        <v>25</v>
      </c>
      <c r="DD283" t="s">
        <v>25</v>
      </c>
      <c r="DE283" t="s">
        <v>25</v>
      </c>
      <c r="DF283" t="s">
        <v>25</v>
      </c>
      <c r="DG283" t="s">
        <v>25</v>
      </c>
      <c r="DH283" t="s">
        <v>25</v>
      </c>
      <c r="DI283" t="s">
        <v>25</v>
      </c>
      <c r="DJ283" s="76">
        <v>8.0000003799796104E-3</v>
      </c>
      <c r="DK283" s="73">
        <v>11</v>
      </c>
      <c r="DL283" s="73">
        <v>0</v>
      </c>
      <c r="DM283" s="73">
        <v>11</v>
      </c>
      <c r="DU283"/>
      <c r="DZ283" s="73">
        <v>0</v>
      </c>
      <c r="EA283" s="73">
        <v>0</v>
      </c>
      <c r="EB283" s="73">
        <v>0</v>
      </c>
    </row>
    <row r="284" spans="1:133" ht="12" customHeight="1" x14ac:dyDescent="0.2">
      <c r="A284" t="s">
        <v>2935</v>
      </c>
      <c r="B284" t="s">
        <v>2946</v>
      </c>
      <c r="C284" t="str">
        <f t="shared" si="14"/>
        <v>Full</v>
      </c>
      <c r="E284" s="65">
        <v>4432</v>
      </c>
      <c r="F284" t="s">
        <v>1837</v>
      </c>
      <c r="G284" s="71" t="s">
        <v>3946</v>
      </c>
      <c r="H284" s="67">
        <v>0.13600000739097601</v>
      </c>
      <c r="I284" s="65">
        <v>525103</v>
      </c>
      <c r="J284" s="65">
        <v>175205</v>
      </c>
      <c r="L284" s="65" t="s">
        <v>66</v>
      </c>
      <c r="M284" s="65" t="s">
        <v>33</v>
      </c>
      <c r="N284" s="69">
        <v>40200</v>
      </c>
      <c r="O284" s="69">
        <v>40882</v>
      </c>
      <c r="Q284" s="69">
        <v>40283</v>
      </c>
      <c r="R284" s="65" t="s">
        <v>28</v>
      </c>
      <c r="U284" t="s">
        <v>641</v>
      </c>
      <c r="V284" t="s">
        <v>3255</v>
      </c>
      <c r="W284" s="65" t="s">
        <v>29</v>
      </c>
      <c r="X284" s="65" t="s">
        <v>29</v>
      </c>
      <c r="Y284" s="65" t="s">
        <v>30</v>
      </c>
      <c r="Z284" s="69">
        <v>41347</v>
      </c>
      <c r="AA284" s="69">
        <v>41347</v>
      </c>
      <c r="AD284" s="65" t="s">
        <v>23</v>
      </c>
      <c r="AE284" s="65" t="s">
        <v>24</v>
      </c>
      <c r="AH284" s="69">
        <f t="shared" si="12"/>
        <v>41347</v>
      </c>
      <c r="AK284" s="73">
        <v>84</v>
      </c>
      <c r="AO284" s="73">
        <v>84</v>
      </c>
      <c r="AP284" s="73">
        <v>83</v>
      </c>
      <c r="AS284" s="73">
        <v>83</v>
      </c>
      <c r="AV284" s="73">
        <v>83</v>
      </c>
      <c r="AW284" s="73">
        <v>83</v>
      </c>
      <c r="AY284" s="73">
        <v>83</v>
      </c>
      <c r="BF284" s="73">
        <v>1185</v>
      </c>
      <c r="BK284" s="73">
        <v>1185</v>
      </c>
      <c r="BO284" s="185" t="s">
        <v>126</v>
      </c>
      <c r="BP284" s="185" t="s">
        <v>126</v>
      </c>
      <c r="BQ284" s="185" t="s">
        <v>126</v>
      </c>
      <c r="BS284" s="73">
        <v>84</v>
      </c>
      <c r="BW284" s="73">
        <v>84</v>
      </c>
      <c r="BX284" s="73">
        <v>-1102</v>
      </c>
      <c r="BY284" s="185" t="s">
        <v>126</v>
      </c>
      <c r="CD284" s="73">
        <v>-1102</v>
      </c>
      <c r="CE284" s="65" t="s">
        <v>126</v>
      </c>
      <c r="CG284" s="73">
        <v>83</v>
      </c>
      <c r="CI284" s="73">
        <v>83</v>
      </c>
      <c r="CJ284" t="s">
        <v>25</v>
      </c>
      <c r="CK284" t="s">
        <v>31</v>
      </c>
      <c r="CL284" t="s">
        <v>25</v>
      </c>
      <c r="CM284" t="s">
        <v>25</v>
      </c>
      <c r="CN284" t="s">
        <v>25</v>
      </c>
      <c r="CO284" t="s">
        <v>31</v>
      </c>
      <c r="CP284" t="s">
        <v>25</v>
      </c>
      <c r="CQ284" t="s">
        <v>25</v>
      </c>
      <c r="CR284" t="s">
        <v>25</v>
      </c>
      <c r="CS284" t="s">
        <v>25</v>
      </c>
      <c r="CT284" t="s">
        <v>25</v>
      </c>
      <c r="CU284" t="s">
        <v>31</v>
      </c>
      <c r="CV284" t="s">
        <v>25</v>
      </c>
      <c r="CW284" t="s">
        <v>25</v>
      </c>
      <c r="CX284" t="s">
        <v>25</v>
      </c>
      <c r="CY284" t="s">
        <v>25</v>
      </c>
      <c r="CZ284" t="s">
        <v>25</v>
      </c>
      <c r="DA284" t="s">
        <v>25</v>
      </c>
      <c r="DB284" t="s">
        <v>47</v>
      </c>
      <c r="DC284" t="s">
        <v>25</v>
      </c>
      <c r="DD284" t="s">
        <v>25</v>
      </c>
      <c r="DE284" t="s">
        <v>25</v>
      </c>
      <c r="DF284" t="s">
        <v>25</v>
      </c>
      <c r="DG284" t="s">
        <v>25</v>
      </c>
      <c r="DH284" t="s">
        <v>25</v>
      </c>
      <c r="DI284" t="s">
        <v>25</v>
      </c>
      <c r="DJ284" s="76">
        <v>2.6000004261732004E-2</v>
      </c>
      <c r="DK284" s="73">
        <v>250</v>
      </c>
      <c r="DL284" s="73">
        <v>1185</v>
      </c>
      <c r="DM284" s="73">
        <v>-935</v>
      </c>
      <c r="DN284" s="65" t="s">
        <v>126</v>
      </c>
      <c r="DU284"/>
      <c r="DZ284" s="73">
        <v>2777</v>
      </c>
      <c r="EA284" s="73">
        <v>0</v>
      </c>
      <c r="EB284" s="73">
        <v>2777</v>
      </c>
      <c r="EC284" s="65" t="s">
        <v>126</v>
      </c>
    </row>
    <row r="285" spans="1:133" ht="12" customHeight="1" x14ac:dyDescent="0.2">
      <c r="A285" t="s">
        <v>2937</v>
      </c>
      <c r="B285" t="s">
        <v>2946</v>
      </c>
      <c r="C285" t="str">
        <f t="shared" si="14"/>
        <v>Full</v>
      </c>
      <c r="E285" s="65">
        <v>4438</v>
      </c>
      <c r="F285" t="s">
        <v>1838</v>
      </c>
      <c r="G285" s="71" t="s">
        <v>3946</v>
      </c>
      <c r="H285" s="67">
        <v>1.4000000432133701E-2</v>
      </c>
      <c r="I285" s="65">
        <v>524309</v>
      </c>
      <c r="J285" s="65">
        <v>174961</v>
      </c>
      <c r="L285" s="65" t="s">
        <v>1288</v>
      </c>
      <c r="M285" s="65" t="s">
        <v>27</v>
      </c>
      <c r="N285" s="69">
        <v>42804</v>
      </c>
      <c r="O285" s="69">
        <v>42912</v>
      </c>
      <c r="P285" s="65" t="s">
        <v>126</v>
      </c>
      <c r="R285" s="65" t="s">
        <v>28</v>
      </c>
      <c r="U285" t="s">
        <v>1289</v>
      </c>
      <c r="V285" t="s">
        <v>3256</v>
      </c>
      <c r="W285" s="65" t="s">
        <v>39</v>
      </c>
      <c r="X285" s="65" t="s">
        <v>39</v>
      </c>
      <c r="Y285" s="65" t="s">
        <v>69</v>
      </c>
      <c r="AD285" s="65" t="s">
        <v>23</v>
      </c>
      <c r="AE285" s="65" t="s">
        <v>24</v>
      </c>
      <c r="AJ285" s="73">
        <v>44</v>
      </c>
      <c r="AO285" s="73">
        <v>44</v>
      </c>
      <c r="AZ285" s="73">
        <v>84</v>
      </c>
      <c r="BE285" s="73">
        <v>84</v>
      </c>
      <c r="BO285" s="185" t="s">
        <v>126</v>
      </c>
      <c r="BP285" s="185" t="s">
        <v>3794</v>
      </c>
      <c r="BQ285" s="185" t="s">
        <v>3794</v>
      </c>
      <c r="BR285" s="73">
        <v>-40</v>
      </c>
      <c r="BW285" s="73">
        <v>-40</v>
      </c>
      <c r="BY285" s="185" t="s">
        <v>3794</v>
      </c>
      <c r="CJ285" t="s">
        <v>40</v>
      </c>
      <c r="CK285" t="s">
        <v>25</v>
      </c>
      <c r="CL285" t="s">
        <v>25</v>
      </c>
      <c r="CM285" t="s">
        <v>25</v>
      </c>
      <c r="CN285" t="s">
        <v>25</v>
      </c>
      <c r="CO285" t="s">
        <v>25</v>
      </c>
      <c r="CP285" t="s">
        <v>25</v>
      </c>
      <c r="CQ285" t="s">
        <v>25</v>
      </c>
      <c r="CR285" t="s">
        <v>25</v>
      </c>
      <c r="CS285" t="s">
        <v>25</v>
      </c>
      <c r="CT285" t="s">
        <v>25</v>
      </c>
      <c r="CU285" t="s">
        <v>25</v>
      </c>
      <c r="CV285" t="s">
        <v>25</v>
      </c>
      <c r="CW285" t="s">
        <v>40</v>
      </c>
      <c r="CX285" t="s">
        <v>25</v>
      </c>
      <c r="CY285" t="s">
        <v>25</v>
      </c>
      <c r="CZ285" t="s">
        <v>25</v>
      </c>
      <c r="DA285" t="s">
        <v>25</v>
      </c>
      <c r="DB285" t="s">
        <v>25</v>
      </c>
      <c r="DC285" t="s">
        <v>25</v>
      </c>
      <c r="DD285" t="s">
        <v>25</v>
      </c>
      <c r="DE285" t="s">
        <v>25</v>
      </c>
      <c r="DF285" t="s">
        <v>25</v>
      </c>
      <c r="DG285" t="s">
        <v>25</v>
      </c>
      <c r="DH285" t="s">
        <v>25</v>
      </c>
      <c r="DI285" t="s">
        <v>25</v>
      </c>
      <c r="DJ285" s="76">
        <v>3.0000004917383003E-3</v>
      </c>
      <c r="DK285" s="73">
        <v>44</v>
      </c>
      <c r="DL285" s="73">
        <v>84</v>
      </c>
      <c r="DM285" s="73">
        <v>-40</v>
      </c>
      <c r="DU285"/>
      <c r="DV285" s="65" t="s">
        <v>126</v>
      </c>
      <c r="DW285" t="s">
        <v>131</v>
      </c>
      <c r="DZ285" s="73">
        <v>183</v>
      </c>
      <c r="EA285" s="73">
        <v>66</v>
      </c>
      <c r="EB285" s="73">
        <v>117</v>
      </c>
      <c r="EC285" s="65" t="s">
        <v>126</v>
      </c>
    </row>
    <row r="286" spans="1:133" ht="12" customHeight="1" x14ac:dyDescent="0.2">
      <c r="A286" t="s">
        <v>2936</v>
      </c>
      <c r="B286" t="s">
        <v>2946</v>
      </c>
      <c r="C286" t="str">
        <f t="shared" si="14"/>
        <v>Full</v>
      </c>
      <c r="D286" t="s">
        <v>2943</v>
      </c>
      <c r="E286" s="65">
        <v>4445</v>
      </c>
      <c r="F286" t="s">
        <v>1839</v>
      </c>
      <c r="G286" s="71" t="s">
        <v>3948</v>
      </c>
      <c r="H286" s="67">
        <v>1.2000000104308101E-2</v>
      </c>
      <c r="I286" s="65">
        <v>527402</v>
      </c>
      <c r="J286" s="65">
        <v>176327</v>
      </c>
      <c r="L286" s="65" t="s">
        <v>1840</v>
      </c>
      <c r="M286" s="65" t="s">
        <v>27</v>
      </c>
      <c r="N286" s="69">
        <v>42937</v>
      </c>
      <c r="O286" s="69">
        <v>42993</v>
      </c>
      <c r="P286" s="65" t="s">
        <v>126</v>
      </c>
      <c r="R286" s="65" t="s">
        <v>28</v>
      </c>
      <c r="U286" t="s">
        <v>1841</v>
      </c>
      <c r="V286" t="s">
        <v>3257</v>
      </c>
      <c r="W286" s="65" t="s">
        <v>29</v>
      </c>
      <c r="X286" s="65" t="s">
        <v>29</v>
      </c>
      <c r="Y286" s="65" t="s">
        <v>35</v>
      </c>
      <c r="AA286" s="69">
        <v>42993</v>
      </c>
      <c r="AB286" s="69">
        <v>43190</v>
      </c>
      <c r="AC286" s="69">
        <v>43190</v>
      </c>
      <c r="AD286" s="65" t="s">
        <v>23</v>
      </c>
      <c r="AE286" s="65" t="s">
        <v>24</v>
      </c>
      <c r="AH286" s="69">
        <f t="shared" si="12"/>
        <v>42993</v>
      </c>
      <c r="AI286" s="69">
        <f t="shared" si="13"/>
        <v>43190</v>
      </c>
      <c r="AJ286" s="73">
        <v>21</v>
      </c>
      <c r="AO286" s="73">
        <v>21</v>
      </c>
      <c r="BO286" s="185" t="s">
        <v>126</v>
      </c>
      <c r="BP286" s="185" t="s">
        <v>3794</v>
      </c>
      <c r="BQ286" s="185" t="s">
        <v>3794</v>
      </c>
      <c r="BR286" s="73">
        <v>21</v>
      </c>
      <c r="BW286" s="73">
        <v>21</v>
      </c>
      <c r="BY286" s="185" t="s">
        <v>3794</v>
      </c>
      <c r="CJ286" t="s">
        <v>40</v>
      </c>
      <c r="CK286" t="s">
        <v>25</v>
      </c>
      <c r="CL286" t="s">
        <v>25</v>
      </c>
      <c r="CM286" t="s">
        <v>25</v>
      </c>
      <c r="CN286" t="s">
        <v>25</v>
      </c>
      <c r="CO286" t="s">
        <v>25</v>
      </c>
      <c r="CP286" t="s">
        <v>25</v>
      </c>
      <c r="CQ286" t="s">
        <v>25</v>
      </c>
      <c r="CR286" t="s">
        <v>25</v>
      </c>
      <c r="CS286" t="s">
        <v>25</v>
      </c>
      <c r="CT286" t="s">
        <v>25</v>
      </c>
      <c r="CU286" t="s">
        <v>25</v>
      </c>
      <c r="CV286" t="s">
        <v>25</v>
      </c>
      <c r="CW286" t="s">
        <v>25</v>
      </c>
      <c r="CX286" t="s">
        <v>25</v>
      </c>
      <c r="CY286" t="s">
        <v>25</v>
      </c>
      <c r="CZ286" t="s">
        <v>25</v>
      </c>
      <c r="DA286" t="s">
        <v>25</v>
      </c>
      <c r="DB286" t="s">
        <v>25</v>
      </c>
      <c r="DC286" t="s">
        <v>25</v>
      </c>
      <c r="DD286" t="s">
        <v>25</v>
      </c>
      <c r="DE286" t="s">
        <v>25</v>
      </c>
      <c r="DF286" t="s">
        <v>25</v>
      </c>
      <c r="DG286" t="s">
        <v>25</v>
      </c>
      <c r="DH286" t="s">
        <v>25</v>
      </c>
      <c r="DI286" t="s">
        <v>25</v>
      </c>
      <c r="DJ286" s="76">
        <v>1.2000000104308101E-2</v>
      </c>
      <c r="DK286" s="73">
        <v>21</v>
      </c>
      <c r="DL286" s="73">
        <v>0</v>
      </c>
      <c r="DM286" s="73">
        <v>21</v>
      </c>
      <c r="DU286"/>
      <c r="DX286" s="65" t="s">
        <v>126</v>
      </c>
      <c r="DY286" t="s">
        <v>36</v>
      </c>
      <c r="DZ286" s="73">
        <v>0</v>
      </c>
      <c r="EA286" s="73">
        <v>0</v>
      </c>
      <c r="EB286" s="73">
        <v>0</v>
      </c>
    </row>
    <row r="287" spans="1:133" ht="12" customHeight="1" x14ac:dyDescent="0.2">
      <c r="A287" t="s">
        <v>2936</v>
      </c>
      <c r="B287" t="s">
        <v>2946</v>
      </c>
      <c r="C287" t="str">
        <f t="shared" si="14"/>
        <v>Full</v>
      </c>
      <c r="D287" t="s">
        <v>2943</v>
      </c>
      <c r="E287" s="65">
        <v>4462</v>
      </c>
      <c r="F287" t="s">
        <v>1842</v>
      </c>
      <c r="G287" s="71" t="s">
        <v>3946</v>
      </c>
      <c r="H287" s="67">
        <v>0.56099998950958296</v>
      </c>
      <c r="I287" s="65">
        <v>524690</v>
      </c>
      <c r="J287" s="65">
        <v>175115</v>
      </c>
      <c r="L287" s="65" t="s">
        <v>454</v>
      </c>
      <c r="M287" s="65" t="s">
        <v>27</v>
      </c>
      <c r="N287" s="69">
        <v>42139</v>
      </c>
      <c r="O287" s="69">
        <v>42193</v>
      </c>
      <c r="R287" s="65" t="s">
        <v>28</v>
      </c>
      <c r="U287" t="s">
        <v>455</v>
      </c>
      <c r="V287" t="s">
        <v>3258</v>
      </c>
      <c r="W287" s="65" t="s">
        <v>29</v>
      </c>
      <c r="X287" s="65" t="s">
        <v>29</v>
      </c>
      <c r="Y287" s="65" t="s">
        <v>35</v>
      </c>
      <c r="AA287" s="69">
        <v>42855</v>
      </c>
      <c r="AB287" s="69">
        <v>43190</v>
      </c>
      <c r="AC287" s="69">
        <v>43190</v>
      </c>
      <c r="AD287" s="65" t="s">
        <v>23</v>
      </c>
      <c r="AE287" s="65" t="s">
        <v>24</v>
      </c>
      <c r="AH287" s="69">
        <f t="shared" si="12"/>
        <v>42855</v>
      </c>
      <c r="AI287" s="69">
        <f t="shared" si="13"/>
        <v>43190</v>
      </c>
      <c r="AW287" s="73">
        <v>80</v>
      </c>
      <c r="AY287" s="73">
        <v>80</v>
      </c>
      <c r="BO287" s="185" t="s">
        <v>3794</v>
      </c>
      <c r="BP287" s="185" t="s">
        <v>3794</v>
      </c>
      <c r="BQ287" s="185" t="s">
        <v>126</v>
      </c>
      <c r="BW287" s="73"/>
      <c r="BY287" s="185" t="s">
        <v>3794</v>
      </c>
      <c r="CG287" s="73">
        <v>80</v>
      </c>
      <c r="CI287" s="73">
        <v>80</v>
      </c>
      <c r="CJ287" t="s">
        <v>25</v>
      </c>
      <c r="CK287" t="s">
        <v>25</v>
      </c>
      <c r="CL287" t="s">
        <v>25</v>
      </c>
      <c r="CM287" t="s">
        <v>25</v>
      </c>
      <c r="CN287" t="s">
        <v>25</v>
      </c>
      <c r="CO287" t="s">
        <v>25</v>
      </c>
      <c r="CP287" t="s">
        <v>25</v>
      </c>
      <c r="CQ287" t="s">
        <v>25</v>
      </c>
      <c r="CR287" t="s">
        <v>25</v>
      </c>
      <c r="CS287" t="s">
        <v>25</v>
      </c>
      <c r="CT287" t="s">
        <v>25</v>
      </c>
      <c r="CU287" t="s">
        <v>60</v>
      </c>
      <c r="CV287" t="s">
        <v>25</v>
      </c>
      <c r="CW287" t="s">
        <v>25</v>
      </c>
      <c r="CX287" t="s">
        <v>25</v>
      </c>
      <c r="CY287" t="s">
        <v>25</v>
      </c>
      <c r="CZ287" t="s">
        <v>25</v>
      </c>
      <c r="DA287" t="s">
        <v>25</v>
      </c>
      <c r="DB287" t="s">
        <v>25</v>
      </c>
      <c r="DC287" t="s">
        <v>25</v>
      </c>
      <c r="DD287" t="s">
        <v>25</v>
      </c>
      <c r="DE287" t="s">
        <v>25</v>
      </c>
      <c r="DF287" t="s">
        <v>25</v>
      </c>
      <c r="DG287" t="s">
        <v>25</v>
      </c>
      <c r="DH287" t="s">
        <v>25</v>
      </c>
      <c r="DI287" t="s">
        <v>25</v>
      </c>
      <c r="DJ287" s="76">
        <v>0.56099998950958296</v>
      </c>
      <c r="DK287" s="73">
        <v>80</v>
      </c>
      <c r="DL287" s="73">
        <v>0</v>
      </c>
      <c r="DM287" s="73">
        <v>80</v>
      </c>
      <c r="DU287"/>
      <c r="DZ287" s="73">
        <v>0</v>
      </c>
      <c r="EA287" s="73">
        <v>0</v>
      </c>
      <c r="EB287" s="73">
        <v>0</v>
      </c>
    </row>
    <row r="288" spans="1:133" ht="12" customHeight="1" x14ac:dyDescent="0.2">
      <c r="A288" t="s">
        <v>2936</v>
      </c>
      <c r="B288" t="s">
        <v>2946</v>
      </c>
      <c r="C288" t="str">
        <f t="shared" si="14"/>
        <v>Full</v>
      </c>
      <c r="D288" t="s">
        <v>2943</v>
      </c>
      <c r="E288" s="65">
        <v>4471</v>
      </c>
      <c r="F288" t="s">
        <v>1843</v>
      </c>
      <c r="G288" s="71" t="s">
        <v>3943</v>
      </c>
      <c r="H288" s="67">
        <v>0.71399998664856001</v>
      </c>
      <c r="I288" s="65">
        <v>526878</v>
      </c>
      <c r="J288" s="65">
        <v>176605</v>
      </c>
      <c r="L288" s="65" t="s">
        <v>1003</v>
      </c>
      <c r="M288" s="65" t="s">
        <v>27</v>
      </c>
      <c r="N288" s="69">
        <v>42604</v>
      </c>
      <c r="O288" s="69">
        <v>42702</v>
      </c>
      <c r="R288" s="65" t="s">
        <v>28</v>
      </c>
      <c r="U288" t="s">
        <v>1004</v>
      </c>
      <c r="V288" t="s">
        <v>3259</v>
      </c>
      <c r="W288" s="65" t="s">
        <v>29</v>
      </c>
      <c r="X288" s="65" t="s">
        <v>29</v>
      </c>
      <c r="Y288" s="65" t="s">
        <v>35</v>
      </c>
      <c r="AA288" s="69">
        <v>42826</v>
      </c>
      <c r="AB288" s="69">
        <v>43190</v>
      </c>
      <c r="AC288" s="69">
        <v>43190</v>
      </c>
      <c r="AD288" s="65" t="s">
        <v>23</v>
      </c>
      <c r="AE288" s="65" t="s">
        <v>24</v>
      </c>
      <c r="AH288" s="69">
        <f t="shared" si="12"/>
        <v>42826</v>
      </c>
      <c r="AI288" s="69">
        <f t="shared" si="13"/>
        <v>43190</v>
      </c>
      <c r="AW288" s="73">
        <v>914</v>
      </c>
      <c r="AY288" s="73">
        <v>914</v>
      </c>
      <c r="BL288" s="73">
        <v>175</v>
      </c>
      <c r="BN288" s="73">
        <v>175</v>
      </c>
      <c r="BO288" s="185" t="s">
        <v>3794</v>
      </c>
      <c r="BP288" s="185" t="s">
        <v>3794</v>
      </c>
      <c r="BQ288" s="185" t="s">
        <v>126</v>
      </c>
      <c r="BW288" s="73"/>
      <c r="BY288" s="185" t="s">
        <v>3794</v>
      </c>
      <c r="CG288" s="73">
        <v>739</v>
      </c>
      <c r="CI288" s="73">
        <v>739</v>
      </c>
      <c r="CJ288" t="s">
        <v>25</v>
      </c>
      <c r="CK288" t="s">
        <v>25</v>
      </c>
      <c r="CL288" t="s">
        <v>25</v>
      </c>
      <c r="CM288" t="s">
        <v>25</v>
      </c>
      <c r="CN288" t="s">
        <v>25</v>
      </c>
      <c r="CO288" t="s">
        <v>25</v>
      </c>
      <c r="CP288" t="s">
        <v>25</v>
      </c>
      <c r="CQ288" t="s">
        <v>25</v>
      </c>
      <c r="CR288" t="s">
        <v>25</v>
      </c>
      <c r="CS288" t="s">
        <v>25</v>
      </c>
      <c r="CT288" t="s">
        <v>25</v>
      </c>
      <c r="CU288" t="s">
        <v>60</v>
      </c>
      <c r="CV288" t="s">
        <v>25</v>
      </c>
      <c r="CW288" t="s">
        <v>25</v>
      </c>
      <c r="CX288" t="s">
        <v>25</v>
      </c>
      <c r="CY288" t="s">
        <v>25</v>
      </c>
      <c r="CZ288" t="s">
        <v>25</v>
      </c>
      <c r="DA288" t="s">
        <v>25</v>
      </c>
      <c r="DB288" t="s">
        <v>25</v>
      </c>
      <c r="DC288" t="s">
        <v>25</v>
      </c>
      <c r="DD288" t="s">
        <v>25</v>
      </c>
      <c r="DE288" t="s">
        <v>25</v>
      </c>
      <c r="DF288" t="s">
        <v>25</v>
      </c>
      <c r="DG288" t="s">
        <v>25</v>
      </c>
      <c r="DH288" t="s">
        <v>60</v>
      </c>
      <c r="DI288" t="s">
        <v>25</v>
      </c>
      <c r="DJ288" s="76">
        <v>0.71399998664856001</v>
      </c>
      <c r="DK288" s="73">
        <v>914</v>
      </c>
      <c r="DL288" s="73">
        <v>175</v>
      </c>
      <c r="DM288" s="73">
        <v>739</v>
      </c>
      <c r="DU288"/>
      <c r="DZ288" s="73">
        <v>0</v>
      </c>
      <c r="EA288" s="73">
        <v>0</v>
      </c>
      <c r="EB288" s="73">
        <v>0</v>
      </c>
    </row>
    <row r="289" spans="1:133" ht="12" customHeight="1" x14ac:dyDescent="0.2">
      <c r="A289" t="s">
        <v>2937</v>
      </c>
      <c r="B289" t="s">
        <v>2946</v>
      </c>
      <c r="C289" t="str">
        <f t="shared" si="14"/>
        <v>Full</v>
      </c>
      <c r="E289" s="65">
        <v>4474</v>
      </c>
      <c r="F289" t="s">
        <v>1844</v>
      </c>
      <c r="G289" s="71" t="s">
        <v>3951</v>
      </c>
      <c r="H289" s="67">
        <v>0.19099999964237199</v>
      </c>
      <c r="I289" s="65">
        <v>527533</v>
      </c>
      <c r="J289" s="65">
        <v>171477</v>
      </c>
      <c r="K289" s="65" t="s">
        <v>1824</v>
      </c>
      <c r="L289" s="65" t="s">
        <v>327</v>
      </c>
      <c r="M289" s="65" t="s">
        <v>33</v>
      </c>
      <c r="N289" s="69">
        <v>41891</v>
      </c>
      <c r="O289" s="69">
        <v>42594</v>
      </c>
      <c r="Q289" s="69">
        <v>42263</v>
      </c>
      <c r="R289" s="65" t="s">
        <v>28</v>
      </c>
      <c r="U289" t="s">
        <v>328</v>
      </c>
      <c r="V289" t="s">
        <v>3260</v>
      </c>
      <c r="W289" s="65" t="s">
        <v>21</v>
      </c>
      <c r="X289" s="65" t="s">
        <v>21</v>
      </c>
      <c r="Y289" s="65" t="s">
        <v>69</v>
      </c>
      <c r="AD289" s="65" t="s">
        <v>23</v>
      </c>
      <c r="AE289" s="65" t="s">
        <v>24</v>
      </c>
      <c r="AJ289" s="73">
        <v>704</v>
      </c>
      <c r="AO289" s="73">
        <v>704</v>
      </c>
      <c r="AZ289" s="73">
        <v>2040</v>
      </c>
      <c r="BE289" s="73">
        <v>2040</v>
      </c>
      <c r="BO289" s="185" t="s">
        <v>126</v>
      </c>
      <c r="BP289" s="185" t="s">
        <v>3794</v>
      </c>
      <c r="BQ289" s="185" t="s">
        <v>3794</v>
      </c>
      <c r="BR289" s="73">
        <v>-1336</v>
      </c>
      <c r="BW289" s="73">
        <v>-1336</v>
      </c>
      <c r="BY289" s="185" t="s">
        <v>3794</v>
      </c>
      <c r="CJ289" t="s">
        <v>47</v>
      </c>
      <c r="CK289" t="s">
        <v>25</v>
      </c>
      <c r="CL289" t="s">
        <v>25</v>
      </c>
      <c r="CM289" t="s">
        <v>25</v>
      </c>
      <c r="CN289" t="s">
        <v>25</v>
      </c>
      <c r="CO289" t="s">
        <v>25</v>
      </c>
      <c r="CP289" t="s">
        <v>25</v>
      </c>
      <c r="CQ289" t="s">
        <v>25</v>
      </c>
      <c r="CR289" t="s">
        <v>25</v>
      </c>
      <c r="CS289" t="s">
        <v>25</v>
      </c>
      <c r="CT289" t="s">
        <v>25</v>
      </c>
      <c r="CU289" t="s">
        <v>25</v>
      </c>
      <c r="CV289" t="s">
        <v>25</v>
      </c>
      <c r="CW289" t="s">
        <v>47</v>
      </c>
      <c r="CX289" t="s">
        <v>25</v>
      </c>
      <c r="CY289" t="s">
        <v>25</v>
      </c>
      <c r="CZ289" t="s">
        <v>25</v>
      </c>
      <c r="DA289" t="s">
        <v>25</v>
      </c>
      <c r="DB289" t="s">
        <v>25</v>
      </c>
      <c r="DC289" t="s">
        <v>25</v>
      </c>
      <c r="DD289" t="s">
        <v>25</v>
      </c>
      <c r="DE289" t="s">
        <v>25</v>
      </c>
      <c r="DF289" t="s">
        <v>25</v>
      </c>
      <c r="DG289" t="s">
        <v>25</v>
      </c>
      <c r="DH289" t="s">
        <v>25</v>
      </c>
      <c r="DI289" t="s">
        <v>25</v>
      </c>
      <c r="DJ289" s="76">
        <v>4.7999996691941993E-2</v>
      </c>
      <c r="DK289" s="73">
        <v>704</v>
      </c>
      <c r="DL289" s="73">
        <v>2040</v>
      </c>
      <c r="DM289" s="73">
        <v>-1336</v>
      </c>
      <c r="DU289"/>
      <c r="DV289" s="65" t="s">
        <v>126</v>
      </c>
      <c r="DW289" t="s">
        <v>150</v>
      </c>
      <c r="DZ289" s="73">
        <v>1336</v>
      </c>
      <c r="EA289" s="73">
        <v>0</v>
      </c>
      <c r="EB289" s="73">
        <v>1336</v>
      </c>
      <c r="EC289" s="65" t="s">
        <v>126</v>
      </c>
    </row>
    <row r="290" spans="1:133" ht="12" customHeight="1" x14ac:dyDescent="0.2">
      <c r="A290" t="s">
        <v>2938</v>
      </c>
      <c r="B290" t="s">
        <v>2946</v>
      </c>
      <c r="C290" t="str">
        <f t="shared" si="14"/>
        <v>Full</v>
      </c>
      <c r="E290" s="65">
        <v>4477</v>
      </c>
      <c r="F290" t="s">
        <v>1845</v>
      </c>
      <c r="G290" s="71" t="s">
        <v>2907</v>
      </c>
      <c r="H290" s="67">
        <v>4.6000000089407002E-2</v>
      </c>
      <c r="I290" s="65">
        <v>525396</v>
      </c>
      <c r="J290" s="65">
        <v>173608</v>
      </c>
      <c r="L290" s="65" t="s">
        <v>1846</v>
      </c>
      <c r="M290" s="65" t="s">
        <v>172</v>
      </c>
      <c r="N290" s="69">
        <v>42488</v>
      </c>
      <c r="R290" s="65" t="s">
        <v>28</v>
      </c>
      <c r="U290" t="s">
        <v>1847</v>
      </c>
      <c r="V290" t="s">
        <v>3261</v>
      </c>
      <c r="W290" s="65" t="s">
        <v>29</v>
      </c>
      <c r="X290" s="65" t="s">
        <v>29</v>
      </c>
      <c r="Y290" s="65" t="s">
        <v>69</v>
      </c>
      <c r="AD290" s="65" t="s">
        <v>173</v>
      </c>
      <c r="AE290" s="65" t="s">
        <v>24</v>
      </c>
      <c r="AP290" s="73">
        <v>90</v>
      </c>
      <c r="AS290" s="73">
        <v>90</v>
      </c>
      <c r="AV290" s="73">
        <v>90</v>
      </c>
      <c r="BO290" s="185" t="s">
        <v>3794</v>
      </c>
      <c r="BP290" s="185" t="s">
        <v>126</v>
      </c>
      <c r="BQ290" s="185" t="s">
        <v>3794</v>
      </c>
      <c r="BW290" s="73"/>
      <c r="BX290" s="73">
        <v>90</v>
      </c>
      <c r="BY290" s="185" t="s">
        <v>3794</v>
      </c>
      <c r="CD290" s="73">
        <v>90</v>
      </c>
      <c r="CJ290" t="s">
        <v>25</v>
      </c>
      <c r="CK290" t="s">
        <v>25</v>
      </c>
      <c r="CL290" t="s">
        <v>25</v>
      </c>
      <c r="CM290" t="s">
        <v>25</v>
      </c>
      <c r="CN290" t="s">
        <v>25</v>
      </c>
      <c r="CO290" t="s">
        <v>72</v>
      </c>
      <c r="CP290" t="s">
        <v>25</v>
      </c>
      <c r="CQ290" t="s">
        <v>25</v>
      </c>
      <c r="CR290" t="s">
        <v>25</v>
      </c>
      <c r="CS290" t="s">
        <v>25</v>
      </c>
      <c r="CT290" t="s">
        <v>25</v>
      </c>
      <c r="CU290" t="s">
        <v>25</v>
      </c>
      <c r="CV290" t="s">
        <v>25</v>
      </c>
      <c r="CW290" t="s">
        <v>25</v>
      </c>
      <c r="CX290" t="s">
        <v>25</v>
      </c>
      <c r="CY290" t="s">
        <v>25</v>
      </c>
      <c r="CZ290" t="s">
        <v>25</v>
      </c>
      <c r="DA290" t="s">
        <v>25</v>
      </c>
      <c r="DB290" t="s">
        <v>25</v>
      </c>
      <c r="DC290" t="s">
        <v>25</v>
      </c>
      <c r="DD290" t="s">
        <v>25</v>
      </c>
      <c r="DE290" t="s">
        <v>25</v>
      </c>
      <c r="DF290" t="s">
        <v>25</v>
      </c>
      <c r="DG290" t="s">
        <v>25</v>
      </c>
      <c r="DH290" t="s">
        <v>25</v>
      </c>
      <c r="DI290" t="s">
        <v>25</v>
      </c>
      <c r="DJ290" s="76">
        <v>4.6000000089407002E-2</v>
      </c>
      <c r="DK290" s="73">
        <v>90</v>
      </c>
      <c r="DL290" s="73">
        <v>0</v>
      </c>
      <c r="DM290" s="73">
        <v>90</v>
      </c>
      <c r="DQ290" s="65" t="s">
        <v>126</v>
      </c>
      <c r="DR290" t="s">
        <v>179</v>
      </c>
      <c r="DU290"/>
      <c r="DZ290" s="73">
        <v>0</v>
      </c>
      <c r="EA290" s="73">
        <v>0</v>
      </c>
      <c r="EB290" s="73">
        <v>0</v>
      </c>
    </row>
    <row r="291" spans="1:133" ht="12" customHeight="1" x14ac:dyDescent="0.2">
      <c r="A291" t="s">
        <v>2935</v>
      </c>
      <c r="B291" t="s">
        <v>2946</v>
      </c>
      <c r="C291" t="str">
        <f t="shared" si="14"/>
        <v>Full</v>
      </c>
      <c r="E291" s="65">
        <v>4478</v>
      </c>
      <c r="F291" t="s">
        <v>1848</v>
      </c>
      <c r="G291" s="71" t="s">
        <v>3946</v>
      </c>
      <c r="H291" s="67">
        <v>0.35299998521804798</v>
      </c>
      <c r="I291" s="65">
        <v>523671</v>
      </c>
      <c r="J291" s="65">
        <v>175619</v>
      </c>
      <c r="L291" s="65" t="s">
        <v>1054</v>
      </c>
      <c r="M291" s="65" t="s">
        <v>27</v>
      </c>
      <c r="N291" s="69">
        <v>42627</v>
      </c>
      <c r="O291" s="69">
        <v>42753</v>
      </c>
      <c r="R291" s="65" t="s">
        <v>28</v>
      </c>
      <c r="U291" t="s">
        <v>1055</v>
      </c>
      <c r="V291" t="s">
        <v>3262</v>
      </c>
      <c r="W291" s="65" t="s">
        <v>39</v>
      </c>
      <c r="X291" s="65" t="s">
        <v>39</v>
      </c>
      <c r="Y291" s="65" t="s">
        <v>30</v>
      </c>
      <c r="AA291" s="69">
        <v>42825</v>
      </c>
      <c r="AD291" s="65" t="s">
        <v>23</v>
      </c>
      <c r="AE291" s="65" t="s">
        <v>24</v>
      </c>
      <c r="AH291" s="69">
        <f t="shared" si="12"/>
        <v>42825</v>
      </c>
      <c r="AW291" s="73">
        <v>119</v>
      </c>
      <c r="AY291" s="73">
        <v>119</v>
      </c>
      <c r="BL291" s="73">
        <v>76</v>
      </c>
      <c r="BN291" s="73">
        <v>76</v>
      </c>
      <c r="BO291" s="185" t="s">
        <v>3794</v>
      </c>
      <c r="BP291" s="185" t="s">
        <v>3794</v>
      </c>
      <c r="BQ291" s="185" t="s">
        <v>126</v>
      </c>
      <c r="BW291" s="73"/>
      <c r="BY291" s="185" t="s">
        <v>3794</v>
      </c>
      <c r="CG291" s="73">
        <v>43</v>
      </c>
      <c r="CI291" s="73">
        <v>43</v>
      </c>
      <c r="CJ291" t="s">
        <v>25</v>
      </c>
      <c r="CK291" t="s">
        <v>25</v>
      </c>
      <c r="CL291" t="s">
        <v>25</v>
      </c>
      <c r="CM291" t="s">
        <v>25</v>
      </c>
      <c r="CN291" t="s">
        <v>25</v>
      </c>
      <c r="CO291" t="s">
        <v>25</v>
      </c>
      <c r="CP291" t="s">
        <v>25</v>
      </c>
      <c r="CQ291" t="s">
        <v>25</v>
      </c>
      <c r="CR291" t="s">
        <v>25</v>
      </c>
      <c r="CS291" t="s">
        <v>25</v>
      </c>
      <c r="CT291" t="s">
        <v>25</v>
      </c>
      <c r="CU291" t="s">
        <v>60</v>
      </c>
      <c r="CV291" t="s">
        <v>25</v>
      </c>
      <c r="CW291" t="s">
        <v>25</v>
      </c>
      <c r="CX291" t="s">
        <v>25</v>
      </c>
      <c r="CY291" t="s">
        <v>25</v>
      </c>
      <c r="CZ291" t="s">
        <v>25</v>
      </c>
      <c r="DA291" t="s">
        <v>25</v>
      </c>
      <c r="DB291" t="s">
        <v>25</v>
      </c>
      <c r="DC291" t="s">
        <v>25</v>
      </c>
      <c r="DD291" t="s">
        <v>25</v>
      </c>
      <c r="DE291" t="s">
        <v>25</v>
      </c>
      <c r="DF291" t="s">
        <v>25</v>
      </c>
      <c r="DG291" t="s">
        <v>25</v>
      </c>
      <c r="DH291" t="s">
        <v>60</v>
      </c>
      <c r="DI291" t="s">
        <v>25</v>
      </c>
      <c r="DJ291" s="76">
        <v>0.35299998521804798</v>
      </c>
      <c r="DK291" s="73">
        <v>119</v>
      </c>
      <c r="DL291" s="73">
        <v>76</v>
      </c>
      <c r="DM291" s="73">
        <v>43</v>
      </c>
      <c r="DU291"/>
      <c r="DZ291" s="73">
        <v>0</v>
      </c>
      <c r="EA291" s="73">
        <v>0</v>
      </c>
      <c r="EB291" s="73">
        <v>0</v>
      </c>
    </row>
    <row r="292" spans="1:133" ht="12" customHeight="1" x14ac:dyDescent="0.2">
      <c r="A292" t="s">
        <v>2935</v>
      </c>
      <c r="B292" t="s">
        <v>2946</v>
      </c>
      <c r="C292" t="str">
        <f t="shared" si="14"/>
        <v>Full</v>
      </c>
      <c r="E292" s="65">
        <v>4482</v>
      </c>
      <c r="F292" t="s">
        <v>1849</v>
      </c>
      <c r="G292" s="71" t="s">
        <v>3946</v>
      </c>
      <c r="H292" s="67">
        <v>0.34000000357627902</v>
      </c>
      <c r="I292" s="65">
        <v>525443</v>
      </c>
      <c r="J292" s="65">
        <v>175090</v>
      </c>
      <c r="K292" s="65" t="s">
        <v>1850</v>
      </c>
      <c r="L292" s="65" t="s">
        <v>1107</v>
      </c>
      <c r="M292" s="65" t="s">
        <v>33</v>
      </c>
      <c r="N292" s="69">
        <v>42668</v>
      </c>
      <c r="O292" s="69">
        <v>42985</v>
      </c>
      <c r="P292" s="65" t="s">
        <v>126</v>
      </c>
      <c r="Q292" s="69">
        <v>42817</v>
      </c>
      <c r="R292" s="65" t="s">
        <v>28</v>
      </c>
      <c r="U292" t="s">
        <v>1108</v>
      </c>
      <c r="V292" t="s">
        <v>3263</v>
      </c>
      <c r="W292" s="65" t="s">
        <v>29</v>
      </c>
      <c r="X292" s="65" t="s">
        <v>29</v>
      </c>
      <c r="Y292" s="65" t="s">
        <v>30</v>
      </c>
      <c r="AA292" s="69">
        <v>43009</v>
      </c>
      <c r="AD292" s="65" t="s">
        <v>23</v>
      </c>
      <c r="AE292" s="65" t="s">
        <v>24</v>
      </c>
      <c r="AH292" s="69">
        <f t="shared" si="12"/>
        <v>43009</v>
      </c>
      <c r="AJ292" s="73">
        <v>154</v>
      </c>
      <c r="AK292" s="73">
        <v>154</v>
      </c>
      <c r="AL292" s="73">
        <v>154</v>
      </c>
      <c r="AO292" s="73">
        <v>462</v>
      </c>
      <c r="AP292" s="73">
        <v>155</v>
      </c>
      <c r="AS292" s="73">
        <v>155</v>
      </c>
      <c r="AV292" s="73">
        <v>155</v>
      </c>
      <c r="AW292" s="73">
        <v>155</v>
      </c>
      <c r="AX292" s="73">
        <v>155</v>
      </c>
      <c r="AY292" s="73">
        <v>310</v>
      </c>
      <c r="BJ292" s="73">
        <v>1512</v>
      </c>
      <c r="BK292" s="73">
        <v>1512</v>
      </c>
      <c r="BO292" s="185" t="s">
        <v>126</v>
      </c>
      <c r="BP292" s="185" t="s">
        <v>126</v>
      </c>
      <c r="BQ292" s="185" t="s">
        <v>126</v>
      </c>
      <c r="BR292" s="73">
        <v>154</v>
      </c>
      <c r="BS292" s="73">
        <v>154</v>
      </c>
      <c r="BT292" s="73">
        <v>154</v>
      </c>
      <c r="BW292" s="73">
        <v>462</v>
      </c>
      <c r="BX292" s="73">
        <v>155</v>
      </c>
      <c r="BY292" s="185" t="s">
        <v>3794</v>
      </c>
      <c r="CC292" s="73">
        <v>-1512</v>
      </c>
      <c r="CD292" s="73">
        <v>-1357</v>
      </c>
      <c r="CE292" s="65" t="s">
        <v>126</v>
      </c>
      <c r="CG292" s="73">
        <v>155</v>
      </c>
      <c r="CH292" s="73">
        <v>155</v>
      </c>
      <c r="CI292" s="73">
        <v>310</v>
      </c>
      <c r="CJ292" t="s">
        <v>31</v>
      </c>
      <c r="CK292" t="s">
        <v>31</v>
      </c>
      <c r="CL292" t="s">
        <v>31</v>
      </c>
      <c r="CM292" t="s">
        <v>25</v>
      </c>
      <c r="CN292" t="s">
        <v>25</v>
      </c>
      <c r="CO292" t="s">
        <v>31</v>
      </c>
      <c r="CP292" t="s">
        <v>25</v>
      </c>
      <c r="CQ292" t="s">
        <v>25</v>
      </c>
      <c r="CR292" t="s">
        <v>25</v>
      </c>
      <c r="CS292" t="s">
        <v>25</v>
      </c>
      <c r="CT292" t="s">
        <v>25</v>
      </c>
      <c r="CU292" t="s">
        <v>41</v>
      </c>
      <c r="CV292" t="s">
        <v>31</v>
      </c>
      <c r="CW292" t="s">
        <v>25</v>
      </c>
      <c r="CX292" t="s">
        <v>25</v>
      </c>
      <c r="CY292" t="s">
        <v>25</v>
      </c>
      <c r="CZ292" t="s">
        <v>25</v>
      </c>
      <c r="DA292" t="s">
        <v>25</v>
      </c>
      <c r="DB292" t="s">
        <v>25</v>
      </c>
      <c r="DC292" t="s">
        <v>25</v>
      </c>
      <c r="DD292" t="s">
        <v>25</v>
      </c>
      <c r="DE292" t="s">
        <v>25</v>
      </c>
      <c r="DF292" t="s">
        <v>53</v>
      </c>
      <c r="DG292" t="s">
        <v>25</v>
      </c>
      <c r="DH292" t="s">
        <v>25</v>
      </c>
      <c r="DI292" t="s">
        <v>25</v>
      </c>
      <c r="DJ292" s="76">
        <v>1.9999995827675587E-2</v>
      </c>
      <c r="DK292" s="73">
        <v>1779</v>
      </c>
      <c r="DL292" s="73">
        <v>1512</v>
      </c>
      <c r="DM292" s="73">
        <v>267</v>
      </c>
      <c r="DN292" s="65" t="s">
        <v>126</v>
      </c>
      <c r="DS292" s="65" t="s">
        <v>126</v>
      </c>
      <c r="DT292" t="s">
        <v>61</v>
      </c>
      <c r="DU292"/>
      <c r="DZ292" s="73">
        <v>10778</v>
      </c>
      <c r="EA292" s="73">
        <v>0</v>
      </c>
      <c r="EB292" s="73">
        <v>10778</v>
      </c>
      <c r="EC292" s="65" t="s">
        <v>126</v>
      </c>
    </row>
    <row r="293" spans="1:133" ht="12" customHeight="1" x14ac:dyDescent="0.2">
      <c r="A293" t="s">
        <v>2937</v>
      </c>
      <c r="B293" t="s">
        <v>2948</v>
      </c>
      <c r="C293" t="str">
        <f t="shared" si="14"/>
        <v>Prior Approval</v>
      </c>
      <c r="E293" s="65">
        <v>4506</v>
      </c>
      <c r="F293" t="s">
        <v>1851</v>
      </c>
      <c r="G293" s="71" t="s">
        <v>3946</v>
      </c>
      <c r="H293" s="67">
        <v>3.0000000260770299E-3</v>
      </c>
      <c r="I293" s="65">
        <v>525112</v>
      </c>
      <c r="J293" s="65">
        <v>175239</v>
      </c>
      <c r="L293" s="65" t="s">
        <v>1298</v>
      </c>
      <c r="M293" s="65" t="s">
        <v>244</v>
      </c>
      <c r="N293" s="69">
        <v>42814</v>
      </c>
      <c r="O293" s="69">
        <v>42851</v>
      </c>
      <c r="P293" s="65" t="s">
        <v>126</v>
      </c>
      <c r="R293" s="65" t="s">
        <v>28</v>
      </c>
      <c r="U293" t="s">
        <v>1299</v>
      </c>
      <c r="V293" t="s">
        <v>3162</v>
      </c>
      <c r="W293" s="65" t="s">
        <v>21</v>
      </c>
      <c r="X293" s="65" t="s">
        <v>21</v>
      </c>
      <c r="Y293" s="65" t="s">
        <v>69</v>
      </c>
      <c r="AD293" s="65" t="s">
        <v>23</v>
      </c>
      <c r="AE293" s="65" t="s">
        <v>24</v>
      </c>
      <c r="BF293" s="73">
        <v>57</v>
      </c>
      <c r="BK293" s="73">
        <v>57</v>
      </c>
      <c r="BO293" s="185" t="s">
        <v>3794</v>
      </c>
      <c r="BP293" s="185" t="s">
        <v>126</v>
      </c>
      <c r="BQ293" s="185" t="s">
        <v>3794</v>
      </c>
      <c r="BW293" s="73"/>
      <c r="BX293" s="73">
        <v>-57</v>
      </c>
      <c r="BY293" s="185" t="s">
        <v>126</v>
      </c>
      <c r="CD293" s="73">
        <v>-57</v>
      </c>
      <c r="CE293" s="65" t="s">
        <v>126</v>
      </c>
      <c r="CJ293" t="s">
        <v>25</v>
      </c>
      <c r="CK293" t="s">
        <v>25</v>
      </c>
      <c r="CL293" t="s">
        <v>25</v>
      </c>
      <c r="CM293" t="s">
        <v>25</v>
      </c>
      <c r="CN293" t="s">
        <v>25</v>
      </c>
      <c r="CO293" t="s">
        <v>25</v>
      </c>
      <c r="CP293" t="s">
        <v>25</v>
      </c>
      <c r="CQ293" t="s">
        <v>25</v>
      </c>
      <c r="CR293" t="s">
        <v>25</v>
      </c>
      <c r="CS293" t="s">
        <v>25</v>
      </c>
      <c r="CT293" t="s">
        <v>25</v>
      </c>
      <c r="CU293" t="s">
        <v>25</v>
      </c>
      <c r="CV293" t="s">
        <v>25</v>
      </c>
      <c r="CW293" t="s">
        <v>25</v>
      </c>
      <c r="CX293" t="s">
        <v>25</v>
      </c>
      <c r="CY293" t="s">
        <v>25</v>
      </c>
      <c r="CZ293" t="s">
        <v>25</v>
      </c>
      <c r="DA293" t="s">
        <v>25</v>
      </c>
      <c r="DB293" t="s">
        <v>31</v>
      </c>
      <c r="DC293" t="s">
        <v>25</v>
      </c>
      <c r="DD293" t="s">
        <v>25</v>
      </c>
      <c r="DE293" t="s">
        <v>25</v>
      </c>
      <c r="DF293" t="s">
        <v>25</v>
      </c>
      <c r="DG293" t="s">
        <v>25</v>
      </c>
      <c r="DH293" t="s">
        <v>25</v>
      </c>
      <c r="DI293" t="s">
        <v>25</v>
      </c>
      <c r="DJ293" s="76">
        <v>1.9999999785795799E-3</v>
      </c>
      <c r="DK293" s="73">
        <v>0</v>
      </c>
      <c r="DL293" s="73">
        <v>57</v>
      </c>
      <c r="DM293" s="73">
        <v>-57</v>
      </c>
      <c r="DN293" s="65" t="s">
        <v>126</v>
      </c>
      <c r="DU293"/>
      <c r="DZ293" s="73">
        <v>57</v>
      </c>
      <c r="EA293" s="73">
        <v>0</v>
      </c>
      <c r="EB293" s="73">
        <v>57</v>
      </c>
      <c r="EC293" s="65" t="s">
        <v>126</v>
      </c>
    </row>
    <row r="294" spans="1:133" ht="12" customHeight="1" x14ac:dyDescent="0.2">
      <c r="A294" t="s">
        <v>2937</v>
      </c>
      <c r="B294" t="s">
        <v>2947</v>
      </c>
      <c r="C294" t="str">
        <f t="shared" si="14"/>
        <v>Outline</v>
      </c>
      <c r="E294" s="65">
        <v>4509</v>
      </c>
      <c r="F294" t="s">
        <v>1852</v>
      </c>
      <c r="G294" s="71" t="s">
        <v>3947</v>
      </c>
      <c r="H294" s="67">
        <v>1.12999999523163</v>
      </c>
      <c r="I294" s="65">
        <v>529156</v>
      </c>
      <c r="J294" s="65">
        <v>177572</v>
      </c>
      <c r="K294" s="65" t="s">
        <v>1853</v>
      </c>
      <c r="L294" s="65" t="s">
        <v>570</v>
      </c>
      <c r="M294" s="65" t="s">
        <v>42</v>
      </c>
      <c r="N294" s="69">
        <v>42408</v>
      </c>
      <c r="O294" s="69">
        <v>42555</v>
      </c>
      <c r="Q294" s="69">
        <v>42424</v>
      </c>
      <c r="R294" s="65" t="s">
        <v>28</v>
      </c>
      <c r="U294" t="s">
        <v>782</v>
      </c>
      <c r="V294" t="s">
        <v>3264</v>
      </c>
      <c r="W294" s="65" t="s">
        <v>29</v>
      </c>
      <c r="X294" s="65" t="s">
        <v>29</v>
      </c>
      <c r="Y294" s="65" t="s">
        <v>69</v>
      </c>
      <c r="AD294" s="65" t="s">
        <v>23</v>
      </c>
      <c r="AE294" s="65" t="s">
        <v>24</v>
      </c>
      <c r="BO294" s="185" t="s">
        <v>3794</v>
      </c>
      <c r="BP294" s="185" t="s">
        <v>3794</v>
      </c>
      <c r="BQ294" s="185" t="s">
        <v>3794</v>
      </c>
      <c r="BW294" s="73"/>
      <c r="BY294" s="185" t="s">
        <v>3794</v>
      </c>
      <c r="CJ294" t="s">
        <v>25</v>
      </c>
      <c r="CK294" t="s">
        <v>25</v>
      </c>
      <c r="CL294" t="s">
        <v>25</v>
      </c>
      <c r="CM294" t="s">
        <v>25</v>
      </c>
      <c r="CN294" t="s">
        <v>25</v>
      </c>
      <c r="CO294" t="s">
        <v>25</v>
      </c>
      <c r="CP294" t="s">
        <v>25</v>
      </c>
      <c r="CQ294" t="s">
        <v>25</v>
      </c>
      <c r="CR294" t="s">
        <v>25</v>
      </c>
      <c r="CS294" t="s">
        <v>25</v>
      </c>
      <c r="CT294" t="s">
        <v>25</v>
      </c>
      <c r="CU294" t="s">
        <v>25</v>
      </c>
      <c r="CV294" t="s">
        <v>25</v>
      </c>
      <c r="CW294" t="s">
        <v>25</v>
      </c>
      <c r="CX294" t="s">
        <v>25</v>
      </c>
      <c r="CY294" t="s">
        <v>25</v>
      </c>
      <c r="CZ294" t="s">
        <v>25</v>
      </c>
      <c r="DA294" t="s">
        <v>25</v>
      </c>
      <c r="DB294" t="s">
        <v>25</v>
      </c>
      <c r="DC294" t="s">
        <v>25</v>
      </c>
      <c r="DD294" t="s">
        <v>25</v>
      </c>
      <c r="DE294" t="s">
        <v>25</v>
      </c>
      <c r="DF294" t="s">
        <v>25</v>
      </c>
      <c r="DG294" t="s">
        <v>25</v>
      </c>
      <c r="DH294" t="s">
        <v>25</v>
      </c>
      <c r="DI294" t="s">
        <v>25</v>
      </c>
      <c r="DJ294" s="76">
        <v>0.56000000238418701</v>
      </c>
      <c r="DK294" s="73">
        <v>11078</v>
      </c>
      <c r="DL294" s="73">
        <v>8799</v>
      </c>
      <c r="DM294" s="73">
        <v>2279</v>
      </c>
      <c r="DN294" s="65" t="s">
        <v>126</v>
      </c>
      <c r="DU294" s="65" t="s">
        <v>126</v>
      </c>
      <c r="DZ294" s="73">
        <v>57012</v>
      </c>
      <c r="EA294" s="73">
        <v>0</v>
      </c>
      <c r="EB294" s="73">
        <v>57012</v>
      </c>
      <c r="EC294" s="65" t="s">
        <v>126</v>
      </c>
    </row>
    <row r="295" spans="1:133" ht="12" customHeight="1" x14ac:dyDescent="0.2">
      <c r="A295" t="s">
        <v>2937</v>
      </c>
      <c r="B295" t="s">
        <v>2946</v>
      </c>
      <c r="C295" t="str">
        <f t="shared" si="14"/>
        <v>Full</v>
      </c>
      <c r="E295" s="65">
        <v>4509</v>
      </c>
      <c r="F295" t="s">
        <v>1852</v>
      </c>
      <c r="G295" s="71" t="s">
        <v>3947</v>
      </c>
      <c r="H295" s="67">
        <v>1.12999999523163</v>
      </c>
      <c r="I295" s="65">
        <v>529156</v>
      </c>
      <c r="J295" s="65">
        <v>177572</v>
      </c>
      <c r="K295" s="65" t="s">
        <v>1853</v>
      </c>
      <c r="L295" s="65" t="s">
        <v>1227</v>
      </c>
      <c r="M295" s="65" t="s">
        <v>434</v>
      </c>
      <c r="N295" s="69">
        <v>42755</v>
      </c>
      <c r="O295" s="69">
        <v>42900</v>
      </c>
      <c r="P295" s="65" t="s">
        <v>126</v>
      </c>
      <c r="Q295" s="69">
        <v>42817</v>
      </c>
      <c r="R295" s="65" t="s">
        <v>28</v>
      </c>
      <c r="U295" t="s">
        <v>1228</v>
      </c>
      <c r="V295" t="s">
        <v>3265</v>
      </c>
      <c r="W295" s="65" t="s">
        <v>29</v>
      </c>
      <c r="X295" s="65" t="s">
        <v>29</v>
      </c>
      <c r="Y295" s="65" t="s">
        <v>69</v>
      </c>
      <c r="AD295" s="65" t="s">
        <v>23</v>
      </c>
      <c r="AE295" s="65" t="s">
        <v>24</v>
      </c>
      <c r="AJ295" s="73">
        <v>1585</v>
      </c>
      <c r="AL295" s="73">
        <v>1585</v>
      </c>
      <c r="AO295" s="73">
        <v>3170</v>
      </c>
      <c r="AX295" s="73">
        <v>1584</v>
      </c>
      <c r="AY295" s="73">
        <v>1584</v>
      </c>
      <c r="BO295" s="185" t="s">
        <v>126</v>
      </c>
      <c r="BP295" s="185" t="s">
        <v>3794</v>
      </c>
      <c r="BQ295" s="185" t="s">
        <v>126</v>
      </c>
      <c r="BR295" s="73">
        <v>1585</v>
      </c>
      <c r="BT295" s="73">
        <v>1585</v>
      </c>
      <c r="BW295" s="73">
        <v>3170</v>
      </c>
      <c r="BY295" s="185" t="s">
        <v>3794</v>
      </c>
      <c r="CH295" s="73">
        <v>1584</v>
      </c>
      <c r="CI295" s="73">
        <v>1584</v>
      </c>
      <c r="CJ295" t="s">
        <v>31</v>
      </c>
      <c r="CK295" t="s">
        <v>25</v>
      </c>
      <c r="CL295" t="s">
        <v>31</v>
      </c>
      <c r="CM295" t="s">
        <v>25</v>
      </c>
      <c r="CN295" t="s">
        <v>25</v>
      </c>
      <c r="CO295" t="s">
        <v>25</v>
      </c>
      <c r="CP295" t="s">
        <v>25</v>
      </c>
      <c r="CQ295" t="s">
        <v>25</v>
      </c>
      <c r="CR295" t="s">
        <v>25</v>
      </c>
      <c r="CS295" t="s">
        <v>25</v>
      </c>
      <c r="CT295" t="s">
        <v>25</v>
      </c>
      <c r="CU295" t="s">
        <v>25</v>
      </c>
      <c r="CV295" t="s">
        <v>31</v>
      </c>
      <c r="CW295" t="s">
        <v>25</v>
      </c>
      <c r="CX295" t="s">
        <v>25</v>
      </c>
      <c r="CY295" t="s">
        <v>25</v>
      </c>
      <c r="CZ295" t="s">
        <v>25</v>
      </c>
      <c r="DA295" t="s">
        <v>25</v>
      </c>
      <c r="DB295" t="s">
        <v>25</v>
      </c>
      <c r="DC295" t="s">
        <v>25</v>
      </c>
      <c r="DD295" t="s">
        <v>25</v>
      </c>
      <c r="DE295" t="s">
        <v>25</v>
      </c>
      <c r="DF295" t="s">
        <v>25</v>
      </c>
      <c r="DG295" t="s">
        <v>25</v>
      </c>
      <c r="DH295" t="s">
        <v>25</v>
      </c>
      <c r="DI295" t="s">
        <v>25</v>
      </c>
      <c r="DJ295" s="76">
        <v>0</v>
      </c>
      <c r="DK295" s="73">
        <v>4754</v>
      </c>
      <c r="DL295" s="73">
        <v>3136</v>
      </c>
      <c r="DM295" s="73">
        <v>1618</v>
      </c>
      <c r="DN295" s="65" t="s">
        <v>126</v>
      </c>
      <c r="DU295" s="65" t="s">
        <v>126</v>
      </c>
      <c r="DZ295" s="73">
        <v>0</v>
      </c>
      <c r="EA295" s="73">
        <v>0</v>
      </c>
      <c r="EB295" s="73">
        <v>0</v>
      </c>
    </row>
    <row r="296" spans="1:133" ht="12" customHeight="1" x14ac:dyDescent="0.2">
      <c r="A296" t="s">
        <v>2937</v>
      </c>
      <c r="B296" t="s">
        <v>2948</v>
      </c>
      <c r="C296" t="str">
        <f t="shared" si="14"/>
        <v>Prior Approval</v>
      </c>
      <c r="E296" s="65">
        <v>4513</v>
      </c>
      <c r="F296" t="s">
        <v>1854</v>
      </c>
      <c r="G296" s="71" t="s">
        <v>3946</v>
      </c>
      <c r="H296" s="67">
        <v>0.38999998569488498</v>
      </c>
      <c r="I296" s="65">
        <v>525336</v>
      </c>
      <c r="J296" s="65">
        <v>175122</v>
      </c>
      <c r="K296" s="65" t="s">
        <v>1855</v>
      </c>
      <c r="L296" s="65" t="s">
        <v>1155</v>
      </c>
      <c r="M296" s="65" t="s">
        <v>244</v>
      </c>
      <c r="N296" s="69">
        <v>42723</v>
      </c>
      <c r="O296" s="69">
        <v>42732</v>
      </c>
      <c r="R296" s="65" t="s">
        <v>28</v>
      </c>
      <c r="U296" t="s">
        <v>1157</v>
      </c>
      <c r="V296" t="s">
        <v>1156</v>
      </c>
      <c r="W296" s="65" t="s">
        <v>29</v>
      </c>
      <c r="X296" s="65" t="s">
        <v>29</v>
      </c>
      <c r="Y296" s="65" t="s">
        <v>69</v>
      </c>
      <c r="AD296" s="65" t="s">
        <v>23</v>
      </c>
      <c r="AE296" s="65" t="s">
        <v>24</v>
      </c>
      <c r="BF296" s="73">
        <v>1261</v>
      </c>
      <c r="BI296" s="73">
        <v>1261</v>
      </c>
      <c r="BJ296" s="73">
        <v>1261</v>
      </c>
      <c r="BK296" s="73">
        <v>3783</v>
      </c>
      <c r="BO296" s="185" t="s">
        <v>3794</v>
      </c>
      <c r="BP296" s="185" t="s">
        <v>126</v>
      </c>
      <c r="BQ296" s="185" t="s">
        <v>3794</v>
      </c>
      <c r="BW296" s="73"/>
      <c r="BX296" s="73">
        <v>-1261</v>
      </c>
      <c r="BY296" s="185" t="s">
        <v>126</v>
      </c>
      <c r="CB296" s="73">
        <v>-1261</v>
      </c>
      <c r="CC296" s="73">
        <v>-1261</v>
      </c>
      <c r="CD296" s="73">
        <v>-3783</v>
      </c>
      <c r="CE296" s="65" t="s">
        <v>126</v>
      </c>
      <c r="CJ296" t="s">
        <v>25</v>
      </c>
      <c r="CK296" t="s">
        <v>25</v>
      </c>
      <c r="CL296" t="s">
        <v>25</v>
      </c>
      <c r="CM296" t="s">
        <v>25</v>
      </c>
      <c r="CN296" t="s">
        <v>25</v>
      </c>
      <c r="CO296" t="s">
        <v>25</v>
      </c>
      <c r="CP296" t="s">
        <v>25</v>
      </c>
      <c r="CQ296" t="s">
        <v>25</v>
      </c>
      <c r="CR296" t="s">
        <v>25</v>
      </c>
      <c r="CS296" t="s">
        <v>25</v>
      </c>
      <c r="CT296" t="s">
        <v>25</v>
      </c>
      <c r="CU296" t="s">
        <v>25</v>
      </c>
      <c r="CV296" t="s">
        <v>25</v>
      </c>
      <c r="CW296" t="s">
        <v>25</v>
      </c>
      <c r="CX296" t="s">
        <v>25</v>
      </c>
      <c r="CY296" t="s">
        <v>25</v>
      </c>
      <c r="CZ296" t="s">
        <v>25</v>
      </c>
      <c r="DA296" t="s">
        <v>25</v>
      </c>
      <c r="DB296" t="s">
        <v>31</v>
      </c>
      <c r="DC296" t="s">
        <v>25</v>
      </c>
      <c r="DD296" t="s">
        <v>25</v>
      </c>
      <c r="DE296" t="s">
        <v>32</v>
      </c>
      <c r="DF296" t="s">
        <v>53</v>
      </c>
      <c r="DG296" t="s">
        <v>25</v>
      </c>
      <c r="DH296" t="s">
        <v>25</v>
      </c>
      <c r="DI296" t="s">
        <v>25</v>
      </c>
      <c r="DJ296" s="76">
        <v>0.38999998569488498</v>
      </c>
      <c r="DK296" s="73">
        <v>3783</v>
      </c>
      <c r="DL296" s="73">
        <v>3783</v>
      </c>
      <c r="DM296" s="73">
        <v>0</v>
      </c>
      <c r="DN296" s="65" t="s">
        <v>126</v>
      </c>
      <c r="DS296" s="65" t="s">
        <v>126</v>
      </c>
      <c r="DT296" t="s">
        <v>61</v>
      </c>
      <c r="DU296"/>
      <c r="DZ296" s="73">
        <v>0</v>
      </c>
      <c r="EA296" s="73">
        <v>0</v>
      </c>
      <c r="EB296" s="73">
        <v>0</v>
      </c>
    </row>
    <row r="297" spans="1:133" ht="12" customHeight="1" x14ac:dyDescent="0.2">
      <c r="A297" t="s">
        <v>2938</v>
      </c>
      <c r="B297" t="s">
        <v>2945</v>
      </c>
      <c r="C297" t="str">
        <f t="shared" si="14"/>
        <v>Pending Legal Agreement</v>
      </c>
      <c r="E297" s="65">
        <v>4554</v>
      </c>
      <c r="F297" t="s">
        <v>1856</v>
      </c>
      <c r="G297" s="71" t="s">
        <v>3949</v>
      </c>
      <c r="H297" s="67">
        <v>0.43599998950958302</v>
      </c>
      <c r="I297" s="65">
        <v>524645</v>
      </c>
      <c r="J297" s="65">
        <v>174015</v>
      </c>
      <c r="L297" s="65" t="s">
        <v>575</v>
      </c>
      <c r="M297" s="65" t="s">
        <v>228</v>
      </c>
      <c r="N297" s="69">
        <v>42335</v>
      </c>
      <c r="Q297" s="69">
        <v>42452</v>
      </c>
      <c r="R297" s="65" t="s">
        <v>28</v>
      </c>
      <c r="U297" t="s">
        <v>787</v>
      </c>
      <c r="V297" t="s">
        <v>3266</v>
      </c>
      <c r="W297" s="65" t="s">
        <v>29</v>
      </c>
      <c r="X297" s="65" t="s">
        <v>29</v>
      </c>
      <c r="Y297" s="65" t="s">
        <v>69</v>
      </c>
      <c r="AD297" s="65" t="s">
        <v>173</v>
      </c>
      <c r="AE297" s="65" t="s">
        <v>24</v>
      </c>
      <c r="AP297" s="73">
        <v>987</v>
      </c>
      <c r="AS297" s="73">
        <v>987</v>
      </c>
      <c r="AV297" s="73">
        <v>987</v>
      </c>
      <c r="AW297" s="73">
        <v>1231</v>
      </c>
      <c r="AY297" s="73">
        <v>1231</v>
      </c>
      <c r="BF297" s="73">
        <v>242</v>
      </c>
      <c r="BK297" s="73">
        <v>242</v>
      </c>
      <c r="BL297" s="73">
        <v>954</v>
      </c>
      <c r="BN297" s="73">
        <v>954</v>
      </c>
      <c r="BO297" s="185" t="s">
        <v>3794</v>
      </c>
      <c r="BP297" s="185" t="s">
        <v>126</v>
      </c>
      <c r="BQ297" s="185" t="s">
        <v>126</v>
      </c>
      <c r="BW297" s="73"/>
      <c r="BX297" s="73">
        <v>745</v>
      </c>
      <c r="BY297" s="185" t="s">
        <v>3794</v>
      </c>
      <c r="CD297" s="73">
        <v>745</v>
      </c>
      <c r="CG297" s="73">
        <v>277</v>
      </c>
      <c r="CI297" s="73">
        <v>277</v>
      </c>
      <c r="CJ297" t="s">
        <v>25</v>
      </c>
      <c r="CK297" t="s">
        <v>25</v>
      </c>
      <c r="CL297" t="s">
        <v>25</v>
      </c>
      <c r="CM297" t="s">
        <v>25</v>
      </c>
      <c r="CN297" t="s">
        <v>25</v>
      </c>
      <c r="CO297" t="s">
        <v>49</v>
      </c>
      <c r="CP297" t="s">
        <v>25</v>
      </c>
      <c r="CQ297" t="s">
        <v>25</v>
      </c>
      <c r="CR297" t="s">
        <v>25</v>
      </c>
      <c r="CS297" t="s">
        <v>25</v>
      </c>
      <c r="CT297" t="s">
        <v>25</v>
      </c>
      <c r="CU297" t="s">
        <v>41</v>
      </c>
      <c r="CV297" t="s">
        <v>25</v>
      </c>
      <c r="CW297" t="s">
        <v>25</v>
      </c>
      <c r="CX297" t="s">
        <v>25</v>
      </c>
      <c r="CY297" t="s">
        <v>25</v>
      </c>
      <c r="CZ297" t="s">
        <v>25</v>
      </c>
      <c r="DA297" t="s">
        <v>25</v>
      </c>
      <c r="DB297" t="s">
        <v>49</v>
      </c>
      <c r="DC297" t="s">
        <v>25</v>
      </c>
      <c r="DD297" t="s">
        <v>25</v>
      </c>
      <c r="DE297" t="s">
        <v>25</v>
      </c>
      <c r="DF297" t="s">
        <v>25</v>
      </c>
      <c r="DG297" t="s">
        <v>25</v>
      </c>
      <c r="DH297" t="s">
        <v>41</v>
      </c>
      <c r="DI297" t="s">
        <v>25</v>
      </c>
      <c r="DJ297" s="76">
        <v>0.43599998950958302</v>
      </c>
      <c r="DK297" s="73">
        <v>3134</v>
      </c>
      <c r="DL297" s="73">
        <v>1871</v>
      </c>
      <c r="DM297" s="73">
        <v>1263</v>
      </c>
      <c r="DU297"/>
      <c r="DZ297" s="73">
        <v>0</v>
      </c>
      <c r="EA297" s="73">
        <v>0</v>
      </c>
      <c r="EB297" s="73">
        <v>0</v>
      </c>
    </row>
    <row r="298" spans="1:133" ht="12" customHeight="1" x14ac:dyDescent="0.2">
      <c r="A298" t="s">
        <v>2935</v>
      </c>
      <c r="B298" t="s">
        <v>2948</v>
      </c>
      <c r="C298" t="str">
        <f t="shared" si="14"/>
        <v>Prior Approval</v>
      </c>
      <c r="E298" s="65">
        <v>4592</v>
      </c>
      <c r="F298" t="s">
        <v>1857</v>
      </c>
      <c r="G298" s="71" t="s">
        <v>2907</v>
      </c>
      <c r="H298" s="67">
        <v>0.11900000274181401</v>
      </c>
      <c r="I298" s="65">
        <v>525349</v>
      </c>
      <c r="J298" s="65">
        <v>174610</v>
      </c>
      <c r="L298" s="65" t="s">
        <v>666</v>
      </c>
      <c r="M298" s="65" t="s">
        <v>243</v>
      </c>
      <c r="N298" s="69">
        <v>42493</v>
      </c>
      <c r="O298" s="69">
        <v>42543</v>
      </c>
      <c r="R298" s="65" t="s">
        <v>28</v>
      </c>
      <c r="U298" t="s">
        <v>667</v>
      </c>
      <c r="V298" t="s">
        <v>3267</v>
      </c>
      <c r="W298" s="65" t="s">
        <v>21</v>
      </c>
      <c r="X298" s="65" t="s">
        <v>21</v>
      </c>
      <c r="Y298" s="65" t="s">
        <v>30</v>
      </c>
      <c r="AA298" s="69">
        <v>43190</v>
      </c>
      <c r="AD298" s="65" t="s">
        <v>23</v>
      </c>
      <c r="AE298" s="65" t="s">
        <v>24</v>
      </c>
      <c r="AH298" s="69">
        <f t="shared" si="12"/>
        <v>43190</v>
      </c>
      <c r="BF298" s="73">
        <v>3723</v>
      </c>
      <c r="BK298" s="73">
        <v>3723</v>
      </c>
      <c r="BO298" s="185" t="s">
        <v>3794</v>
      </c>
      <c r="BP298" s="185" t="s">
        <v>126</v>
      </c>
      <c r="BQ298" s="185" t="s">
        <v>3794</v>
      </c>
      <c r="BW298" s="73"/>
      <c r="BX298" s="73">
        <v>-3723</v>
      </c>
      <c r="BY298" s="185" t="s">
        <v>126</v>
      </c>
      <c r="CD298" s="73">
        <v>-3723</v>
      </c>
      <c r="CE298" s="65" t="s">
        <v>126</v>
      </c>
      <c r="CJ298" t="s">
        <v>25</v>
      </c>
      <c r="CK298" t="s">
        <v>25</v>
      </c>
      <c r="CL298" t="s">
        <v>25</v>
      </c>
      <c r="CM298" t="s">
        <v>25</v>
      </c>
      <c r="CN298" t="s">
        <v>25</v>
      </c>
      <c r="CO298" t="s">
        <v>25</v>
      </c>
      <c r="CP298" t="s">
        <v>25</v>
      </c>
      <c r="CQ298" t="s">
        <v>25</v>
      </c>
      <c r="CR298" t="s">
        <v>25</v>
      </c>
      <c r="CS298" t="s">
        <v>25</v>
      </c>
      <c r="CT298" t="s">
        <v>25</v>
      </c>
      <c r="CU298" t="s">
        <v>25</v>
      </c>
      <c r="CV298" t="s">
        <v>25</v>
      </c>
      <c r="CW298" t="s">
        <v>25</v>
      </c>
      <c r="CX298" t="s">
        <v>25</v>
      </c>
      <c r="CY298" t="s">
        <v>25</v>
      </c>
      <c r="CZ298" t="s">
        <v>25</v>
      </c>
      <c r="DA298" t="s">
        <v>25</v>
      </c>
      <c r="DB298" t="s">
        <v>31</v>
      </c>
      <c r="DC298" t="s">
        <v>25</v>
      </c>
      <c r="DD298" t="s">
        <v>25</v>
      </c>
      <c r="DE298" t="s">
        <v>25</v>
      </c>
      <c r="DF298" t="s">
        <v>25</v>
      </c>
      <c r="DG298" t="s">
        <v>25</v>
      </c>
      <c r="DH298" t="s">
        <v>25</v>
      </c>
      <c r="DI298" t="s">
        <v>25</v>
      </c>
      <c r="DJ298" s="76">
        <v>2.4000003933906902E-2</v>
      </c>
      <c r="DK298" s="73">
        <v>0</v>
      </c>
      <c r="DL298" s="73">
        <v>3723</v>
      </c>
      <c r="DM298" s="73">
        <v>-3723</v>
      </c>
      <c r="DU298"/>
      <c r="DV298" s="65" t="s">
        <v>126</v>
      </c>
      <c r="DW298" t="s">
        <v>151</v>
      </c>
      <c r="DZ298" s="73">
        <v>3723</v>
      </c>
      <c r="EA298" s="73">
        <v>0</v>
      </c>
      <c r="EB298" s="73">
        <v>3723</v>
      </c>
      <c r="EC298" s="65" t="s">
        <v>126</v>
      </c>
    </row>
    <row r="299" spans="1:133" ht="12" customHeight="1" x14ac:dyDescent="0.2">
      <c r="A299" t="s">
        <v>2938</v>
      </c>
      <c r="B299" t="s">
        <v>2946</v>
      </c>
      <c r="C299" t="str">
        <f t="shared" si="14"/>
        <v>Full</v>
      </c>
      <c r="E299" s="65">
        <v>4620</v>
      </c>
      <c r="F299" t="s">
        <v>1858</v>
      </c>
      <c r="G299" s="71" t="s">
        <v>3946</v>
      </c>
      <c r="H299" s="67">
        <v>0.15000000596046401</v>
      </c>
      <c r="I299" s="65">
        <v>524407</v>
      </c>
      <c r="J299" s="65">
        <v>175278</v>
      </c>
      <c r="L299" s="65" t="s">
        <v>1859</v>
      </c>
      <c r="M299" s="65" t="s">
        <v>172</v>
      </c>
      <c r="N299" s="69">
        <v>43153</v>
      </c>
      <c r="R299" s="65" t="s">
        <v>28</v>
      </c>
      <c r="U299" t="s">
        <v>1860</v>
      </c>
      <c r="V299" t="s">
        <v>3268</v>
      </c>
      <c r="W299" s="65" t="s">
        <v>21</v>
      </c>
      <c r="X299" s="65" t="s">
        <v>21</v>
      </c>
      <c r="Y299" s="65" t="s">
        <v>69</v>
      </c>
      <c r="AD299" s="65" t="s">
        <v>173</v>
      </c>
      <c r="AE299" s="65" t="s">
        <v>24</v>
      </c>
      <c r="AP299" s="73">
        <v>48</v>
      </c>
      <c r="AS299" s="73">
        <v>48</v>
      </c>
      <c r="AV299" s="73">
        <v>48</v>
      </c>
      <c r="AZ299" s="73">
        <v>48</v>
      </c>
      <c r="BE299" s="73">
        <v>48</v>
      </c>
      <c r="BO299" s="185" t="s">
        <v>126</v>
      </c>
      <c r="BP299" s="185" t="s">
        <v>126</v>
      </c>
      <c r="BQ299" s="185" t="s">
        <v>3794</v>
      </c>
      <c r="BR299" s="73">
        <v>-48</v>
      </c>
      <c r="BW299" s="73">
        <v>-48</v>
      </c>
      <c r="BX299" s="73">
        <v>48</v>
      </c>
      <c r="BY299" s="185" t="s">
        <v>3794</v>
      </c>
      <c r="CD299" s="73">
        <v>48</v>
      </c>
      <c r="CJ299" t="s">
        <v>25</v>
      </c>
      <c r="CK299" t="s">
        <v>25</v>
      </c>
      <c r="CL299" t="s">
        <v>25</v>
      </c>
      <c r="CM299" t="s">
        <v>25</v>
      </c>
      <c r="CN299" t="s">
        <v>25</v>
      </c>
      <c r="CO299" t="s">
        <v>72</v>
      </c>
      <c r="CP299" t="s">
        <v>25</v>
      </c>
      <c r="CQ299" t="s">
        <v>25</v>
      </c>
      <c r="CR299" t="s">
        <v>25</v>
      </c>
      <c r="CS299" t="s">
        <v>25</v>
      </c>
      <c r="CT299" t="s">
        <v>25</v>
      </c>
      <c r="CU299" t="s">
        <v>25</v>
      </c>
      <c r="CV299" t="s">
        <v>25</v>
      </c>
      <c r="CW299" t="s">
        <v>46</v>
      </c>
      <c r="CX299" t="s">
        <v>25</v>
      </c>
      <c r="CY299" t="s">
        <v>25</v>
      </c>
      <c r="CZ299" t="s">
        <v>25</v>
      </c>
      <c r="DA299" t="s">
        <v>25</v>
      </c>
      <c r="DB299" t="s">
        <v>25</v>
      </c>
      <c r="DC299" t="s">
        <v>25</v>
      </c>
      <c r="DD299" t="s">
        <v>25</v>
      </c>
      <c r="DE299" t="s">
        <v>25</v>
      </c>
      <c r="DF299" t="s">
        <v>25</v>
      </c>
      <c r="DG299" t="s">
        <v>25</v>
      </c>
      <c r="DH299" t="s">
        <v>25</v>
      </c>
      <c r="DI299" t="s">
        <v>25</v>
      </c>
      <c r="DJ299" s="76">
        <v>0.15000000596046401</v>
      </c>
      <c r="DK299" s="73">
        <v>48</v>
      </c>
      <c r="DL299" s="73">
        <v>48</v>
      </c>
      <c r="DM299" s="73">
        <v>0</v>
      </c>
      <c r="DU299"/>
      <c r="DZ299" s="73">
        <v>0</v>
      </c>
      <c r="EA299" s="73">
        <v>0</v>
      </c>
      <c r="EB299" s="73">
        <v>0</v>
      </c>
    </row>
    <row r="300" spans="1:133" ht="12" customHeight="1" x14ac:dyDescent="0.2">
      <c r="A300" t="s">
        <v>2935</v>
      </c>
      <c r="B300" t="s">
        <v>2946</v>
      </c>
      <c r="C300" t="str">
        <f t="shared" si="14"/>
        <v>Full</v>
      </c>
      <c r="E300" s="65">
        <v>4640</v>
      </c>
      <c r="F300" t="s">
        <v>1861</v>
      </c>
      <c r="G300" s="71" t="s">
        <v>3946</v>
      </c>
      <c r="H300" s="67">
        <v>3.7999998778104803E-2</v>
      </c>
      <c r="I300" s="65">
        <v>524103</v>
      </c>
      <c r="J300" s="65">
        <v>175546</v>
      </c>
      <c r="L300" s="65" t="s">
        <v>295</v>
      </c>
      <c r="M300" s="65" t="s">
        <v>27</v>
      </c>
      <c r="N300" s="69">
        <v>42030</v>
      </c>
      <c r="O300" s="69">
        <v>42230</v>
      </c>
      <c r="R300" s="65" t="s">
        <v>28</v>
      </c>
      <c r="U300" t="s">
        <v>725</v>
      </c>
      <c r="V300" t="s">
        <v>3269</v>
      </c>
      <c r="W300" s="65" t="s">
        <v>34</v>
      </c>
      <c r="X300" s="65" t="s">
        <v>29</v>
      </c>
      <c r="Y300" s="65" t="s">
        <v>30</v>
      </c>
      <c r="AA300" s="69">
        <v>42852</v>
      </c>
      <c r="AD300" s="65" t="s">
        <v>23</v>
      </c>
      <c r="AE300" s="65" t="s">
        <v>24</v>
      </c>
      <c r="AH300" s="69">
        <f t="shared" si="12"/>
        <v>42852</v>
      </c>
      <c r="AL300" s="73">
        <v>457</v>
      </c>
      <c r="AO300" s="73">
        <v>457</v>
      </c>
      <c r="AP300" s="73">
        <v>278</v>
      </c>
      <c r="AS300" s="73">
        <v>278</v>
      </c>
      <c r="AV300" s="73">
        <v>278</v>
      </c>
      <c r="BB300" s="73">
        <v>448</v>
      </c>
      <c r="BE300" s="73">
        <v>448</v>
      </c>
      <c r="BF300" s="73">
        <v>267</v>
      </c>
      <c r="BK300" s="73">
        <v>267</v>
      </c>
      <c r="BO300" s="185" t="s">
        <v>126</v>
      </c>
      <c r="BP300" s="185" t="s">
        <v>126</v>
      </c>
      <c r="BQ300" s="185" t="s">
        <v>3794</v>
      </c>
      <c r="BT300" s="73">
        <v>9</v>
      </c>
      <c r="BW300" s="570">
        <v>9</v>
      </c>
      <c r="BX300" s="73">
        <v>11</v>
      </c>
      <c r="BY300" s="185" t="s">
        <v>3794</v>
      </c>
      <c r="CD300" s="73">
        <v>11</v>
      </c>
      <c r="CJ300" t="s">
        <v>25</v>
      </c>
      <c r="CK300" t="s">
        <v>25</v>
      </c>
      <c r="CL300" t="s">
        <v>38</v>
      </c>
      <c r="CM300" t="s">
        <v>25</v>
      </c>
      <c r="CN300" t="s">
        <v>25</v>
      </c>
      <c r="CO300" t="s">
        <v>31</v>
      </c>
      <c r="CP300" t="s">
        <v>25</v>
      </c>
      <c r="CQ300" t="s">
        <v>25</v>
      </c>
      <c r="CR300" t="s">
        <v>25</v>
      </c>
      <c r="CS300" t="s">
        <v>25</v>
      </c>
      <c r="CT300" t="s">
        <v>25</v>
      </c>
      <c r="CU300" t="s">
        <v>25</v>
      </c>
      <c r="CV300" t="s">
        <v>25</v>
      </c>
      <c r="CW300" t="s">
        <v>25</v>
      </c>
      <c r="CX300" t="s">
        <v>25</v>
      </c>
      <c r="CY300" t="s">
        <v>38</v>
      </c>
      <c r="CZ300" t="s">
        <v>25</v>
      </c>
      <c r="DA300" t="s">
        <v>25</v>
      </c>
      <c r="DB300" t="s">
        <v>31</v>
      </c>
      <c r="DC300" t="s">
        <v>25</v>
      </c>
      <c r="DD300" t="s">
        <v>25</v>
      </c>
      <c r="DE300" t="s">
        <v>25</v>
      </c>
      <c r="DF300" t="s">
        <v>25</v>
      </c>
      <c r="DG300" t="s">
        <v>25</v>
      </c>
      <c r="DH300" t="s">
        <v>25</v>
      </c>
      <c r="DI300" t="s">
        <v>25</v>
      </c>
      <c r="DJ300" s="76">
        <v>2.6999998837709403E-2</v>
      </c>
      <c r="DK300" s="73">
        <v>735</v>
      </c>
      <c r="DL300" s="73">
        <v>715</v>
      </c>
      <c r="DM300" s="73">
        <v>20</v>
      </c>
      <c r="DU300"/>
      <c r="DV300" s="65" t="s">
        <v>126</v>
      </c>
      <c r="DW300" t="s">
        <v>131</v>
      </c>
      <c r="DZ300" s="73">
        <v>312</v>
      </c>
      <c r="EA300" s="73">
        <v>0</v>
      </c>
      <c r="EB300" s="73">
        <v>312</v>
      </c>
      <c r="EC300" s="65" t="s">
        <v>126</v>
      </c>
    </row>
    <row r="301" spans="1:133" ht="12" customHeight="1" x14ac:dyDescent="0.2">
      <c r="A301" t="s">
        <v>2937</v>
      </c>
      <c r="B301" t="s">
        <v>2946</v>
      </c>
      <c r="C301" t="str">
        <f t="shared" si="14"/>
        <v>Full</v>
      </c>
      <c r="E301" s="65">
        <v>4704</v>
      </c>
      <c r="F301" t="s">
        <v>1862</v>
      </c>
      <c r="G301" s="71" t="s">
        <v>3951</v>
      </c>
      <c r="H301" s="67">
        <v>1.4000000432133701E-2</v>
      </c>
      <c r="I301" s="65">
        <v>527580</v>
      </c>
      <c r="J301" s="65">
        <v>171643</v>
      </c>
      <c r="K301" s="65" t="s">
        <v>1824</v>
      </c>
      <c r="L301" s="65" t="s">
        <v>481</v>
      </c>
      <c r="M301" s="65" t="s">
        <v>27</v>
      </c>
      <c r="N301" s="69">
        <v>42177</v>
      </c>
      <c r="O301" s="69">
        <v>42233</v>
      </c>
      <c r="R301" s="65" t="s">
        <v>28</v>
      </c>
      <c r="U301" t="s">
        <v>750</v>
      </c>
      <c r="V301" t="s">
        <v>3270</v>
      </c>
      <c r="W301" s="65" t="s">
        <v>34</v>
      </c>
      <c r="X301" s="65" t="s">
        <v>29</v>
      </c>
      <c r="Y301" s="65" t="s">
        <v>59</v>
      </c>
      <c r="AD301" s="65" t="s">
        <v>23</v>
      </c>
      <c r="AE301" s="65" t="s">
        <v>24</v>
      </c>
      <c r="AJ301" s="73">
        <v>125</v>
      </c>
      <c r="AO301" s="73">
        <v>125</v>
      </c>
      <c r="AZ301" s="73">
        <v>135</v>
      </c>
      <c r="BE301" s="73">
        <v>135</v>
      </c>
      <c r="BO301" s="185" t="s">
        <v>126</v>
      </c>
      <c r="BP301" s="185" t="s">
        <v>3794</v>
      </c>
      <c r="BQ301" s="185" t="s">
        <v>3794</v>
      </c>
      <c r="BR301" s="73">
        <v>-10</v>
      </c>
      <c r="BW301" s="73">
        <v>-10</v>
      </c>
      <c r="BY301" s="185" t="s">
        <v>3794</v>
      </c>
      <c r="CJ301" t="s">
        <v>31</v>
      </c>
      <c r="CK301" t="s">
        <v>25</v>
      </c>
      <c r="CL301" t="s">
        <v>25</v>
      </c>
      <c r="CM301" t="s">
        <v>25</v>
      </c>
      <c r="CN301" t="s">
        <v>25</v>
      </c>
      <c r="CO301" t="s">
        <v>25</v>
      </c>
      <c r="CP301" t="s">
        <v>25</v>
      </c>
      <c r="CQ301" t="s">
        <v>25</v>
      </c>
      <c r="CR301" t="s">
        <v>25</v>
      </c>
      <c r="CS301" t="s">
        <v>25</v>
      </c>
      <c r="CT301" t="s">
        <v>25</v>
      </c>
      <c r="CU301" t="s">
        <v>25</v>
      </c>
      <c r="CV301" t="s">
        <v>25</v>
      </c>
      <c r="CW301" t="s">
        <v>31</v>
      </c>
      <c r="CX301" t="s">
        <v>25</v>
      </c>
      <c r="CY301" t="s">
        <v>25</v>
      </c>
      <c r="CZ301" t="s">
        <v>25</v>
      </c>
      <c r="DA301" t="s">
        <v>25</v>
      </c>
      <c r="DB301" t="s">
        <v>25</v>
      </c>
      <c r="DC301" t="s">
        <v>25</v>
      </c>
      <c r="DD301" t="s">
        <v>25</v>
      </c>
      <c r="DE301" t="s">
        <v>25</v>
      </c>
      <c r="DF301" t="s">
        <v>25</v>
      </c>
      <c r="DG301" t="s">
        <v>25</v>
      </c>
      <c r="DH301" t="s">
        <v>25</v>
      </c>
      <c r="DI301" t="s">
        <v>25</v>
      </c>
      <c r="DJ301" s="76">
        <v>6.0000000521540902E-3</v>
      </c>
      <c r="DK301" s="73">
        <v>125</v>
      </c>
      <c r="DL301" s="73">
        <v>235</v>
      </c>
      <c r="DM301" s="73">
        <v>-110</v>
      </c>
      <c r="DU301"/>
      <c r="DV301" s="65" t="s">
        <v>126</v>
      </c>
      <c r="DW301" t="s">
        <v>150</v>
      </c>
      <c r="DZ301" s="73">
        <v>162</v>
      </c>
      <c r="EA301" s="73">
        <v>0</v>
      </c>
      <c r="EB301" s="73">
        <v>162</v>
      </c>
      <c r="EC301" s="65" t="s">
        <v>126</v>
      </c>
    </row>
    <row r="302" spans="1:133" ht="12" customHeight="1" x14ac:dyDescent="0.2">
      <c r="A302" t="s">
        <v>2935</v>
      </c>
      <c r="B302" t="s">
        <v>2948</v>
      </c>
      <c r="C302" t="str">
        <f t="shared" si="14"/>
        <v>Prior Approval</v>
      </c>
      <c r="E302" s="65">
        <v>4707</v>
      </c>
      <c r="F302" t="s">
        <v>1863</v>
      </c>
      <c r="G302" s="71" t="s">
        <v>2907</v>
      </c>
      <c r="H302" s="67">
        <v>6.0000000521540598E-3</v>
      </c>
      <c r="I302" s="65">
        <v>525177</v>
      </c>
      <c r="J302" s="65">
        <v>173402</v>
      </c>
      <c r="L302" s="65" t="s">
        <v>875</v>
      </c>
      <c r="M302" s="65" t="s">
        <v>244</v>
      </c>
      <c r="N302" s="69">
        <v>42506</v>
      </c>
      <c r="O302" s="69">
        <v>42559</v>
      </c>
      <c r="R302" s="65" t="s">
        <v>28</v>
      </c>
      <c r="U302" t="s">
        <v>876</v>
      </c>
      <c r="V302" t="s">
        <v>3271</v>
      </c>
      <c r="W302" s="65" t="s">
        <v>21</v>
      </c>
      <c r="X302" s="65" t="s">
        <v>21</v>
      </c>
      <c r="Y302" s="65" t="s">
        <v>30</v>
      </c>
      <c r="AA302" s="69">
        <v>43039</v>
      </c>
      <c r="AD302" s="65" t="s">
        <v>23</v>
      </c>
      <c r="AE302" s="65" t="s">
        <v>24</v>
      </c>
      <c r="AH302" s="69">
        <f t="shared" si="12"/>
        <v>43039</v>
      </c>
      <c r="BF302" s="73">
        <v>43</v>
      </c>
      <c r="BK302" s="73">
        <v>43</v>
      </c>
      <c r="BO302" s="185" t="s">
        <v>3794</v>
      </c>
      <c r="BP302" s="185" t="s">
        <v>126</v>
      </c>
      <c r="BQ302" s="185" t="s">
        <v>3794</v>
      </c>
      <c r="BW302" s="73"/>
      <c r="BX302" s="73">
        <v>-43</v>
      </c>
      <c r="BY302" s="185" t="s">
        <v>126</v>
      </c>
      <c r="CD302" s="73">
        <v>-43</v>
      </c>
      <c r="CE302" s="65" t="s">
        <v>126</v>
      </c>
      <c r="CJ302" t="s">
        <v>25</v>
      </c>
      <c r="CK302" t="s">
        <v>25</v>
      </c>
      <c r="CL302" t="s">
        <v>25</v>
      </c>
      <c r="CM302" t="s">
        <v>25</v>
      </c>
      <c r="CN302" t="s">
        <v>25</v>
      </c>
      <c r="CO302" t="s">
        <v>25</v>
      </c>
      <c r="CP302" t="s">
        <v>25</v>
      </c>
      <c r="CQ302" t="s">
        <v>25</v>
      </c>
      <c r="CR302" t="s">
        <v>25</v>
      </c>
      <c r="CS302" t="s">
        <v>25</v>
      </c>
      <c r="CT302" t="s">
        <v>25</v>
      </c>
      <c r="CU302" t="s">
        <v>25</v>
      </c>
      <c r="CV302" t="s">
        <v>25</v>
      </c>
      <c r="CW302" t="s">
        <v>25</v>
      </c>
      <c r="CX302" t="s">
        <v>25</v>
      </c>
      <c r="CY302" t="s">
        <v>25</v>
      </c>
      <c r="CZ302" t="s">
        <v>25</v>
      </c>
      <c r="DA302" t="s">
        <v>25</v>
      </c>
      <c r="DB302" t="s">
        <v>47</v>
      </c>
      <c r="DC302" t="s">
        <v>25</v>
      </c>
      <c r="DD302" t="s">
        <v>25</v>
      </c>
      <c r="DE302" t="s">
        <v>25</v>
      </c>
      <c r="DF302" t="s">
        <v>25</v>
      </c>
      <c r="DG302" t="s">
        <v>25</v>
      </c>
      <c r="DH302" t="s">
        <v>25</v>
      </c>
      <c r="DI302" t="s">
        <v>25</v>
      </c>
      <c r="DJ302" s="76">
        <v>3.9999999571591598E-3</v>
      </c>
      <c r="DK302" s="73">
        <v>0</v>
      </c>
      <c r="DL302" s="73">
        <v>43</v>
      </c>
      <c r="DM302" s="73">
        <v>-43</v>
      </c>
      <c r="DU302"/>
      <c r="DZ302" s="73">
        <v>43</v>
      </c>
      <c r="EA302" s="73">
        <v>0</v>
      </c>
      <c r="EB302" s="73">
        <v>43</v>
      </c>
      <c r="EC302" s="65" t="s">
        <v>126</v>
      </c>
    </row>
    <row r="303" spans="1:133" ht="12" customHeight="1" x14ac:dyDescent="0.2">
      <c r="A303" t="s">
        <v>2935</v>
      </c>
      <c r="B303" t="s">
        <v>2946</v>
      </c>
      <c r="C303" t="str">
        <f t="shared" si="14"/>
        <v>Full</v>
      </c>
      <c r="E303" s="65">
        <v>4717</v>
      </c>
      <c r="F303" t="s">
        <v>1864</v>
      </c>
      <c r="G303" s="71" t="s">
        <v>3944</v>
      </c>
      <c r="H303" s="67">
        <v>0.67000001668930098</v>
      </c>
      <c r="I303" s="65">
        <v>525735</v>
      </c>
      <c r="J303" s="65">
        <v>174565</v>
      </c>
      <c r="K303" s="65" t="s">
        <v>1865</v>
      </c>
      <c r="L303" s="65" t="s">
        <v>323</v>
      </c>
      <c r="M303" s="65" t="s">
        <v>33</v>
      </c>
      <c r="N303" s="69">
        <v>41920</v>
      </c>
      <c r="O303" s="69">
        <v>42193</v>
      </c>
      <c r="Q303" s="69">
        <v>41989</v>
      </c>
      <c r="R303" s="65" t="s">
        <v>28</v>
      </c>
      <c r="U303" t="s">
        <v>712</v>
      </c>
      <c r="V303" t="s">
        <v>3272</v>
      </c>
      <c r="W303" s="65" t="s">
        <v>29</v>
      </c>
      <c r="X303" s="65" t="s">
        <v>29</v>
      </c>
      <c r="Y303" s="65" t="s">
        <v>30</v>
      </c>
      <c r="AA303" s="69">
        <v>42522</v>
      </c>
      <c r="AD303" s="65" t="s">
        <v>23</v>
      </c>
      <c r="AE303" s="65" t="s">
        <v>24</v>
      </c>
      <c r="AH303" s="69">
        <f t="shared" si="12"/>
        <v>42522</v>
      </c>
      <c r="AJ303" s="73">
        <v>212</v>
      </c>
      <c r="AK303" s="73">
        <v>212</v>
      </c>
      <c r="AL303" s="73">
        <v>212</v>
      </c>
      <c r="AM303" s="73">
        <v>212</v>
      </c>
      <c r="AN303" s="73">
        <v>212</v>
      </c>
      <c r="AO303" s="73">
        <v>1060</v>
      </c>
      <c r="AP303" s="73">
        <v>210</v>
      </c>
      <c r="AS303" s="73">
        <v>210</v>
      </c>
      <c r="AV303" s="73">
        <v>210</v>
      </c>
      <c r="AW303" s="73">
        <v>1276</v>
      </c>
      <c r="AY303" s="73">
        <v>1276</v>
      </c>
      <c r="BF303" s="73">
        <v>5684</v>
      </c>
      <c r="BK303" s="73">
        <v>5684</v>
      </c>
      <c r="BL303" s="73">
        <v>7439</v>
      </c>
      <c r="BN303" s="73">
        <v>7439</v>
      </c>
      <c r="BO303" s="185" t="s">
        <v>126</v>
      </c>
      <c r="BP303" s="185" t="s">
        <v>126</v>
      </c>
      <c r="BQ303" s="185" t="s">
        <v>126</v>
      </c>
      <c r="BR303" s="73">
        <v>212</v>
      </c>
      <c r="BS303" s="73">
        <v>212</v>
      </c>
      <c r="BT303" s="73">
        <v>212</v>
      </c>
      <c r="BU303" s="73">
        <v>212</v>
      </c>
      <c r="BV303" s="73">
        <v>212</v>
      </c>
      <c r="BW303" s="570">
        <v>1060</v>
      </c>
      <c r="BX303" s="73">
        <v>-5474</v>
      </c>
      <c r="BY303" s="185" t="s">
        <v>126</v>
      </c>
      <c r="CD303" s="73">
        <v>-5474</v>
      </c>
      <c r="CE303" s="65" t="s">
        <v>126</v>
      </c>
      <c r="CG303" s="73">
        <v>-6163</v>
      </c>
      <c r="CI303" s="73">
        <v>-6163</v>
      </c>
      <c r="CJ303" t="s">
        <v>31</v>
      </c>
      <c r="CK303" t="s">
        <v>31</v>
      </c>
      <c r="CL303" t="s">
        <v>31</v>
      </c>
      <c r="CM303" t="s">
        <v>31</v>
      </c>
      <c r="CN303" t="s">
        <v>31</v>
      </c>
      <c r="CO303" t="s">
        <v>31</v>
      </c>
      <c r="CP303" t="s">
        <v>25</v>
      </c>
      <c r="CQ303" t="s">
        <v>25</v>
      </c>
      <c r="CR303" t="s">
        <v>25</v>
      </c>
      <c r="CS303" t="s">
        <v>25</v>
      </c>
      <c r="CT303" t="s">
        <v>25</v>
      </c>
      <c r="CU303" t="s">
        <v>31</v>
      </c>
      <c r="CV303" t="s">
        <v>25</v>
      </c>
      <c r="CW303" t="s">
        <v>25</v>
      </c>
      <c r="CX303" t="s">
        <v>25</v>
      </c>
      <c r="CY303" t="s">
        <v>25</v>
      </c>
      <c r="CZ303" t="s">
        <v>25</v>
      </c>
      <c r="DA303" t="s">
        <v>25</v>
      </c>
      <c r="DB303" t="s">
        <v>49</v>
      </c>
      <c r="DC303" t="s">
        <v>25</v>
      </c>
      <c r="DD303" t="s">
        <v>25</v>
      </c>
      <c r="DE303" t="s">
        <v>25</v>
      </c>
      <c r="DF303" t="s">
        <v>25</v>
      </c>
      <c r="DG303" t="s">
        <v>25</v>
      </c>
      <c r="DH303" t="s">
        <v>60</v>
      </c>
      <c r="DI303" t="s">
        <v>25</v>
      </c>
      <c r="DJ303" s="76">
        <v>-0.19499999284744296</v>
      </c>
      <c r="DK303" s="73">
        <v>2546</v>
      </c>
      <c r="DL303" s="73">
        <v>13123</v>
      </c>
      <c r="DM303" s="73">
        <v>-10577</v>
      </c>
      <c r="DU303"/>
      <c r="DV303" s="65" t="s">
        <v>126</v>
      </c>
      <c r="DW303" t="s">
        <v>151</v>
      </c>
      <c r="DZ303" s="73">
        <v>14109</v>
      </c>
      <c r="EA303" s="73">
        <v>0</v>
      </c>
      <c r="EB303" s="73">
        <v>14109</v>
      </c>
      <c r="EC303" s="65" t="s">
        <v>126</v>
      </c>
    </row>
    <row r="304" spans="1:133" ht="12" customHeight="1" x14ac:dyDescent="0.2">
      <c r="A304" t="s">
        <v>2935</v>
      </c>
      <c r="B304" t="s">
        <v>2946</v>
      </c>
      <c r="C304" t="str">
        <f t="shared" si="14"/>
        <v>Full</v>
      </c>
      <c r="E304" s="65">
        <v>4717</v>
      </c>
      <c r="F304" t="s">
        <v>1864</v>
      </c>
      <c r="G304" s="71" t="s">
        <v>3944</v>
      </c>
      <c r="H304" s="67">
        <v>0.67000001668930098</v>
      </c>
      <c r="I304" s="65">
        <v>525735</v>
      </c>
      <c r="J304" s="65">
        <v>174565</v>
      </c>
      <c r="K304" s="65" t="s">
        <v>1865</v>
      </c>
      <c r="L304" s="65" t="s">
        <v>865</v>
      </c>
      <c r="M304" s="65" t="s">
        <v>1363</v>
      </c>
      <c r="N304" s="69">
        <v>42493</v>
      </c>
      <c r="O304" s="69">
        <v>42556</v>
      </c>
      <c r="R304" s="65" t="s">
        <v>28</v>
      </c>
      <c r="U304" t="s">
        <v>1866</v>
      </c>
      <c r="V304" t="s">
        <v>3273</v>
      </c>
      <c r="W304" s="65" t="s">
        <v>45</v>
      </c>
      <c r="X304" s="65" t="s">
        <v>21</v>
      </c>
      <c r="Y304" s="65" t="s">
        <v>30</v>
      </c>
      <c r="AA304" s="69">
        <v>42556</v>
      </c>
      <c r="AD304" s="65" t="s">
        <v>23</v>
      </c>
      <c r="AE304" s="65" t="s">
        <v>24</v>
      </c>
      <c r="AH304" s="69">
        <f t="shared" si="12"/>
        <v>42556</v>
      </c>
      <c r="AJ304" s="73">
        <v>93</v>
      </c>
      <c r="AK304" s="73">
        <v>93</v>
      </c>
      <c r="AL304" s="73">
        <v>93</v>
      </c>
      <c r="AM304" s="73">
        <v>92</v>
      </c>
      <c r="AN304" s="73">
        <v>92</v>
      </c>
      <c r="AO304" s="73">
        <v>463</v>
      </c>
      <c r="AP304" s="73">
        <v>92</v>
      </c>
      <c r="AS304" s="73">
        <v>92</v>
      </c>
      <c r="AV304" s="73">
        <v>92</v>
      </c>
      <c r="AW304" s="73">
        <v>130</v>
      </c>
      <c r="AY304" s="73">
        <v>130</v>
      </c>
      <c r="AZ304" s="73">
        <v>82</v>
      </c>
      <c r="BA304" s="73">
        <v>82</v>
      </c>
      <c r="BB304" s="73">
        <v>82</v>
      </c>
      <c r="BC304" s="73">
        <v>81</v>
      </c>
      <c r="BD304" s="73">
        <v>81</v>
      </c>
      <c r="BE304" s="73">
        <v>408</v>
      </c>
      <c r="BF304" s="73">
        <v>81</v>
      </c>
      <c r="BK304" s="73">
        <v>81</v>
      </c>
      <c r="BL304" s="73">
        <v>83</v>
      </c>
      <c r="BN304" s="73">
        <v>83</v>
      </c>
      <c r="BO304" s="185" t="s">
        <v>126</v>
      </c>
      <c r="BP304" s="185" t="s">
        <v>126</v>
      </c>
      <c r="BQ304" s="185" t="s">
        <v>126</v>
      </c>
      <c r="BR304" s="73">
        <v>11</v>
      </c>
      <c r="BS304" s="73">
        <v>11</v>
      </c>
      <c r="BT304" s="73">
        <v>11</v>
      </c>
      <c r="BU304" s="73">
        <v>11</v>
      </c>
      <c r="BV304" s="73">
        <v>11</v>
      </c>
      <c r="BW304" s="570">
        <v>55</v>
      </c>
      <c r="BX304" s="73">
        <v>11</v>
      </c>
      <c r="BY304" s="185" t="s">
        <v>3794</v>
      </c>
      <c r="CD304" s="73">
        <v>11</v>
      </c>
      <c r="CG304" s="73">
        <v>47</v>
      </c>
      <c r="CI304" s="73">
        <v>47</v>
      </c>
      <c r="CJ304" t="s">
        <v>31</v>
      </c>
      <c r="CK304" t="s">
        <v>31</v>
      </c>
      <c r="CL304" t="s">
        <v>31</v>
      </c>
      <c r="CM304" t="s">
        <v>31</v>
      </c>
      <c r="CN304" t="s">
        <v>31</v>
      </c>
      <c r="CO304" t="s">
        <v>31</v>
      </c>
      <c r="CP304" t="s">
        <v>25</v>
      </c>
      <c r="CQ304" t="s">
        <v>25</v>
      </c>
      <c r="CR304" t="s">
        <v>25</v>
      </c>
      <c r="CS304" t="s">
        <v>25</v>
      </c>
      <c r="CT304" t="s">
        <v>25</v>
      </c>
      <c r="CU304" t="s">
        <v>49</v>
      </c>
      <c r="CV304" t="s">
        <v>25</v>
      </c>
      <c r="CW304" t="s">
        <v>31</v>
      </c>
      <c r="CX304" t="s">
        <v>31</v>
      </c>
      <c r="CY304" t="s">
        <v>31</v>
      </c>
      <c r="CZ304" t="s">
        <v>31</v>
      </c>
      <c r="DA304" t="s">
        <v>31</v>
      </c>
      <c r="DB304" t="s">
        <v>31</v>
      </c>
      <c r="DC304" t="s">
        <v>25</v>
      </c>
      <c r="DD304" t="s">
        <v>25</v>
      </c>
      <c r="DE304" t="s">
        <v>25</v>
      </c>
      <c r="DF304" t="s">
        <v>25</v>
      </c>
      <c r="DG304" t="s">
        <v>25</v>
      </c>
      <c r="DH304" t="s">
        <v>49</v>
      </c>
      <c r="DI304" t="s">
        <v>25</v>
      </c>
      <c r="DJ304" s="76">
        <v>0</v>
      </c>
      <c r="DK304" s="73">
        <v>685</v>
      </c>
      <c r="DL304" s="73">
        <v>572</v>
      </c>
      <c r="DM304" s="73">
        <v>113</v>
      </c>
      <c r="DU304"/>
      <c r="DV304" s="65" t="s">
        <v>126</v>
      </c>
      <c r="DW304" t="s">
        <v>151</v>
      </c>
      <c r="DZ304" s="73">
        <v>7</v>
      </c>
      <c r="EA304" s="73">
        <v>0</v>
      </c>
      <c r="EB304" s="73">
        <v>7</v>
      </c>
      <c r="EC304" s="65" t="s">
        <v>126</v>
      </c>
    </row>
    <row r="305" spans="1:133" ht="12" customHeight="1" x14ac:dyDescent="0.2">
      <c r="A305" t="s">
        <v>2935</v>
      </c>
      <c r="B305" t="s">
        <v>2946</v>
      </c>
      <c r="C305" t="str">
        <f t="shared" si="14"/>
        <v>Full</v>
      </c>
      <c r="E305" s="65">
        <v>4718</v>
      </c>
      <c r="F305" t="s">
        <v>1867</v>
      </c>
      <c r="G305" s="71" t="s">
        <v>3947</v>
      </c>
      <c r="H305" s="67">
        <v>5.71000003814697</v>
      </c>
      <c r="I305" s="65">
        <v>529643</v>
      </c>
      <c r="J305" s="65">
        <v>177593</v>
      </c>
      <c r="K305" s="65" t="s">
        <v>1868</v>
      </c>
      <c r="L305" s="65" t="s">
        <v>1869</v>
      </c>
      <c r="M305" s="65" t="s">
        <v>434</v>
      </c>
      <c r="N305" s="69">
        <v>41701</v>
      </c>
      <c r="O305" s="69">
        <v>41894</v>
      </c>
      <c r="R305" s="65" t="s">
        <v>28</v>
      </c>
      <c r="U305" t="s">
        <v>1870</v>
      </c>
      <c r="V305" t="s">
        <v>3274</v>
      </c>
      <c r="W305" s="65" t="s">
        <v>29</v>
      </c>
      <c r="X305" s="65" t="s">
        <v>29</v>
      </c>
      <c r="Y305" s="65" t="s">
        <v>30</v>
      </c>
      <c r="AA305" s="69">
        <v>41275</v>
      </c>
      <c r="AD305" s="65" t="s">
        <v>23</v>
      </c>
      <c r="AE305" s="65" t="s">
        <v>24</v>
      </c>
      <c r="AF305" s="71" t="s">
        <v>1156</v>
      </c>
      <c r="AG305" s="65" t="s">
        <v>23</v>
      </c>
      <c r="AH305" s="69">
        <v>41275</v>
      </c>
      <c r="BJ305" s="73">
        <v>33607</v>
      </c>
      <c r="BK305" s="73">
        <v>33607</v>
      </c>
      <c r="BO305" s="185" t="s">
        <v>3794</v>
      </c>
      <c r="BP305" s="185" t="s">
        <v>126</v>
      </c>
      <c r="BQ305" s="185" t="s">
        <v>3794</v>
      </c>
      <c r="BW305" s="73"/>
      <c r="BY305" s="185" t="s">
        <v>3794</v>
      </c>
      <c r="CC305" s="73">
        <v>-33607</v>
      </c>
      <c r="CD305" s="73">
        <v>-33607</v>
      </c>
      <c r="CE305" s="65" t="s">
        <v>126</v>
      </c>
      <c r="CJ305" t="s">
        <v>25</v>
      </c>
      <c r="CK305" t="s">
        <v>25</v>
      </c>
      <c r="CL305" t="s">
        <v>25</v>
      </c>
      <c r="CM305" t="s">
        <v>25</v>
      </c>
      <c r="CN305" t="s">
        <v>25</v>
      </c>
      <c r="CO305" t="s">
        <v>25</v>
      </c>
      <c r="CP305" t="s">
        <v>25</v>
      </c>
      <c r="CQ305" t="s">
        <v>25</v>
      </c>
      <c r="CR305" t="s">
        <v>25</v>
      </c>
      <c r="CS305" t="s">
        <v>25</v>
      </c>
      <c r="CT305" t="s">
        <v>25</v>
      </c>
      <c r="CU305" t="s">
        <v>25</v>
      </c>
      <c r="CV305" t="s">
        <v>25</v>
      </c>
      <c r="CW305" t="s">
        <v>25</v>
      </c>
      <c r="CX305" t="s">
        <v>25</v>
      </c>
      <c r="CY305" t="s">
        <v>25</v>
      </c>
      <c r="CZ305" t="s">
        <v>25</v>
      </c>
      <c r="DA305" t="s">
        <v>25</v>
      </c>
      <c r="DB305" t="s">
        <v>25</v>
      </c>
      <c r="DC305" t="s">
        <v>25</v>
      </c>
      <c r="DD305" t="s">
        <v>25</v>
      </c>
      <c r="DE305" t="s">
        <v>25</v>
      </c>
      <c r="DF305" t="s">
        <v>53</v>
      </c>
      <c r="DG305" t="s">
        <v>25</v>
      </c>
      <c r="DH305" t="s">
        <v>25</v>
      </c>
      <c r="DI305" t="s">
        <v>25</v>
      </c>
      <c r="DJ305" s="76">
        <v>0</v>
      </c>
      <c r="DK305" s="73">
        <v>0</v>
      </c>
      <c r="DL305" s="73">
        <v>33607</v>
      </c>
      <c r="DM305" s="73">
        <v>-33607</v>
      </c>
      <c r="DU305" s="65" t="s">
        <v>126</v>
      </c>
      <c r="DZ305" s="73">
        <v>0</v>
      </c>
      <c r="EA305" s="73">
        <v>0</v>
      </c>
      <c r="EB305" s="73">
        <v>0</v>
      </c>
    </row>
    <row r="306" spans="1:133" ht="12" customHeight="1" x14ac:dyDescent="0.2">
      <c r="A306" t="s">
        <v>2935</v>
      </c>
      <c r="B306" t="s">
        <v>2946</v>
      </c>
      <c r="C306" t="str">
        <f t="shared" si="14"/>
        <v>Full</v>
      </c>
      <c r="E306" s="65">
        <v>4718</v>
      </c>
      <c r="F306" t="s">
        <v>1867</v>
      </c>
      <c r="G306" s="71" t="s">
        <v>3947</v>
      </c>
      <c r="H306" s="67">
        <v>5.71000003814697</v>
      </c>
      <c r="I306" s="65">
        <v>529643</v>
      </c>
      <c r="J306" s="65">
        <v>177593</v>
      </c>
      <c r="K306" s="65" t="s">
        <v>1868</v>
      </c>
      <c r="L306" s="65" t="s">
        <v>1871</v>
      </c>
      <c r="M306" s="65" t="s">
        <v>1536</v>
      </c>
      <c r="N306" s="69">
        <v>42229</v>
      </c>
      <c r="O306" s="69">
        <v>42880</v>
      </c>
      <c r="P306" s="65" t="s">
        <v>126</v>
      </c>
      <c r="R306" s="65" t="s">
        <v>28</v>
      </c>
      <c r="U306" t="s">
        <v>1872</v>
      </c>
      <c r="V306" t="s">
        <v>3275</v>
      </c>
      <c r="W306" s="65" t="s">
        <v>29</v>
      </c>
      <c r="X306" s="65" t="s">
        <v>29</v>
      </c>
      <c r="Y306" s="65" t="s">
        <v>30</v>
      </c>
      <c r="AA306" s="69">
        <v>42614</v>
      </c>
      <c r="AD306" s="65" t="s">
        <v>23</v>
      </c>
      <c r="AE306" s="65" t="s">
        <v>24</v>
      </c>
      <c r="AF306" s="71" t="s">
        <v>1873</v>
      </c>
      <c r="AG306" s="65" t="s">
        <v>23</v>
      </c>
      <c r="AH306" s="69">
        <v>42614</v>
      </c>
      <c r="AJ306" s="73">
        <v>121</v>
      </c>
      <c r="AK306" s="73">
        <v>121</v>
      </c>
      <c r="AL306" s="73">
        <v>121</v>
      </c>
      <c r="AM306" s="73">
        <v>120</v>
      </c>
      <c r="AN306" s="73">
        <v>120</v>
      </c>
      <c r="AO306" s="73">
        <v>603</v>
      </c>
      <c r="AP306" s="73">
        <v>414</v>
      </c>
      <c r="AS306" s="73">
        <v>414</v>
      </c>
      <c r="AV306" s="73">
        <v>414</v>
      </c>
      <c r="BO306" s="185" t="s">
        <v>126</v>
      </c>
      <c r="BP306" s="185" t="s">
        <v>126</v>
      </c>
      <c r="BQ306" s="185" t="s">
        <v>3794</v>
      </c>
      <c r="BR306" s="73">
        <v>121</v>
      </c>
      <c r="BS306" s="73">
        <v>121</v>
      </c>
      <c r="BT306" s="73">
        <v>121</v>
      </c>
      <c r="BU306" s="73">
        <v>120</v>
      </c>
      <c r="BV306" s="73">
        <v>120</v>
      </c>
      <c r="BW306" s="73">
        <v>603</v>
      </c>
      <c r="BX306" s="73">
        <v>414</v>
      </c>
      <c r="BY306" s="185" t="s">
        <v>3794</v>
      </c>
      <c r="CD306" s="73">
        <v>414</v>
      </c>
      <c r="CJ306" t="s">
        <v>25</v>
      </c>
      <c r="CK306" t="s">
        <v>25</v>
      </c>
      <c r="CL306" t="s">
        <v>25</v>
      </c>
      <c r="CM306" t="s">
        <v>25</v>
      </c>
      <c r="CN306" t="s">
        <v>25</v>
      </c>
      <c r="CO306" t="s">
        <v>25</v>
      </c>
      <c r="CP306" t="s">
        <v>25</v>
      </c>
      <c r="CQ306" t="s">
        <v>25</v>
      </c>
      <c r="CR306" t="s">
        <v>25</v>
      </c>
      <c r="CS306" t="s">
        <v>25</v>
      </c>
      <c r="CT306" t="s">
        <v>25</v>
      </c>
      <c r="CU306" t="s">
        <v>25</v>
      </c>
      <c r="CV306" t="s">
        <v>25</v>
      </c>
      <c r="CW306" t="s">
        <v>25</v>
      </c>
      <c r="CX306" t="s">
        <v>25</v>
      </c>
      <c r="CY306" t="s">
        <v>25</v>
      </c>
      <c r="CZ306" t="s">
        <v>25</v>
      </c>
      <c r="DA306" t="s">
        <v>25</v>
      </c>
      <c r="DB306" t="s">
        <v>25</v>
      </c>
      <c r="DC306" t="s">
        <v>25</v>
      </c>
      <c r="DD306" t="s">
        <v>25</v>
      </c>
      <c r="DE306" t="s">
        <v>25</v>
      </c>
      <c r="DF306" t="s">
        <v>25</v>
      </c>
      <c r="DG306" t="s">
        <v>25</v>
      </c>
      <c r="DH306" t="s">
        <v>25</v>
      </c>
      <c r="DI306" t="s">
        <v>25</v>
      </c>
      <c r="DJ306" s="76">
        <v>0</v>
      </c>
      <c r="DK306" s="73">
        <v>1017</v>
      </c>
      <c r="DL306" s="73">
        <v>0</v>
      </c>
      <c r="DM306" s="73">
        <v>1017</v>
      </c>
      <c r="DU306" s="65" t="s">
        <v>126</v>
      </c>
      <c r="DZ306" s="73">
        <v>29259</v>
      </c>
      <c r="EA306" s="73">
        <v>0</v>
      </c>
      <c r="EB306" s="73">
        <v>29259</v>
      </c>
      <c r="EC306" s="65" t="s">
        <v>126</v>
      </c>
    </row>
    <row r="307" spans="1:133" ht="12" customHeight="1" x14ac:dyDescent="0.2">
      <c r="A307" t="s">
        <v>2935</v>
      </c>
      <c r="B307" t="s">
        <v>2946</v>
      </c>
      <c r="C307" t="str">
        <f t="shared" si="14"/>
        <v>Full</v>
      </c>
      <c r="E307" s="65">
        <v>4718</v>
      </c>
      <c r="F307" t="s">
        <v>1867</v>
      </c>
      <c r="G307" s="71" t="s">
        <v>3947</v>
      </c>
      <c r="H307" s="67">
        <v>5.71000003814697</v>
      </c>
      <c r="I307" s="65">
        <v>529643</v>
      </c>
      <c r="J307" s="65">
        <v>177593</v>
      </c>
      <c r="K307" s="65" t="s">
        <v>1868</v>
      </c>
      <c r="L307" s="65" t="s">
        <v>1871</v>
      </c>
      <c r="M307" s="65" t="s">
        <v>1536</v>
      </c>
      <c r="N307" s="69">
        <v>42229</v>
      </c>
      <c r="O307" s="69">
        <v>42880</v>
      </c>
      <c r="P307" s="65" t="s">
        <v>126</v>
      </c>
      <c r="R307" s="65" t="s">
        <v>28</v>
      </c>
      <c r="U307" t="s">
        <v>1872</v>
      </c>
      <c r="V307" t="s">
        <v>3275</v>
      </c>
      <c r="W307" s="65" t="s">
        <v>29</v>
      </c>
      <c r="X307" s="65" t="s">
        <v>29</v>
      </c>
      <c r="Y307" s="65" t="s">
        <v>30</v>
      </c>
      <c r="AA307" s="69">
        <v>42614</v>
      </c>
      <c r="AD307" s="65" t="s">
        <v>23</v>
      </c>
      <c r="AE307" s="65" t="s">
        <v>24</v>
      </c>
      <c r="AF307" s="71" t="s">
        <v>1874</v>
      </c>
      <c r="AG307" s="65" t="s">
        <v>23</v>
      </c>
      <c r="AH307" s="69">
        <v>42614</v>
      </c>
      <c r="AJ307" s="73">
        <v>125</v>
      </c>
      <c r="AK307" s="73">
        <v>125</v>
      </c>
      <c r="AL307" s="73">
        <v>125</v>
      </c>
      <c r="AM307" s="73">
        <v>124</v>
      </c>
      <c r="AN307" s="73">
        <v>124</v>
      </c>
      <c r="AO307" s="73">
        <v>623</v>
      </c>
      <c r="AP307" s="73">
        <v>80</v>
      </c>
      <c r="AS307" s="73">
        <v>80</v>
      </c>
      <c r="AV307" s="73">
        <v>80</v>
      </c>
      <c r="BO307" s="185" t="s">
        <v>126</v>
      </c>
      <c r="BP307" s="185" t="s">
        <v>126</v>
      </c>
      <c r="BQ307" s="185" t="s">
        <v>3794</v>
      </c>
      <c r="BR307" s="73">
        <v>125</v>
      </c>
      <c r="BS307" s="73">
        <v>125</v>
      </c>
      <c r="BT307" s="73">
        <v>125</v>
      </c>
      <c r="BU307" s="73">
        <v>124</v>
      </c>
      <c r="BV307" s="73">
        <v>124</v>
      </c>
      <c r="BW307" s="73">
        <v>623</v>
      </c>
      <c r="BX307" s="73">
        <v>80</v>
      </c>
      <c r="BY307" s="185" t="s">
        <v>3794</v>
      </c>
      <c r="CD307" s="73">
        <v>80</v>
      </c>
      <c r="CJ307" t="s">
        <v>25</v>
      </c>
      <c r="CK307" t="s">
        <v>25</v>
      </c>
      <c r="CL307" t="s">
        <v>25</v>
      </c>
      <c r="CM307" t="s">
        <v>25</v>
      </c>
      <c r="CN307" t="s">
        <v>25</v>
      </c>
      <c r="CO307" t="s">
        <v>25</v>
      </c>
      <c r="CP307" t="s">
        <v>25</v>
      </c>
      <c r="CQ307" t="s">
        <v>25</v>
      </c>
      <c r="CR307" t="s">
        <v>25</v>
      </c>
      <c r="CS307" t="s">
        <v>25</v>
      </c>
      <c r="CT307" t="s">
        <v>25</v>
      </c>
      <c r="CU307" t="s">
        <v>25</v>
      </c>
      <c r="CV307" t="s">
        <v>25</v>
      </c>
      <c r="CW307" t="s">
        <v>25</v>
      </c>
      <c r="CX307" t="s">
        <v>25</v>
      </c>
      <c r="CY307" t="s">
        <v>25</v>
      </c>
      <c r="CZ307" t="s">
        <v>25</v>
      </c>
      <c r="DA307" t="s">
        <v>25</v>
      </c>
      <c r="DB307" t="s">
        <v>25</v>
      </c>
      <c r="DC307" t="s">
        <v>25</v>
      </c>
      <c r="DD307" t="s">
        <v>25</v>
      </c>
      <c r="DE307" t="s">
        <v>25</v>
      </c>
      <c r="DF307" t="s">
        <v>25</v>
      </c>
      <c r="DG307" t="s">
        <v>25</v>
      </c>
      <c r="DH307" t="s">
        <v>25</v>
      </c>
      <c r="DI307" t="s">
        <v>25</v>
      </c>
      <c r="DJ307" s="76">
        <v>0</v>
      </c>
      <c r="DK307" s="73">
        <v>703</v>
      </c>
      <c r="DL307" s="73">
        <v>0</v>
      </c>
      <c r="DM307" s="73">
        <v>703</v>
      </c>
      <c r="DU307" s="65" t="s">
        <v>126</v>
      </c>
      <c r="DZ307" s="73">
        <v>26323</v>
      </c>
      <c r="EA307" s="73">
        <v>0</v>
      </c>
      <c r="EB307" s="73">
        <v>26323</v>
      </c>
      <c r="EC307" s="65" t="s">
        <v>126</v>
      </c>
    </row>
    <row r="308" spans="1:133" ht="12" customHeight="1" x14ac:dyDescent="0.2">
      <c r="A308" t="s">
        <v>2935</v>
      </c>
      <c r="B308" t="s">
        <v>2946</v>
      </c>
      <c r="C308" t="str">
        <f t="shared" si="14"/>
        <v>Full</v>
      </c>
      <c r="E308" s="65">
        <v>4718</v>
      </c>
      <c r="F308" t="s">
        <v>1867</v>
      </c>
      <c r="G308" s="71" t="s">
        <v>3947</v>
      </c>
      <c r="H308" s="67">
        <v>5.71000003814697</v>
      </c>
      <c r="I308" s="65">
        <v>529643</v>
      </c>
      <c r="J308" s="65">
        <v>177593</v>
      </c>
      <c r="K308" s="65" t="s">
        <v>1868</v>
      </c>
      <c r="L308" s="65" t="s">
        <v>1871</v>
      </c>
      <c r="M308" s="65" t="s">
        <v>1536</v>
      </c>
      <c r="N308" s="69">
        <v>42229</v>
      </c>
      <c r="O308" s="69">
        <v>42880</v>
      </c>
      <c r="P308" s="65" t="s">
        <v>126</v>
      </c>
      <c r="R308" s="65" t="s">
        <v>28</v>
      </c>
      <c r="U308" t="s">
        <v>1872</v>
      </c>
      <c r="V308" t="s">
        <v>3275</v>
      </c>
      <c r="W308" s="65" t="s">
        <v>29</v>
      </c>
      <c r="X308" s="65" t="s">
        <v>29</v>
      </c>
      <c r="Y308" s="65" t="s">
        <v>30</v>
      </c>
      <c r="AA308" s="69">
        <v>42614</v>
      </c>
      <c r="AD308" s="65" t="s">
        <v>23</v>
      </c>
      <c r="AE308" s="65" t="s">
        <v>24</v>
      </c>
      <c r="AF308" s="71" t="s">
        <v>1875</v>
      </c>
      <c r="AG308" s="65" t="s">
        <v>23</v>
      </c>
      <c r="AH308" s="69">
        <v>42614</v>
      </c>
      <c r="AJ308" s="73">
        <v>128</v>
      </c>
      <c r="AK308" s="73">
        <v>128</v>
      </c>
      <c r="AL308" s="73">
        <v>128</v>
      </c>
      <c r="AM308" s="73">
        <v>127</v>
      </c>
      <c r="AN308" s="73">
        <v>127</v>
      </c>
      <c r="AO308" s="73">
        <v>638</v>
      </c>
      <c r="AP308" s="73">
        <v>613</v>
      </c>
      <c r="AS308" s="73">
        <v>613</v>
      </c>
      <c r="AV308" s="73">
        <v>613</v>
      </c>
      <c r="AW308" s="73">
        <v>375</v>
      </c>
      <c r="AX308" s="73">
        <v>376</v>
      </c>
      <c r="AY308" s="73">
        <v>751</v>
      </c>
      <c r="BO308" s="185" t="s">
        <v>126</v>
      </c>
      <c r="BP308" s="185" t="s">
        <v>126</v>
      </c>
      <c r="BQ308" s="185" t="s">
        <v>126</v>
      </c>
      <c r="BR308" s="73">
        <v>128</v>
      </c>
      <c r="BS308" s="73">
        <v>128</v>
      </c>
      <c r="BT308" s="73">
        <v>128</v>
      </c>
      <c r="BU308" s="73">
        <v>127</v>
      </c>
      <c r="BV308" s="73">
        <v>127</v>
      </c>
      <c r="BW308" s="73">
        <v>638</v>
      </c>
      <c r="BX308" s="73">
        <v>613</v>
      </c>
      <c r="BY308" s="185" t="s">
        <v>3794</v>
      </c>
      <c r="CD308" s="73">
        <v>613</v>
      </c>
      <c r="CG308" s="73">
        <v>375</v>
      </c>
      <c r="CH308" s="73">
        <v>376</v>
      </c>
      <c r="CI308" s="73">
        <v>751</v>
      </c>
      <c r="CJ308" t="s">
        <v>25</v>
      </c>
      <c r="CK308" t="s">
        <v>25</v>
      </c>
      <c r="CL308" t="s">
        <v>25</v>
      </c>
      <c r="CM308" t="s">
        <v>25</v>
      </c>
      <c r="CN308" t="s">
        <v>25</v>
      </c>
      <c r="CO308" t="s">
        <v>25</v>
      </c>
      <c r="CP308" t="s">
        <v>25</v>
      </c>
      <c r="CQ308" t="s">
        <v>25</v>
      </c>
      <c r="CR308" t="s">
        <v>25</v>
      </c>
      <c r="CS308" t="s">
        <v>25</v>
      </c>
      <c r="CT308" t="s">
        <v>25</v>
      </c>
      <c r="CU308" t="s">
        <v>25</v>
      </c>
      <c r="CV308" t="s">
        <v>25</v>
      </c>
      <c r="CW308" t="s">
        <v>25</v>
      </c>
      <c r="CX308" t="s">
        <v>25</v>
      </c>
      <c r="CY308" t="s">
        <v>25</v>
      </c>
      <c r="CZ308" t="s">
        <v>25</v>
      </c>
      <c r="DA308" t="s">
        <v>25</v>
      </c>
      <c r="DB308" t="s">
        <v>25</v>
      </c>
      <c r="DC308" t="s">
        <v>25</v>
      </c>
      <c r="DD308" t="s">
        <v>25</v>
      </c>
      <c r="DE308" t="s">
        <v>25</v>
      </c>
      <c r="DF308" t="s">
        <v>25</v>
      </c>
      <c r="DG308" t="s">
        <v>25</v>
      </c>
      <c r="DH308" t="s">
        <v>25</v>
      </c>
      <c r="DI308" t="s">
        <v>25</v>
      </c>
      <c r="DJ308" s="76">
        <v>0</v>
      </c>
      <c r="DK308" s="73">
        <v>2002</v>
      </c>
      <c r="DL308" s="73">
        <v>0</v>
      </c>
      <c r="DM308" s="73">
        <v>2002</v>
      </c>
      <c r="DU308" s="65" t="s">
        <v>126</v>
      </c>
      <c r="DZ308" s="73">
        <v>35518</v>
      </c>
      <c r="EA308" s="73">
        <v>0</v>
      </c>
      <c r="EB308" s="73">
        <v>35518</v>
      </c>
      <c r="EC308" s="65" t="s">
        <v>126</v>
      </c>
    </row>
    <row r="309" spans="1:133" ht="12" customHeight="1" x14ac:dyDescent="0.2">
      <c r="A309" t="s">
        <v>2937</v>
      </c>
      <c r="B309" t="s">
        <v>2947</v>
      </c>
      <c r="C309" t="str">
        <f t="shared" si="14"/>
        <v>Outline</v>
      </c>
      <c r="E309" s="65">
        <v>4718</v>
      </c>
      <c r="F309" t="s">
        <v>1867</v>
      </c>
      <c r="G309" s="71" t="s">
        <v>3947</v>
      </c>
      <c r="H309" s="67">
        <v>5.71000003814697</v>
      </c>
      <c r="I309" s="65">
        <v>529643</v>
      </c>
      <c r="J309" s="65">
        <v>177593</v>
      </c>
      <c r="K309" s="65" t="s">
        <v>1868</v>
      </c>
      <c r="L309" s="65" t="s">
        <v>1876</v>
      </c>
      <c r="M309" s="65" t="s">
        <v>434</v>
      </c>
      <c r="N309" s="69">
        <v>42283</v>
      </c>
      <c r="O309" s="69">
        <v>42865</v>
      </c>
      <c r="P309" s="65" t="s">
        <v>126</v>
      </c>
      <c r="Q309" s="69">
        <v>42353</v>
      </c>
      <c r="R309" s="65" t="s">
        <v>28</v>
      </c>
      <c r="U309" t="s">
        <v>1877</v>
      </c>
      <c r="V309" t="s">
        <v>3276</v>
      </c>
      <c r="W309" s="65" t="s">
        <v>29</v>
      </c>
      <c r="X309" s="65" t="s">
        <v>29</v>
      </c>
      <c r="Y309" s="65" t="s">
        <v>69</v>
      </c>
      <c r="AD309" s="65" t="s">
        <v>23</v>
      </c>
      <c r="AE309" s="65" t="s">
        <v>24</v>
      </c>
      <c r="AF309" s="71" t="s">
        <v>1878</v>
      </c>
      <c r="AG309" s="65" t="s">
        <v>23</v>
      </c>
      <c r="AJ309" s="73">
        <v>305</v>
      </c>
      <c r="AK309" s="73">
        <v>305</v>
      </c>
      <c r="AL309" s="73">
        <v>305</v>
      </c>
      <c r="AM309" s="73">
        <v>305</v>
      </c>
      <c r="AN309" s="73">
        <v>306</v>
      </c>
      <c r="AO309" s="73">
        <v>1526</v>
      </c>
      <c r="AP309" s="73">
        <v>29</v>
      </c>
      <c r="AS309" s="73">
        <v>29</v>
      </c>
      <c r="AV309" s="73">
        <v>29</v>
      </c>
      <c r="BO309" s="185" t="s">
        <v>126</v>
      </c>
      <c r="BP309" s="185" t="s">
        <v>126</v>
      </c>
      <c r="BQ309" s="185" t="s">
        <v>3794</v>
      </c>
      <c r="BR309" s="73">
        <v>305</v>
      </c>
      <c r="BS309" s="73">
        <v>305</v>
      </c>
      <c r="BT309" s="73">
        <v>305</v>
      </c>
      <c r="BU309" s="73">
        <v>305</v>
      </c>
      <c r="BV309" s="73">
        <v>306</v>
      </c>
      <c r="BW309" s="73">
        <v>1526</v>
      </c>
      <c r="BX309" s="73">
        <v>29</v>
      </c>
      <c r="BY309" s="185" t="s">
        <v>3794</v>
      </c>
      <c r="CD309" s="73">
        <v>29</v>
      </c>
      <c r="CF309" s="73">
        <v>16450</v>
      </c>
      <c r="CJ309" t="s">
        <v>25</v>
      </c>
      <c r="CK309" t="s">
        <v>25</v>
      </c>
      <c r="CL309" t="s">
        <v>25</v>
      </c>
      <c r="CM309" t="s">
        <v>25</v>
      </c>
      <c r="CN309" t="s">
        <v>25</v>
      </c>
      <c r="CO309" t="s">
        <v>25</v>
      </c>
      <c r="CP309" t="s">
        <v>25</v>
      </c>
      <c r="CQ309" t="s">
        <v>25</v>
      </c>
      <c r="CR309" t="s">
        <v>25</v>
      </c>
      <c r="CS309" t="s">
        <v>25</v>
      </c>
      <c r="CT309" t="s">
        <v>25</v>
      </c>
      <c r="CU309" t="s">
        <v>25</v>
      </c>
      <c r="CV309" t="s">
        <v>25</v>
      </c>
      <c r="CW309" t="s">
        <v>25</v>
      </c>
      <c r="CX309" t="s">
        <v>25</v>
      </c>
      <c r="CY309" t="s">
        <v>25</v>
      </c>
      <c r="CZ309" t="s">
        <v>25</v>
      </c>
      <c r="DA309" t="s">
        <v>25</v>
      </c>
      <c r="DB309" t="s">
        <v>25</v>
      </c>
      <c r="DC309" t="s">
        <v>25</v>
      </c>
      <c r="DD309" t="s">
        <v>25</v>
      </c>
      <c r="DE309" t="s">
        <v>25</v>
      </c>
      <c r="DF309" t="s">
        <v>25</v>
      </c>
      <c r="DG309" t="s">
        <v>25</v>
      </c>
      <c r="DH309" t="s">
        <v>25</v>
      </c>
      <c r="DI309" t="s">
        <v>25</v>
      </c>
      <c r="DJ309" s="76">
        <v>0</v>
      </c>
      <c r="DK309" s="73">
        <v>19140</v>
      </c>
      <c r="DL309" s="73">
        <v>0</v>
      </c>
      <c r="DM309" s="73">
        <v>19140</v>
      </c>
      <c r="DU309" s="65" t="s">
        <v>126</v>
      </c>
      <c r="DZ309" s="73">
        <v>0</v>
      </c>
      <c r="EA309" s="73">
        <v>0</v>
      </c>
      <c r="EB309" s="73">
        <v>0</v>
      </c>
    </row>
    <row r="310" spans="1:133" ht="12" customHeight="1" x14ac:dyDescent="0.2">
      <c r="A310" t="s">
        <v>2935</v>
      </c>
      <c r="B310" t="s">
        <v>2946</v>
      </c>
      <c r="C310" t="str">
        <f t="shared" si="14"/>
        <v>Full</v>
      </c>
      <c r="E310" s="65">
        <v>4718</v>
      </c>
      <c r="F310" t="s">
        <v>1867</v>
      </c>
      <c r="G310" s="71" t="s">
        <v>3947</v>
      </c>
      <c r="H310" s="67">
        <v>5.71000003814697</v>
      </c>
      <c r="I310" s="65">
        <v>529643</v>
      </c>
      <c r="J310" s="65">
        <v>177593</v>
      </c>
      <c r="K310" s="65" t="s">
        <v>1868</v>
      </c>
      <c r="L310" s="65" t="s">
        <v>1879</v>
      </c>
      <c r="M310" s="65" t="s">
        <v>1536</v>
      </c>
      <c r="N310" s="69">
        <v>42283</v>
      </c>
      <c r="O310" s="69">
        <v>42870</v>
      </c>
      <c r="P310" s="65" t="s">
        <v>126</v>
      </c>
      <c r="Q310" s="69">
        <v>42353</v>
      </c>
      <c r="R310" s="65" t="s">
        <v>28</v>
      </c>
      <c r="U310" t="s">
        <v>1880</v>
      </c>
      <c r="V310" t="s">
        <v>3277</v>
      </c>
      <c r="W310" s="65" t="s">
        <v>29</v>
      </c>
      <c r="X310" s="65" t="s">
        <v>29</v>
      </c>
      <c r="Y310" s="65" t="s">
        <v>30</v>
      </c>
      <c r="AA310" s="69">
        <v>42961</v>
      </c>
      <c r="AD310" s="65" t="s">
        <v>23</v>
      </c>
      <c r="AE310" s="65" t="s">
        <v>24</v>
      </c>
      <c r="AF310" s="71" t="s">
        <v>1881</v>
      </c>
      <c r="AG310" s="65" t="s">
        <v>23</v>
      </c>
      <c r="AH310" s="69">
        <v>42961</v>
      </c>
      <c r="AJ310" s="73">
        <v>29</v>
      </c>
      <c r="AK310" s="73">
        <v>29</v>
      </c>
      <c r="AL310" s="73">
        <v>29</v>
      </c>
      <c r="AM310" s="73">
        <v>30</v>
      </c>
      <c r="AN310" s="73">
        <v>30</v>
      </c>
      <c r="AO310" s="73">
        <v>147</v>
      </c>
      <c r="AP310" s="73">
        <v>802</v>
      </c>
      <c r="AS310" s="73">
        <v>802</v>
      </c>
      <c r="AV310" s="73">
        <v>802</v>
      </c>
      <c r="BO310" s="185" t="s">
        <v>126</v>
      </c>
      <c r="BP310" s="185" t="s">
        <v>126</v>
      </c>
      <c r="BQ310" s="185" t="s">
        <v>3794</v>
      </c>
      <c r="BR310" s="73">
        <v>29</v>
      </c>
      <c r="BS310" s="73">
        <v>29</v>
      </c>
      <c r="BT310" s="73">
        <v>29</v>
      </c>
      <c r="BU310" s="73">
        <v>30</v>
      </c>
      <c r="BV310" s="73">
        <v>30</v>
      </c>
      <c r="BW310" s="73">
        <v>147</v>
      </c>
      <c r="BX310" s="73">
        <v>802</v>
      </c>
      <c r="BY310" s="185" t="s">
        <v>3794</v>
      </c>
      <c r="CD310" s="73">
        <v>802</v>
      </c>
      <c r="CJ310" t="s">
        <v>25</v>
      </c>
      <c r="CK310" t="s">
        <v>25</v>
      </c>
      <c r="CL310" t="s">
        <v>25</v>
      </c>
      <c r="CM310" t="s">
        <v>25</v>
      </c>
      <c r="CN310" t="s">
        <v>25</v>
      </c>
      <c r="CO310" t="s">
        <v>25</v>
      </c>
      <c r="CP310" t="s">
        <v>25</v>
      </c>
      <c r="CQ310" t="s">
        <v>25</v>
      </c>
      <c r="CR310" t="s">
        <v>25</v>
      </c>
      <c r="CS310" t="s">
        <v>25</v>
      </c>
      <c r="CT310" t="s">
        <v>25</v>
      </c>
      <c r="CU310" t="s">
        <v>25</v>
      </c>
      <c r="CV310" t="s">
        <v>25</v>
      </c>
      <c r="CW310" t="s">
        <v>25</v>
      </c>
      <c r="CX310" t="s">
        <v>25</v>
      </c>
      <c r="CY310" t="s">
        <v>25</v>
      </c>
      <c r="CZ310" t="s">
        <v>25</v>
      </c>
      <c r="DA310" t="s">
        <v>25</v>
      </c>
      <c r="DB310" t="s">
        <v>25</v>
      </c>
      <c r="DC310" t="s">
        <v>25</v>
      </c>
      <c r="DD310" t="s">
        <v>25</v>
      </c>
      <c r="DE310" t="s">
        <v>25</v>
      </c>
      <c r="DF310" t="s">
        <v>25</v>
      </c>
      <c r="DG310" t="s">
        <v>25</v>
      </c>
      <c r="DH310" t="s">
        <v>25</v>
      </c>
      <c r="DI310" t="s">
        <v>25</v>
      </c>
      <c r="DJ310" s="76">
        <v>0</v>
      </c>
      <c r="DK310" s="73">
        <v>949</v>
      </c>
      <c r="DL310" s="73">
        <v>0</v>
      </c>
      <c r="DM310" s="73">
        <v>949</v>
      </c>
      <c r="DU310" s="65" t="s">
        <v>126</v>
      </c>
      <c r="DZ310" s="73">
        <v>23999</v>
      </c>
      <c r="EA310" s="73">
        <v>0</v>
      </c>
      <c r="EB310" s="73">
        <v>23999</v>
      </c>
      <c r="EC310" s="65" t="s">
        <v>126</v>
      </c>
    </row>
    <row r="311" spans="1:133" ht="12" customHeight="1" x14ac:dyDescent="0.2">
      <c r="A311" t="s">
        <v>2937</v>
      </c>
      <c r="B311" t="s">
        <v>2946</v>
      </c>
      <c r="C311" t="str">
        <f t="shared" si="14"/>
        <v>Full</v>
      </c>
      <c r="E311" s="65">
        <v>4718</v>
      </c>
      <c r="F311" t="s">
        <v>1867</v>
      </c>
      <c r="G311" s="71" t="s">
        <v>3947</v>
      </c>
      <c r="H311" s="67">
        <v>5.71000003814697</v>
      </c>
      <c r="I311" s="65">
        <v>529643</v>
      </c>
      <c r="J311" s="65">
        <v>177593</v>
      </c>
      <c r="K311" s="65" t="s">
        <v>1868</v>
      </c>
      <c r="L311" s="65" t="s">
        <v>1882</v>
      </c>
      <c r="M311" s="65" t="s">
        <v>1363</v>
      </c>
      <c r="N311" s="69">
        <v>42914</v>
      </c>
      <c r="O311" s="69">
        <v>42921</v>
      </c>
      <c r="P311" s="65" t="s">
        <v>126</v>
      </c>
      <c r="R311" s="65" t="s">
        <v>28</v>
      </c>
      <c r="U311" t="s">
        <v>1883</v>
      </c>
      <c r="V311" t="s">
        <v>3278</v>
      </c>
      <c r="W311" s="65" t="s">
        <v>29</v>
      </c>
      <c r="X311" s="65" t="s">
        <v>29</v>
      </c>
      <c r="Y311" s="65" t="s">
        <v>69</v>
      </c>
      <c r="AD311" s="65" t="s">
        <v>23</v>
      </c>
      <c r="AE311" s="65" t="s">
        <v>24</v>
      </c>
      <c r="AF311" s="71" t="s">
        <v>1884</v>
      </c>
      <c r="AG311" s="65" t="s">
        <v>23</v>
      </c>
      <c r="AP311" s="73">
        <v>18336</v>
      </c>
      <c r="AS311" s="73">
        <v>18336</v>
      </c>
      <c r="AV311" s="73">
        <v>18336</v>
      </c>
      <c r="BO311" s="185" t="s">
        <v>3794</v>
      </c>
      <c r="BP311" s="185" t="s">
        <v>126</v>
      </c>
      <c r="BQ311" s="185" t="s">
        <v>3794</v>
      </c>
      <c r="BW311" s="73"/>
      <c r="BX311" s="73">
        <v>18336</v>
      </c>
      <c r="BY311" s="185" t="s">
        <v>3794</v>
      </c>
      <c r="CD311" s="73">
        <v>18336</v>
      </c>
      <c r="CJ311" t="s">
        <v>25</v>
      </c>
      <c r="CK311" t="s">
        <v>25</v>
      </c>
      <c r="CL311" t="s">
        <v>25</v>
      </c>
      <c r="CM311" t="s">
        <v>25</v>
      </c>
      <c r="CN311" t="s">
        <v>25</v>
      </c>
      <c r="CO311" t="s">
        <v>25</v>
      </c>
      <c r="CP311" t="s">
        <v>25</v>
      </c>
      <c r="CQ311" t="s">
        <v>25</v>
      </c>
      <c r="CR311" t="s">
        <v>25</v>
      </c>
      <c r="CS311" t="s">
        <v>25</v>
      </c>
      <c r="CT311" t="s">
        <v>25</v>
      </c>
      <c r="CU311" t="s">
        <v>25</v>
      </c>
      <c r="CV311" t="s">
        <v>25</v>
      </c>
      <c r="CW311" t="s">
        <v>25</v>
      </c>
      <c r="CX311" t="s">
        <v>25</v>
      </c>
      <c r="CY311" t="s">
        <v>25</v>
      </c>
      <c r="CZ311" t="s">
        <v>25</v>
      </c>
      <c r="DA311" t="s">
        <v>25</v>
      </c>
      <c r="DB311" t="s">
        <v>25</v>
      </c>
      <c r="DC311" t="s">
        <v>25</v>
      </c>
      <c r="DD311" t="s">
        <v>25</v>
      </c>
      <c r="DE311" t="s">
        <v>25</v>
      </c>
      <c r="DF311" t="s">
        <v>25</v>
      </c>
      <c r="DG311" t="s">
        <v>25</v>
      </c>
      <c r="DH311" t="s">
        <v>25</v>
      </c>
      <c r="DI311" t="s">
        <v>25</v>
      </c>
      <c r="DJ311" s="76">
        <v>0</v>
      </c>
      <c r="DK311" s="73">
        <v>18336</v>
      </c>
      <c r="DL311" s="73">
        <v>0</v>
      </c>
      <c r="DM311" s="73">
        <v>18336</v>
      </c>
      <c r="DU311" s="65" t="s">
        <v>126</v>
      </c>
      <c r="DZ311" s="73">
        <v>0</v>
      </c>
      <c r="EA311" s="73">
        <v>0</v>
      </c>
      <c r="EB311" s="73">
        <v>0</v>
      </c>
    </row>
    <row r="312" spans="1:133" ht="12" customHeight="1" x14ac:dyDescent="0.2">
      <c r="A312" t="s">
        <v>2936</v>
      </c>
      <c r="B312" t="s">
        <v>2946</v>
      </c>
      <c r="C312" t="str">
        <f t="shared" si="14"/>
        <v>Full</v>
      </c>
      <c r="D312" t="s">
        <v>2942</v>
      </c>
      <c r="E312" s="65">
        <v>4718</v>
      </c>
      <c r="F312" t="s">
        <v>1867</v>
      </c>
      <c r="G312" s="71" t="s">
        <v>3947</v>
      </c>
      <c r="H312" s="67">
        <v>5.71000003814697</v>
      </c>
      <c r="I312" s="65">
        <v>529643</v>
      </c>
      <c r="J312" s="65">
        <v>177593</v>
      </c>
      <c r="K312" s="65" t="s">
        <v>1868</v>
      </c>
      <c r="L312" s="65" t="s">
        <v>1262</v>
      </c>
      <c r="M312" s="65" t="s">
        <v>1363</v>
      </c>
      <c r="N312" s="69">
        <v>42782</v>
      </c>
      <c r="O312" s="69">
        <v>42845</v>
      </c>
      <c r="P312" s="65" t="s">
        <v>126</v>
      </c>
      <c r="R312" s="65" t="s">
        <v>28</v>
      </c>
      <c r="U312" t="s">
        <v>1263</v>
      </c>
      <c r="V312" t="s">
        <v>3279</v>
      </c>
      <c r="W312" s="65" t="s">
        <v>21</v>
      </c>
      <c r="X312" s="65" t="s">
        <v>21</v>
      </c>
      <c r="Y312" s="65" t="s">
        <v>30</v>
      </c>
      <c r="AA312" s="69">
        <v>41275</v>
      </c>
      <c r="AD312" s="65" t="s">
        <v>23</v>
      </c>
      <c r="AE312" s="65" t="s">
        <v>24</v>
      </c>
      <c r="AF312" s="71" t="s">
        <v>1885</v>
      </c>
      <c r="AG312" s="65" t="s">
        <v>23</v>
      </c>
      <c r="AH312" s="69">
        <v>41275</v>
      </c>
      <c r="AI312" s="69">
        <v>42826</v>
      </c>
      <c r="AJ312" s="73">
        <v>788</v>
      </c>
      <c r="AK312" s="73">
        <v>736</v>
      </c>
      <c r="AL312" s="73">
        <v>789</v>
      </c>
      <c r="AM312" s="73">
        <v>736</v>
      </c>
      <c r="AN312" s="73">
        <v>735</v>
      </c>
      <c r="AO312" s="73">
        <v>3784</v>
      </c>
      <c r="AW312" s="73">
        <v>696</v>
      </c>
      <c r="AX312" s="73">
        <v>696</v>
      </c>
      <c r="AY312" s="73">
        <v>1392</v>
      </c>
      <c r="BO312" s="185" t="s">
        <v>126</v>
      </c>
      <c r="BP312" s="185" t="s">
        <v>3794</v>
      </c>
      <c r="BQ312" s="185" t="s">
        <v>126</v>
      </c>
      <c r="BR312" s="73">
        <v>788</v>
      </c>
      <c r="BS312" s="73">
        <v>736</v>
      </c>
      <c r="BT312" s="73">
        <v>789</v>
      </c>
      <c r="BU312" s="73">
        <v>736</v>
      </c>
      <c r="BV312" s="73">
        <v>735</v>
      </c>
      <c r="BW312" s="73">
        <v>3784</v>
      </c>
      <c r="BY312" s="185" t="s">
        <v>3794</v>
      </c>
      <c r="CG312" s="73">
        <v>696</v>
      </c>
      <c r="CH312" s="73">
        <v>696</v>
      </c>
      <c r="CI312" s="73">
        <v>1392</v>
      </c>
      <c r="CJ312" t="s">
        <v>25</v>
      </c>
      <c r="CK312" t="s">
        <v>25</v>
      </c>
      <c r="CL312" t="s">
        <v>25</v>
      </c>
      <c r="CM312" t="s">
        <v>25</v>
      </c>
      <c r="CN312" t="s">
        <v>25</v>
      </c>
      <c r="CO312" t="s">
        <v>25</v>
      </c>
      <c r="CP312" t="s">
        <v>25</v>
      </c>
      <c r="CQ312" t="s">
        <v>25</v>
      </c>
      <c r="CR312" t="s">
        <v>25</v>
      </c>
      <c r="CS312" t="s">
        <v>25</v>
      </c>
      <c r="CT312" t="s">
        <v>25</v>
      </c>
      <c r="CU312" t="s">
        <v>25</v>
      </c>
      <c r="CV312" t="s">
        <v>25</v>
      </c>
      <c r="CW312" t="s">
        <v>25</v>
      </c>
      <c r="CX312" t="s">
        <v>25</v>
      </c>
      <c r="CY312" t="s">
        <v>25</v>
      </c>
      <c r="CZ312" t="s">
        <v>25</v>
      </c>
      <c r="DA312" t="s">
        <v>25</v>
      </c>
      <c r="DB312" t="s">
        <v>25</v>
      </c>
      <c r="DC312" t="s">
        <v>25</v>
      </c>
      <c r="DD312" t="s">
        <v>25</v>
      </c>
      <c r="DE312" t="s">
        <v>25</v>
      </c>
      <c r="DF312" t="s">
        <v>25</v>
      </c>
      <c r="DG312" t="s">
        <v>25</v>
      </c>
      <c r="DH312" t="s">
        <v>25</v>
      </c>
      <c r="DI312" t="s">
        <v>25</v>
      </c>
      <c r="DJ312" s="76">
        <v>0</v>
      </c>
      <c r="DK312" s="73">
        <v>5176</v>
      </c>
      <c r="DL312" s="73">
        <v>0</v>
      </c>
      <c r="DM312" s="73">
        <v>5176</v>
      </c>
      <c r="DU312" s="65" t="s">
        <v>126</v>
      </c>
      <c r="DZ312" s="73">
        <v>35123</v>
      </c>
      <c r="EA312" s="73">
        <v>0</v>
      </c>
      <c r="EB312" s="73">
        <v>35123</v>
      </c>
      <c r="EC312" s="65" t="s">
        <v>126</v>
      </c>
    </row>
    <row r="313" spans="1:133" ht="12" customHeight="1" x14ac:dyDescent="0.2">
      <c r="A313" t="s">
        <v>2936</v>
      </c>
      <c r="B313" t="s">
        <v>2946</v>
      </c>
      <c r="C313" t="str">
        <f t="shared" si="14"/>
        <v>Full</v>
      </c>
      <c r="D313" t="s">
        <v>2942</v>
      </c>
      <c r="E313" s="65">
        <v>4718</v>
      </c>
      <c r="F313" t="s">
        <v>1867</v>
      </c>
      <c r="G313" s="71" t="s">
        <v>3947</v>
      </c>
      <c r="H313" s="67">
        <v>5.71000003814697</v>
      </c>
      <c r="I313" s="65">
        <v>529643</v>
      </c>
      <c r="J313" s="65">
        <v>177593</v>
      </c>
      <c r="K313" s="65" t="s">
        <v>1868</v>
      </c>
      <c r="L313" s="65" t="s">
        <v>1262</v>
      </c>
      <c r="M313" s="65" t="s">
        <v>1363</v>
      </c>
      <c r="N313" s="69">
        <v>42782</v>
      </c>
      <c r="O313" s="69">
        <v>42845</v>
      </c>
      <c r="P313" s="65" t="s">
        <v>126</v>
      </c>
      <c r="R313" s="65" t="s">
        <v>28</v>
      </c>
      <c r="U313" t="s">
        <v>1263</v>
      </c>
      <c r="V313" t="s">
        <v>3279</v>
      </c>
      <c r="W313" s="65" t="s">
        <v>21</v>
      </c>
      <c r="X313" s="65" t="s">
        <v>21</v>
      </c>
      <c r="Y313" s="65" t="s">
        <v>30</v>
      </c>
      <c r="AA313" s="69">
        <v>41275</v>
      </c>
      <c r="AD313" s="65" t="s">
        <v>23</v>
      </c>
      <c r="AE313" s="65" t="s">
        <v>24</v>
      </c>
      <c r="AF313" s="71" t="s">
        <v>1886</v>
      </c>
      <c r="AG313" s="65" t="s">
        <v>23</v>
      </c>
      <c r="AH313" s="69">
        <v>41448</v>
      </c>
      <c r="AI313" s="69">
        <v>42826</v>
      </c>
      <c r="AJ313" s="73">
        <v>27</v>
      </c>
      <c r="AK313" s="73">
        <v>338</v>
      </c>
      <c r="AL313" s="73">
        <v>217</v>
      </c>
      <c r="AM313" s="73">
        <v>217</v>
      </c>
      <c r="AN313" s="73">
        <v>27</v>
      </c>
      <c r="AO313" s="73">
        <v>826</v>
      </c>
      <c r="BO313" s="185" t="s">
        <v>126</v>
      </c>
      <c r="BP313" s="185" t="s">
        <v>3794</v>
      </c>
      <c r="BQ313" s="185" t="s">
        <v>3794</v>
      </c>
      <c r="BR313" s="73">
        <v>27</v>
      </c>
      <c r="BS313" s="73">
        <v>338</v>
      </c>
      <c r="BT313" s="73">
        <v>217</v>
      </c>
      <c r="BU313" s="73">
        <v>217</v>
      </c>
      <c r="BV313" s="73">
        <v>27</v>
      </c>
      <c r="BW313" s="73">
        <v>826</v>
      </c>
      <c r="BY313" s="185" t="s">
        <v>3794</v>
      </c>
      <c r="CJ313" t="s">
        <v>25</v>
      </c>
      <c r="CK313" t="s">
        <v>25</v>
      </c>
      <c r="CL313" t="s">
        <v>25</v>
      </c>
      <c r="CM313" t="s">
        <v>25</v>
      </c>
      <c r="CN313" t="s">
        <v>25</v>
      </c>
      <c r="CO313" t="s">
        <v>25</v>
      </c>
      <c r="CP313" t="s">
        <v>25</v>
      </c>
      <c r="CQ313" t="s">
        <v>25</v>
      </c>
      <c r="CR313" t="s">
        <v>25</v>
      </c>
      <c r="CS313" t="s">
        <v>25</v>
      </c>
      <c r="CT313" t="s">
        <v>25</v>
      </c>
      <c r="CU313" t="s">
        <v>25</v>
      </c>
      <c r="CV313" t="s">
        <v>25</v>
      </c>
      <c r="CW313" t="s">
        <v>25</v>
      </c>
      <c r="CX313" t="s">
        <v>25</v>
      </c>
      <c r="CY313" t="s">
        <v>25</v>
      </c>
      <c r="CZ313" t="s">
        <v>25</v>
      </c>
      <c r="DA313" t="s">
        <v>25</v>
      </c>
      <c r="DB313" t="s">
        <v>25</v>
      </c>
      <c r="DC313" t="s">
        <v>25</v>
      </c>
      <c r="DD313" t="s">
        <v>25</v>
      </c>
      <c r="DE313" t="s">
        <v>25</v>
      </c>
      <c r="DF313" t="s">
        <v>25</v>
      </c>
      <c r="DG313" t="s">
        <v>25</v>
      </c>
      <c r="DH313" t="s">
        <v>25</v>
      </c>
      <c r="DI313" t="s">
        <v>25</v>
      </c>
      <c r="DJ313" s="76">
        <v>0</v>
      </c>
      <c r="DK313" s="73">
        <v>984</v>
      </c>
      <c r="DL313" s="73">
        <v>0</v>
      </c>
      <c r="DM313" s="73">
        <v>984</v>
      </c>
      <c r="DU313" s="65" t="s">
        <v>126</v>
      </c>
      <c r="DZ313" s="73">
        <v>19433</v>
      </c>
      <c r="EA313" s="73">
        <v>0</v>
      </c>
      <c r="EB313" s="73">
        <v>19433</v>
      </c>
      <c r="EC313" s="65" t="s">
        <v>126</v>
      </c>
    </row>
    <row r="314" spans="1:133" ht="12" customHeight="1" x14ac:dyDescent="0.2">
      <c r="A314" t="s">
        <v>2936</v>
      </c>
      <c r="B314" t="s">
        <v>2946</v>
      </c>
      <c r="C314" t="str">
        <f t="shared" si="14"/>
        <v>Full</v>
      </c>
      <c r="D314" t="s">
        <v>2942</v>
      </c>
      <c r="E314" s="65">
        <v>4718</v>
      </c>
      <c r="F314" t="s">
        <v>1867</v>
      </c>
      <c r="G314" s="71" t="s">
        <v>3947</v>
      </c>
      <c r="H314" s="67">
        <v>5.71000003814697</v>
      </c>
      <c r="I314" s="65">
        <v>529643</v>
      </c>
      <c r="J314" s="65">
        <v>177593</v>
      </c>
      <c r="K314" s="65" t="s">
        <v>1868</v>
      </c>
      <c r="L314" s="65" t="s">
        <v>1262</v>
      </c>
      <c r="M314" s="65" t="s">
        <v>1363</v>
      </c>
      <c r="N314" s="69">
        <v>42782</v>
      </c>
      <c r="O314" s="69">
        <v>42845</v>
      </c>
      <c r="P314" s="65" t="s">
        <v>126</v>
      </c>
      <c r="R314" s="65" t="s">
        <v>28</v>
      </c>
      <c r="U314" t="s">
        <v>1263</v>
      </c>
      <c r="V314" t="s">
        <v>3279</v>
      </c>
      <c r="W314" s="65" t="s">
        <v>21</v>
      </c>
      <c r="X314" s="65" t="s">
        <v>21</v>
      </c>
      <c r="Y314" s="65" t="s">
        <v>30</v>
      </c>
      <c r="AA314" s="69">
        <v>41275</v>
      </c>
      <c r="AD314" s="65" t="s">
        <v>23</v>
      </c>
      <c r="AE314" s="65" t="s">
        <v>24</v>
      </c>
      <c r="AF314" s="71" t="s">
        <v>1887</v>
      </c>
      <c r="AG314" s="65" t="s">
        <v>23</v>
      </c>
      <c r="AH314" s="69">
        <v>41500</v>
      </c>
      <c r="AI314" s="69">
        <v>42826</v>
      </c>
      <c r="AJ314" s="73">
        <v>30</v>
      </c>
      <c r="AK314" s="73">
        <v>150</v>
      </c>
      <c r="AL314" s="73">
        <v>150</v>
      </c>
      <c r="AM314" s="73">
        <v>149</v>
      </c>
      <c r="AN314" s="73">
        <v>119</v>
      </c>
      <c r="AO314" s="73">
        <v>598</v>
      </c>
      <c r="BO314" s="185" t="s">
        <v>126</v>
      </c>
      <c r="BP314" s="185" t="s">
        <v>3794</v>
      </c>
      <c r="BQ314" s="185" t="s">
        <v>3794</v>
      </c>
      <c r="BR314" s="73">
        <v>30</v>
      </c>
      <c r="BS314" s="73">
        <v>150</v>
      </c>
      <c r="BT314" s="73">
        <v>150</v>
      </c>
      <c r="BU314" s="73">
        <v>149</v>
      </c>
      <c r="BV314" s="73">
        <v>119</v>
      </c>
      <c r="BW314" s="73">
        <v>598</v>
      </c>
      <c r="BY314" s="185" t="s">
        <v>3794</v>
      </c>
      <c r="CJ314" t="s">
        <v>25</v>
      </c>
      <c r="CK314" t="s">
        <v>25</v>
      </c>
      <c r="CL314" t="s">
        <v>25</v>
      </c>
      <c r="CM314" t="s">
        <v>25</v>
      </c>
      <c r="CN314" t="s">
        <v>25</v>
      </c>
      <c r="CO314" t="s">
        <v>25</v>
      </c>
      <c r="CP314" t="s">
        <v>25</v>
      </c>
      <c r="CQ314" t="s">
        <v>25</v>
      </c>
      <c r="CR314" t="s">
        <v>25</v>
      </c>
      <c r="CS314" t="s">
        <v>25</v>
      </c>
      <c r="CT314" t="s">
        <v>25</v>
      </c>
      <c r="CU314" t="s">
        <v>25</v>
      </c>
      <c r="CV314" t="s">
        <v>25</v>
      </c>
      <c r="CW314" t="s">
        <v>25</v>
      </c>
      <c r="CX314" t="s">
        <v>25</v>
      </c>
      <c r="CY314" t="s">
        <v>25</v>
      </c>
      <c r="CZ314" t="s">
        <v>25</v>
      </c>
      <c r="DA314" t="s">
        <v>25</v>
      </c>
      <c r="DB314" t="s">
        <v>25</v>
      </c>
      <c r="DC314" t="s">
        <v>25</v>
      </c>
      <c r="DD314" t="s">
        <v>25</v>
      </c>
      <c r="DE314" t="s">
        <v>25</v>
      </c>
      <c r="DF314" t="s">
        <v>25</v>
      </c>
      <c r="DG314" t="s">
        <v>25</v>
      </c>
      <c r="DH314" t="s">
        <v>25</v>
      </c>
      <c r="DI314" t="s">
        <v>25</v>
      </c>
      <c r="DJ314" s="76">
        <v>0</v>
      </c>
      <c r="DK314" s="73">
        <v>598</v>
      </c>
      <c r="DL314" s="73">
        <v>0</v>
      </c>
      <c r="DM314" s="73">
        <v>598</v>
      </c>
      <c r="DU314" s="65" t="s">
        <v>126</v>
      </c>
      <c r="DZ314" s="73">
        <v>17465</v>
      </c>
      <c r="EA314" s="73">
        <v>0</v>
      </c>
      <c r="EB314" s="73">
        <v>17465</v>
      </c>
      <c r="EC314" s="65" t="s">
        <v>126</v>
      </c>
    </row>
    <row r="315" spans="1:133" ht="12" customHeight="1" x14ac:dyDescent="0.2">
      <c r="A315" t="s">
        <v>2937</v>
      </c>
      <c r="B315" t="s">
        <v>2946</v>
      </c>
      <c r="C315" t="str">
        <f t="shared" si="14"/>
        <v>Full</v>
      </c>
      <c r="E315" s="65">
        <v>4718</v>
      </c>
      <c r="F315" t="s">
        <v>1867</v>
      </c>
      <c r="G315" s="71" t="s">
        <v>3947</v>
      </c>
      <c r="H315" s="67">
        <v>5.71000003814697</v>
      </c>
      <c r="I315" s="65">
        <v>529643</v>
      </c>
      <c r="J315" s="65">
        <v>177593</v>
      </c>
      <c r="K315" s="65" t="s">
        <v>1868</v>
      </c>
      <c r="L315" s="65" t="s">
        <v>1888</v>
      </c>
      <c r="M315" s="65" t="s">
        <v>27</v>
      </c>
      <c r="N315" s="69">
        <v>43080</v>
      </c>
      <c r="O315" s="69">
        <v>43174</v>
      </c>
      <c r="P315" s="65" t="s">
        <v>126</v>
      </c>
      <c r="R315" s="65" t="s">
        <v>28</v>
      </c>
      <c r="U315" t="s">
        <v>1889</v>
      </c>
      <c r="V315" t="s">
        <v>3280</v>
      </c>
      <c r="W315" s="65" t="s">
        <v>29</v>
      </c>
      <c r="X315" s="65" t="s">
        <v>29</v>
      </c>
      <c r="Y315" s="65" t="s">
        <v>69</v>
      </c>
      <c r="AD315" s="65" t="s">
        <v>23</v>
      </c>
      <c r="AE315" s="65" t="s">
        <v>24</v>
      </c>
      <c r="AF315" s="71" t="s">
        <v>1886</v>
      </c>
      <c r="AK315" s="73">
        <v>33</v>
      </c>
      <c r="AL315" s="73">
        <v>33</v>
      </c>
      <c r="AM315" s="73">
        <v>33</v>
      </c>
      <c r="AO315" s="73">
        <v>99</v>
      </c>
      <c r="BA315" s="73">
        <v>98</v>
      </c>
      <c r="BE315" s="73">
        <v>98</v>
      </c>
      <c r="BO315" s="185" t="s">
        <v>126</v>
      </c>
      <c r="BP315" s="185" t="s">
        <v>3794</v>
      </c>
      <c r="BQ315" s="185" t="s">
        <v>3794</v>
      </c>
      <c r="BS315" s="73">
        <v>-65</v>
      </c>
      <c r="BT315" s="73">
        <v>33</v>
      </c>
      <c r="BU315" s="73">
        <v>33</v>
      </c>
      <c r="BW315" s="73">
        <v>1</v>
      </c>
      <c r="BY315" s="185" t="s">
        <v>3794</v>
      </c>
      <c r="CJ315" t="s">
        <v>25</v>
      </c>
      <c r="CK315" t="s">
        <v>31</v>
      </c>
      <c r="CL315" t="s">
        <v>50</v>
      </c>
      <c r="CM315" t="s">
        <v>175</v>
      </c>
      <c r="CN315" t="s">
        <v>25</v>
      </c>
      <c r="CO315" t="s">
        <v>25</v>
      </c>
      <c r="CP315" t="s">
        <v>25</v>
      </c>
      <c r="CQ315" t="s">
        <v>25</v>
      </c>
      <c r="CR315" t="s">
        <v>25</v>
      </c>
      <c r="CS315" t="s">
        <v>25</v>
      </c>
      <c r="CT315" t="s">
        <v>25</v>
      </c>
      <c r="CU315" t="s">
        <v>25</v>
      </c>
      <c r="CV315" t="s">
        <v>25</v>
      </c>
      <c r="CW315" t="s">
        <v>25</v>
      </c>
      <c r="CX315" t="s">
        <v>47</v>
      </c>
      <c r="CY315" t="s">
        <v>25</v>
      </c>
      <c r="CZ315" t="s">
        <v>25</v>
      </c>
      <c r="DA315" t="s">
        <v>25</v>
      </c>
      <c r="DB315" t="s">
        <v>25</v>
      </c>
      <c r="DC315" t="s">
        <v>25</v>
      </c>
      <c r="DD315" t="s">
        <v>25</v>
      </c>
      <c r="DE315" t="s">
        <v>25</v>
      </c>
      <c r="DF315" t="s">
        <v>25</v>
      </c>
      <c r="DG315" t="s">
        <v>25</v>
      </c>
      <c r="DH315" t="s">
        <v>25</v>
      </c>
      <c r="DI315" t="s">
        <v>25</v>
      </c>
      <c r="DJ315" s="76">
        <v>0</v>
      </c>
      <c r="DK315" s="73">
        <v>99</v>
      </c>
      <c r="DL315" s="73">
        <v>98</v>
      </c>
      <c r="DM315" s="73">
        <v>1</v>
      </c>
      <c r="DU315" s="65" t="s">
        <v>126</v>
      </c>
      <c r="DZ315" s="73">
        <v>0</v>
      </c>
      <c r="EA315" s="73">
        <v>0</v>
      </c>
      <c r="EB315" s="73">
        <v>0</v>
      </c>
    </row>
    <row r="316" spans="1:133" ht="12" customHeight="1" x14ac:dyDescent="0.2">
      <c r="A316" t="s">
        <v>2938</v>
      </c>
      <c r="B316" t="s">
        <v>2946</v>
      </c>
      <c r="C316" t="str">
        <f t="shared" si="14"/>
        <v>Full</v>
      </c>
      <c r="E316" s="65">
        <v>4718</v>
      </c>
      <c r="F316" t="s">
        <v>1867</v>
      </c>
      <c r="G316" s="71" t="s">
        <v>3947</v>
      </c>
      <c r="H316" s="67">
        <v>5.71000003814697</v>
      </c>
      <c r="I316" s="65">
        <v>529643</v>
      </c>
      <c r="J316" s="65">
        <v>177593</v>
      </c>
      <c r="K316" s="65" t="s">
        <v>1868</v>
      </c>
      <c r="L316" s="65" t="s">
        <v>1890</v>
      </c>
      <c r="M316" s="65" t="s">
        <v>172</v>
      </c>
      <c r="N316" s="69">
        <v>43147</v>
      </c>
      <c r="R316" s="65" t="s">
        <v>28</v>
      </c>
      <c r="U316" t="s">
        <v>1891</v>
      </c>
      <c r="V316" t="s">
        <v>3281</v>
      </c>
      <c r="W316" s="65" t="s">
        <v>21</v>
      </c>
      <c r="X316" s="65" t="s">
        <v>21</v>
      </c>
      <c r="Y316" s="65" t="s">
        <v>69</v>
      </c>
      <c r="AD316" s="65" t="s">
        <v>173</v>
      </c>
      <c r="AE316" s="65" t="s">
        <v>24</v>
      </c>
      <c r="AJ316" s="73">
        <v>123</v>
      </c>
      <c r="AL316" s="73">
        <v>123</v>
      </c>
      <c r="AO316" s="73">
        <v>246</v>
      </c>
      <c r="AX316" s="73">
        <v>301</v>
      </c>
      <c r="AY316" s="73">
        <v>301</v>
      </c>
      <c r="BO316" s="185" t="s">
        <v>126</v>
      </c>
      <c r="BP316" s="185" t="s">
        <v>3794</v>
      </c>
      <c r="BQ316" s="185" t="s">
        <v>126</v>
      </c>
      <c r="BR316" s="73">
        <v>123</v>
      </c>
      <c r="BT316" s="73">
        <v>123</v>
      </c>
      <c r="BW316" s="73">
        <v>246</v>
      </c>
      <c r="BY316" s="185" t="s">
        <v>3794</v>
      </c>
      <c r="CH316" s="73">
        <v>301</v>
      </c>
      <c r="CI316" s="73">
        <v>301</v>
      </c>
      <c r="CJ316" t="s">
        <v>46</v>
      </c>
      <c r="CK316" t="s">
        <v>25</v>
      </c>
      <c r="CL316" t="s">
        <v>50</v>
      </c>
      <c r="CM316" t="s">
        <v>25</v>
      </c>
      <c r="CN316" t="s">
        <v>25</v>
      </c>
      <c r="CO316" t="s">
        <v>25</v>
      </c>
      <c r="CP316" t="s">
        <v>25</v>
      </c>
      <c r="CQ316" t="s">
        <v>25</v>
      </c>
      <c r="CR316" t="s">
        <v>25</v>
      </c>
      <c r="CS316" t="s">
        <v>25</v>
      </c>
      <c r="CT316" t="s">
        <v>25</v>
      </c>
      <c r="CU316" t="s">
        <v>25</v>
      </c>
      <c r="CV316" t="s">
        <v>44</v>
      </c>
      <c r="CW316" t="s">
        <v>25</v>
      </c>
      <c r="CX316" t="s">
        <v>25</v>
      </c>
      <c r="CY316" t="s">
        <v>25</v>
      </c>
      <c r="CZ316" t="s">
        <v>25</v>
      </c>
      <c r="DA316" t="s">
        <v>25</v>
      </c>
      <c r="DB316" t="s">
        <v>25</v>
      </c>
      <c r="DC316" t="s">
        <v>25</v>
      </c>
      <c r="DD316" t="s">
        <v>25</v>
      </c>
      <c r="DE316" t="s">
        <v>25</v>
      </c>
      <c r="DF316" t="s">
        <v>25</v>
      </c>
      <c r="DG316" t="s">
        <v>25</v>
      </c>
      <c r="DH316" t="s">
        <v>25</v>
      </c>
      <c r="DI316" t="s">
        <v>25</v>
      </c>
      <c r="DJ316" s="76">
        <v>0</v>
      </c>
      <c r="DK316" s="73">
        <v>547</v>
      </c>
      <c r="DL316" s="73">
        <v>547</v>
      </c>
      <c r="DM316" s="73">
        <v>0</v>
      </c>
      <c r="DU316" s="65" t="s">
        <v>126</v>
      </c>
      <c r="DZ316" s="73">
        <v>0</v>
      </c>
      <c r="EA316" s="73">
        <v>0</v>
      </c>
      <c r="EB316" s="73">
        <v>0</v>
      </c>
    </row>
    <row r="317" spans="1:133" ht="12" customHeight="1" x14ac:dyDescent="0.2">
      <c r="A317" t="s">
        <v>2935</v>
      </c>
      <c r="B317" t="s">
        <v>2946</v>
      </c>
      <c r="C317" t="str">
        <f t="shared" si="14"/>
        <v>Full</v>
      </c>
      <c r="E317" s="65">
        <v>4722</v>
      </c>
      <c r="F317" t="s">
        <v>1892</v>
      </c>
      <c r="G317" s="71" t="s">
        <v>3941</v>
      </c>
      <c r="H317" s="67">
        <v>0.25499999523162797</v>
      </c>
      <c r="I317" s="65">
        <v>528478</v>
      </c>
      <c r="J317" s="65">
        <v>173353</v>
      </c>
      <c r="L317" s="65" t="s">
        <v>226</v>
      </c>
      <c r="M317" s="65" t="s">
        <v>27</v>
      </c>
      <c r="N317" s="69">
        <v>41668</v>
      </c>
      <c r="O317" s="69">
        <v>42114</v>
      </c>
      <c r="R317" s="65" t="s">
        <v>28</v>
      </c>
      <c r="U317" t="s">
        <v>694</v>
      </c>
      <c r="V317" t="s">
        <v>3282</v>
      </c>
      <c r="W317" s="65" t="s">
        <v>29</v>
      </c>
      <c r="X317" s="65" t="s">
        <v>29</v>
      </c>
      <c r="Y317" s="65" t="s">
        <v>30</v>
      </c>
      <c r="Z317" s="69">
        <v>42825</v>
      </c>
      <c r="AA317" s="69">
        <v>42825</v>
      </c>
      <c r="AD317" s="65" t="s">
        <v>23</v>
      </c>
      <c r="AE317" s="65" t="s">
        <v>24</v>
      </c>
      <c r="AH317" s="69">
        <f t="shared" ref="AH317:AH378" si="15">AA317</f>
        <v>42825</v>
      </c>
      <c r="AJ317" s="73">
        <v>570</v>
      </c>
      <c r="AO317" s="73">
        <v>570</v>
      </c>
      <c r="AX317" s="73">
        <v>1170</v>
      </c>
      <c r="AY317" s="73">
        <v>1170</v>
      </c>
      <c r="AZ317" s="73">
        <v>539</v>
      </c>
      <c r="BE317" s="73">
        <v>539</v>
      </c>
      <c r="BO317" s="185" t="s">
        <v>126</v>
      </c>
      <c r="BP317" s="185" t="s">
        <v>3794</v>
      </c>
      <c r="BQ317" s="185" t="s">
        <v>126</v>
      </c>
      <c r="BR317" s="73">
        <v>31</v>
      </c>
      <c r="BW317" s="570">
        <v>31</v>
      </c>
      <c r="BY317" s="185" t="s">
        <v>3794</v>
      </c>
      <c r="CH317" s="73">
        <v>1170</v>
      </c>
      <c r="CI317" s="73">
        <v>1170</v>
      </c>
      <c r="CJ317" t="s">
        <v>31</v>
      </c>
      <c r="CK317" t="s">
        <v>25</v>
      </c>
      <c r="CL317" t="s">
        <v>25</v>
      </c>
      <c r="CM317" t="s">
        <v>25</v>
      </c>
      <c r="CN317" t="s">
        <v>25</v>
      </c>
      <c r="CO317" t="s">
        <v>25</v>
      </c>
      <c r="CP317" t="s">
        <v>25</v>
      </c>
      <c r="CQ317" t="s">
        <v>25</v>
      </c>
      <c r="CR317" t="s">
        <v>25</v>
      </c>
      <c r="CS317" t="s">
        <v>25</v>
      </c>
      <c r="CT317" t="s">
        <v>25</v>
      </c>
      <c r="CU317" t="s">
        <v>25</v>
      </c>
      <c r="CV317" t="s">
        <v>44</v>
      </c>
      <c r="CW317" t="s">
        <v>31</v>
      </c>
      <c r="CX317" t="s">
        <v>25</v>
      </c>
      <c r="CY317" t="s">
        <v>25</v>
      </c>
      <c r="CZ317" t="s">
        <v>25</v>
      </c>
      <c r="DA317" t="s">
        <v>25</v>
      </c>
      <c r="DB317" t="s">
        <v>25</v>
      </c>
      <c r="DC317" t="s">
        <v>25</v>
      </c>
      <c r="DD317" t="s">
        <v>25</v>
      </c>
      <c r="DE317" t="s">
        <v>25</v>
      </c>
      <c r="DF317" t="s">
        <v>25</v>
      </c>
      <c r="DG317" t="s">
        <v>25</v>
      </c>
      <c r="DH317" t="s">
        <v>25</v>
      </c>
      <c r="DI317" t="s">
        <v>25</v>
      </c>
      <c r="DJ317" s="76">
        <v>0.14199999719858097</v>
      </c>
      <c r="DK317" s="73">
        <v>1740</v>
      </c>
      <c r="DL317" s="73">
        <v>539</v>
      </c>
      <c r="DM317" s="73">
        <v>1201</v>
      </c>
      <c r="DU317"/>
      <c r="DV317" s="65" t="s">
        <v>126</v>
      </c>
      <c r="DW317" t="s">
        <v>149</v>
      </c>
      <c r="DZ317" s="73">
        <v>789</v>
      </c>
      <c r="EA317" s="73">
        <v>0</v>
      </c>
      <c r="EB317" s="73">
        <v>789</v>
      </c>
      <c r="EC317" s="65" t="s">
        <v>126</v>
      </c>
    </row>
    <row r="318" spans="1:133" ht="12" customHeight="1" x14ac:dyDescent="0.2">
      <c r="A318" t="s">
        <v>2938</v>
      </c>
      <c r="B318" t="s">
        <v>2959</v>
      </c>
      <c r="C318" t="str">
        <f t="shared" si="14"/>
        <v>Appeal</v>
      </c>
      <c r="E318" s="65">
        <v>4734</v>
      </c>
      <c r="F318" t="s">
        <v>1893</v>
      </c>
      <c r="G318" s="71" t="s">
        <v>3952</v>
      </c>
      <c r="H318" s="67">
        <v>3.9999999105930301E-2</v>
      </c>
      <c r="I318" s="65">
        <v>528758</v>
      </c>
      <c r="J318" s="65">
        <v>172374</v>
      </c>
      <c r="L318" s="65" t="s">
        <v>1894</v>
      </c>
      <c r="M318" s="65" t="s">
        <v>19</v>
      </c>
      <c r="N318" s="69">
        <v>42963</v>
      </c>
      <c r="O318" s="69">
        <v>43019</v>
      </c>
      <c r="P318" s="65" t="s">
        <v>126</v>
      </c>
      <c r="R318" s="65" t="s">
        <v>987</v>
      </c>
      <c r="S318" s="69">
        <v>43061</v>
      </c>
      <c r="U318" t="s">
        <v>1895</v>
      </c>
      <c r="V318" t="s">
        <v>3283</v>
      </c>
      <c r="W318" s="65" t="s">
        <v>21</v>
      </c>
      <c r="X318" s="65" t="s">
        <v>21</v>
      </c>
      <c r="Y318" s="65" t="s">
        <v>69</v>
      </c>
      <c r="AD318" s="65" t="s">
        <v>23</v>
      </c>
      <c r="AE318" s="65" t="s">
        <v>24</v>
      </c>
      <c r="AX318" s="73">
        <v>44</v>
      </c>
      <c r="AY318" s="73">
        <v>44</v>
      </c>
      <c r="BO318" s="185" t="s">
        <v>3794</v>
      </c>
      <c r="BP318" s="185" t="s">
        <v>3794</v>
      </c>
      <c r="BQ318" s="185" t="s">
        <v>126</v>
      </c>
      <c r="BW318" s="73"/>
      <c r="BY318" s="185" t="s">
        <v>3794</v>
      </c>
      <c r="CH318" s="73">
        <v>44</v>
      </c>
      <c r="CI318" s="73">
        <v>44</v>
      </c>
      <c r="CJ318" t="s">
        <v>25</v>
      </c>
      <c r="CK318" t="s">
        <v>25</v>
      </c>
      <c r="CL318" t="s">
        <v>25</v>
      </c>
      <c r="CM318" t="s">
        <v>25</v>
      </c>
      <c r="CN318" t="s">
        <v>25</v>
      </c>
      <c r="CO318" t="s">
        <v>25</v>
      </c>
      <c r="CP318" t="s">
        <v>25</v>
      </c>
      <c r="CQ318" t="s">
        <v>25</v>
      </c>
      <c r="CR318" t="s">
        <v>25</v>
      </c>
      <c r="CS318" t="s">
        <v>25</v>
      </c>
      <c r="CT318" t="s">
        <v>25</v>
      </c>
      <c r="CU318" t="s">
        <v>25</v>
      </c>
      <c r="CV318" t="s">
        <v>49</v>
      </c>
      <c r="CW318" t="s">
        <v>25</v>
      </c>
      <c r="CX318" t="s">
        <v>25</v>
      </c>
      <c r="CY318" t="s">
        <v>25</v>
      </c>
      <c r="CZ318" t="s">
        <v>25</v>
      </c>
      <c r="DA318" t="s">
        <v>25</v>
      </c>
      <c r="DB318" t="s">
        <v>25</v>
      </c>
      <c r="DC318" t="s">
        <v>25</v>
      </c>
      <c r="DD318" t="s">
        <v>25</v>
      </c>
      <c r="DE318" t="s">
        <v>25</v>
      </c>
      <c r="DF318" t="s">
        <v>25</v>
      </c>
      <c r="DG318" t="s">
        <v>25</v>
      </c>
      <c r="DH318" t="s">
        <v>25</v>
      </c>
      <c r="DI318" t="s">
        <v>25</v>
      </c>
      <c r="DJ318" s="76">
        <v>3.9999999105930301E-2</v>
      </c>
      <c r="DK318" s="73">
        <v>44</v>
      </c>
      <c r="DL318" s="73">
        <v>0</v>
      </c>
      <c r="DM318" s="73">
        <v>44</v>
      </c>
      <c r="DU318"/>
      <c r="DZ318" s="73">
        <v>44</v>
      </c>
      <c r="EA318" s="73">
        <v>88</v>
      </c>
      <c r="EB318" s="73">
        <v>-44</v>
      </c>
    </row>
    <row r="319" spans="1:133" ht="12" customHeight="1" x14ac:dyDescent="0.2">
      <c r="A319" t="s">
        <v>2935</v>
      </c>
      <c r="B319" t="s">
        <v>2946</v>
      </c>
      <c r="C319" t="str">
        <f t="shared" si="14"/>
        <v>Full</v>
      </c>
      <c r="E319" s="65">
        <v>4746</v>
      </c>
      <c r="F319" t="s">
        <v>1896</v>
      </c>
      <c r="G319" s="71" t="s">
        <v>3950</v>
      </c>
      <c r="H319" s="67">
        <v>3.29999998211861E-2</v>
      </c>
      <c r="I319" s="65">
        <v>528869</v>
      </c>
      <c r="J319" s="65">
        <v>170872</v>
      </c>
      <c r="L319" s="65" t="s">
        <v>245</v>
      </c>
      <c r="M319" s="65" t="s">
        <v>27</v>
      </c>
      <c r="N319" s="69">
        <v>41430</v>
      </c>
      <c r="O319" s="69">
        <v>41745</v>
      </c>
      <c r="R319" s="65" t="s">
        <v>28</v>
      </c>
      <c r="U319" t="s">
        <v>404</v>
      </c>
      <c r="V319" t="s">
        <v>3284</v>
      </c>
      <c r="W319" s="65" t="s">
        <v>29</v>
      </c>
      <c r="X319" s="65" t="s">
        <v>29</v>
      </c>
      <c r="Y319" s="65" t="s">
        <v>30</v>
      </c>
      <c r="AA319" s="69">
        <v>42825</v>
      </c>
      <c r="AD319" s="65" t="s">
        <v>23</v>
      </c>
      <c r="AE319" s="65" t="s">
        <v>24</v>
      </c>
      <c r="AH319" s="69">
        <f t="shared" si="15"/>
        <v>42825</v>
      </c>
      <c r="BO319" s="185" t="s">
        <v>3794</v>
      </c>
      <c r="BP319" s="185" t="s">
        <v>3794</v>
      </c>
      <c r="BQ319" s="185" t="s">
        <v>3794</v>
      </c>
      <c r="BW319" s="73"/>
      <c r="BY319" s="185" t="s">
        <v>3794</v>
      </c>
      <c r="CJ319" t="s">
        <v>25</v>
      </c>
      <c r="CK319" t="s">
        <v>25</v>
      </c>
      <c r="CL319" t="s">
        <v>25</v>
      </c>
      <c r="CM319" t="s">
        <v>25</v>
      </c>
      <c r="CN319" t="s">
        <v>25</v>
      </c>
      <c r="CO319" t="s">
        <v>25</v>
      </c>
      <c r="CP319" t="s">
        <v>25</v>
      </c>
      <c r="CQ319" t="s">
        <v>25</v>
      </c>
      <c r="CR319" t="s">
        <v>25</v>
      </c>
      <c r="CS319" t="s">
        <v>25</v>
      </c>
      <c r="CT319" t="s">
        <v>25</v>
      </c>
      <c r="CU319" t="s">
        <v>25</v>
      </c>
      <c r="CV319" t="s">
        <v>25</v>
      </c>
      <c r="CW319" t="s">
        <v>25</v>
      </c>
      <c r="CX319" t="s">
        <v>25</v>
      </c>
      <c r="CY319" t="s">
        <v>25</v>
      </c>
      <c r="CZ319" t="s">
        <v>25</v>
      </c>
      <c r="DA319" t="s">
        <v>25</v>
      </c>
      <c r="DB319" t="s">
        <v>25</v>
      </c>
      <c r="DC319" t="s">
        <v>25</v>
      </c>
      <c r="DD319" t="s">
        <v>25</v>
      </c>
      <c r="DE319" t="s">
        <v>25</v>
      </c>
      <c r="DF319" t="s">
        <v>25</v>
      </c>
      <c r="DG319" t="s">
        <v>25</v>
      </c>
      <c r="DH319" t="s">
        <v>25</v>
      </c>
      <c r="DI319" t="s">
        <v>25</v>
      </c>
      <c r="DJ319" s="76">
        <v>0</v>
      </c>
      <c r="DK319" s="73">
        <v>0</v>
      </c>
      <c r="DL319" s="73">
        <v>74</v>
      </c>
      <c r="DM319" s="73">
        <v>-74</v>
      </c>
      <c r="DU319"/>
      <c r="DZ319" s="73">
        <v>483</v>
      </c>
      <c r="EA319" s="73">
        <v>0</v>
      </c>
      <c r="EB319" s="73">
        <v>483</v>
      </c>
      <c r="EC319" s="65" t="s">
        <v>126</v>
      </c>
    </row>
    <row r="320" spans="1:133" ht="12" customHeight="1" x14ac:dyDescent="0.2">
      <c r="A320" t="s">
        <v>2936</v>
      </c>
      <c r="B320" t="s">
        <v>2946</v>
      </c>
      <c r="C320" t="str">
        <f t="shared" si="14"/>
        <v>Full</v>
      </c>
      <c r="D320" t="s">
        <v>2943</v>
      </c>
      <c r="E320" s="65">
        <v>4748</v>
      </c>
      <c r="F320" t="s">
        <v>1897</v>
      </c>
      <c r="G320" s="71" t="s">
        <v>3950</v>
      </c>
      <c r="H320" s="67">
        <v>1.4000000432133701E-2</v>
      </c>
      <c r="I320" s="65">
        <v>529231</v>
      </c>
      <c r="J320" s="65">
        <v>171142</v>
      </c>
      <c r="L320" s="65" t="s">
        <v>353</v>
      </c>
      <c r="M320" s="65" t="s">
        <v>27</v>
      </c>
      <c r="N320" s="69">
        <v>41773</v>
      </c>
      <c r="O320" s="69">
        <v>41828</v>
      </c>
      <c r="R320" s="65" t="s">
        <v>28</v>
      </c>
      <c r="U320" t="s">
        <v>698</v>
      </c>
      <c r="V320" t="s">
        <v>3285</v>
      </c>
      <c r="W320" s="65" t="s">
        <v>21</v>
      </c>
      <c r="X320" s="65" t="s">
        <v>21</v>
      </c>
      <c r="Y320" s="65" t="s">
        <v>35</v>
      </c>
      <c r="AA320" s="69">
        <v>42277</v>
      </c>
      <c r="AB320" s="69">
        <v>42920</v>
      </c>
      <c r="AC320" s="69">
        <v>42920</v>
      </c>
      <c r="AD320" s="65" t="s">
        <v>23</v>
      </c>
      <c r="AE320" s="65" t="s">
        <v>24</v>
      </c>
      <c r="AH320" s="69">
        <f t="shared" si="15"/>
        <v>42277</v>
      </c>
      <c r="AI320" s="69">
        <f t="shared" ref="AI320:AI374" si="16">AB320</f>
        <v>42920</v>
      </c>
      <c r="AK320" s="73">
        <v>38</v>
      </c>
      <c r="AO320" s="73">
        <v>38</v>
      </c>
      <c r="BA320" s="73">
        <v>125</v>
      </c>
      <c r="BE320" s="73">
        <v>125</v>
      </c>
      <c r="BO320" s="185" t="s">
        <v>126</v>
      </c>
      <c r="BP320" s="185" t="s">
        <v>3794</v>
      </c>
      <c r="BQ320" s="185" t="s">
        <v>3794</v>
      </c>
      <c r="BS320" s="73">
        <v>-87</v>
      </c>
      <c r="BW320" s="73">
        <v>-87</v>
      </c>
      <c r="BY320" s="185" t="s">
        <v>3794</v>
      </c>
      <c r="CJ320" t="s">
        <v>25</v>
      </c>
      <c r="CK320" t="s">
        <v>31</v>
      </c>
      <c r="CL320" t="s">
        <v>25</v>
      </c>
      <c r="CM320" t="s">
        <v>25</v>
      </c>
      <c r="CN320" t="s">
        <v>25</v>
      </c>
      <c r="CO320" t="s">
        <v>25</v>
      </c>
      <c r="CP320" t="s">
        <v>25</v>
      </c>
      <c r="CQ320" t="s">
        <v>25</v>
      </c>
      <c r="CR320" t="s">
        <v>25</v>
      </c>
      <c r="CS320" t="s">
        <v>25</v>
      </c>
      <c r="CT320" t="s">
        <v>25</v>
      </c>
      <c r="CU320" t="s">
        <v>25</v>
      </c>
      <c r="CV320" t="s">
        <v>25</v>
      </c>
      <c r="CW320" t="s">
        <v>25</v>
      </c>
      <c r="CX320" t="s">
        <v>31</v>
      </c>
      <c r="CY320" t="s">
        <v>25</v>
      </c>
      <c r="CZ320" t="s">
        <v>25</v>
      </c>
      <c r="DA320" t="s">
        <v>25</v>
      </c>
      <c r="DB320" t="s">
        <v>25</v>
      </c>
      <c r="DC320" t="s">
        <v>25</v>
      </c>
      <c r="DD320" t="s">
        <v>25</v>
      </c>
      <c r="DE320" t="s">
        <v>25</v>
      </c>
      <c r="DF320" t="s">
        <v>25</v>
      </c>
      <c r="DG320" t="s">
        <v>25</v>
      </c>
      <c r="DH320" t="s">
        <v>25</v>
      </c>
      <c r="DI320" t="s">
        <v>25</v>
      </c>
      <c r="DJ320" s="76">
        <v>9.0000005438924113E-3</v>
      </c>
      <c r="DK320" s="73">
        <v>38</v>
      </c>
      <c r="DL320" s="73">
        <v>125</v>
      </c>
      <c r="DM320" s="73">
        <v>-87</v>
      </c>
      <c r="DU320"/>
      <c r="DX320" s="65" t="s">
        <v>126</v>
      </c>
      <c r="DY320" t="s">
        <v>183</v>
      </c>
      <c r="DZ320" s="73">
        <v>87</v>
      </c>
      <c r="EA320" s="73">
        <v>0</v>
      </c>
      <c r="EB320" s="73">
        <v>87</v>
      </c>
      <c r="EC320" s="65" t="s">
        <v>126</v>
      </c>
    </row>
    <row r="321" spans="1:133" ht="12" customHeight="1" x14ac:dyDescent="0.2">
      <c r="A321" t="s">
        <v>2936</v>
      </c>
      <c r="B321" t="s">
        <v>2946</v>
      </c>
      <c r="C321" t="str">
        <f t="shared" si="14"/>
        <v>Full</v>
      </c>
      <c r="D321" t="s">
        <v>2943</v>
      </c>
      <c r="E321" s="65">
        <v>4748</v>
      </c>
      <c r="F321" t="s">
        <v>1897</v>
      </c>
      <c r="G321" s="71" t="s">
        <v>3950</v>
      </c>
      <c r="H321" s="67">
        <v>1.4000000432133701E-2</v>
      </c>
      <c r="I321" s="65">
        <v>529231</v>
      </c>
      <c r="J321" s="65">
        <v>171142</v>
      </c>
      <c r="L321" s="65" t="s">
        <v>1898</v>
      </c>
      <c r="M321" s="65" t="s">
        <v>27</v>
      </c>
      <c r="N321" s="69">
        <v>42886</v>
      </c>
      <c r="O321" s="69">
        <v>42942</v>
      </c>
      <c r="P321" s="65" t="s">
        <v>126</v>
      </c>
      <c r="R321" s="65" t="s">
        <v>28</v>
      </c>
      <c r="U321" t="s">
        <v>1899</v>
      </c>
      <c r="V321" t="s">
        <v>3286</v>
      </c>
      <c r="W321" s="65" t="s">
        <v>34</v>
      </c>
      <c r="X321" s="65" t="s">
        <v>29</v>
      </c>
      <c r="Y321" s="65" t="s">
        <v>35</v>
      </c>
      <c r="AA321" s="69">
        <v>42942</v>
      </c>
      <c r="AB321" s="69">
        <v>42942</v>
      </c>
      <c r="AC321" s="69">
        <v>42942</v>
      </c>
      <c r="AD321" s="65" t="s">
        <v>23</v>
      </c>
      <c r="AE321" s="65" t="s">
        <v>24</v>
      </c>
      <c r="AH321" s="69">
        <f t="shared" si="15"/>
        <v>42942</v>
      </c>
      <c r="AI321" s="69">
        <f t="shared" si="16"/>
        <v>42942</v>
      </c>
      <c r="AK321" s="73">
        <v>62</v>
      </c>
      <c r="AO321" s="73">
        <v>62</v>
      </c>
      <c r="BA321" s="73">
        <v>86</v>
      </c>
      <c r="BE321" s="73">
        <v>86</v>
      </c>
      <c r="BO321" s="185" t="s">
        <v>126</v>
      </c>
      <c r="BP321" s="185" t="s">
        <v>3794</v>
      </c>
      <c r="BQ321" s="185" t="s">
        <v>3794</v>
      </c>
      <c r="BS321" s="73">
        <v>-24</v>
      </c>
      <c r="BW321" s="73">
        <v>-24</v>
      </c>
      <c r="BY321" s="185" t="s">
        <v>3794</v>
      </c>
      <c r="CJ321" t="s">
        <v>25</v>
      </c>
      <c r="CK321" t="s">
        <v>31</v>
      </c>
      <c r="CL321" t="s">
        <v>25</v>
      </c>
      <c r="CM321" t="s">
        <v>25</v>
      </c>
      <c r="CN321" t="s">
        <v>25</v>
      </c>
      <c r="CO321" t="s">
        <v>25</v>
      </c>
      <c r="CP321" t="s">
        <v>25</v>
      </c>
      <c r="CQ321" t="s">
        <v>25</v>
      </c>
      <c r="CR321" t="s">
        <v>25</v>
      </c>
      <c r="CS321" t="s">
        <v>25</v>
      </c>
      <c r="CT321" t="s">
        <v>25</v>
      </c>
      <c r="CU321" t="s">
        <v>25</v>
      </c>
      <c r="CV321" t="s">
        <v>25</v>
      </c>
      <c r="CW321" t="s">
        <v>25</v>
      </c>
      <c r="CX321" t="s">
        <v>31</v>
      </c>
      <c r="CY321" t="s">
        <v>25</v>
      </c>
      <c r="CZ321" t="s">
        <v>25</v>
      </c>
      <c r="DA321" t="s">
        <v>25</v>
      </c>
      <c r="DB321" t="s">
        <v>25</v>
      </c>
      <c r="DC321" t="s">
        <v>25</v>
      </c>
      <c r="DD321" t="s">
        <v>25</v>
      </c>
      <c r="DE321" t="s">
        <v>25</v>
      </c>
      <c r="DF321" t="s">
        <v>25</v>
      </c>
      <c r="DG321" t="s">
        <v>25</v>
      </c>
      <c r="DH321" t="s">
        <v>25</v>
      </c>
      <c r="DI321" t="s">
        <v>25</v>
      </c>
      <c r="DJ321" s="76">
        <v>9.0000005438924113E-3</v>
      </c>
      <c r="DK321" s="73">
        <v>62</v>
      </c>
      <c r="DL321" s="73">
        <v>86</v>
      </c>
      <c r="DM321" s="73">
        <v>-24</v>
      </c>
      <c r="DU321"/>
      <c r="DX321" s="65" t="s">
        <v>126</v>
      </c>
      <c r="DY321" t="s">
        <v>183</v>
      </c>
      <c r="DZ321" s="73">
        <v>66</v>
      </c>
      <c r="EA321" s="73">
        <v>62</v>
      </c>
      <c r="EB321" s="73">
        <v>4</v>
      </c>
      <c r="EC321" s="65" t="s">
        <v>126</v>
      </c>
    </row>
    <row r="322" spans="1:133" ht="12" customHeight="1" x14ac:dyDescent="0.2">
      <c r="A322" t="s">
        <v>2938</v>
      </c>
      <c r="B322" t="s">
        <v>2946</v>
      </c>
      <c r="C322" t="str">
        <f t="shared" si="14"/>
        <v>Full</v>
      </c>
      <c r="E322" s="65">
        <v>4750</v>
      </c>
      <c r="F322" t="s">
        <v>1900</v>
      </c>
      <c r="G322" s="71" t="s">
        <v>2907</v>
      </c>
      <c r="H322" s="67">
        <v>2.8999999165535001E-2</v>
      </c>
      <c r="I322" s="65">
        <v>525522</v>
      </c>
      <c r="J322" s="65">
        <v>174660</v>
      </c>
      <c r="L322" s="65" t="s">
        <v>1901</v>
      </c>
      <c r="M322" s="65" t="s">
        <v>172</v>
      </c>
      <c r="N322" s="69">
        <v>43180</v>
      </c>
      <c r="R322" s="65" t="s">
        <v>28</v>
      </c>
      <c r="U322" t="s">
        <v>1902</v>
      </c>
      <c r="V322" t="s">
        <v>3287</v>
      </c>
      <c r="W322" s="65" t="s">
        <v>34</v>
      </c>
      <c r="X322" s="65" t="s">
        <v>29</v>
      </c>
      <c r="Y322" s="65" t="s">
        <v>69</v>
      </c>
      <c r="AD322" s="65" t="s">
        <v>173</v>
      </c>
      <c r="AE322" s="65" t="s">
        <v>24</v>
      </c>
      <c r="AJ322" s="73">
        <v>251</v>
      </c>
      <c r="AO322" s="73">
        <v>251</v>
      </c>
      <c r="BO322" s="185" t="s">
        <v>126</v>
      </c>
      <c r="BP322" s="185" t="s">
        <v>3794</v>
      </c>
      <c r="BQ322" s="185" t="s">
        <v>3794</v>
      </c>
      <c r="BR322" s="73">
        <v>251</v>
      </c>
      <c r="BW322" s="73">
        <v>251</v>
      </c>
      <c r="BY322" s="185" t="s">
        <v>3794</v>
      </c>
      <c r="CJ322" t="s">
        <v>40</v>
      </c>
      <c r="CK322" t="s">
        <v>25</v>
      </c>
      <c r="CL322" t="s">
        <v>25</v>
      </c>
      <c r="CM322" t="s">
        <v>25</v>
      </c>
      <c r="CN322" t="s">
        <v>25</v>
      </c>
      <c r="CO322" t="s">
        <v>72</v>
      </c>
      <c r="CP322" t="s">
        <v>25</v>
      </c>
      <c r="CQ322" t="s">
        <v>25</v>
      </c>
      <c r="CR322" t="s">
        <v>25</v>
      </c>
      <c r="CS322" t="s">
        <v>25</v>
      </c>
      <c r="CT322" t="s">
        <v>25</v>
      </c>
      <c r="CU322" t="s">
        <v>25</v>
      </c>
      <c r="CV322" t="s">
        <v>25</v>
      </c>
      <c r="CW322" t="s">
        <v>25</v>
      </c>
      <c r="CX322" t="s">
        <v>25</v>
      </c>
      <c r="CY322" t="s">
        <v>25</v>
      </c>
      <c r="CZ322" t="s">
        <v>25</v>
      </c>
      <c r="DA322" t="s">
        <v>25</v>
      </c>
      <c r="DB322" t="s">
        <v>25</v>
      </c>
      <c r="DC322" t="s">
        <v>25</v>
      </c>
      <c r="DD322" t="s">
        <v>25</v>
      </c>
      <c r="DE322" t="s">
        <v>25</v>
      </c>
      <c r="DF322" t="s">
        <v>25</v>
      </c>
      <c r="DG322" t="s">
        <v>25</v>
      </c>
      <c r="DH322" t="s">
        <v>25</v>
      </c>
      <c r="DI322" t="s">
        <v>25</v>
      </c>
      <c r="DJ322" s="76">
        <v>9.9999997764825994E-3</v>
      </c>
      <c r="DK322" s="73">
        <v>251</v>
      </c>
      <c r="DL322" s="73">
        <v>0</v>
      </c>
      <c r="DM322" s="73">
        <v>251</v>
      </c>
      <c r="DU322"/>
      <c r="DV322" s="65" t="s">
        <v>126</v>
      </c>
      <c r="DW322" t="s">
        <v>151</v>
      </c>
      <c r="DZ322" s="73">
        <v>367</v>
      </c>
      <c r="EA322" s="73">
        <v>0</v>
      </c>
      <c r="EB322" s="73">
        <v>367</v>
      </c>
      <c r="EC322" s="65" t="s">
        <v>126</v>
      </c>
    </row>
    <row r="323" spans="1:133" ht="12" customHeight="1" x14ac:dyDescent="0.2">
      <c r="A323" t="s">
        <v>2935</v>
      </c>
      <c r="B323" t="s">
        <v>2946</v>
      </c>
      <c r="C323" t="str">
        <f t="shared" ref="C323:C386" si="17">RIGHT(B323,LEN(B323)-3)</f>
        <v>Full</v>
      </c>
      <c r="E323" s="65">
        <v>4751</v>
      </c>
      <c r="F323" t="s">
        <v>1903</v>
      </c>
      <c r="G323" s="71" t="s">
        <v>3939</v>
      </c>
      <c r="H323" s="67">
        <v>7.0000002160668399E-3</v>
      </c>
      <c r="I323" s="65">
        <v>524675</v>
      </c>
      <c r="J323" s="65">
        <v>173310</v>
      </c>
      <c r="L323" s="65" t="s">
        <v>565</v>
      </c>
      <c r="M323" s="65" t="s">
        <v>27</v>
      </c>
      <c r="N323" s="69">
        <v>42339</v>
      </c>
      <c r="O323" s="69">
        <v>42429</v>
      </c>
      <c r="R323" s="65" t="s">
        <v>28</v>
      </c>
      <c r="U323" t="s">
        <v>566</v>
      </c>
      <c r="V323" t="s">
        <v>3288</v>
      </c>
      <c r="W323" s="65" t="s">
        <v>29</v>
      </c>
      <c r="X323" s="65" t="s">
        <v>29</v>
      </c>
      <c r="Y323" s="65" t="s">
        <v>30</v>
      </c>
      <c r="Z323" s="69">
        <v>42094</v>
      </c>
      <c r="AA323" s="69">
        <v>42825</v>
      </c>
      <c r="AD323" s="65" t="s">
        <v>23</v>
      </c>
      <c r="AE323" s="65" t="s">
        <v>24</v>
      </c>
      <c r="AH323" s="69">
        <f t="shared" si="15"/>
        <v>42825</v>
      </c>
      <c r="BO323" s="185" t="s">
        <v>3794</v>
      </c>
      <c r="BP323" s="185" t="s">
        <v>3794</v>
      </c>
      <c r="BQ323" s="185" t="s">
        <v>3794</v>
      </c>
      <c r="BW323" s="73"/>
      <c r="BY323" s="185" t="s">
        <v>3794</v>
      </c>
      <c r="CJ323" t="s">
        <v>25</v>
      </c>
      <c r="CK323" t="s">
        <v>25</v>
      </c>
      <c r="CL323" t="s">
        <v>25</v>
      </c>
      <c r="CM323" t="s">
        <v>25</v>
      </c>
      <c r="CN323" t="s">
        <v>25</v>
      </c>
      <c r="CO323" t="s">
        <v>25</v>
      </c>
      <c r="CP323" t="s">
        <v>25</v>
      </c>
      <c r="CQ323" t="s">
        <v>25</v>
      </c>
      <c r="CR323" t="s">
        <v>25</v>
      </c>
      <c r="CS323" t="s">
        <v>25</v>
      </c>
      <c r="CT323" t="s">
        <v>25</v>
      </c>
      <c r="CU323" t="s">
        <v>25</v>
      </c>
      <c r="CV323" t="s">
        <v>25</v>
      </c>
      <c r="CW323" t="s">
        <v>25</v>
      </c>
      <c r="CX323" t="s">
        <v>25</v>
      </c>
      <c r="CY323" t="s">
        <v>25</v>
      </c>
      <c r="CZ323" t="s">
        <v>25</v>
      </c>
      <c r="DA323" t="s">
        <v>25</v>
      </c>
      <c r="DB323" t="s">
        <v>25</v>
      </c>
      <c r="DC323" t="s">
        <v>25</v>
      </c>
      <c r="DD323" t="s">
        <v>25</v>
      </c>
      <c r="DE323" t="s">
        <v>25</v>
      </c>
      <c r="DF323" t="s">
        <v>25</v>
      </c>
      <c r="DG323" t="s">
        <v>25</v>
      </c>
      <c r="DH323" t="s">
        <v>25</v>
      </c>
      <c r="DI323" t="s">
        <v>25</v>
      </c>
      <c r="DJ323" s="76">
        <v>0</v>
      </c>
      <c r="DK323" s="73">
        <v>0</v>
      </c>
      <c r="DL323" s="73">
        <v>36</v>
      </c>
      <c r="DM323" s="73">
        <v>-36</v>
      </c>
      <c r="DU323"/>
      <c r="DZ323" s="73">
        <v>77</v>
      </c>
      <c r="EA323" s="73">
        <v>0</v>
      </c>
      <c r="EB323" s="73">
        <v>77</v>
      </c>
      <c r="EC323" s="65" t="s">
        <v>126</v>
      </c>
    </row>
    <row r="324" spans="1:133" ht="12" customHeight="1" x14ac:dyDescent="0.2">
      <c r="A324" t="s">
        <v>2935</v>
      </c>
      <c r="B324" t="s">
        <v>2946</v>
      </c>
      <c r="C324" t="str">
        <f t="shared" si="17"/>
        <v>Full</v>
      </c>
      <c r="E324" s="65">
        <v>4770</v>
      </c>
      <c r="F324" t="s">
        <v>1905</v>
      </c>
      <c r="G324" s="71" t="s">
        <v>3952</v>
      </c>
      <c r="H324" s="67">
        <v>7.0000000298023196E-2</v>
      </c>
      <c r="I324" s="65">
        <v>528277</v>
      </c>
      <c r="J324" s="65">
        <v>172172</v>
      </c>
      <c r="L324" s="65" t="s">
        <v>180</v>
      </c>
      <c r="M324" s="65" t="s">
        <v>27</v>
      </c>
      <c r="N324" s="69">
        <v>41088</v>
      </c>
      <c r="O324" s="69">
        <v>41178</v>
      </c>
      <c r="R324" s="65" t="s">
        <v>28</v>
      </c>
      <c r="U324" t="s">
        <v>648</v>
      </c>
      <c r="V324" t="s">
        <v>3289</v>
      </c>
      <c r="W324" s="65" t="s">
        <v>29</v>
      </c>
      <c r="X324" s="65" t="s">
        <v>29</v>
      </c>
      <c r="Y324" s="65" t="s">
        <v>30</v>
      </c>
      <c r="Z324" s="69">
        <v>43190</v>
      </c>
      <c r="AA324" s="69">
        <v>43190</v>
      </c>
      <c r="AD324" s="65" t="s">
        <v>23</v>
      </c>
      <c r="AE324" s="65" t="s">
        <v>24</v>
      </c>
      <c r="AH324" s="69">
        <f t="shared" si="15"/>
        <v>43190</v>
      </c>
      <c r="AJ324" s="73">
        <v>107</v>
      </c>
      <c r="AO324" s="73">
        <v>107</v>
      </c>
      <c r="AZ324" s="73">
        <v>83</v>
      </c>
      <c r="BE324" s="73">
        <v>83</v>
      </c>
      <c r="BO324" s="185" t="s">
        <v>126</v>
      </c>
      <c r="BP324" s="185" t="s">
        <v>3794</v>
      </c>
      <c r="BQ324" s="185" t="s">
        <v>3794</v>
      </c>
      <c r="BR324" s="73">
        <v>24</v>
      </c>
      <c r="BW324" s="73">
        <v>24</v>
      </c>
      <c r="BY324" s="185" t="s">
        <v>3794</v>
      </c>
      <c r="CJ324" t="s">
        <v>31</v>
      </c>
      <c r="CK324" t="s">
        <v>25</v>
      </c>
      <c r="CL324" t="s">
        <v>25</v>
      </c>
      <c r="CM324" t="s">
        <v>25</v>
      </c>
      <c r="CN324" t="s">
        <v>25</v>
      </c>
      <c r="CO324" t="s">
        <v>25</v>
      </c>
      <c r="CP324" t="s">
        <v>25</v>
      </c>
      <c r="CQ324" t="s">
        <v>25</v>
      </c>
      <c r="CR324" t="s">
        <v>25</v>
      </c>
      <c r="CS324" t="s">
        <v>25</v>
      </c>
      <c r="CT324" t="s">
        <v>25</v>
      </c>
      <c r="CU324" t="s">
        <v>25</v>
      </c>
      <c r="CV324" t="s">
        <v>25</v>
      </c>
      <c r="CW324" t="s">
        <v>31</v>
      </c>
      <c r="CX324" t="s">
        <v>25</v>
      </c>
      <c r="CY324" t="s">
        <v>25</v>
      </c>
      <c r="CZ324" t="s">
        <v>25</v>
      </c>
      <c r="DA324" t="s">
        <v>25</v>
      </c>
      <c r="DB324" t="s">
        <v>25</v>
      </c>
      <c r="DC324" t="s">
        <v>25</v>
      </c>
      <c r="DD324" t="s">
        <v>25</v>
      </c>
      <c r="DE324" t="s">
        <v>25</v>
      </c>
      <c r="DF324" t="s">
        <v>25</v>
      </c>
      <c r="DG324" t="s">
        <v>25</v>
      </c>
      <c r="DH324" t="s">
        <v>25</v>
      </c>
      <c r="DI324" t="s">
        <v>25</v>
      </c>
      <c r="DJ324" s="76">
        <v>7.0000000298023196E-2</v>
      </c>
      <c r="DK324" s="73">
        <v>138</v>
      </c>
      <c r="DL324" s="73">
        <v>83</v>
      </c>
      <c r="DM324" s="73">
        <v>55</v>
      </c>
      <c r="DU324"/>
      <c r="DZ324" s="73">
        <v>0</v>
      </c>
      <c r="EA324" s="73">
        <v>0</v>
      </c>
      <c r="EB324" s="73">
        <v>0</v>
      </c>
    </row>
    <row r="325" spans="1:133" ht="12" customHeight="1" x14ac:dyDescent="0.2">
      <c r="A325" t="s">
        <v>2936</v>
      </c>
      <c r="B325" t="s">
        <v>2946</v>
      </c>
      <c r="C325" t="str">
        <f t="shared" si="17"/>
        <v>Full</v>
      </c>
      <c r="D325" t="s">
        <v>2943</v>
      </c>
      <c r="E325" s="65">
        <v>4774</v>
      </c>
      <c r="F325" t="s">
        <v>1906</v>
      </c>
      <c r="G325" s="71" t="s">
        <v>3941</v>
      </c>
      <c r="H325" s="67">
        <v>1.60000007599592E-2</v>
      </c>
      <c r="I325" s="65">
        <v>527896</v>
      </c>
      <c r="J325" s="65">
        <v>172432</v>
      </c>
      <c r="L325" s="65" t="s">
        <v>303</v>
      </c>
      <c r="M325" s="65" t="s">
        <v>27</v>
      </c>
      <c r="N325" s="69">
        <v>42010</v>
      </c>
      <c r="O325" s="69">
        <v>42066</v>
      </c>
      <c r="R325" s="65" t="s">
        <v>28</v>
      </c>
      <c r="U325" t="s">
        <v>304</v>
      </c>
      <c r="V325" t="s">
        <v>3290</v>
      </c>
      <c r="W325" s="65" t="s">
        <v>21</v>
      </c>
      <c r="X325" s="65" t="s">
        <v>21</v>
      </c>
      <c r="Y325" s="65" t="s">
        <v>35</v>
      </c>
      <c r="AA325" s="69">
        <v>42409</v>
      </c>
      <c r="AB325" s="69">
        <v>43074</v>
      </c>
      <c r="AC325" s="69">
        <v>43074</v>
      </c>
      <c r="AD325" s="65" t="s">
        <v>23</v>
      </c>
      <c r="AE325" s="65" t="s">
        <v>24</v>
      </c>
      <c r="AH325" s="69">
        <f t="shared" si="15"/>
        <v>42409</v>
      </c>
      <c r="AI325" s="69">
        <f t="shared" si="16"/>
        <v>43074</v>
      </c>
      <c r="AJ325" s="73">
        <v>50</v>
      </c>
      <c r="AO325" s="73">
        <v>50</v>
      </c>
      <c r="AZ325" s="73">
        <v>106</v>
      </c>
      <c r="BE325" s="73">
        <v>106</v>
      </c>
      <c r="BO325" s="185" t="s">
        <v>126</v>
      </c>
      <c r="BP325" s="185" t="s">
        <v>3794</v>
      </c>
      <c r="BQ325" s="185" t="s">
        <v>3794</v>
      </c>
      <c r="BR325" s="73">
        <v>-56</v>
      </c>
      <c r="BW325" s="73">
        <v>-56</v>
      </c>
      <c r="BY325" s="185" t="s">
        <v>3794</v>
      </c>
      <c r="CJ325" t="s">
        <v>40</v>
      </c>
      <c r="CK325" t="s">
        <v>25</v>
      </c>
      <c r="CL325" t="s">
        <v>25</v>
      </c>
      <c r="CM325" t="s">
        <v>25</v>
      </c>
      <c r="CN325" t="s">
        <v>25</v>
      </c>
      <c r="CO325" t="s">
        <v>25</v>
      </c>
      <c r="CP325" t="s">
        <v>25</v>
      </c>
      <c r="CQ325" t="s">
        <v>25</v>
      </c>
      <c r="CR325" t="s">
        <v>25</v>
      </c>
      <c r="CS325" t="s">
        <v>25</v>
      </c>
      <c r="CT325" t="s">
        <v>25</v>
      </c>
      <c r="CU325" t="s">
        <v>25</v>
      </c>
      <c r="CV325" t="s">
        <v>25</v>
      </c>
      <c r="CW325" t="s">
        <v>40</v>
      </c>
      <c r="CX325" t="s">
        <v>25</v>
      </c>
      <c r="CY325" t="s">
        <v>25</v>
      </c>
      <c r="CZ325" t="s">
        <v>25</v>
      </c>
      <c r="DA325" t="s">
        <v>25</v>
      </c>
      <c r="DB325" t="s">
        <v>25</v>
      </c>
      <c r="DC325" t="s">
        <v>25</v>
      </c>
      <c r="DD325" t="s">
        <v>25</v>
      </c>
      <c r="DE325" t="s">
        <v>25</v>
      </c>
      <c r="DF325" t="s">
        <v>25</v>
      </c>
      <c r="DG325" t="s">
        <v>25</v>
      </c>
      <c r="DH325" t="s">
        <v>25</v>
      </c>
      <c r="DI325" t="s">
        <v>25</v>
      </c>
      <c r="DJ325" s="76">
        <v>1.0000000707805139E-2</v>
      </c>
      <c r="DK325" s="73">
        <v>50</v>
      </c>
      <c r="DL325" s="73">
        <v>106</v>
      </c>
      <c r="DM325" s="73">
        <v>-56</v>
      </c>
      <c r="DU325"/>
      <c r="DZ325" s="73">
        <v>56</v>
      </c>
      <c r="EA325" s="73">
        <v>0</v>
      </c>
      <c r="EB325" s="73">
        <v>56</v>
      </c>
      <c r="EC325" s="65" t="s">
        <v>126</v>
      </c>
    </row>
    <row r="326" spans="1:133" ht="12" customHeight="1" x14ac:dyDescent="0.2">
      <c r="A326" t="s">
        <v>2938</v>
      </c>
      <c r="B326" t="s">
        <v>2948</v>
      </c>
      <c r="C326" t="str">
        <f t="shared" si="17"/>
        <v>Prior Approval</v>
      </c>
      <c r="E326" s="65">
        <v>4797</v>
      </c>
      <c r="F326" t="s">
        <v>1907</v>
      </c>
      <c r="G326" s="71" t="s">
        <v>3943</v>
      </c>
      <c r="H326" s="67">
        <v>3.70000004768372E-2</v>
      </c>
      <c r="I326" s="65">
        <v>527293</v>
      </c>
      <c r="J326" s="65">
        <v>177185</v>
      </c>
      <c r="L326" s="65" t="s">
        <v>1908</v>
      </c>
      <c r="M326" s="65" t="s">
        <v>227</v>
      </c>
      <c r="N326" s="69">
        <v>43151</v>
      </c>
      <c r="R326" s="65" t="s">
        <v>28</v>
      </c>
      <c r="U326" t="s">
        <v>1909</v>
      </c>
      <c r="V326" t="s">
        <v>3291</v>
      </c>
      <c r="W326" s="65" t="s">
        <v>21</v>
      </c>
      <c r="X326" s="65" t="s">
        <v>21</v>
      </c>
      <c r="Y326" s="65" t="s">
        <v>69</v>
      </c>
      <c r="AD326" s="65" t="s">
        <v>173</v>
      </c>
      <c r="AE326" s="65" t="s">
        <v>24</v>
      </c>
      <c r="BF326" s="73">
        <v>228</v>
      </c>
      <c r="BK326" s="73">
        <v>228</v>
      </c>
      <c r="BO326" s="185" t="s">
        <v>3794</v>
      </c>
      <c r="BP326" s="185" t="s">
        <v>126</v>
      </c>
      <c r="BQ326" s="185" t="s">
        <v>3794</v>
      </c>
      <c r="BW326" s="73"/>
      <c r="BX326" s="73">
        <v>-228</v>
      </c>
      <c r="BY326" s="185" t="s">
        <v>126</v>
      </c>
      <c r="CD326" s="73">
        <v>-228</v>
      </c>
      <c r="CE326" s="65" t="s">
        <v>126</v>
      </c>
      <c r="CJ326" t="s">
        <v>25</v>
      </c>
      <c r="CK326" t="s">
        <v>25</v>
      </c>
      <c r="CL326" t="s">
        <v>25</v>
      </c>
      <c r="CM326" t="s">
        <v>25</v>
      </c>
      <c r="CN326" t="s">
        <v>25</v>
      </c>
      <c r="CO326" t="s">
        <v>25</v>
      </c>
      <c r="CP326" t="s">
        <v>25</v>
      </c>
      <c r="CQ326" t="s">
        <v>25</v>
      </c>
      <c r="CR326" t="s">
        <v>25</v>
      </c>
      <c r="CS326" t="s">
        <v>25</v>
      </c>
      <c r="CT326" t="s">
        <v>25</v>
      </c>
      <c r="CU326" t="s">
        <v>25</v>
      </c>
      <c r="CV326" t="s">
        <v>25</v>
      </c>
      <c r="CW326" t="s">
        <v>25</v>
      </c>
      <c r="CX326" t="s">
        <v>25</v>
      </c>
      <c r="CY326" t="s">
        <v>25</v>
      </c>
      <c r="CZ326" t="s">
        <v>25</v>
      </c>
      <c r="DA326" t="s">
        <v>25</v>
      </c>
      <c r="DB326" t="s">
        <v>31</v>
      </c>
      <c r="DC326" t="s">
        <v>25</v>
      </c>
      <c r="DD326" t="s">
        <v>25</v>
      </c>
      <c r="DE326" t="s">
        <v>25</v>
      </c>
      <c r="DF326" t="s">
        <v>25</v>
      </c>
      <c r="DG326" t="s">
        <v>25</v>
      </c>
      <c r="DH326" t="s">
        <v>25</v>
      </c>
      <c r="DI326" t="s">
        <v>25</v>
      </c>
      <c r="DJ326" s="76">
        <v>3.4000000450760168E-2</v>
      </c>
      <c r="DK326" s="73">
        <v>0</v>
      </c>
      <c r="DL326" s="73">
        <v>228</v>
      </c>
      <c r="DM326" s="73">
        <v>-228</v>
      </c>
      <c r="DN326" s="65" t="s">
        <v>126</v>
      </c>
      <c r="DU326"/>
      <c r="DZ326" s="73">
        <v>228</v>
      </c>
      <c r="EA326" s="73">
        <v>0</v>
      </c>
      <c r="EB326" s="73">
        <v>228</v>
      </c>
      <c r="EC326" s="65" t="s">
        <v>126</v>
      </c>
    </row>
    <row r="327" spans="1:133" ht="12" customHeight="1" x14ac:dyDescent="0.2">
      <c r="A327" t="s">
        <v>2935</v>
      </c>
      <c r="B327" t="s">
        <v>2946</v>
      </c>
      <c r="C327" t="str">
        <f t="shared" si="17"/>
        <v>Full</v>
      </c>
      <c r="E327" s="65">
        <v>4801</v>
      </c>
      <c r="F327" t="s">
        <v>1910</v>
      </c>
      <c r="G327" s="71" t="s">
        <v>3947</v>
      </c>
      <c r="H327" s="67">
        <v>0.15099999308586101</v>
      </c>
      <c r="I327" s="65">
        <v>529529</v>
      </c>
      <c r="J327" s="65">
        <v>176787</v>
      </c>
      <c r="L327" s="65" t="s">
        <v>373</v>
      </c>
      <c r="M327" s="65" t="s">
        <v>27</v>
      </c>
      <c r="N327" s="69">
        <v>41872</v>
      </c>
      <c r="O327" s="69">
        <v>41953</v>
      </c>
      <c r="R327" s="65" t="s">
        <v>28</v>
      </c>
      <c r="U327" t="s">
        <v>708</v>
      </c>
      <c r="V327" t="s">
        <v>3292</v>
      </c>
      <c r="W327" s="65" t="s">
        <v>21</v>
      </c>
      <c r="X327" s="65" t="s">
        <v>21</v>
      </c>
      <c r="Y327" s="65" t="s">
        <v>30</v>
      </c>
      <c r="AA327" s="69">
        <v>42094</v>
      </c>
      <c r="AD327" s="65" t="s">
        <v>23</v>
      </c>
      <c r="AE327" s="65" t="s">
        <v>24</v>
      </c>
      <c r="AH327" s="69">
        <f t="shared" si="15"/>
        <v>42094</v>
      </c>
      <c r="BL327" s="73">
        <v>742</v>
      </c>
      <c r="BN327" s="73">
        <v>742</v>
      </c>
      <c r="BO327" s="185" t="s">
        <v>3794</v>
      </c>
      <c r="BP327" s="185" t="s">
        <v>3794</v>
      </c>
      <c r="BQ327" s="185" t="s">
        <v>126</v>
      </c>
      <c r="BW327" s="73"/>
      <c r="BY327" s="185" t="s">
        <v>3794</v>
      </c>
      <c r="CG327" s="73">
        <v>-742</v>
      </c>
      <c r="CI327" s="73">
        <v>-742</v>
      </c>
      <c r="CJ327" t="s">
        <v>25</v>
      </c>
      <c r="CK327" t="s">
        <v>25</v>
      </c>
      <c r="CL327" t="s">
        <v>25</v>
      </c>
      <c r="CM327" t="s">
        <v>25</v>
      </c>
      <c r="CN327" t="s">
        <v>25</v>
      </c>
      <c r="CO327" t="s">
        <v>25</v>
      </c>
      <c r="CP327" t="s">
        <v>25</v>
      </c>
      <c r="CQ327" t="s">
        <v>25</v>
      </c>
      <c r="CR327" t="s">
        <v>25</v>
      </c>
      <c r="CS327" t="s">
        <v>25</v>
      </c>
      <c r="CT327" t="s">
        <v>25</v>
      </c>
      <c r="CU327" t="s">
        <v>25</v>
      </c>
      <c r="CV327" t="s">
        <v>25</v>
      </c>
      <c r="CW327" t="s">
        <v>25</v>
      </c>
      <c r="CX327" t="s">
        <v>25</v>
      </c>
      <c r="CY327" t="s">
        <v>25</v>
      </c>
      <c r="CZ327" t="s">
        <v>25</v>
      </c>
      <c r="DA327" t="s">
        <v>25</v>
      </c>
      <c r="DB327" t="s">
        <v>25</v>
      </c>
      <c r="DC327" t="s">
        <v>25</v>
      </c>
      <c r="DD327" t="s">
        <v>25</v>
      </c>
      <c r="DE327" t="s">
        <v>25</v>
      </c>
      <c r="DF327" t="s">
        <v>25</v>
      </c>
      <c r="DG327" t="s">
        <v>25</v>
      </c>
      <c r="DH327" t="s">
        <v>60</v>
      </c>
      <c r="DI327" t="s">
        <v>25</v>
      </c>
      <c r="DJ327" s="76">
        <v>0</v>
      </c>
      <c r="DK327" s="73">
        <v>0</v>
      </c>
      <c r="DL327" s="73">
        <v>742</v>
      </c>
      <c r="DM327" s="73">
        <v>-742</v>
      </c>
      <c r="DU327" s="65" t="s">
        <v>126</v>
      </c>
      <c r="DZ327" s="73">
        <v>1592</v>
      </c>
      <c r="EA327" s="73">
        <v>0</v>
      </c>
      <c r="EB327" s="73">
        <v>1592</v>
      </c>
      <c r="EC327" s="65" t="s">
        <v>126</v>
      </c>
    </row>
    <row r="328" spans="1:133" ht="12" customHeight="1" x14ac:dyDescent="0.2">
      <c r="A328" t="s">
        <v>2936</v>
      </c>
      <c r="B328" t="s">
        <v>2946</v>
      </c>
      <c r="C328" t="str">
        <f t="shared" si="17"/>
        <v>Full</v>
      </c>
      <c r="D328" t="s">
        <v>2943</v>
      </c>
      <c r="E328" s="65">
        <v>4811</v>
      </c>
      <c r="F328" t="s">
        <v>1911</v>
      </c>
      <c r="G328" s="71" t="s">
        <v>3949</v>
      </c>
      <c r="H328" s="67">
        <v>3.5000000149011598E-2</v>
      </c>
      <c r="I328" s="65">
        <v>524902</v>
      </c>
      <c r="J328" s="65">
        <v>174155</v>
      </c>
      <c r="L328" s="65" t="s">
        <v>1912</v>
      </c>
      <c r="M328" s="65" t="s">
        <v>27</v>
      </c>
      <c r="N328" s="69">
        <v>42983</v>
      </c>
      <c r="O328" s="69">
        <v>43039</v>
      </c>
      <c r="P328" s="65" t="s">
        <v>126</v>
      </c>
      <c r="R328" s="65" t="s">
        <v>28</v>
      </c>
      <c r="U328" t="s">
        <v>1913</v>
      </c>
      <c r="V328" t="s">
        <v>3293</v>
      </c>
      <c r="W328" s="65" t="s">
        <v>34</v>
      </c>
      <c r="X328" s="65" t="s">
        <v>29</v>
      </c>
      <c r="Y328" s="65" t="s">
        <v>35</v>
      </c>
      <c r="AA328" s="69">
        <v>43039</v>
      </c>
      <c r="AB328" s="69">
        <v>43190</v>
      </c>
      <c r="AC328" s="69">
        <v>43190</v>
      </c>
      <c r="AD328" s="65" t="s">
        <v>23</v>
      </c>
      <c r="AE328" s="65" t="s">
        <v>24</v>
      </c>
      <c r="AH328" s="69">
        <f t="shared" si="15"/>
        <v>43039</v>
      </c>
      <c r="AI328" s="69">
        <f t="shared" si="16"/>
        <v>43190</v>
      </c>
      <c r="BO328" s="185" t="s">
        <v>3794</v>
      </c>
      <c r="BP328" s="185" t="s">
        <v>3794</v>
      </c>
      <c r="BQ328" s="185" t="s">
        <v>3794</v>
      </c>
      <c r="BW328" s="73"/>
      <c r="BY328" s="185" t="s">
        <v>3794</v>
      </c>
      <c r="CJ328" t="s">
        <v>25</v>
      </c>
      <c r="CK328" t="s">
        <v>25</v>
      </c>
      <c r="CL328" t="s">
        <v>25</v>
      </c>
      <c r="CM328" t="s">
        <v>25</v>
      </c>
      <c r="CN328" t="s">
        <v>25</v>
      </c>
      <c r="CO328" t="s">
        <v>25</v>
      </c>
      <c r="CP328" t="s">
        <v>25</v>
      </c>
      <c r="CQ328" t="s">
        <v>25</v>
      </c>
      <c r="CR328" t="s">
        <v>25</v>
      </c>
      <c r="CS328" t="s">
        <v>25</v>
      </c>
      <c r="CT328" t="s">
        <v>25</v>
      </c>
      <c r="CU328" t="s">
        <v>25</v>
      </c>
      <c r="CV328" t="s">
        <v>25</v>
      </c>
      <c r="CW328" t="s">
        <v>25</v>
      </c>
      <c r="CX328" t="s">
        <v>25</v>
      </c>
      <c r="CY328" t="s">
        <v>25</v>
      </c>
      <c r="CZ328" t="s">
        <v>25</v>
      </c>
      <c r="DA328" t="s">
        <v>25</v>
      </c>
      <c r="DB328" t="s">
        <v>25</v>
      </c>
      <c r="DC328" t="s">
        <v>25</v>
      </c>
      <c r="DD328" t="s">
        <v>25</v>
      </c>
      <c r="DE328" t="s">
        <v>25</v>
      </c>
      <c r="DF328" t="s">
        <v>25</v>
      </c>
      <c r="DG328" t="s">
        <v>25</v>
      </c>
      <c r="DH328" t="s">
        <v>25</v>
      </c>
      <c r="DI328" t="s">
        <v>25</v>
      </c>
      <c r="DJ328" s="76">
        <v>0</v>
      </c>
      <c r="DK328" s="73">
        <v>111</v>
      </c>
      <c r="DL328" s="73">
        <v>0</v>
      </c>
      <c r="DM328" s="73">
        <v>111</v>
      </c>
      <c r="DU328"/>
      <c r="DZ328" s="73">
        <v>58</v>
      </c>
      <c r="EA328" s="73">
        <v>169</v>
      </c>
      <c r="EB328" s="73">
        <v>-111</v>
      </c>
    </row>
    <row r="329" spans="1:133" ht="12" customHeight="1" x14ac:dyDescent="0.2">
      <c r="A329" t="s">
        <v>2936</v>
      </c>
      <c r="B329" t="s">
        <v>2946</v>
      </c>
      <c r="C329" t="str">
        <f t="shared" si="17"/>
        <v>Full</v>
      </c>
      <c r="D329" t="s">
        <v>2942</v>
      </c>
      <c r="E329" s="65">
        <v>4822</v>
      </c>
      <c r="F329" t="s">
        <v>1914</v>
      </c>
      <c r="G329" s="71" t="s">
        <v>3951</v>
      </c>
      <c r="H329" s="67">
        <v>3.5000000149011598E-2</v>
      </c>
      <c r="I329" s="65">
        <v>527588</v>
      </c>
      <c r="J329" s="65">
        <v>171057</v>
      </c>
      <c r="L329" s="65" t="s">
        <v>1066</v>
      </c>
      <c r="M329" s="65" t="s">
        <v>27</v>
      </c>
      <c r="N329" s="69">
        <v>42636</v>
      </c>
      <c r="O329" s="69">
        <v>42822</v>
      </c>
      <c r="R329" s="65" t="s">
        <v>28</v>
      </c>
      <c r="U329" t="s">
        <v>1067</v>
      </c>
      <c r="V329" t="s">
        <v>3294</v>
      </c>
      <c r="W329" s="65" t="s">
        <v>21</v>
      </c>
      <c r="X329" s="65" t="s">
        <v>21</v>
      </c>
      <c r="Y329" s="65" t="s">
        <v>22</v>
      </c>
      <c r="AA329" s="69">
        <v>42559</v>
      </c>
      <c r="AB329" s="69">
        <v>43190</v>
      </c>
      <c r="AD329" s="65" t="s">
        <v>23</v>
      </c>
      <c r="AE329" s="65" t="s">
        <v>24</v>
      </c>
      <c r="AH329" s="69">
        <f t="shared" si="15"/>
        <v>42559</v>
      </c>
      <c r="AI329" s="69">
        <f t="shared" si="16"/>
        <v>43190</v>
      </c>
      <c r="BH329" s="73">
        <v>337</v>
      </c>
      <c r="BK329" s="73">
        <v>337</v>
      </c>
      <c r="BO329" s="185" t="s">
        <v>3794</v>
      </c>
      <c r="BP329" s="185" t="s">
        <v>126</v>
      </c>
      <c r="BQ329" s="185" t="s">
        <v>3794</v>
      </c>
      <c r="BW329" s="73"/>
      <c r="BY329" s="185" t="s">
        <v>3794</v>
      </c>
      <c r="CA329" s="73">
        <v>-337</v>
      </c>
      <c r="CD329" s="73">
        <v>-337</v>
      </c>
      <c r="CE329" s="65" t="s">
        <v>126</v>
      </c>
      <c r="CJ329" t="s">
        <v>25</v>
      </c>
      <c r="CK329" t="s">
        <v>25</v>
      </c>
      <c r="CL329" t="s">
        <v>25</v>
      </c>
      <c r="CM329" t="s">
        <v>25</v>
      </c>
      <c r="CN329" t="s">
        <v>25</v>
      </c>
      <c r="CO329" t="s">
        <v>25</v>
      </c>
      <c r="CP329" t="s">
        <v>25</v>
      </c>
      <c r="CQ329" t="s">
        <v>25</v>
      </c>
      <c r="CR329" t="s">
        <v>25</v>
      </c>
      <c r="CS329" t="s">
        <v>25</v>
      </c>
      <c r="CT329" t="s">
        <v>25</v>
      </c>
      <c r="CU329" t="s">
        <v>25</v>
      </c>
      <c r="CV329" t="s">
        <v>25</v>
      </c>
      <c r="CW329" t="s">
        <v>25</v>
      </c>
      <c r="CX329" t="s">
        <v>25</v>
      </c>
      <c r="CY329" t="s">
        <v>25</v>
      </c>
      <c r="CZ329" t="s">
        <v>25</v>
      </c>
      <c r="DA329" t="s">
        <v>25</v>
      </c>
      <c r="DB329" t="s">
        <v>25</v>
      </c>
      <c r="DC329" t="s">
        <v>25</v>
      </c>
      <c r="DD329" t="s">
        <v>47</v>
      </c>
      <c r="DE329" t="s">
        <v>25</v>
      </c>
      <c r="DF329" t="s">
        <v>25</v>
      </c>
      <c r="DG329" t="s">
        <v>25</v>
      </c>
      <c r="DH329" t="s">
        <v>25</v>
      </c>
      <c r="DI329" t="s">
        <v>25</v>
      </c>
      <c r="DJ329" s="76">
        <v>0</v>
      </c>
      <c r="DK329" s="73">
        <v>0</v>
      </c>
      <c r="DL329" s="73">
        <v>337</v>
      </c>
      <c r="DM329" s="73">
        <v>-337</v>
      </c>
      <c r="DU329"/>
      <c r="DZ329" s="73">
        <v>365</v>
      </c>
      <c r="EA329" s="73">
        <v>0</v>
      </c>
      <c r="EB329" s="73">
        <v>365</v>
      </c>
      <c r="EC329" s="65" t="s">
        <v>126</v>
      </c>
    </row>
    <row r="330" spans="1:133" ht="12" customHeight="1" x14ac:dyDescent="0.2">
      <c r="A330" t="s">
        <v>2937</v>
      </c>
      <c r="B330" t="s">
        <v>2946</v>
      </c>
      <c r="C330" t="str">
        <f t="shared" si="17"/>
        <v>Full</v>
      </c>
      <c r="E330" s="65">
        <v>4836</v>
      </c>
      <c r="F330" t="s">
        <v>1915</v>
      </c>
      <c r="G330" s="71" t="s">
        <v>3946</v>
      </c>
      <c r="H330" s="67">
        <v>2.0999999716877899E-2</v>
      </c>
      <c r="I330" s="65">
        <v>524109</v>
      </c>
      <c r="J330" s="65">
        <v>175633</v>
      </c>
      <c r="L330" s="65" t="s">
        <v>805</v>
      </c>
      <c r="M330" s="65" t="s">
        <v>27</v>
      </c>
      <c r="N330" s="69">
        <v>42509</v>
      </c>
      <c r="O330" s="69">
        <v>42587</v>
      </c>
      <c r="R330" s="65" t="s">
        <v>28</v>
      </c>
      <c r="U330" t="s">
        <v>806</v>
      </c>
      <c r="V330" t="s">
        <v>3295</v>
      </c>
      <c r="W330" s="65" t="s">
        <v>39</v>
      </c>
      <c r="X330" s="65" t="s">
        <v>39</v>
      </c>
      <c r="Y330" s="65" t="s">
        <v>69</v>
      </c>
      <c r="AD330" s="65" t="s">
        <v>23</v>
      </c>
      <c r="AE330" s="65" t="s">
        <v>24</v>
      </c>
      <c r="AJ330" s="73">
        <v>15</v>
      </c>
      <c r="AO330" s="73">
        <v>15</v>
      </c>
      <c r="BO330" s="185" t="s">
        <v>126</v>
      </c>
      <c r="BP330" s="185" t="s">
        <v>3794</v>
      </c>
      <c r="BQ330" s="185" t="s">
        <v>3794</v>
      </c>
      <c r="BR330" s="73">
        <v>15</v>
      </c>
      <c r="BW330" s="73">
        <v>15</v>
      </c>
      <c r="BY330" s="185" t="s">
        <v>3794</v>
      </c>
      <c r="CJ330" t="s">
        <v>46</v>
      </c>
      <c r="CK330" t="s">
        <v>25</v>
      </c>
      <c r="CL330" t="s">
        <v>25</v>
      </c>
      <c r="CM330" t="s">
        <v>25</v>
      </c>
      <c r="CN330" t="s">
        <v>25</v>
      </c>
      <c r="CO330" t="s">
        <v>25</v>
      </c>
      <c r="CP330" t="s">
        <v>25</v>
      </c>
      <c r="CQ330" t="s">
        <v>25</v>
      </c>
      <c r="CR330" t="s">
        <v>25</v>
      </c>
      <c r="CS330" t="s">
        <v>25</v>
      </c>
      <c r="CT330" t="s">
        <v>25</v>
      </c>
      <c r="CU330" t="s">
        <v>25</v>
      </c>
      <c r="CV330" t="s">
        <v>25</v>
      </c>
      <c r="CW330" t="s">
        <v>25</v>
      </c>
      <c r="CX330" t="s">
        <v>25</v>
      </c>
      <c r="CY330" t="s">
        <v>25</v>
      </c>
      <c r="CZ330" t="s">
        <v>25</v>
      </c>
      <c r="DA330" t="s">
        <v>25</v>
      </c>
      <c r="DB330" t="s">
        <v>25</v>
      </c>
      <c r="DC330" t="s">
        <v>25</v>
      </c>
      <c r="DD330" t="s">
        <v>25</v>
      </c>
      <c r="DE330" t="s">
        <v>25</v>
      </c>
      <c r="DF330" t="s">
        <v>25</v>
      </c>
      <c r="DG330" t="s">
        <v>25</v>
      </c>
      <c r="DH330" t="s">
        <v>25</v>
      </c>
      <c r="DI330" t="s">
        <v>25</v>
      </c>
      <c r="DJ330" s="76">
        <v>2.0999999716877899E-2</v>
      </c>
      <c r="DK330" s="73">
        <v>15</v>
      </c>
      <c r="DL330" s="73">
        <v>0</v>
      </c>
      <c r="DM330" s="73">
        <v>15</v>
      </c>
      <c r="DU330"/>
      <c r="DV330" s="65" t="s">
        <v>126</v>
      </c>
      <c r="DW330" t="s">
        <v>131</v>
      </c>
      <c r="DZ330" s="73">
        <v>0</v>
      </c>
      <c r="EA330" s="73">
        <v>0</v>
      </c>
      <c r="EB330" s="73">
        <v>0</v>
      </c>
    </row>
    <row r="331" spans="1:133" ht="12" customHeight="1" x14ac:dyDescent="0.2">
      <c r="A331" t="s">
        <v>2937</v>
      </c>
      <c r="B331" t="s">
        <v>2948</v>
      </c>
      <c r="C331" t="str">
        <f t="shared" si="17"/>
        <v>Prior Approval</v>
      </c>
      <c r="E331" s="65">
        <v>4864</v>
      </c>
      <c r="F331" t="s">
        <v>1916</v>
      </c>
      <c r="G331" s="71" t="s">
        <v>3945</v>
      </c>
      <c r="H331" s="67">
        <v>1.4999999664723899E-2</v>
      </c>
      <c r="I331" s="65">
        <v>527602</v>
      </c>
      <c r="J331" s="65">
        <v>175480</v>
      </c>
      <c r="L331" s="65" t="s">
        <v>1917</v>
      </c>
      <c r="M331" s="65" t="s">
        <v>244</v>
      </c>
      <c r="N331" s="69">
        <v>43026</v>
      </c>
      <c r="O331" s="69">
        <v>43075</v>
      </c>
      <c r="P331" s="65" t="s">
        <v>126</v>
      </c>
      <c r="R331" s="65" t="s">
        <v>28</v>
      </c>
      <c r="U331" t="s">
        <v>1918</v>
      </c>
      <c r="V331" t="s">
        <v>3296</v>
      </c>
      <c r="W331" s="65" t="s">
        <v>21</v>
      </c>
      <c r="X331" s="65" t="s">
        <v>21</v>
      </c>
      <c r="Y331" s="65" t="s">
        <v>69</v>
      </c>
      <c r="AD331" s="65" t="s">
        <v>23</v>
      </c>
      <c r="AE331" s="65" t="s">
        <v>24</v>
      </c>
      <c r="BF331" s="73">
        <v>166</v>
      </c>
      <c r="BK331" s="73">
        <v>166</v>
      </c>
      <c r="BO331" s="185" t="s">
        <v>3794</v>
      </c>
      <c r="BP331" s="185" t="s">
        <v>126</v>
      </c>
      <c r="BQ331" s="185" t="s">
        <v>3794</v>
      </c>
      <c r="BW331" s="73"/>
      <c r="BX331" s="73">
        <v>-166</v>
      </c>
      <c r="BY331" s="185" t="s">
        <v>126</v>
      </c>
      <c r="CD331" s="73">
        <v>-166</v>
      </c>
      <c r="CE331" s="65" t="s">
        <v>126</v>
      </c>
      <c r="CJ331" t="s">
        <v>25</v>
      </c>
      <c r="CK331" t="s">
        <v>25</v>
      </c>
      <c r="CL331" t="s">
        <v>25</v>
      </c>
      <c r="CM331" t="s">
        <v>25</v>
      </c>
      <c r="CN331" t="s">
        <v>25</v>
      </c>
      <c r="CO331" t="s">
        <v>25</v>
      </c>
      <c r="CP331" t="s">
        <v>25</v>
      </c>
      <c r="CQ331" t="s">
        <v>25</v>
      </c>
      <c r="CR331" t="s">
        <v>25</v>
      </c>
      <c r="CS331" t="s">
        <v>25</v>
      </c>
      <c r="CT331" t="s">
        <v>25</v>
      </c>
      <c r="CU331" t="s">
        <v>25</v>
      </c>
      <c r="CV331" t="s">
        <v>25</v>
      </c>
      <c r="CW331" t="s">
        <v>25</v>
      </c>
      <c r="CX331" t="s">
        <v>25</v>
      </c>
      <c r="CY331" t="s">
        <v>25</v>
      </c>
      <c r="CZ331" t="s">
        <v>25</v>
      </c>
      <c r="DA331" t="s">
        <v>25</v>
      </c>
      <c r="DB331" t="s">
        <v>72</v>
      </c>
      <c r="DC331" t="s">
        <v>25</v>
      </c>
      <c r="DD331" t="s">
        <v>25</v>
      </c>
      <c r="DE331" t="s">
        <v>25</v>
      </c>
      <c r="DF331" t="s">
        <v>25</v>
      </c>
      <c r="DG331" t="s">
        <v>25</v>
      </c>
      <c r="DH331" t="s">
        <v>25</v>
      </c>
      <c r="DI331" t="s">
        <v>25</v>
      </c>
      <c r="DJ331" s="76">
        <v>3.9999997243284988E-3</v>
      </c>
      <c r="DK331" s="73">
        <v>0</v>
      </c>
      <c r="DL331" s="73">
        <v>166</v>
      </c>
      <c r="DM331" s="73">
        <v>-166</v>
      </c>
      <c r="DU331"/>
      <c r="DV331" s="65" t="s">
        <v>126</v>
      </c>
      <c r="DW331" t="s">
        <v>132</v>
      </c>
      <c r="DZ331" s="73">
        <v>166</v>
      </c>
      <c r="EA331" s="73">
        <v>0</v>
      </c>
      <c r="EB331" s="73">
        <v>166</v>
      </c>
      <c r="EC331" s="65" t="s">
        <v>126</v>
      </c>
    </row>
    <row r="332" spans="1:133" ht="12" customHeight="1" x14ac:dyDescent="0.2">
      <c r="A332" t="s">
        <v>2935</v>
      </c>
      <c r="B332" t="s">
        <v>2946</v>
      </c>
      <c r="C332" t="str">
        <f t="shared" si="17"/>
        <v>Full</v>
      </c>
      <c r="E332" s="65">
        <v>4877</v>
      </c>
      <c r="F332" t="s">
        <v>1919</v>
      </c>
      <c r="G332" s="71" t="s">
        <v>3942</v>
      </c>
      <c r="H332" s="67">
        <v>1.7999999225139601E-2</v>
      </c>
      <c r="I332" s="65">
        <v>527228</v>
      </c>
      <c r="J332" s="65">
        <v>175145</v>
      </c>
      <c r="L332" s="65" t="s">
        <v>361</v>
      </c>
      <c r="M332" s="65" t="s">
        <v>27</v>
      </c>
      <c r="N332" s="69">
        <v>41808</v>
      </c>
      <c r="O332" s="69">
        <v>41920</v>
      </c>
      <c r="R332" s="65" t="s">
        <v>28</v>
      </c>
      <c r="U332" t="s">
        <v>362</v>
      </c>
      <c r="V332" t="s">
        <v>3297</v>
      </c>
      <c r="W332" s="65" t="s">
        <v>29</v>
      </c>
      <c r="X332" s="65" t="s">
        <v>29</v>
      </c>
      <c r="Y332" s="65" t="s">
        <v>30</v>
      </c>
      <c r="AA332" s="69">
        <v>42228</v>
      </c>
      <c r="AD332" s="65" t="s">
        <v>23</v>
      </c>
      <c r="AE332" s="65" t="s">
        <v>24</v>
      </c>
      <c r="AH332" s="69">
        <f t="shared" si="15"/>
        <v>42228</v>
      </c>
      <c r="BJ332" s="73">
        <v>72</v>
      </c>
      <c r="BK332" s="73">
        <v>72</v>
      </c>
      <c r="BO332" s="185" t="s">
        <v>3794</v>
      </c>
      <c r="BP332" s="185" t="s">
        <v>126</v>
      </c>
      <c r="BQ332" s="185" t="s">
        <v>3794</v>
      </c>
      <c r="BW332" s="73"/>
      <c r="BY332" s="185" t="s">
        <v>3794</v>
      </c>
      <c r="CC332" s="73">
        <v>-72</v>
      </c>
      <c r="CD332" s="73">
        <v>-72</v>
      </c>
      <c r="CE332" s="65" t="s">
        <v>126</v>
      </c>
      <c r="CJ332" t="s">
        <v>25</v>
      </c>
      <c r="CK332" t="s">
        <v>25</v>
      </c>
      <c r="CL332" t="s">
        <v>25</v>
      </c>
      <c r="CM332" t="s">
        <v>25</v>
      </c>
      <c r="CN332" t="s">
        <v>25</v>
      </c>
      <c r="CO332" t="s">
        <v>25</v>
      </c>
      <c r="CP332" t="s">
        <v>25</v>
      </c>
      <c r="CQ332" t="s">
        <v>25</v>
      </c>
      <c r="CR332" t="s">
        <v>25</v>
      </c>
      <c r="CS332" t="s">
        <v>25</v>
      </c>
      <c r="CT332" t="s">
        <v>25</v>
      </c>
      <c r="CU332" t="s">
        <v>25</v>
      </c>
      <c r="CV332" t="s">
        <v>25</v>
      </c>
      <c r="CW332" t="s">
        <v>25</v>
      </c>
      <c r="CX332" t="s">
        <v>25</v>
      </c>
      <c r="CY332" t="s">
        <v>25</v>
      </c>
      <c r="CZ332" t="s">
        <v>25</v>
      </c>
      <c r="DA332" t="s">
        <v>25</v>
      </c>
      <c r="DB332" t="s">
        <v>25</v>
      </c>
      <c r="DC332" t="s">
        <v>25</v>
      </c>
      <c r="DD332" t="s">
        <v>25</v>
      </c>
      <c r="DE332" t="s">
        <v>25</v>
      </c>
      <c r="DF332" t="s">
        <v>53</v>
      </c>
      <c r="DG332" t="s">
        <v>25</v>
      </c>
      <c r="DH332" t="s">
        <v>25</v>
      </c>
      <c r="DI332" t="s">
        <v>25</v>
      </c>
      <c r="DJ332" s="76">
        <v>0</v>
      </c>
      <c r="DK332" s="73">
        <v>0</v>
      </c>
      <c r="DL332" s="73">
        <v>72</v>
      </c>
      <c r="DM332" s="73">
        <v>-72</v>
      </c>
      <c r="DU332"/>
      <c r="DZ332" s="73">
        <v>163</v>
      </c>
      <c r="EA332" s="73">
        <v>0</v>
      </c>
      <c r="EB332" s="73">
        <v>163</v>
      </c>
      <c r="EC332" s="65" t="s">
        <v>126</v>
      </c>
    </row>
    <row r="333" spans="1:133" ht="12" customHeight="1" x14ac:dyDescent="0.2">
      <c r="A333" t="s">
        <v>2937</v>
      </c>
      <c r="B333" t="s">
        <v>2946</v>
      </c>
      <c r="C333" t="str">
        <f t="shared" si="17"/>
        <v>Full</v>
      </c>
      <c r="E333" s="65">
        <v>4886</v>
      </c>
      <c r="F333" t="s">
        <v>1920</v>
      </c>
      <c r="G333" s="71" t="s">
        <v>3945</v>
      </c>
      <c r="H333" s="67">
        <v>2.9999999329447701E-2</v>
      </c>
      <c r="I333" s="65">
        <v>528185</v>
      </c>
      <c r="J333" s="65">
        <v>175700</v>
      </c>
      <c r="L333" s="65" t="s">
        <v>475</v>
      </c>
      <c r="M333" s="65" t="s">
        <v>27</v>
      </c>
      <c r="N333" s="69">
        <v>42142</v>
      </c>
      <c r="O333" s="69">
        <v>42324</v>
      </c>
      <c r="R333" s="65" t="s">
        <v>28</v>
      </c>
      <c r="U333" t="s">
        <v>746</v>
      </c>
      <c r="V333" t="s">
        <v>3298</v>
      </c>
      <c r="W333" s="65" t="s">
        <v>34</v>
      </c>
      <c r="X333" s="65" t="s">
        <v>29</v>
      </c>
      <c r="Y333" s="65" t="s">
        <v>69</v>
      </c>
      <c r="AD333" s="65" t="s">
        <v>23</v>
      </c>
      <c r="AE333" s="65" t="s">
        <v>24</v>
      </c>
      <c r="AM333" s="73">
        <v>294</v>
      </c>
      <c r="AO333" s="73">
        <v>294</v>
      </c>
      <c r="BC333" s="73">
        <v>585</v>
      </c>
      <c r="BE333" s="73">
        <v>585</v>
      </c>
      <c r="BO333" s="185" t="s">
        <v>126</v>
      </c>
      <c r="BP333" s="185" t="s">
        <v>3794</v>
      </c>
      <c r="BQ333" s="185" t="s">
        <v>3794</v>
      </c>
      <c r="BU333" s="73">
        <v>-291</v>
      </c>
      <c r="BW333" s="73">
        <v>-291</v>
      </c>
      <c r="BY333" s="185" t="s">
        <v>3794</v>
      </c>
      <c r="CJ333" t="s">
        <v>25</v>
      </c>
      <c r="CK333" t="s">
        <v>25</v>
      </c>
      <c r="CL333" t="s">
        <v>25</v>
      </c>
      <c r="CM333" t="s">
        <v>71</v>
      </c>
      <c r="CN333" t="s">
        <v>25</v>
      </c>
      <c r="CO333" t="s">
        <v>25</v>
      </c>
      <c r="CP333" t="s">
        <v>25</v>
      </c>
      <c r="CQ333" t="s">
        <v>25</v>
      </c>
      <c r="CR333" t="s">
        <v>25</v>
      </c>
      <c r="CS333" t="s">
        <v>25</v>
      </c>
      <c r="CT333" t="s">
        <v>25</v>
      </c>
      <c r="CU333" t="s">
        <v>25</v>
      </c>
      <c r="CV333" t="s">
        <v>25</v>
      </c>
      <c r="CW333" t="s">
        <v>25</v>
      </c>
      <c r="CX333" t="s">
        <v>25</v>
      </c>
      <c r="CY333" t="s">
        <v>25</v>
      </c>
      <c r="CZ333" t="s">
        <v>71</v>
      </c>
      <c r="DA333" t="s">
        <v>25</v>
      </c>
      <c r="DB333" t="s">
        <v>25</v>
      </c>
      <c r="DC333" t="s">
        <v>25</v>
      </c>
      <c r="DD333" t="s">
        <v>25</v>
      </c>
      <c r="DE333" t="s">
        <v>25</v>
      </c>
      <c r="DF333" t="s">
        <v>25</v>
      </c>
      <c r="DG333" t="s">
        <v>25</v>
      </c>
      <c r="DH333" t="s">
        <v>25</v>
      </c>
      <c r="DI333" t="s">
        <v>25</v>
      </c>
      <c r="DJ333" s="76">
        <v>2.1999999182298731E-2</v>
      </c>
      <c r="DK333" s="73">
        <v>294</v>
      </c>
      <c r="DL333" s="73">
        <v>803</v>
      </c>
      <c r="DM333" s="73">
        <v>-509</v>
      </c>
      <c r="DU333"/>
      <c r="DZ333" s="73">
        <v>487</v>
      </c>
      <c r="EA333" s="73">
        <v>0</v>
      </c>
      <c r="EB333" s="73">
        <v>487</v>
      </c>
      <c r="EC333" s="65" t="s">
        <v>126</v>
      </c>
    </row>
    <row r="334" spans="1:133" ht="12" customHeight="1" x14ac:dyDescent="0.2">
      <c r="A334" t="s">
        <v>2937</v>
      </c>
      <c r="B334" t="s">
        <v>2946</v>
      </c>
      <c r="C334" t="str">
        <f t="shared" si="17"/>
        <v>Full</v>
      </c>
      <c r="E334" s="65">
        <v>4891</v>
      </c>
      <c r="F334" t="s">
        <v>1921</v>
      </c>
      <c r="G334" s="71" t="s">
        <v>3947</v>
      </c>
      <c r="H334" s="67">
        <v>1.8999999389052401E-2</v>
      </c>
      <c r="I334" s="65">
        <v>529320</v>
      </c>
      <c r="J334" s="65">
        <v>176373</v>
      </c>
      <c r="K334" s="65" t="s">
        <v>1922</v>
      </c>
      <c r="L334" s="65" t="s">
        <v>613</v>
      </c>
      <c r="M334" s="65" t="s">
        <v>27</v>
      </c>
      <c r="N334" s="69">
        <v>42415</v>
      </c>
      <c r="O334" s="69">
        <v>42451</v>
      </c>
      <c r="R334" s="65" t="s">
        <v>28</v>
      </c>
      <c r="U334" t="s">
        <v>614</v>
      </c>
      <c r="V334" t="s">
        <v>3299</v>
      </c>
      <c r="W334" s="65" t="s">
        <v>21</v>
      </c>
      <c r="X334" s="65" t="s">
        <v>21</v>
      </c>
      <c r="Y334" s="65" t="s">
        <v>59</v>
      </c>
      <c r="AD334" s="65" t="s">
        <v>23</v>
      </c>
      <c r="AE334" s="65" t="s">
        <v>24</v>
      </c>
      <c r="AT334" s="73">
        <v>186</v>
      </c>
      <c r="AV334" s="73">
        <v>186</v>
      </c>
      <c r="BJ334" s="73">
        <v>186</v>
      </c>
      <c r="BK334" s="73">
        <v>186</v>
      </c>
      <c r="BO334" s="185" t="s">
        <v>3794</v>
      </c>
      <c r="BP334" s="185" t="s">
        <v>126</v>
      </c>
      <c r="BQ334" s="185" t="s">
        <v>3794</v>
      </c>
      <c r="BW334" s="73"/>
      <c r="BY334" s="185" t="s">
        <v>3794</v>
      </c>
      <c r="CB334" s="73">
        <v>186</v>
      </c>
      <c r="CC334" s="73">
        <v>-186</v>
      </c>
      <c r="CJ334" t="s">
        <v>25</v>
      </c>
      <c r="CK334" t="s">
        <v>25</v>
      </c>
      <c r="CL334" t="s">
        <v>25</v>
      </c>
      <c r="CM334" t="s">
        <v>25</v>
      </c>
      <c r="CN334" t="s">
        <v>25</v>
      </c>
      <c r="CO334" t="s">
        <v>25</v>
      </c>
      <c r="CP334" t="s">
        <v>25</v>
      </c>
      <c r="CQ334" t="s">
        <v>25</v>
      </c>
      <c r="CR334" t="s">
        <v>32</v>
      </c>
      <c r="CS334" t="s">
        <v>25</v>
      </c>
      <c r="CT334" t="s">
        <v>25</v>
      </c>
      <c r="CU334" t="s">
        <v>25</v>
      </c>
      <c r="CV334" t="s">
        <v>25</v>
      </c>
      <c r="CW334" t="s">
        <v>25</v>
      </c>
      <c r="CX334" t="s">
        <v>25</v>
      </c>
      <c r="CY334" t="s">
        <v>25</v>
      </c>
      <c r="CZ334" t="s">
        <v>25</v>
      </c>
      <c r="DA334" t="s">
        <v>25</v>
      </c>
      <c r="DB334" t="s">
        <v>25</v>
      </c>
      <c r="DC334" t="s">
        <v>25</v>
      </c>
      <c r="DD334" t="s">
        <v>25</v>
      </c>
      <c r="DE334" t="s">
        <v>25</v>
      </c>
      <c r="DF334" t="s">
        <v>53</v>
      </c>
      <c r="DG334" t="s">
        <v>25</v>
      </c>
      <c r="DH334" t="s">
        <v>25</v>
      </c>
      <c r="DI334" t="s">
        <v>25</v>
      </c>
      <c r="DJ334" s="76">
        <v>1.8999999389052401E-2</v>
      </c>
      <c r="DK334" s="73">
        <v>186</v>
      </c>
      <c r="DL334" s="73">
        <v>186</v>
      </c>
      <c r="DM334" s="73">
        <v>0</v>
      </c>
      <c r="DO334" s="65" t="s">
        <v>126</v>
      </c>
      <c r="DP334" t="s">
        <v>74</v>
      </c>
      <c r="DU334" s="65" t="s">
        <v>126</v>
      </c>
      <c r="DZ334" s="73">
        <v>0</v>
      </c>
      <c r="EA334" s="73">
        <v>0</v>
      </c>
      <c r="EB334" s="73">
        <v>0</v>
      </c>
    </row>
    <row r="335" spans="1:133" ht="12" customHeight="1" x14ac:dyDescent="0.2">
      <c r="A335" t="s">
        <v>2937</v>
      </c>
      <c r="B335" t="s">
        <v>2946</v>
      </c>
      <c r="C335" t="str">
        <f t="shared" si="17"/>
        <v>Full</v>
      </c>
      <c r="E335" s="65">
        <v>4893</v>
      </c>
      <c r="F335" t="s">
        <v>1923</v>
      </c>
      <c r="G335" s="71" t="s">
        <v>149</v>
      </c>
      <c r="H335" s="67">
        <v>4.6000000089407002E-2</v>
      </c>
      <c r="I335" s="65">
        <v>528527</v>
      </c>
      <c r="J335" s="65">
        <v>173266</v>
      </c>
      <c r="L335" s="65" t="s">
        <v>241</v>
      </c>
      <c r="M335" s="65" t="s">
        <v>27</v>
      </c>
      <c r="N335" s="69">
        <v>41383</v>
      </c>
      <c r="O335" s="69">
        <v>41463</v>
      </c>
      <c r="R335" s="65" t="s">
        <v>28</v>
      </c>
      <c r="U335" t="s">
        <v>685</v>
      </c>
      <c r="V335" t="s">
        <v>3300</v>
      </c>
      <c r="W335" s="65" t="s">
        <v>39</v>
      </c>
      <c r="X335" s="65" t="s">
        <v>39</v>
      </c>
      <c r="Y335" s="65" t="s">
        <v>69</v>
      </c>
      <c r="AD335" s="65" t="s">
        <v>23</v>
      </c>
      <c r="AE335" s="65" t="s">
        <v>24</v>
      </c>
      <c r="AM335" s="73">
        <v>87</v>
      </c>
      <c r="AO335" s="73">
        <v>87</v>
      </c>
      <c r="BO335" s="185" t="s">
        <v>126</v>
      </c>
      <c r="BP335" s="185" t="s">
        <v>3794</v>
      </c>
      <c r="BQ335" s="185" t="s">
        <v>3794</v>
      </c>
      <c r="BU335" s="73">
        <v>87</v>
      </c>
      <c r="BW335" s="73">
        <v>87</v>
      </c>
      <c r="BY335" s="185" t="s">
        <v>3794</v>
      </c>
      <c r="CJ335" t="s">
        <v>25</v>
      </c>
      <c r="CK335" t="s">
        <v>25</v>
      </c>
      <c r="CL335" t="s">
        <v>25</v>
      </c>
      <c r="CM335" t="s">
        <v>49</v>
      </c>
      <c r="CN335" t="s">
        <v>25</v>
      </c>
      <c r="CO335" t="s">
        <v>25</v>
      </c>
      <c r="CP335" t="s">
        <v>25</v>
      </c>
      <c r="CQ335" t="s">
        <v>25</v>
      </c>
      <c r="CR335" t="s">
        <v>25</v>
      </c>
      <c r="CS335" t="s">
        <v>25</v>
      </c>
      <c r="CT335" t="s">
        <v>25</v>
      </c>
      <c r="CU335" t="s">
        <v>25</v>
      </c>
      <c r="CV335" t="s">
        <v>25</v>
      </c>
      <c r="CW335" t="s">
        <v>25</v>
      </c>
      <c r="CX335" t="s">
        <v>25</v>
      </c>
      <c r="CY335" t="s">
        <v>25</v>
      </c>
      <c r="CZ335" t="s">
        <v>25</v>
      </c>
      <c r="DA335" t="s">
        <v>25</v>
      </c>
      <c r="DB335" t="s">
        <v>25</v>
      </c>
      <c r="DC335" t="s">
        <v>25</v>
      </c>
      <c r="DD335" t="s">
        <v>25</v>
      </c>
      <c r="DE335" t="s">
        <v>25</v>
      </c>
      <c r="DF335" t="s">
        <v>25</v>
      </c>
      <c r="DG335" t="s">
        <v>25</v>
      </c>
      <c r="DH335" t="s">
        <v>25</v>
      </c>
      <c r="DI335" t="s">
        <v>25</v>
      </c>
      <c r="DJ335" s="76">
        <v>4.6000000089407002E-2</v>
      </c>
      <c r="DK335" s="73">
        <v>87</v>
      </c>
      <c r="DL335" s="73">
        <v>0</v>
      </c>
      <c r="DM335" s="73">
        <v>87</v>
      </c>
      <c r="DU335"/>
      <c r="DV335" s="65" t="s">
        <v>126</v>
      </c>
      <c r="DW335" t="s">
        <v>149</v>
      </c>
      <c r="DZ335" s="73">
        <v>0</v>
      </c>
      <c r="EA335" s="73">
        <v>0</v>
      </c>
      <c r="EB335" s="73">
        <v>0</v>
      </c>
    </row>
    <row r="336" spans="1:133" ht="12" customHeight="1" x14ac:dyDescent="0.2">
      <c r="A336" t="s">
        <v>2937</v>
      </c>
      <c r="B336" t="s">
        <v>2948</v>
      </c>
      <c r="C336" t="str">
        <f t="shared" si="17"/>
        <v>Prior Approval</v>
      </c>
      <c r="E336" s="65">
        <v>4936</v>
      </c>
      <c r="F336" t="s">
        <v>1924</v>
      </c>
      <c r="G336" s="71" t="s">
        <v>3943</v>
      </c>
      <c r="H336" s="67">
        <v>1.7000000923872001E-2</v>
      </c>
      <c r="I336" s="65">
        <v>526431</v>
      </c>
      <c r="J336" s="65">
        <v>175730</v>
      </c>
      <c r="K336" s="65" t="s">
        <v>1342</v>
      </c>
      <c r="L336" s="65" t="s">
        <v>863</v>
      </c>
      <c r="M336" s="65" t="s">
        <v>243</v>
      </c>
      <c r="N336" s="69">
        <v>42493</v>
      </c>
      <c r="O336" s="69">
        <v>42549</v>
      </c>
      <c r="R336" s="65" t="s">
        <v>28</v>
      </c>
      <c r="U336" t="s">
        <v>864</v>
      </c>
      <c r="V336" t="s">
        <v>3301</v>
      </c>
      <c r="W336" s="65" t="s">
        <v>21</v>
      </c>
      <c r="X336" s="65" t="s">
        <v>21</v>
      </c>
      <c r="Y336" s="65" t="s">
        <v>59</v>
      </c>
      <c r="AD336" s="65" t="s">
        <v>23</v>
      </c>
      <c r="AE336" s="65" t="s">
        <v>24</v>
      </c>
      <c r="BF336" s="73">
        <v>134</v>
      </c>
      <c r="BK336" s="73">
        <v>134</v>
      </c>
      <c r="BO336" s="185" t="s">
        <v>3794</v>
      </c>
      <c r="BP336" s="185" t="s">
        <v>126</v>
      </c>
      <c r="BQ336" s="185" t="s">
        <v>3794</v>
      </c>
      <c r="BW336" s="73"/>
      <c r="BX336" s="73">
        <v>-134</v>
      </c>
      <c r="BY336" s="185" t="s">
        <v>126</v>
      </c>
      <c r="CD336" s="73">
        <v>-134</v>
      </c>
      <c r="CE336" s="65" t="s">
        <v>126</v>
      </c>
      <c r="CJ336" t="s">
        <v>25</v>
      </c>
      <c r="CK336" t="s">
        <v>25</v>
      </c>
      <c r="CL336" t="s">
        <v>25</v>
      </c>
      <c r="CM336" t="s">
        <v>25</v>
      </c>
      <c r="CN336" t="s">
        <v>25</v>
      </c>
      <c r="CO336" t="s">
        <v>25</v>
      </c>
      <c r="CP336" t="s">
        <v>25</v>
      </c>
      <c r="CQ336" t="s">
        <v>25</v>
      </c>
      <c r="CR336" t="s">
        <v>25</v>
      </c>
      <c r="CS336" t="s">
        <v>25</v>
      </c>
      <c r="CT336" t="s">
        <v>25</v>
      </c>
      <c r="CU336" t="s">
        <v>25</v>
      </c>
      <c r="CV336" t="s">
        <v>25</v>
      </c>
      <c r="CW336" t="s">
        <v>25</v>
      </c>
      <c r="CX336" t="s">
        <v>25</v>
      </c>
      <c r="CY336" t="s">
        <v>25</v>
      </c>
      <c r="CZ336" t="s">
        <v>25</v>
      </c>
      <c r="DA336" t="s">
        <v>25</v>
      </c>
      <c r="DB336" t="s">
        <v>31</v>
      </c>
      <c r="DC336" t="s">
        <v>25</v>
      </c>
      <c r="DD336" t="s">
        <v>25</v>
      </c>
      <c r="DE336" t="s">
        <v>25</v>
      </c>
      <c r="DF336" t="s">
        <v>25</v>
      </c>
      <c r="DG336" t="s">
        <v>25</v>
      </c>
      <c r="DH336" t="s">
        <v>25</v>
      </c>
      <c r="DI336" t="s">
        <v>25</v>
      </c>
      <c r="DJ336" s="76">
        <v>1.3000000733882191E-2</v>
      </c>
      <c r="DK336" s="73">
        <v>0</v>
      </c>
      <c r="DL336" s="73">
        <v>134</v>
      </c>
      <c r="DM336" s="73">
        <v>-134</v>
      </c>
      <c r="DN336" s="65" t="s">
        <v>126</v>
      </c>
      <c r="DU336"/>
      <c r="DZ336" s="73">
        <v>134</v>
      </c>
      <c r="EA336" s="73">
        <v>0</v>
      </c>
      <c r="EB336" s="73">
        <v>134</v>
      </c>
      <c r="EC336" s="65" t="s">
        <v>126</v>
      </c>
    </row>
    <row r="337" spans="1:133" ht="12" customHeight="1" x14ac:dyDescent="0.2">
      <c r="A337" t="s">
        <v>2937</v>
      </c>
      <c r="B337" t="s">
        <v>2948</v>
      </c>
      <c r="C337" t="str">
        <f t="shared" si="17"/>
        <v>Prior Approval</v>
      </c>
      <c r="E337" s="65">
        <v>4936</v>
      </c>
      <c r="F337" t="s">
        <v>1924</v>
      </c>
      <c r="G337" s="71" t="s">
        <v>3943</v>
      </c>
      <c r="H337" s="67">
        <v>1.7000000923872001E-2</v>
      </c>
      <c r="I337" s="65">
        <v>526431</v>
      </c>
      <c r="J337" s="65">
        <v>175730</v>
      </c>
      <c r="K337" s="65" t="s">
        <v>1342</v>
      </c>
      <c r="L337" s="65" t="s">
        <v>931</v>
      </c>
      <c r="M337" s="65" t="s">
        <v>243</v>
      </c>
      <c r="N337" s="69">
        <v>42536</v>
      </c>
      <c r="O337" s="69">
        <v>42592</v>
      </c>
      <c r="R337" s="65" t="s">
        <v>28</v>
      </c>
      <c r="U337" t="s">
        <v>932</v>
      </c>
      <c r="V337" t="s">
        <v>3302</v>
      </c>
      <c r="W337" s="65" t="s">
        <v>21</v>
      </c>
      <c r="X337" s="65" t="s">
        <v>21</v>
      </c>
      <c r="Y337" s="65" t="s">
        <v>59</v>
      </c>
      <c r="AD337" s="65" t="s">
        <v>23</v>
      </c>
      <c r="AE337" s="65" t="s">
        <v>24</v>
      </c>
      <c r="BF337" s="73">
        <v>268</v>
      </c>
      <c r="BK337" s="73">
        <v>268</v>
      </c>
      <c r="BO337" s="185" t="s">
        <v>3794</v>
      </c>
      <c r="BP337" s="185" t="s">
        <v>126</v>
      </c>
      <c r="BQ337" s="185" t="s">
        <v>3794</v>
      </c>
      <c r="BW337" s="73"/>
      <c r="BX337" s="73">
        <v>-268</v>
      </c>
      <c r="BY337" s="185" t="s">
        <v>126</v>
      </c>
      <c r="CD337" s="73">
        <v>-268</v>
      </c>
      <c r="CE337" s="65" t="s">
        <v>126</v>
      </c>
      <c r="CJ337" t="s">
        <v>25</v>
      </c>
      <c r="CK337" t="s">
        <v>25</v>
      </c>
      <c r="CL337" t="s">
        <v>25</v>
      </c>
      <c r="CM337" t="s">
        <v>25</v>
      </c>
      <c r="CN337" t="s">
        <v>25</v>
      </c>
      <c r="CO337" t="s">
        <v>25</v>
      </c>
      <c r="CP337" t="s">
        <v>25</v>
      </c>
      <c r="CQ337" t="s">
        <v>25</v>
      </c>
      <c r="CR337" t="s">
        <v>25</v>
      </c>
      <c r="CS337" t="s">
        <v>25</v>
      </c>
      <c r="CT337" t="s">
        <v>25</v>
      </c>
      <c r="CU337" t="s">
        <v>25</v>
      </c>
      <c r="CV337" t="s">
        <v>25</v>
      </c>
      <c r="CW337" t="s">
        <v>25</v>
      </c>
      <c r="CX337" t="s">
        <v>25</v>
      </c>
      <c r="CY337" t="s">
        <v>25</v>
      </c>
      <c r="CZ337" t="s">
        <v>25</v>
      </c>
      <c r="DA337" t="s">
        <v>25</v>
      </c>
      <c r="DB337" t="s">
        <v>31</v>
      </c>
      <c r="DC337" t="s">
        <v>25</v>
      </c>
      <c r="DD337" t="s">
        <v>25</v>
      </c>
      <c r="DE337" t="s">
        <v>25</v>
      </c>
      <c r="DF337" t="s">
        <v>25</v>
      </c>
      <c r="DG337" t="s">
        <v>25</v>
      </c>
      <c r="DH337" t="s">
        <v>25</v>
      </c>
      <c r="DI337" t="s">
        <v>25</v>
      </c>
      <c r="DJ337" s="76">
        <v>8.0000013113021903E-3</v>
      </c>
      <c r="DK337" s="73">
        <v>0</v>
      </c>
      <c r="DL337" s="73">
        <v>268</v>
      </c>
      <c r="DM337" s="73">
        <v>-268</v>
      </c>
      <c r="DN337" s="65" t="s">
        <v>126</v>
      </c>
      <c r="DU337"/>
      <c r="DZ337" s="73">
        <v>268</v>
      </c>
      <c r="EA337" s="73">
        <v>0</v>
      </c>
      <c r="EB337" s="73">
        <v>268</v>
      </c>
      <c r="EC337" s="65" t="s">
        <v>126</v>
      </c>
    </row>
    <row r="338" spans="1:133" ht="12" customHeight="1" x14ac:dyDescent="0.2">
      <c r="A338" t="s">
        <v>2937</v>
      </c>
      <c r="B338" t="s">
        <v>2948</v>
      </c>
      <c r="C338" t="str">
        <f t="shared" si="17"/>
        <v>Prior Approval</v>
      </c>
      <c r="E338" s="65">
        <v>4936</v>
      </c>
      <c r="F338" t="s">
        <v>1924</v>
      </c>
      <c r="G338" s="71" t="s">
        <v>3943</v>
      </c>
      <c r="H338" s="67">
        <v>1.7000000923872001E-2</v>
      </c>
      <c r="I338" s="65">
        <v>526431</v>
      </c>
      <c r="J338" s="65">
        <v>175730</v>
      </c>
      <c r="K338" s="65" t="s">
        <v>1342</v>
      </c>
      <c r="L338" s="65" t="s">
        <v>974</v>
      </c>
      <c r="M338" s="65" t="s">
        <v>243</v>
      </c>
      <c r="N338" s="69">
        <v>42551</v>
      </c>
      <c r="O338" s="69">
        <v>42607</v>
      </c>
      <c r="R338" s="65" t="s">
        <v>28</v>
      </c>
      <c r="U338" t="s">
        <v>975</v>
      </c>
      <c r="V338" t="s">
        <v>3303</v>
      </c>
      <c r="W338" s="65" t="s">
        <v>21</v>
      </c>
      <c r="X338" s="65" t="s">
        <v>21</v>
      </c>
      <c r="Y338" s="65" t="s">
        <v>59</v>
      </c>
      <c r="AD338" s="65" t="s">
        <v>23</v>
      </c>
      <c r="AE338" s="65" t="s">
        <v>24</v>
      </c>
      <c r="BF338" s="73">
        <v>133</v>
      </c>
      <c r="BK338" s="73">
        <v>133</v>
      </c>
      <c r="BO338" s="185" t="s">
        <v>3794</v>
      </c>
      <c r="BP338" s="185" t="s">
        <v>126</v>
      </c>
      <c r="BQ338" s="185" t="s">
        <v>3794</v>
      </c>
      <c r="BW338" s="73"/>
      <c r="BX338" s="73">
        <v>-133</v>
      </c>
      <c r="BY338" s="185" t="s">
        <v>126</v>
      </c>
      <c r="CD338" s="73">
        <v>-133</v>
      </c>
      <c r="CE338" s="65" t="s">
        <v>126</v>
      </c>
      <c r="CJ338" t="s">
        <v>25</v>
      </c>
      <c r="CK338" t="s">
        <v>25</v>
      </c>
      <c r="CL338" t="s">
        <v>25</v>
      </c>
      <c r="CM338" t="s">
        <v>25</v>
      </c>
      <c r="CN338" t="s">
        <v>25</v>
      </c>
      <c r="CO338" t="s">
        <v>25</v>
      </c>
      <c r="CP338" t="s">
        <v>25</v>
      </c>
      <c r="CQ338" t="s">
        <v>25</v>
      </c>
      <c r="CR338" t="s">
        <v>25</v>
      </c>
      <c r="CS338" t="s">
        <v>25</v>
      </c>
      <c r="CT338" t="s">
        <v>25</v>
      </c>
      <c r="CU338" t="s">
        <v>25</v>
      </c>
      <c r="CV338" t="s">
        <v>25</v>
      </c>
      <c r="CW338" t="s">
        <v>25</v>
      </c>
      <c r="CX338" t="s">
        <v>25</v>
      </c>
      <c r="CY338" t="s">
        <v>25</v>
      </c>
      <c r="CZ338" t="s">
        <v>25</v>
      </c>
      <c r="DA338" t="s">
        <v>25</v>
      </c>
      <c r="DB338" t="s">
        <v>31</v>
      </c>
      <c r="DC338" t="s">
        <v>25</v>
      </c>
      <c r="DD338" t="s">
        <v>25</v>
      </c>
      <c r="DE338" t="s">
        <v>25</v>
      </c>
      <c r="DF338" t="s">
        <v>25</v>
      </c>
      <c r="DG338" t="s">
        <v>25</v>
      </c>
      <c r="DH338" t="s">
        <v>25</v>
      </c>
      <c r="DI338" t="s">
        <v>25</v>
      </c>
      <c r="DJ338" s="76">
        <v>1.100000087171794E-2</v>
      </c>
      <c r="DK338" s="73">
        <v>0</v>
      </c>
      <c r="DL338" s="73">
        <v>133</v>
      </c>
      <c r="DM338" s="73">
        <v>-133</v>
      </c>
      <c r="DN338" s="65" t="s">
        <v>126</v>
      </c>
      <c r="DU338"/>
      <c r="DZ338" s="73">
        <v>133</v>
      </c>
      <c r="EA338" s="73">
        <v>0</v>
      </c>
      <c r="EB338" s="73">
        <v>133</v>
      </c>
      <c r="EC338" s="65" t="s">
        <v>126</v>
      </c>
    </row>
    <row r="339" spans="1:133" ht="12" customHeight="1" x14ac:dyDescent="0.2">
      <c r="A339" t="s">
        <v>2937</v>
      </c>
      <c r="B339" t="s">
        <v>2946</v>
      </c>
      <c r="C339" t="str">
        <f t="shared" si="17"/>
        <v>Full</v>
      </c>
      <c r="E339" s="65">
        <v>4944</v>
      </c>
      <c r="F339" t="s">
        <v>1925</v>
      </c>
      <c r="G339" s="71" t="s">
        <v>149</v>
      </c>
      <c r="H339" s="67">
        <v>4.0000001899898104E-3</v>
      </c>
      <c r="I339" s="65">
        <v>528817</v>
      </c>
      <c r="J339" s="65">
        <v>173818</v>
      </c>
      <c r="L339" s="65" t="s">
        <v>491</v>
      </c>
      <c r="M339" s="65" t="s">
        <v>27</v>
      </c>
      <c r="N339" s="69">
        <v>42184</v>
      </c>
      <c r="O339" s="69">
        <v>42240</v>
      </c>
      <c r="R339" s="65" t="s">
        <v>28</v>
      </c>
      <c r="U339" t="s">
        <v>492</v>
      </c>
      <c r="V339" t="s">
        <v>3304</v>
      </c>
      <c r="W339" s="65" t="s">
        <v>21</v>
      </c>
      <c r="X339" s="65" t="s">
        <v>21</v>
      </c>
      <c r="Y339" s="65" t="s">
        <v>69</v>
      </c>
      <c r="AD339" s="65" t="s">
        <v>23</v>
      </c>
      <c r="AE339" s="65" t="s">
        <v>24</v>
      </c>
      <c r="AZ339" s="73">
        <v>26</v>
      </c>
      <c r="BE339" s="73">
        <v>26</v>
      </c>
      <c r="BO339" s="185" t="s">
        <v>126</v>
      </c>
      <c r="BP339" s="185" t="s">
        <v>3794</v>
      </c>
      <c r="BQ339" s="185" t="s">
        <v>3794</v>
      </c>
      <c r="BR339" s="73">
        <v>-26</v>
      </c>
      <c r="BW339" s="73">
        <v>-26</v>
      </c>
      <c r="BY339" s="185" t="s">
        <v>3794</v>
      </c>
      <c r="CJ339" t="s">
        <v>25</v>
      </c>
      <c r="CK339" t="s">
        <v>25</v>
      </c>
      <c r="CL339" t="s">
        <v>25</v>
      </c>
      <c r="CM339" t="s">
        <v>25</v>
      </c>
      <c r="CN339" t="s">
        <v>25</v>
      </c>
      <c r="CO339" t="s">
        <v>25</v>
      </c>
      <c r="CP339" t="s">
        <v>25</v>
      </c>
      <c r="CQ339" t="s">
        <v>25</v>
      </c>
      <c r="CR339" t="s">
        <v>25</v>
      </c>
      <c r="CS339" t="s">
        <v>25</v>
      </c>
      <c r="CT339" t="s">
        <v>25</v>
      </c>
      <c r="CU339" t="s">
        <v>25</v>
      </c>
      <c r="CV339" t="s">
        <v>25</v>
      </c>
      <c r="CW339" t="s">
        <v>47</v>
      </c>
      <c r="CX339" t="s">
        <v>25</v>
      </c>
      <c r="CY339" t="s">
        <v>25</v>
      </c>
      <c r="CZ339" t="s">
        <v>25</v>
      </c>
      <c r="DA339" t="s">
        <v>25</v>
      </c>
      <c r="DB339" t="s">
        <v>25</v>
      </c>
      <c r="DC339" t="s">
        <v>25</v>
      </c>
      <c r="DD339" t="s">
        <v>25</v>
      </c>
      <c r="DE339" t="s">
        <v>25</v>
      </c>
      <c r="DF339" t="s">
        <v>25</v>
      </c>
      <c r="DG339" t="s">
        <v>25</v>
      </c>
      <c r="DH339" t="s">
        <v>25</v>
      </c>
      <c r="DI339" t="s">
        <v>25</v>
      </c>
      <c r="DJ339" s="76">
        <v>0</v>
      </c>
      <c r="DK339" s="73">
        <v>0</v>
      </c>
      <c r="DL339" s="73">
        <v>26</v>
      </c>
      <c r="DM339" s="73">
        <v>-26</v>
      </c>
      <c r="DU339"/>
      <c r="DZ339" s="73">
        <v>69</v>
      </c>
      <c r="EA339" s="73">
        <v>35</v>
      </c>
      <c r="EB339" s="73">
        <v>34</v>
      </c>
      <c r="EC339" s="65" t="s">
        <v>126</v>
      </c>
    </row>
    <row r="340" spans="1:133" ht="12" customHeight="1" x14ac:dyDescent="0.2">
      <c r="A340" t="s">
        <v>2937</v>
      </c>
      <c r="B340" t="s">
        <v>2948</v>
      </c>
      <c r="C340" t="str">
        <f t="shared" si="17"/>
        <v>Prior Approval</v>
      </c>
      <c r="E340" s="65">
        <v>4945</v>
      </c>
      <c r="F340" t="s">
        <v>1926</v>
      </c>
      <c r="G340" s="71" t="s">
        <v>3952</v>
      </c>
      <c r="H340" s="67">
        <v>3.5999998450279201E-2</v>
      </c>
      <c r="I340" s="65">
        <v>528361</v>
      </c>
      <c r="J340" s="65">
        <v>172945</v>
      </c>
      <c r="L340" s="65" t="s">
        <v>507</v>
      </c>
      <c r="M340" s="65" t="s">
        <v>244</v>
      </c>
      <c r="N340" s="69">
        <v>42221</v>
      </c>
      <c r="O340" s="69">
        <v>42277</v>
      </c>
      <c r="R340" s="65" t="s">
        <v>28</v>
      </c>
      <c r="U340" t="s">
        <v>508</v>
      </c>
      <c r="V340" t="s">
        <v>3305</v>
      </c>
      <c r="W340" s="65" t="s">
        <v>21</v>
      </c>
      <c r="X340" s="65" t="s">
        <v>21</v>
      </c>
      <c r="Y340" s="65" t="s">
        <v>69</v>
      </c>
      <c r="AD340" s="65" t="s">
        <v>23</v>
      </c>
      <c r="AE340" s="65" t="s">
        <v>24</v>
      </c>
      <c r="AJ340" s="73">
        <v>44</v>
      </c>
      <c r="AO340" s="73">
        <v>44</v>
      </c>
      <c r="AZ340" s="73">
        <v>122</v>
      </c>
      <c r="BE340" s="73">
        <v>122</v>
      </c>
      <c r="BO340" s="185" t="s">
        <v>126</v>
      </c>
      <c r="BP340" s="185" t="s">
        <v>3794</v>
      </c>
      <c r="BQ340" s="185" t="s">
        <v>3794</v>
      </c>
      <c r="BR340" s="73">
        <v>-78</v>
      </c>
      <c r="BW340" s="73">
        <v>-78</v>
      </c>
      <c r="BY340" s="185" t="s">
        <v>3794</v>
      </c>
      <c r="CJ340" t="s">
        <v>31</v>
      </c>
      <c r="CK340" t="s">
        <v>25</v>
      </c>
      <c r="CL340" t="s">
        <v>25</v>
      </c>
      <c r="CM340" t="s">
        <v>25</v>
      </c>
      <c r="CN340" t="s">
        <v>25</v>
      </c>
      <c r="CO340" t="s">
        <v>25</v>
      </c>
      <c r="CP340" t="s">
        <v>25</v>
      </c>
      <c r="CQ340" t="s">
        <v>25</v>
      </c>
      <c r="CR340" t="s">
        <v>25</v>
      </c>
      <c r="CS340" t="s">
        <v>25</v>
      </c>
      <c r="CT340" t="s">
        <v>25</v>
      </c>
      <c r="CU340" t="s">
        <v>25</v>
      </c>
      <c r="CV340" t="s">
        <v>25</v>
      </c>
      <c r="CW340" t="s">
        <v>31</v>
      </c>
      <c r="CX340" t="s">
        <v>25</v>
      </c>
      <c r="CY340" t="s">
        <v>25</v>
      </c>
      <c r="CZ340" t="s">
        <v>25</v>
      </c>
      <c r="DA340" t="s">
        <v>25</v>
      </c>
      <c r="DB340" t="s">
        <v>25</v>
      </c>
      <c r="DC340" t="s">
        <v>25</v>
      </c>
      <c r="DD340" t="s">
        <v>25</v>
      </c>
      <c r="DE340" t="s">
        <v>25</v>
      </c>
      <c r="DF340" t="s">
        <v>25</v>
      </c>
      <c r="DG340" t="s">
        <v>25</v>
      </c>
      <c r="DH340" t="s">
        <v>25</v>
      </c>
      <c r="DI340" t="s">
        <v>25</v>
      </c>
      <c r="DJ340" s="76">
        <v>2.7999998070299591E-2</v>
      </c>
      <c r="DK340" s="73">
        <v>44</v>
      </c>
      <c r="DL340" s="73">
        <v>122</v>
      </c>
      <c r="DM340" s="73">
        <v>-78</v>
      </c>
      <c r="DU340"/>
      <c r="DZ340" s="73">
        <v>78</v>
      </c>
      <c r="EA340" s="73">
        <v>0</v>
      </c>
      <c r="EB340" s="73">
        <v>78</v>
      </c>
      <c r="EC340" s="65" t="s">
        <v>126</v>
      </c>
    </row>
    <row r="341" spans="1:133" ht="12" customHeight="1" x14ac:dyDescent="0.2">
      <c r="A341" t="s">
        <v>2937</v>
      </c>
      <c r="B341" t="s">
        <v>2946</v>
      </c>
      <c r="C341" t="str">
        <f t="shared" si="17"/>
        <v>Full</v>
      </c>
      <c r="E341" s="65">
        <v>4953</v>
      </c>
      <c r="F341" t="s">
        <v>1927</v>
      </c>
      <c r="G341" s="71" t="s">
        <v>3945</v>
      </c>
      <c r="H341" s="67">
        <v>1.2000000104308101E-2</v>
      </c>
      <c r="I341" s="65">
        <v>528420</v>
      </c>
      <c r="J341" s="65">
        <v>175774</v>
      </c>
      <c r="L341" s="65" t="s">
        <v>997</v>
      </c>
      <c r="M341" s="65" t="s">
        <v>27</v>
      </c>
      <c r="N341" s="69">
        <v>42613</v>
      </c>
      <c r="O341" s="69">
        <v>42669</v>
      </c>
      <c r="R341" s="65" t="s">
        <v>28</v>
      </c>
      <c r="U341" t="s">
        <v>998</v>
      </c>
      <c r="V341" t="s">
        <v>3306</v>
      </c>
      <c r="W341" s="65" t="s">
        <v>34</v>
      </c>
      <c r="X341" s="65" t="s">
        <v>29</v>
      </c>
      <c r="Y341" s="65" t="s">
        <v>69</v>
      </c>
      <c r="AD341" s="65" t="s">
        <v>23</v>
      </c>
      <c r="AE341" s="65" t="s">
        <v>24</v>
      </c>
      <c r="AJ341" s="73">
        <v>57</v>
      </c>
      <c r="AO341" s="73">
        <v>57</v>
      </c>
      <c r="BB341" s="73">
        <v>137</v>
      </c>
      <c r="BE341" s="73">
        <v>137</v>
      </c>
      <c r="BO341" s="185" t="s">
        <v>126</v>
      </c>
      <c r="BP341" s="185" t="s">
        <v>3794</v>
      </c>
      <c r="BQ341" s="185" t="s">
        <v>3794</v>
      </c>
      <c r="BR341" s="73">
        <v>57</v>
      </c>
      <c r="BT341" s="73">
        <v>-137</v>
      </c>
      <c r="BW341" s="73">
        <v>-80</v>
      </c>
      <c r="BY341" s="185" t="s">
        <v>3794</v>
      </c>
      <c r="CJ341" t="s">
        <v>31</v>
      </c>
      <c r="CK341" t="s">
        <v>25</v>
      </c>
      <c r="CL341" t="s">
        <v>25</v>
      </c>
      <c r="CM341" t="s">
        <v>25</v>
      </c>
      <c r="CN341" t="s">
        <v>25</v>
      </c>
      <c r="CO341" t="s">
        <v>25</v>
      </c>
      <c r="CP341" t="s">
        <v>25</v>
      </c>
      <c r="CQ341" t="s">
        <v>25</v>
      </c>
      <c r="CR341" t="s">
        <v>25</v>
      </c>
      <c r="CS341" t="s">
        <v>25</v>
      </c>
      <c r="CT341" t="s">
        <v>25</v>
      </c>
      <c r="CU341" t="s">
        <v>25</v>
      </c>
      <c r="CV341" t="s">
        <v>25</v>
      </c>
      <c r="CW341" t="s">
        <v>25</v>
      </c>
      <c r="CX341" t="s">
        <v>25</v>
      </c>
      <c r="CY341" t="s">
        <v>38</v>
      </c>
      <c r="CZ341" t="s">
        <v>25</v>
      </c>
      <c r="DA341" t="s">
        <v>25</v>
      </c>
      <c r="DB341" t="s">
        <v>25</v>
      </c>
      <c r="DC341" t="s">
        <v>25</v>
      </c>
      <c r="DD341" t="s">
        <v>25</v>
      </c>
      <c r="DE341" t="s">
        <v>25</v>
      </c>
      <c r="DF341" t="s">
        <v>25</v>
      </c>
      <c r="DG341" t="s">
        <v>25</v>
      </c>
      <c r="DH341" t="s">
        <v>25</v>
      </c>
      <c r="DI341" t="s">
        <v>25</v>
      </c>
      <c r="DJ341" s="76">
        <v>2.0000003278255202E-3</v>
      </c>
      <c r="DK341" s="73">
        <v>57</v>
      </c>
      <c r="DL341" s="73">
        <v>137</v>
      </c>
      <c r="DM341" s="73">
        <v>-80</v>
      </c>
      <c r="DU341"/>
      <c r="DX341" s="65" t="s">
        <v>126</v>
      </c>
      <c r="DY341" t="s">
        <v>2908</v>
      </c>
      <c r="DZ341" s="73">
        <v>109</v>
      </c>
      <c r="EA341" s="73">
        <v>0</v>
      </c>
      <c r="EB341" s="73">
        <v>109</v>
      </c>
      <c r="EC341" s="65" t="s">
        <v>126</v>
      </c>
    </row>
    <row r="342" spans="1:133" ht="12" customHeight="1" x14ac:dyDescent="0.2">
      <c r="A342" t="s">
        <v>2935</v>
      </c>
      <c r="B342" t="s">
        <v>2946</v>
      </c>
      <c r="C342" t="str">
        <f t="shared" si="17"/>
        <v>Full</v>
      </c>
      <c r="E342" s="65">
        <v>4978</v>
      </c>
      <c r="F342" t="s">
        <v>1928</v>
      </c>
      <c r="G342" s="71" t="s">
        <v>3946</v>
      </c>
      <c r="H342" s="67">
        <v>8.1000000238418607E-2</v>
      </c>
      <c r="I342" s="65">
        <v>523988</v>
      </c>
      <c r="J342" s="65">
        <v>175472</v>
      </c>
      <c r="L342" s="65" t="s">
        <v>896</v>
      </c>
      <c r="M342" s="65" t="s">
        <v>27</v>
      </c>
      <c r="N342" s="69">
        <v>42529</v>
      </c>
      <c r="O342" s="69">
        <v>42628</v>
      </c>
      <c r="R342" s="65" t="s">
        <v>28</v>
      </c>
      <c r="U342" t="s">
        <v>897</v>
      </c>
      <c r="V342" t="s">
        <v>3307</v>
      </c>
      <c r="W342" s="65" t="s">
        <v>29</v>
      </c>
      <c r="X342" s="65" t="s">
        <v>29</v>
      </c>
      <c r="Y342" s="65" t="s">
        <v>30</v>
      </c>
      <c r="Z342" s="69">
        <v>42825</v>
      </c>
      <c r="AA342" s="69">
        <v>42825</v>
      </c>
      <c r="AD342" s="65" t="s">
        <v>23</v>
      </c>
      <c r="AE342" s="65" t="s">
        <v>24</v>
      </c>
      <c r="AH342" s="69">
        <f t="shared" si="15"/>
        <v>42825</v>
      </c>
      <c r="AL342" s="73">
        <v>69</v>
      </c>
      <c r="AO342" s="73">
        <v>69</v>
      </c>
      <c r="AP342" s="73">
        <v>290</v>
      </c>
      <c r="AS342" s="73">
        <v>290</v>
      </c>
      <c r="AV342" s="73">
        <v>290</v>
      </c>
      <c r="AW342" s="73">
        <v>119</v>
      </c>
      <c r="AY342" s="73">
        <v>119</v>
      </c>
      <c r="BF342" s="73">
        <v>215</v>
      </c>
      <c r="BK342" s="73">
        <v>215</v>
      </c>
      <c r="BL342" s="73">
        <v>80</v>
      </c>
      <c r="BN342" s="73">
        <v>80</v>
      </c>
      <c r="BO342" s="185" t="s">
        <v>126</v>
      </c>
      <c r="BP342" s="185" t="s">
        <v>126</v>
      </c>
      <c r="BQ342" s="185" t="s">
        <v>126</v>
      </c>
      <c r="BT342" s="73">
        <v>69</v>
      </c>
      <c r="BW342" s="570">
        <v>69</v>
      </c>
      <c r="BX342" s="73">
        <v>75</v>
      </c>
      <c r="BY342" s="185" t="s">
        <v>3794</v>
      </c>
      <c r="CD342" s="73">
        <v>75</v>
      </c>
      <c r="CG342" s="73">
        <v>39</v>
      </c>
      <c r="CI342" s="73">
        <v>39</v>
      </c>
      <c r="CJ342" t="s">
        <v>25</v>
      </c>
      <c r="CK342" t="s">
        <v>25</v>
      </c>
      <c r="CL342" t="s">
        <v>50</v>
      </c>
      <c r="CM342" t="s">
        <v>25</v>
      </c>
      <c r="CN342" t="s">
        <v>25</v>
      </c>
      <c r="CO342" t="s">
        <v>31</v>
      </c>
      <c r="CP342" t="s">
        <v>25</v>
      </c>
      <c r="CQ342" t="s">
        <v>25</v>
      </c>
      <c r="CR342" t="s">
        <v>25</v>
      </c>
      <c r="CS342" t="s">
        <v>25</v>
      </c>
      <c r="CT342" t="s">
        <v>25</v>
      </c>
      <c r="CU342" t="s">
        <v>31</v>
      </c>
      <c r="CV342" t="s">
        <v>25</v>
      </c>
      <c r="CW342" t="s">
        <v>25</v>
      </c>
      <c r="CX342" t="s">
        <v>25</v>
      </c>
      <c r="CY342" t="s">
        <v>25</v>
      </c>
      <c r="CZ342" t="s">
        <v>25</v>
      </c>
      <c r="DA342" t="s">
        <v>25</v>
      </c>
      <c r="DB342" t="s">
        <v>72</v>
      </c>
      <c r="DC342" t="s">
        <v>25</v>
      </c>
      <c r="DD342" t="s">
        <v>25</v>
      </c>
      <c r="DE342" t="s">
        <v>25</v>
      </c>
      <c r="DF342" t="s">
        <v>25</v>
      </c>
      <c r="DG342" t="s">
        <v>25</v>
      </c>
      <c r="DH342" t="s">
        <v>47</v>
      </c>
      <c r="DI342" t="s">
        <v>25</v>
      </c>
      <c r="DJ342" s="76">
        <v>1.9999999552965206E-2</v>
      </c>
      <c r="DK342" s="73">
        <v>478</v>
      </c>
      <c r="DL342" s="73">
        <v>295</v>
      </c>
      <c r="DM342" s="73">
        <v>183</v>
      </c>
      <c r="DU342"/>
      <c r="DV342" s="65" t="s">
        <v>126</v>
      </c>
      <c r="DW342" t="s">
        <v>131</v>
      </c>
      <c r="DZ342" s="73">
        <v>557</v>
      </c>
      <c r="EA342" s="73">
        <v>0</v>
      </c>
      <c r="EB342" s="73">
        <v>557</v>
      </c>
      <c r="EC342" s="65" t="s">
        <v>126</v>
      </c>
    </row>
    <row r="343" spans="1:133" ht="12" customHeight="1" x14ac:dyDescent="0.2">
      <c r="A343" t="s">
        <v>2938</v>
      </c>
      <c r="B343" t="s">
        <v>2948</v>
      </c>
      <c r="C343" t="str">
        <f t="shared" si="17"/>
        <v>Prior Approval</v>
      </c>
      <c r="E343" s="65">
        <v>4980</v>
      </c>
      <c r="F343" t="s">
        <v>1929</v>
      </c>
      <c r="G343" s="71" t="s">
        <v>3943</v>
      </c>
      <c r="H343" s="67">
        <v>4.6000000089407002E-2</v>
      </c>
      <c r="I343" s="65">
        <v>527292</v>
      </c>
      <c r="J343" s="65">
        <v>177189</v>
      </c>
      <c r="L343" s="65" t="s">
        <v>1930</v>
      </c>
      <c r="M343" s="65" t="s">
        <v>227</v>
      </c>
      <c r="N343" s="69">
        <v>43151</v>
      </c>
      <c r="R343" s="65" t="s">
        <v>28</v>
      </c>
      <c r="U343" t="s">
        <v>1931</v>
      </c>
      <c r="V343" t="s">
        <v>3308</v>
      </c>
      <c r="W343" s="65" t="s">
        <v>21</v>
      </c>
      <c r="X343" s="65" t="s">
        <v>21</v>
      </c>
      <c r="Y343" s="65" t="s">
        <v>69</v>
      </c>
      <c r="AD343" s="65" t="s">
        <v>173</v>
      </c>
      <c r="AE343" s="65" t="s">
        <v>24</v>
      </c>
      <c r="BF343" s="73">
        <v>89</v>
      </c>
      <c r="BK343" s="73">
        <v>89</v>
      </c>
      <c r="BO343" s="185" t="s">
        <v>3794</v>
      </c>
      <c r="BP343" s="185" t="s">
        <v>126</v>
      </c>
      <c r="BQ343" s="185" t="s">
        <v>3794</v>
      </c>
      <c r="BW343" s="73"/>
      <c r="BX343" s="73">
        <v>-89</v>
      </c>
      <c r="BY343" s="185" t="s">
        <v>126</v>
      </c>
      <c r="CD343" s="73">
        <v>-89</v>
      </c>
      <c r="CE343" s="65" t="s">
        <v>126</v>
      </c>
      <c r="CJ343" t="s">
        <v>25</v>
      </c>
      <c r="CK343" t="s">
        <v>25</v>
      </c>
      <c r="CL343" t="s">
        <v>25</v>
      </c>
      <c r="CM343" t="s">
        <v>25</v>
      </c>
      <c r="CN343" t="s">
        <v>25</v>
      </c>
      <c r="CO343" t="s">
        <v>25</v>
      </c>
      <c r="CP343" t="s">
        <v>25</v>
      </c>
      <c r="CQ343" t="s">
        <v>25</v>
      </c>
      <c r="CR343" t="s">
        <v>25</v>
      </c>
      <c r="CS343" t="s">
        <v>25</v>
      </c>
      <c r="CT343" t="s">
        <v>25</v>
      </c>
      <c r="CU343" t="s">
        <v>25</v>
      </c>
      <c r="CV343" t="s">
        <v>25</v>
      </c>
      <c r="CW343" t="s">
        <v>25</v>
      </c>
      <c r="CX343" t="s">
        <v>25</v>
      </c>
      <c r="CY343" t="s">
        <v>25</v>
      </c>
      <c r="CZ343" t="s">
        <v>25</v>
      </c>
      <c r="DA343" t="s">
        <v>25</v>
      </c>
      <c r="DB343" t="s">
        <v>31</v>
      </c>
      <c r="DC343" t="s">
        <v>25</v>
      </c>
      <c r="DD343" t="s">
        <v>25</v>
      </c>
      <c r="DE343" t="s">
        <v>25</v>
      </c>
      <c r="DF343" t="s">
        <v>25</v>
      </c>
      <c r="DG343" t="s">
        <v>25</v>
      </c>
      <c r="DH343" t="s">
        <v>25</v>
      </c>
      <c r="DI343" t="s">
        <v>25</v>
      </c>
      <c r="DJ343" s="76">
        <v>3.8999999873340165E-2</v>
      </c>
      <c r="DK343" s="73">
        <v>0</v>
      </c>
      <c r="DL343" s="73">
        <v>89</v>
      </c>
      <c r="DM343" s="73">
        <v>-89</v>
      </c>
      <c r="DN343" s="65" t="s">
        <v>126</v>
      </c>
      <c r="DU343"/>
      <c r="DZ343" s="73">
        <v>89</v>
      </c>
      <c r="EA343" s="73">
        <v>0</v>
      </c>
      <c r="EB343" s="73">
        <v>89</v>
      </c>
      <c r="EC343" s="65" t="s">
        <v>126</v>
      </c>
    </row>
    <row r="344" spans="1:133" ht="12" customHeight="1" x14ac:dyDescent="0.2">
      <c r="A344" t="s">
        <v>2938</v>
      </c>
      <c r="B344" t="s">
        <v>2946</v>
      </c>
      <c r="C344" t="str">
        <f t="shared" si="17"/>
        <v>Full</v>
      </c>
      <c r="E344" s="65">
        <v>4984</v>
      </c>
      <c r="F344" t="s">
        <v>1932</v>
      </c>
      <c r="G344" s="71" t="s">
        <v>3939</v>
      </c>
      <c r="H344" s="67">
        <v>6.5999999642372104E-2</v>
      </c>
      <c r="I344" s="65">
        <v>524707</v>
      </c>
      <c r="J344" s="65">
        <v>173200</v>
      </c>
      <c r="L344" s="65" t="s">
        <v>1933</v>
      </c>
      <c r="M344" s="65" t="s">
        <v>172</v>
      </c>
      <c r="N344" s="69">
        <v>43139</v>
      </c>
      <c r="R344" s="65" t="s">
        <v>28</v>
      </c>
      <c r="U344" t="s">
        <v>1934</v>
      </c>
      <c r="V344" t="s">
        <v>3309</v>
      </c>
      <c r="W344" s="65" t="s">
        <v>29</v>
      </c>
      <c r="X344" s="65" t="s">
        <v>29</v>
      </c>
      <c r="Y344" s="65" t="s">
        <v>69</v>
      </c>
      <c r="AD344" s="65" t="s">
        <v>173</v>
      </c>
      <c r="AE344" s="65" t="s">
        <v>24</v>
      </c>
      <c r="AJ344" s="73">
        <v>118</v>
      </c>
      <c r="AO344" s="73">
        <v>118</v>
      </c>
      <c r="AZ344" s="73">
        <v>168</v>
      </c>
      <c r="BE344" s="73">
        <v>168</v>
      </c>
      <c r="BO344" s="185" t="s">
        <v>126</v>
      </c>
      <c r="BP344" s="185" t="s">
        <v>3794</v>
      </c>
      <c r="BQ344" s="185" t="s">
        <v>3794</v>
      </c>
      <c r="BR344" s="73">
        <v>-50</v>
      </c>
      <c r="BW344" s="73">
        <v>-50</v>
      </c>
      <c r="BY344" s="185" t="s">
        <v>3794</v>
      </c>
      <c r="CJ344" t="s">
        <v>46</v>
      </c>
      <c r="CK344" t="s">
        <v>25</v>
      </c>
      <c r="CL344" t="s">
        <v>25</v>
      </c>
      <c r="CM344" t="s">
        <v>25</v>
      </c>
      <c r="CN344" t="s">
        <v>25</v>
      </c>
      <c r="CO344" t="s">
        <v>25</v>
      </c>
      <c r="CP344" t="s">
        <v>25</v>
      </c>
      <c r="CQ344" t="s">
        <v>25</v>
      </c>
      <c r="CR344" t="s">
        <v>25</v>
      </c>
      <c r="CS344" t="s">
        <v>25</v>
      </c>
      <c r="CT344" t="s">
        <v>25</v>
      </c>
      <c r="CU344" t="s">
        <v>25</v>
      </c>
      <c r="CV344" t="s">
        <v>25</v>
      </c>
      <c r="CW344" t="s">
        <v>46</v>
      </c>
      <c r="CX344" t="s">
        <v>25</v>
      </c>
      <c r="CY344" t="s">
        <v>25</v>
      </c>
      <c r="CZ344" t="s">
        <v>25</v>
      </c>
      <c r="DA344" t="s">
        <v>25</v>
      </c>
      <c r="DB344" t="s">
        <v>25</v>
      </c>
      <c r="DC344" t="s">
        <v>25</v>
      </c>
      <c r="DD344" t="s">
        <v>25</v>
      </c>
      <c r="DE344" t="s">
        <v>25</v>
      </c>
      <c r="DF344" t="s">
        <v>25</v>
      </c>
      <c r="DG344" t="s">
        <v>25</v>
      </c>
      <c r="DH344" t="s">
        <v>25</v>
      </c>
      <c r="DI344" t="s">
        <v>25</v>
      </c>
      <c r="DJ344" s="76">
        <v>1.3000000268220901E-2</v>
      </c>
      <c r="DK344" s="73">
        <v>118</v>
      </c>
      <c r="DL344" s="73">
        <v>168</v>
      </c>
      <c r="DM344" s="73">
        <v>-50</v>
      </c>
      <c r="DU344"/>
      <c r="DX344" s="65" t="s">
        <v>126</v>
      </c>
      <c r="DY344" t="s">
        <v>2907</v>
      </c>
      <c r="DZ344" s="73">
        <v>520</v>
      </c>
      <c r="EA344" s="73">
        <v>112</v>
      </c>
      <c r="EB344" s="73">
        <v>408</v>
      </c>
      <c r="EC344" s="65" t="s">
        <v>126</v>
      </c>
    </row>
    <row r="345" spans="1:133" ht="12" customHeight="1" x14ac:dyDescent="0.2">
      <c r="A345" t="s">
        <v>2937</v>
      </c>
      <c r="B345" t="s">
        <v>2946</v>
      </c>
      <c r="C345" t="str">
        <f t="shared" si="17"/>
        <v>Full</v>
      </c>
      <c r="E345" s="65">
        <v>5003</v>
      </c>
      <c r="F345" t="s">
        <v>1935</v>
      </c>
      <c r="G345" s="71" t="s">
        <v>3950</v>
      </c>
      <c r="H345" s="67">
        <v>9.9999997764825804E-3</v>
      </c>
      <c r="I345" s="65">
        <v>529452</v>
      </c>
      <c r="J345" s="65">
        <v>170760</v>
      </c>
      <c r="L345" s="65" t="s">
        <v>1064</v>
      </c>
      <c r="M345" s="65" t="s">
        <v>27</v>
      </c>
      <c r="N345" s="69">
        <v>42632</v>
      </c>
      <c r="O345" s="69">
        <v>42724</v>
      </c>
      <c r="R345" s="65" t="s">
        <v>28</v>
      </c>
      <c r="U345" t="s">
        <v>1065</v>
      </c>
      <c r="V345" t="s">
        <v>3310</v>
      </c>
      <c r="W345" s="65" t="s">
        <v>29</v>
      </c>
      <c r="X345" s="65" t="s">
        <v>29</v>
      </c>
      <c r="Y345" s="65" t="s">
        <v>69</v>
      </c>
      <c r="AD345" s="65" t="s">
        <v>23</v>
      </c>
      <c r="AE345" s="65" t="s">
        <v>24</v>
      </c>
      <c r="AR345" s="73">
        <v>160</v>
      </c>
      <c r="AS345" s="73">
        <v>160</v>
      </c>
      <c r="AV345" s="73">
        <v>160</v>
      </c>
      <c r="BH345" s="73">
        <v>80</v>
      </c>
      <c r="BK345" s="73">
        <v>80</v>
      </c>
      <c r="BO345" s="185" t="s">
        <v>3794</v>
      </c>
      <c r="BP345" s="185" t="s">
        <v>126</v>
      </c>
      <c r="BQ345" s="185" t="s">
        <v>3794</v>
      </c>
      <c r="BW345" s="73"/>
      <c r="BY345" s="185" t="s">
        <v>3794</v>
      </c>
      <c r="CA345" s="73">
        <v>80</v>
      </c>
      <c r="CD345" s="73">
        <v>80</v>
      </c>
      <c r="CJ345" t="s">
        <v>25</v>
      </c>
      <c r="CK345" t="s">
        <v>25</v>
      </c>
      <c r="CL345" t="s">
        <v>25</v>
      </c>
      <c r="CM345" t="s">
        <v>25</v>
      </c>
      <c r="CN345" t="s">
        <v>25</v>
      </c>
      <c r="CO345" t="s">
        <v>25</v>
      </c>
      <c r="CP345" t="s">
        <v>25</v>
      </c>
      <c r="CQ345" t="s">
        <v>49</v>
      </c>
      <c r="CR345" t="s">
        <v>25</v>
      </c>
      <c r="CS345" t="s">
        <v>25</v>
      </c>
      <c r="CT345" t="s">
        <v>25</v>
      </c>
      <c r="CU345" t="s">
        <v>25</v>
      </c>
      <c r="CV345" t="s">
        <v>25</v>
      </c>
      <c r="CW345" t="s">
        <v>25</v>
      </c>
      <c r="CX345" t="s">
        <v>25</v>
      </c>
      <c r="CY345" t="s">
        <v>25</v>
      </c>
      <c r="CZ345" t="s">
        <v>25</v>
      </c>
      <c r="DA345" t="s">
        <v>25</v>
      </c>
      <c r="DB345" t="s">
        <v>25</v>
      </c>
      <c r="DC345" t="s">
        <v>25</v>
      </c>
      <c r="DD345" t="s">
        <v>49</v>
      </c>
      <c r="DE345" t="s">
        <v>25</v>
      </c>
      <c r="DF345" t="s">
        <v>25</v>
      </c>
      <c r="DG345" t="s">
        <v>25</v>
      </c>
      <c r="DH345" t="s">
        <v>25</v>
      </c>
      <c r="DI345" t="s">
        <v>25</v>
      </c>
      <c r="DJ345" s="76">
        <v>9.9999997764825804E-3</v>
      </c>
      <c r="DK345" s="73">
        <v>160</v>
      </c>
      <c r="DL345" s="73">
        <v>80</v>
      </c>
      <c r="DM345" s="73">
        <v>80</v>
      </c>
      <c r="DU345"/>
      <c r="DZ345" s="73">
        <v>0</v>
      </c>
      <c r="EA345" s="73">
        <v>0</v>
      </c>
      <c r="EB345" s="73">
        <v>0</v>
      </c>
    </row>
    <row r="346" spans="1:133" ht="12" customHeight="1" x14ac:dyDescent="0.2">
      <c r="A346" t="s">
        <v>2936</v>
      </c>
      <c r="B346" t="s">
        <v>2946</v>
      </c>
      <c r="C346" t="str">
        <f t="shared" si="17"/>
        <v>Full</v>
      </c>
      <c r="D346" t="s">
        <v>2942</v>
      </c>
      <c r="E346" s="65">
        <v>5007</v>
      </c>
      <c r="F346" t="s">
        <v>1936</v>
      </c>
      <c r="G346" s="71" t="s">
        <v>149</v>
      </c>
      <c r="H346" s="67">
        <v>1.09999999403954E-2</v>
      </c>
      <c r="I346" s="65">
        <v>528819</v>
      </c>
      <c r="J346" s="65">
        <v>174137</v>
      </c>
      <c r="L346" s="65" t="s">
        <v>1937</v>
      </c>
      <c r="M346" s="65" t="s">
        <v>27</v>
      </c>
      <c r="N346" s="69">
        <v>42843</v>
      </c>
      <c r="O346" s="69">
        <v>42922</v>
      </c>
      <c r="P346" s="65" t="s">
        <v>126</v>
      </c>
      <c r="R346" s="65" t="s">
        <v>28</v>
      </c>
      <c r="U346" t="s">
        <v>1938</v>
      </c>
      <c r="V346" t="s">
        <v>3311</v>
      </c>
      <c r="W346" s="65" t="s">
        <v>21</v>
      </c>
      <c r="X346" s="65" t="s">
        <v>21</v>
      </c>
      <c r="Y346" s="65" t="s">
        <v>22</v>
      </c>
      <c r="AA346" s="69">
        <v>42948</v>
      </c>
      <c r="AB346" s="69">
        <v>43190</v>
      </c>
      <c r="AD346" s="65" t="s">
        <v>23</v>
      </c>
      <c r="AE346" s="65" t="s">
        <v>24</v>
      </c>
      <c r="AH346" s="69">
        <f t="shared" si="15"/>
        <v>42948</v>
      </c>
      <c r="AI346" s="69">
        <f t="shared" si="16"/>
        <v>43190</v>
      </c>
      <c r="AM346" s="73">
        <v>117</v>
      </c>
      <c r="AO346" s="73">
        <v>117</v>
      </c>
      <c r="BA346" s="73">
        <v>117</v>
      </c>
      <c r="BE346" s="73">
        <v>117</v>
      </c>
      <c r="BO346" s="185" t="s">
        <v>126</v>
      </c>
      <c r="BP346" s="185" t="s">
        <v>3794</v>
      </c>
      <c r="BQ346" s="185" t="s">
        <v>3794</v>
      </c>
      <c r="BS346" s="73">
        <v>-117</v>
      </c>
      <c r="BU346" s="73">
        <v>117</v>
      </c>
      <c r="BW346" s="73"/>
      <c r="BY346" s="185" t="s">
        <v>3794</v>
      </c>
      <c r="CJ346" t="s">
        <v>25</v>
      </c>
      <c r="CK346" t="s">
        <v>25</v>
      </c>
      <c r="CL346" t="s">
        <v>25</v>
      </c>
      <c r="CM346" t="s">
        <v>175</v>
      </c>
      <c r="CN346" t="s">
        <v>25</v>
      </c>
      <c r="CO346" t="s">
        <v>25</v>
      </c>
      <c r="CP346" t="s">
        <v>25</v>
      </c>
      <c r="CQ346" t="s">
        <v>25</v>
      </c>
      <c r="CR346" t="s">
        <v>25</v>
      </c>
      <c r="CS346" t="s">
        <v>25</v>
      </c>
      <c r="CT346" t="s">
        <v>25</v>
      </c>
      <c r="CU346" t="s">
        <v>25</v>
      </c>
      <c r="CV346" t="s">
        <v>25</v>
      </c>
      <c r="CW346" t="s">
        <v>25</v>
      </c>
      <c r="CX346" t="s">
        <v>47</v>
      </c>
      <c r="CY346" t="s">
        <v>25</v>
      </c>
      <c r="CZ346" t="s">
        <v>25</v>
      </c>
      <c r="DA346" t="s">
        <v>25</v>
      </c>
      <c r="DB346" t="s">
        <v>25</v>
      </c>
      <c r="DC346" t="s">
        <v>25</v>
      </c>
      <c r="DD346" t="s">
        <v>25</v>
      </c>
      <c r="DE346" t="s">
        <v>25</v>
      </c>
      <c r="DF346" t="s">
        <v>25</v>
      </c>
      <c r="DG346" t="s">
        <v>25</v>
      </c>
      <c r="DH346" t="s">
        <v>25</v>
      </c>
      <c r="DI346" t="s">
        <v>25</v>
      </c>
      <c r="DJ346" s="76">
        <v>1.09999999403954E-2</v>
      </c>
      <c r="DK346" s="73">
        <v>117</v>
      </c>
      <c r="DL346" s="73">
        <v>117</v>
      </c>
      <c r="DM346" s="73">
        <v>0</v>
      </c>
      <c r="DU346"/>
      <c r="DX346" s="65" t="s">
        <v>126</v>
      </c>
      <c r="DY346" t="s">
        <v>2914</v>
      </c>
      <c r="DZ346" s="73">
        <v>0</v>
      </c>
      <c r="EA346" s="73">
        <v>0</v>
      </c>
      <c r="EB346" s="73">
        <v>0</v>
      </c>
    </row>
    <row r="347" spans="1:133" ht="12" customHeight="1" x14ac:dyDescent="0.2">
      <c r="A347" t="s">
        <v>2937</v>
      </c>
      <c r="B347" t="s">
        <v>2946</v>
      </c>
      <c r="C347" t="str">
        <f t="shared" si="17"/>
        <v>Full</v>
      </c>
      <c r="E347" s="65">
        <v>5010</v>
      </c>
      <c r="F347" t="s">
        <v>1939</v>
      </c>
      <c r="G347" s="71" t="s">
        <v>2907</v>
      </c>
      <c r="H347" s="67">
        <v>6.0000000521540598E-3</v>
      </c>
      <c r="I347" s="65">
        <v>524774</v>
      </c>
      <c r="J347" s="65">
        <v>173317</v>
      </c>
      <c r="L347" s="65" t="s">
        <v>1028</v>
      </c>
      <c r="M347" s="65" t="s">
        <v>27</v>
      </c>
      <c r="N347" s="69">
        <v>42653</v>
      </c>
      <c r="O347" s="69">
        <v>42719</v>
      </c>
      <c r="R347" s="65" t="s">
        <v>28</v>
      </c>
      <c r="U347" t="s">
        <v>1029</v>
      </c>
      <c r="V347" t="s">
        <v>3312</v>
      </c>
      <c r="W347" s="65" t="s">
        <v>21</v>
      </c>
      <c r="X347" s="65" t="s">
        <v>21</v>
      </c>
      <c r="Y347" s="65" t="s">
        <v>69</v>
      </c>
      <c r="AD347" s="65" t="s">
        <v>23</v>
      </c>
      <c r="AE347" s="65" t="s">
        <v>24</v>
      </c>
      <c r="AJ347" s="73">
        <v>34</v>
      </c>
      <c r="AO347" s="73">
        <v>34</v>
      </c>
      <c r="BO347" s="185" t="s">
        <v>126</v>
      </c>
      <c r="BP347" s="185" t="s">
        <v>3794</v>
      </c>
      <c r="BQ347" s="185" t="s">
        <v>3794</v>
      </c>
      <c r="BR347" s="73">
        <v>34</v>
      </c>
      <c r="BW347" s="73">
        <v>34</v>
      </c>
      <c r="BY347" s="185" t="s">
        <v>3794</v>
      </c>
      <c r="CJ347" t="s">
        <v>31</v>
      </c>
      <c r="CK347" t="s">
        <v>25</v>
      </c>
      <c r="CL347" t="s">
        <v>25</v>
      </c>
      <c r="CM347" t="s">
        <v>25</v>
      </c>
      <c r="CN347" t="s">
        <v>25</v>
      </c>
      <c r="CO347" t="s">
        <v>25</v>
      </c>
      <c r="CP347" t="s">
        <v>25</v>
      </c>
      <c r="CQ347" t="s">
        <v>25</v>
      </c>
      <c r="CR347" t="s">
        <v>25</v>
      </c>
      <c r="CS347" t="s">
        <v>25</v>
      </c>
      <c r="CT347" t="s">
        <v>25</v>
      </c>
      <c r="CU347" t="s">
        <v>25</v>
      </c>
      <c r="CV347" t="s">
        <v>25</v>
      </c>
      <c r="CW347" t="s">
        <v>25</v>
      </c>
      <c r="CX347" t="s">
        <v>25</v>
      </c>
      <c r="CY347" t="s">
        <v>25</v>
      </c>
      <c r="CZ347" t="s">
        <v>25</v>
      </c>
      <c r="DA347" t="s">
        <v>25</v>
      </c>
      <c r="DB347" t="s">
        <v>25</v>
      </c>
      <c r="DC347" t="s">
        <v>25</v>
      </c>
      <c r="DD347" t="s">
        <v>25</v>
      </c>
      <c r="DE347" t="s">
        <v>25</v>
      </c>
      <c r="DF347" t="s">
        <v>25</v>
      </c>
      <c r="DG347" t="s">
        <v>25</v>
      </c>
      <c r="DH347" t="s">
        <v>25</v>
      </c>
      <c r="DI347" t="s">
        <v>25</v>
      </c>
      <c r="DJ347" s="76">
        <v>6.0000000521540598E-3</v>
      </c>
      <c r="DK347" s="73">
        <v>34</v>
      </c>
      <c r="DL347" s="73">
        <v>34</v>
      </c>
      <c r="DM347" s="73">
        <v>0</v>
      </c>
      <c r="DU347"/>
      <c r="DX347" s="65" t="s">
        <v>126</v>
      </c>
      <c r="DY347" t="s">
        <v>2907</v>
      </c>
      <c r="DZ347" s="73">
        <v>0</v>
      </c>
      <c r="EA347" s="73">
        <v>0</v>
      </c>
      <c r="EB347" s="73">
        <v>0</v>
      </c>
    </row>
    <row r="348" spans="1:133" ht="12" customHeight="1" x14ac:dyDescent="0.2">
      <c r="A348" t="s">
        <v>2936</v>
      </c>
      <c r="B348" t="s">
        <v>2946</v>
      </c>
      <c r="C348" t="str">
        <f t="shared" si="17"/>
        <v>Full</v>
      </c>
      <c r="D348" t="s">
        <v>2943</v>
      </c>
      <c r="E348" s="65">
        <v>5034</v>
      </c>
      <c r="F348" t="s">
        <v>1940</v>
      </c>
      <c r="G348" s="71" t="s">
        <v>3947</v>
      </c>
      <c r="H348" s="67">
        <v>2.3000000044703501E-2</v>
      </c>
      <c r="I348" s="65">
        <v>528686</v>
      </c>
      <c r="J348" s="65">
        <v>176535</v>
      </c>
      <c r="L348" s="65" t="s">
        <v>261</v>
      </c>
      <c r="M348" s="65" t="s">
        <v>27</v>
      </c>
      <c r="N348" s="69">
        <v>41646</v>
      </c>
      <c r="O348" s="69">
        <v>41702</v>
      </c>
      <c r="R348" s="65" t="s">
        <v>28</v>
      </c>
      <c r="U348" t="s">
        <v>693</v>
      </c>
      <c r="V348" t="s">
        <v>3313</v>
      </c>
      <c r="W348" s="65" t="s">
        <v>29</v>
      </c>
      <c r="X348" s="65" t="s">
        <v>29</v>
      </c>
      <c r="Y348" s="65" t="s">
        <v>35</v>
      </c>
      <c r="Z348" s="69">
        <v>42250</v>
      </c>
      <c r="AA348" s="69">
        <v>42250</v>
      </c>
      <c r="AB348" s="69">
        <v>42846</v>
      </c>
      <c r="AC348" s="69">
        <v>42846</v>
      </c>
      <c r="AD348" s="65" t="s">
        <v>23</v>
      </c>
      <c r="AE348" s="65" t="s">
        <v>24</v>
      </c>
      <c r="AH348" s="69">
        <f t="shared" si="15"/>
        <v>42250</v>
      </c>
      <c r="AI348" s="69">
        <f t="shared" si="16"/>
        <v>42846</v>
      </c>
      <c r="BG348" s="73">
        <v>47</v>
      </c>
      <c r="BJ348" s="73">
        <v>62</v>
      </c>
      <c r="BK348" s="73">
        <v>109</v>
      </c>
      <c r="BO348" s="185" t="s">
        <v>3794</v>
      </c>
      <c r="BP348" s="185" t="s">
        <v>126</v>
      </c>
      <c r="BQ348" s="185" t="s">
        <v>3794</v>
      </c>
      <c r="BW348" s="73"/>
      <c r="BY348" s="185" t="s">
        <v>3794</v>
      </c>
      <c r="BZ348" s="73">
        <v>-47</v>
      </c>
      <c r="CC348" s="73">
        <v>-62</v>
      </c>
      <c r="CD348" s="73">
        <v>-109</v>
      </c>
      <c r="CE348" s="65" t="s">
        <v>126</v>
      </c>
      <c r="CJ348" t="s">
        <v>25</v>
      </c>
      <c r="CK348" t="s">
        <v>25</v>
      </c>
      <c r="CL348" t="s">
        <v>25</v>
      </c>
      <c r="CM348" t="s">
        <v>25</v>
      </c>
      <c r="CN348" t="s">
        <v>25</v>
      </c>
      <c r="CO348" t="s">
        <v>25</v>
      </c>
      <c r="CP348" t="s">
        <v>25</v>
      </c>
      <c r="CQ348" t="s">
        <v>25</v>
      </c>
      <c r="CR348" t="s">
        <v>25</v>
      </c>
      <c r="CS348" t="s">
        <v>25</v>
      </c>
      <c r="CT348" t="s">
        <v>25</v>
      </c>
      <c r="CU348" t="s">
        <v>25</v>
      </c>
      <c r="CV348" t="s">
        <v>25</v>
      </c>
      <c r="CW348" t="s">
        <v>25</v>
      </c>
      <c r="CX348" t="s">
        <v>25</v>
      </c>
      <c r="CY348" t="s">
        <v>25</v>
      </c>
      <c r="CZ348" t="s">
        <v>25</v>
      </c>
      <c r="DA348" t="s">
        <v>25</v>
      </c>
      <c r="DB348" t="s">
        <v>25</v>
      </c>
      <c r="DC348" t="s">
        <v>31</v>
      </c>
      <c r="DD348" t="s">
        <v>25</v>
      </c>
      <c r="DE348" t="s">
        <v>25</v>
      </c>
      <c r="DF348" t="s">
        <v>53</v>
      </c>
      <c r="DG348" t="s">
        <v>25</v>
      </c>
      <c r="DH348" t="s">
        <v>25</v>
      </c>
      <c r="DI348" t="s">
        <v>25</v>
      </c>
      <c r="DJ348" s="76">
        <v>0</v>
      </c>
      <c r="DK348" s="73">
        <v>0</v>
      </c>
      <c r="DL348" s="73">
        <v>109</v>
      </c>
      <c r="DM348" s="73">
        <v>-109</v>
      </c>
      <c r="DU348"/>
      <c r="DZ348" s="73">
        <v>541</v>
      </c>
      <c r="EA348" s="73">
        <v>267</v>
      </c>
      <c r="EB348" s="73">
        <v>274</v>
      </c>
      <c r="EC348" s="65" t="s">
        <v>126</v>
      </c>
    </row>
    <row r="349" spans="1:133" ht="12" customHeight="1" x14ac:dyDescent="0.2">
      <c r="A349" t="s">
        <v>2936</v>
      </c>
      <c r="B349" t="s">
        <v>2946</v>
      </c>
      <c r="C349" t="str">
        <f t="shared" si="17"/>
        <v>Full</v>
      </c>
      <c r="D349" t="s">
        <v>2943</v>
      </c>
      <c r="E349" s="65">
        <v>5038</v>
      </c>
      <c r="F349" t="s">
        <v>1941</v>
      </c>
      <c r="G349" s="71" t="s">
        <v>150</v>
      </c>
      <c r="H349" s="67">
        <v>1.4000000432133701E-2</v>
      </c>
      <c r="I349" s="65">
        <v>527317</v>
      </c>
      <c r="J349" s="65">
        <v>171280</v>
      </c>
      <c r="L349" s="65" t="s">
        <v>273</v>
      </c>
      <c r="M349" s="65" t="s">
        <v>27</v>
      </c>
      <c r="N349" s="69">
        <v>42083</v>
      </c>
      <c r="O349" s="69">
        <v>42261</v>
      </c>
      <c r="R349" s="65" t="s">
        <v>28</v>
      </c>
      <c r="U349" t="s">
        <v>274</v>
      </c>
      <c r="V349" t="s">
        <v>3314</v>
      </c>
      <c r="W349" s="65" t="s">
        <v>21</v>
      </c>
      <c r="X349" s="65" t="s">
        <v>21</v>
      </c>
      <c r="Y349" s="65" t="s">
        <v>35</v>
      </c>
      <c r="AA349" s="69">
        <v>42826</v>
      </c>
      <c r="AB349" s="69">
        <v>43190</v>
      </c>
      <c r="AC349" s="69">
        <v>43190</v>
      </c>
      <c r="AD349" s="65" t="s">
        <v>23</v>
      </c>
      <c r="AE349" s="65" t="s">
        <v>24</v>
      </c>
      <c r="AH349" s="69">
        <f t="shared" si="15"/>
        <v>42826</v>
      </c>
      <c r="AI349" s="69">
        <f t="shared" si="16"/>
        <v>43190</v>
      </c>
      <c r="AM349" s="73">
        <v>48</v>
      </c>
      <c r="AO349" s="73">
        <v>48</v>
      </c>
      <c r="AZ349" s="73">
        <v>48</v>
      </c>
      <c r="BE349" s="73">
        <v>48</v>
      </c>
      <c r="BO349" s="185" t="s">
        <v>126</v>
      </c>
      <c r="BP349" s="185" t="s">
        <v>3794</v>
      </c>
      <c r="BQ349" s="185" t="s">
        <v>3794</v>
      </c>
      <c r="BR349" s="73">
        <v>-48</v>
      </c>
      <c r="BU349" s="73">
        <v>48</v>
      </c>
      <c r="BW349" s="73"/>
      <c r="BY349" s="185" t="s">
        <v>3794</v>
      </c>
      <c r="CJ349" t="s">
        <v>25</v>
      </c>
      <c r="CK349" t="s">
        <v>25</v>
      </c>
      <c r="CL349" t="s">
        <v>25</v>
      </c>
      <c r="CM349" t="s">
        <v>175</v>
      </c>
      <c r="CN349" t="s">
        <v>25</v>
      </c>
      <c r="CO349" t="s">
        <v>25</v>
      </c>
      <c r="CP349" t="s">
        <v>25</v>
      </c>
      <c r="CQ349" t="s">
        <v>25</v>
      </c>
      <c r="CR349" t="s">
        <v>25</v>
      </c>
      <c r="CS349" t="s">
        <v>25</v>
      </c>
      <c r="CT349" t="s">
        <v>25</v>
      </c>
      <c r="CU349" t="s">
        <v>25</v>
      </c>
      <c r="CV349" t="s">
        <v>25</v>
      </c>
      <c r="CW349" t="s">
        <v>31</v>
      </c>
      <c r="CX349" t="s">
        <v>25</v>
      </c>
      <c r="CY349" t="s">
        <v>25</v>
      </c>
      <c r="CZ349" t="s">
        <v>25</v>
      </c>
      <c r="DA349" t="s">
        <v>25</v>
      </c>
      <c r="DB349" t="s">
        <v>25</v>
      </c>
      <c r="DC349" t="s">
        <v>25</v>
      </c>
      <c r="DD349" t="s">
        <v>25</v>
      </c>
      <c r="DE349" t="s">
        <v>25</v>
      </c>
      <c r="DF349" t="s">
        <v>25</v>
      </c>
      <c r="DG349" t="s">
        <v>25</v>
      </c>
      <c r="DH349" t="s">
        <v>25</v>
      </c>
      <c r="DI349" t="s">
        <v>25</v>
      </c>
      <c r="DJ349" s="76">
        <v>1.4000000432133701E-2</v>
      </c>
      <c r="DK349" s="73">
        <v>48</v>
      </c>
      <c r="DL349" s="73">
        <v>48</v>
      </c>
      <c r="DM349" s="73">
        <v>0</v>
      </c>
      <c r="DU349"/>
      <c r="DZ349" s="73">
        <v>0</v>
      </c>
      <c r="EA349" s="73">
        <v>0</v>
      </c>
      <c r="EB349" s="73">
        <v>0</v>
      </c>
    </row>
    <row r="350" spans="1:133" ht="12" customHeight="1" x14ac:dyDescent="0.2">
      <c r="A350" t="s">
        <v>2937</v>
      </c>
      <c r="B350" t="s">
        <v>2946</v>
      </c>
      <c r="C350" t="str">
        <f t="shared" si="17"/>
        <v>Full</v>
      </c>
      <c r="E350" s="65">
        <v>5049</v>
      </c>
      <c r="F350" t="s">
        <v>1942</v>
      </c>
      <c r="G350" s="71" t="s">
        <v>149</v>
      </c>
      <c r="H350" s="67">
        <v>1.9999999552965199E-2</v>
      </c>
      <c r="I350" s="65">
        <v>528822</v>
      </c>
      <c r="J350" s="65">
        <v>174107</v>
      </c>
      <c r="L350" s="65" t="s">
        <v>1943</v>
      </c>
      <c r="M350" s="65" t="s">
        <v>27</v>
      </c>
      <c r="N350" s="69">
        <v>43075</v>
      </c>
      <c r="O350" s="69">
        <v>43131</v>
      </c>
      <c r="P350" s="65" t="s">
        <v>126</v>
      </c>
      <c r="R350" s="65" t="s">
        <v>28</v>
      </c>
      <c r="U350" t="s">
        <v>1944</v>
      </c>
      <c r="V350" t="s">
        <v>3315</v>
      </c>
      <c r="W350" s="65" t="s">
        <v>21</v>
      </c>
      <c r="X350" s="65" t="s">
        <v>21</v>
      </c>
      <c r="Y350" s="65" t="s">
        <v>69</v>
      </c>
      <c r="AD350" s="65" t="s">
        <v>23</v>
      </c>
      <c r="AE350" s="65" t="s">
        <v>24</v>
      </c>
      <c r="AJ350" s="73">
        <v>40</v>
      </c>
      <c r="AK350" s="73">
        <v>40</v>
      </c>
      <c r="AL350" s="73">
        <v>40</v>
      </c>
      <c r="AO350" s="73">
        <v>120</v>
      </c>
      <c r="AX350" s="73">
        <v>49</v>
      </c>
      <c r="AY350" s="73">
        <v>49</v>
      </c>
      <c r="BA350" s="73">
        <v>159</v>
      </c>
      <c r="BE350" s="73">
        <v>159</v>
      </c>
      <c r="BO350" s="185" t="s">
        <v>126</v>
      </c>
      <c r="BP350" s="185" t="s">
        <v>3794</v>
      </c>
      <c r="BQ350" s="185" t="s">
        <v>126</v>
      </c>
      <c r="BR350" s="73">
        <v>40</v>
      </c>
      <c r="BS350" s="73">
        <v>-119</v>
      </c>
      <c r="BT350" s="73">
        <v>40</v>
      </c>
      <c r="BW350" s="73">
        <v>-39</v>
      </c>
      <c r="BY350" s="185" t="s">
        <v>3794</v>
      </c>
      <c r="CH350" s="73">
        <v>49</v>
      </c>
      <c r="CI350" s="73">
        <v>49</v>
      </c>
      <c r="CJ350" t="s">
        <v>31</v>
      </c>
      <c r="CK350" t="s">
        <v>31</v>
      </c>
      <c r="CL350" t="s">
        <v>31</v>
      </c>
      <c r="CM350" t="s">
        <v>25</v>
      </c>
      <c r="CN350" t="s">
        <v>25</v>
      </c>
      <c r="CO350" t="s">
        <v>25</v>
      </c>
      <c r="CP350" t="s">
        <v>25</v>
      </c>
      <c r="CQ350" t="s">
        <v>25</v>
      </c>
      <c r="CR350" t="s">
        <v>25</v>
      </c>
      <c r="CS350" t="s">
        <v>25</v>
      </c>
      <c r="CT350" t="s">
        <v>25</v>
      </c>
      <c r="CU350" t="s">
        <v>25</v>
      </c>
      <c r="CV350" t="s">
        <v>49</v>
      </c>
      <c r="CW350" t="s">
        <v>25</v>
      </c>
      <c r="CX350" t="s">
        <v>238</v>
      </c>
      <c r="CY350" t="s">
        <v>25</v>
      </c>
      <c r="CZ350" t="s">
        <v>25</v>
      </c>
      <c r="DA350" t="s">
        <v>25</v>
      </c>
      <c r="DB350" t="s">
        <v>25</v>
      </c>
      <c r="DC350" t="s">
        <v>25</v>
      </c>
      <c r="DD350" t="s">
        <v>25</v>
      </c>
      <c r="DE350" t="s">
        <v>25</v>
      </c>
      <c r="DF350" t="s">
        <v>25</v>
      </c>
      <c r="DG350" t="s">
        <v>25</v>
      </c>
      <c r="DH350" t="s">
        <v>25</v>
      </c>
      <c r="DI350" t="s">
        <v>25</v>
      </c>
      <c r="DJ350" s="76">
        <v>1.9999999552965199E-2</v>
      </c>
      <c r="DK350" s="73">
        <v>169</v>
      </c>
      <c r="DL350" s="73">
        <v>159</v>
      </c>
      <c r="DM350" s="73">
        <v>10</v>
      </c>
      <c r="DU350"/>
      <c r="DX350" s="65" t="s">
        <v>126</v>
      </c>
      <c r="DY350" t="s">
        <v>2914</v>
      </c>
      <c r="DZ350" s="73">
        <v>0</v>
      </c>
      <c r="EA350" s="73">
        <v>0</v>
      </c>
      <c r="EB350" s="73">
        <v>0</v>
      </c>
    </row>
    <row r="351" spans="1:133" ht="12" customHeight="1" x14ac:dyDescent="0.2">
      <c r="A351" t="s">
        <v>2936</v>
      </c>
      <c r="B351" t="s">
        <v>2946</v>
      </c>
      <c r="C351" t="str">
        <f t="shared" si="17"/>
        <v>Full</v>
      </c>
      <c r="D351" t="s">
        <v>2943</v>
      </c>
      <c r="E351" s="65">
        <v>5068</v>
      </c>
      <c r="F351" t="s">
        <v>1945</v>
      </c>
      <c r="G351" s="71" t="s">
        <v>3951</v>
      </c>
      <c r="H351" s="67">
        <v>0.22800000011920901</v>
      </c>
      <c r="I351" s="65">
        <v>527573</v>
      </c>
      <c r="J351" s="65">
        <v>171586</v>
      </c>
      <c r="K351" s="65" t="s">
        <v>1824</v>
      </c>
      <c r="L351" s="65" t="s">
        <v>1946</v>
      </c>
      <c r="M351" s="65" t="s">
        <v>27</v>
      </c>
      <c r="N351" s="69">
        <v>43014</v>
      </c>
      <c r="O351" s="69">
        <v>43070</v>
      </c>
      <c r="P351" s="65" t="s">
        <v>126</v>
      </c>
      <c r="R351" s="65" t="s">
        <v>28</v>
      </c>
      <c r="U351" t="s">
        <v>1947</v>
      </c>
      <c r="V351" t="s">
        <v>3316</v>
      </c>
      <c r="W351" s="65" t="s">
        <v>21</v>
      </c>
      <c r="X351" s="65" t="s">
        <v>21</v>
      </c>
      <c r="Y351" s="65" t="s">
        <v>35</v>
      </c>
      <c r="AA351" s="69">
        <v>42304</v>
      </c>
      <c r="AB351" s="69">
        <v>43190</v>
      </c>
      <c r="AC351" s="69">
        <v>43190</v>
      </c>
      <c r="AD351" s="65" t="s">
        <v>23</v>
      </c>
      <c r="AE351" s="65" t="s">
        <v>24</v>
      </c>
      <c r="AH351" s="69">
        <f t="shared" si="15"/>
        <v>42304</v>
      </c>
      <c r="AI351" s="69">
        <f t="shared" si="16"/>
        <v>43190</v>
      </c>
      <c r="AJ351" s="73">
        <v>133</v>
      </c>
      <c r="AK351" s="73">
        <v>133</v>
      </c>
      <c r="AL351" s="73">
        <v>133</v>
      </c>
      <c r="AM351" s="73">
        <v>132</v>
      </c>
      <c r="AO351" s="73">
        <v>531</v>
      </c>
      <c r="AP351" s="73">
        <v>132</v>
      </c>
      <c r="AS351" s="73">
        <v>132</v>
      </c>
      <c r="AV351" s="73">
        <v>132</v>
      </c>
      <c r="BB351" s="73">
        <v>663</v>
      </c>
      <c r="BE351" s="73">
        <v>663</v>
      </c>
      <c r="BO351" s="185" t="s">
        <v>126</v>
      </c>
      <c r="BP351" s="185" t="s">
        <v>126</v>
      </c>
      <c r="BQ351" s="185" t="s">
        <v>3794</v>
      </c>
      <c r="BR351" s="73">
        <v>133</v>
      </c>
      <c r="BS351" s="73">
        <v>133</v>
      </c>
      <c r="BT351" s="73">
        <v>-530</v>
      </c>
      <c r="BU351" s="73">
        <v>132</v>
      </c>
      <c r="BW351" s="73">
        <v>-132</v>
      </c>
      <c r="BX351" s="73">
        <v>132</v>
      </c>
      <c r="BY351" s="185" t="s">
        <v>3794</v>
      </c>
      <c r="CD351" s="73">
        <v>132</v>
      </c>
      <c r="CJ351" t="s">
        <v>31</v>
      </c>
      <c r="CK351" t="s">
        <v>31</v>
      </c>
      <c r="CL351" t="s">
        <v>38</v>
      </c>
      <c r="CM351" t="s">
        <v>175</v>
      </c>
      <c r="CN351" t="s">
        <v>25</v>
      </c>
      <c r="CO351" t="s">
        <v>49</v>
      </c>
      <c r="CP351" t="s">
        <v>25</v>
      </c>
      <c r="CQ351" t="s">
        <v>25</v>
      </c>
      <c r="CR351" t="s">
        <v>25</v>
      </c>
      <c r="CS351" t="s">
        <v>25</v>
      </c>
      <c r="CT351" t="s">
        <v>25</v>
      </c>
      <c r="CU351" t="s">
        <v>25</v>
      </c>
      <c r="CV351" t="s">
        <v>25</v>
      </c>
      <c r="CW351" t="s">
        <v>25</v>
      </c>
      <c r="CX351" t="s">
        <v>25</v>
      </c>
      <c r="CY351" t="s">
        <v>38</v>
      </c>
      <c r="CZ351" t="s">
        <v>25</v>
      </c>
      <c r="DA351" t="s">
        <v>25</v>
      </c>
      <c r="DB351" t="s">
        <v>25</v>
      </c>
      <c r="DC351" t="s">
        <v>25</v>
      </c>
      <c r="DD351" t="s">
        <v>25</v>
      </c>
      <c r="DE351" t="s">
        <v>25</v>
      </c>
      <c r="DF351" t="s">
        <v>25</v>
      </c>
      <c r="DG351" t="s">
        <v>25</v>
      </c>
      <c r="DH351" t="s">
        <v>25</v>
      </c>
      <c r="DI351" t="s">
        <v>25</v>
      </c>
      <c r="DJ351" s="76">
        <v>0.22800000011920901</v>
      </c>
      <c r="DK351" s="73">
        <v>663</v>
      </c>
      <c r="DL351" s="73">
        <v>663</v>
      </c>
      <c r="DM351" s="73">
        <v>0</v>
      </c>
      <c r="DU351"/>
      <c r="DV351" s="65" t="s">
        <v>126</v>
      </c>
      <c r="DW351" t="s">
        <v>150</v>
      </c>
      <c r="DZ351" s="73">
        <v>0</v>
      </c>
      <c r="EA351" s="73">
        <v>0</v>
      </c>
      <c r="EB351" s="73">
        <v>0</v>
      </c>
    </row>
    <row r="352" spans="1:133" ht="12" customHeight="1" x14ac:dyDescent="0.2">
      <c r="A352" t="s">
        <v>2936</v>
      </c>
      <c r="B352" t="s">
        <v>2946</v>
      </c>
      <c r="C352" t="str">
        <f t="shared" si="17"/>
        <v>Full</v>
      </c>
      <c r="D352" t="s">
        <v>2943</v>
      </c>
      <c r="E352" s="65">
        <v>5071</v>
      </c>
      <c r="F352" t="s">
        <v>1948</v>
      </c>
      <c r="G352" s="71" t="s">
        <v>3943</v>
      </c>
      <c r="H352" s="67">
        <v>1.4000000432133701E-2</v>
      </c>
      <c r="I352" s="65">
        <v>526969</v>
      </c>
      <c r="J352" s="65">
        <v>176463</v>
      </c>
      <c r="L352" s="65" t="s">
        <v>1276</v>
      </c>
      <c r="M352" s="65" t="s">
        <v>27</v>
      </c>
      <c r="N352" s="69">
        <v>42797</v>
      </c>
      <c r="O352" s="69">
        <v>42998</v>
      </c>
      <c r="P352" s="65" t="s">
        <v>126</v>
      </c>
      <c r="R352" s="65" t="s">
        <v>28</v>
      </c>
      <c r="U352" t="s">
        <v>1949</v>
      </c>
      <c r="V352" t="s">
        <v>3317</v>
      </c>
      <c r="W352" s="65" t="s">
        <v>21</v>
      </c>
      <c r="X352" s="65" t="s">
        <v>21</v>
      </c>
      <c r="Y352" s="65" t="s">
        <v>35</v>
      </c>
      <c r="AA352" s="69">
        <v>42998</v>
      </c>
      <c r="AB352" s="69">
        <v>43190</v>
      </c>
      <c r="AC352" s="69">
        <v>43190</v>
      </c>
      <c r="AD352" s="65" t="s">
        <v>23</v>
      </c>
      <c r="AE352" s="65" t="s">
        <v>24</v>
      </c>
      <c r="AH352" s="69">
        <f t="shared" si="15"/>
        <v>42998</v>
      </c>
      <c r="AI352" s="69">
        <f t="shared" si="16"/>
        <v>43190</v>
      </c>
      <c r="AW352" s="73">
        <v>379</v>
      </c>
      <c r="AY352" s="73">
        <v>379</v>
      </c>
      <c r="BC352" s="73">
        <v>379</v>
      </c>
      <c r="BE352" s="73">
        <v>379</v>
      </c>
      <c r="BO352" s="185" t="s">
        <v>126</v>
      </c>
      <c r="BP352" s="185" t="s">
        <v>3794</v>
      </c>
      <c r="BQ352" s="185" t="s">
        <v>126</v>
      </c>
      <c r="BU352" s="73">
        <v>-379</v>
      </c>
      <c r="BW352" s="73">
        <v>-379</v>
      </c>
      <c r="BY352" s="185" t="s">
        <v>3794</v>
      </c>
      <c r="CG352" s="73">
        <v>379</v>
      </c>
      <c r="CI352" s="73">
        <v>379</v>
      </c>
      <c r="CJ352" t="s">
        <v>25</v>
      </c>
      <c r="CK352" t="s">
        <v>25</v>
      </c>
      <c r="CL352" t="s">
        <v>25</v>
      </c>
      <c r="CM352" t="s">
        <v>25</v>
      </c>
      <c r="CN352" t="s">
        <v>25</v>
      </c>
      <c r="CO352" t="s">
        <v>25</v>
      </c>
      <c r="CP352" t="s">
        <v>25</v>
      </c>
      <c r="CQ352" t="s">
        <v>25</v>
      </c>
      <c r="CR352" t="s">
        <v>25</v>
      </c>
      <c r="CS352" t="s">
        <v>25</v>
      </c>
      <c r="CT352" t="s">
        <v>25</v>
      </c>
      <c r="CU352" t="s">
        <v>43</v>
      </c>
      <c r="CV352" t="s">
        <v>25</v>
      </c>
      <c r="CW352" t="s">
        <v>25</v>
      </c>
      <c r="CX352" t="s">
        <v>25</v>
      </c>
      <c r="CY352" t="s">
        <v>25</v>
      </c>
      <c r="CZ352" t="s">
        <v>47</v>
      </c>
      <c r="DA352" t="s">
        <v>25</v>
      </c>
      <c r="DB352" t="s">
        <v>25</v>
      </c>
      <c r="DC352" t="s">
        <v>25</v>
      </c>
      <c r="DD352" t="s">
        <v>25</v>
      </c>
      <c r="DE352" t="s">
        <v>25</v>
      </c>
      <c r="DF352" t="s">
        <v>25</v>
      </c>
      <c r="DG352" t="s">
        <v>25</v>
      </c>
      <c r="DH352" t="s">
        <v>25</v>
      </c>
      <c r="DI352" t="s">
        <v>25</v>
      </c>
      <c r="DJ352" s="76">
        <v>1.4000000432133701E-2</v>
      </c>
      <c r="DK352" s="73">
        <v>379</v>
      </c>
      <c r="DL352" s="73">
        <v>379</v>
      </c>
      <c r="DM352" s="73">
        <v>0</v>
      </c>
      <c r="DU352"/>
      <c r="DZ352" s="73">
        <v>0</v>
      </c>
      <c r="EA352" s="73">
        <v>0</v>
      </c>
      <c r="EB352" s="73">
        <v>0</v>
      </c>
    </row>
    <row r="353" spans="1:133" ht="12" customHeight="1" x14ac:dyDescent="0.2">
      <c r="A353" t="s">
        <v>2937</v>
      </c>
      <c r="B353" t="s">
        <v>2946</v>
      </c>
      <c r="C353" t="str">
        <f t="shared" si="17"/>
        <v>Full</v>
      </c>
      <c r="E353" s="65">
        <v>5096</v>
      </c>
      <c r="F353" t="s">
        <v>1950</v>
      </c>
      <c r="G353" s="71" t="s">
        <v>3944</v>
      </c>
      <c r="H353" s="67">
        <v>9.9999997764825804E-3</v>
      </c>
      <c r="I353" s="65">
        <v>526041</v>
      </c>
      <c r="J353" s="65">
        <v>175095</v>
      </c>
      <c r="L353" s="65" t="s">
        <v>523</v>
      </c>
      <c r="M353" s="65" t="s">
        <v>27</v>
      </c>
      <c r="N353" s="69">
        <v>42345</v>
      </c>
      <c r="O353" s="69">
        <v>42396</v>
      </c>
      <c r="R353" s="65" t="s">
        <v>28</v>
      </c>
      <c r="U353" t="s">
        <v>524</v>
      </c>
      <c r="V353" t="s">
        <v>3318</v>
      </c>
      <c r="W353" s="65" t="s">
        <v>21</v>
      </c>
      <c r="X353" s="65" t="s">
        <v>21</v>
      </c>
      <c r="Y353" s="65" t="s">
        <v>69</v>
      </c>
      <c r="AD353" s="65" t="s">
        <v>23</v>
      </c>
      <c r="AE353" s="65" t="s">
        <v>24</v>
      </c>
      <c r="BF353" s="73">
        <v>88</v>
      </c>
      <c r="BH353" s="73">
        <v>54</v>
      </c>
      <c r="BJ353" s="73">
        <v>45</v>
      </c>
      <c r="BK353" s="73">
        <v>187</v>
      </c>
      <c r="BO353" s="185" t="s">
        <v>3794</v>
      </c>
      <c r="BP353" s="185" t="s">
        <v>126</v>
      </c>
      <c r="BQ353" s="185" t="s">
        <v>3794</v>
      </c>
      <c r="BW353" s="73"/>
      <c r="BX353" s="73">
        <v>-88</v>
      </c>
      <c r="BY353" s="185" t="s">
        <v>126</v>
      </c>
      <c r="CA353" s="73">
        <v>-54</v>
      </c>
      <c r="CC353" s="73">
        <v>-45</v>
      </c>
      <c r="CD353" s="73">
        <v>-187</v>
      </c>
      <c r="CE353" s="65" t="s">
        <v>126</v>
      </c>
      <c r="CJ353" t="s">
        <v>25</v>
      </c>
      <c r="CK353" t="s">
        <v>25</v>
      </c>
      <c r="CL353" t="s">
        <v>25</v>
      </c>
      <c r="CM353" t="s">
        <v>25</v>
      </c>
      <c r="CN353" t="s">
        <v>25</v>
      </c>
      <c r="CO353" t="s">
        <v>25</v>
      </c>
      <c r="CP353" t="s">
        <v>25</v>
      </c>
      <c r="CQ353" t="s">
        <v>25</v>
      </c>
      <c r="CR353" t="s">
        <v>25</v>
      </c>
      <c r="CS353" t="s">
        <v>25</v>
      </c>
      <c r="CT353" t="s">
        <v>25</v>
      </c>
      <c r="CU353" t="s">
        <v>25</v>
      </c>
      <c r="CV353" t="s">
        <v>25</v>
      </c>
      <c r="CW353" t="s">
        <v>25</v>
      </c>
      <c r="CX353" t="s">
        <v>25</v>
      </c>
      <c r="CY353" t="s">
        <v>25</v>
      </c>
      <c r="CZ353" t="s">
        <v>25</v>
      </c>
      <c r="DA353" t="s">
        <v>25</v>
      </c>
      <c r="DB353" t="s">
        <v>49</v>
      </c>
      <c r="DC353" t="s">
        <v>25</v>
      </c>
      <c r="DD353" t="s">
        <v>51</v>
      </c>
      <c r="DE353" t="s">
        <v>25</v>
      </c>
      <c r="DF353" t="s">
        <v>53</v>
      </c>
      <c r="DG353" t="s">
        <v>25</v>
      </c>
      <c r="DH353" t="s">
        <v>25</v>
      </c>
      <c r="DI353" t="s">
        <v>25</v>
      </c>
      <c r="DJ353" s="76">
        <v>0</v>
      </c>
      <c r="DK353" s="73">
        <v>0</v>
      </c>
      <c r="DL353" s="73">
        <v>187</v>
      </c>
      <c r="DM353" s="73">
        <v>-187</v>
      </c>
      <c r="DU353"/>
      <c r="DZ353" s="73">
        <v>244</v>
      </c>
      <c r="EA353" s="73">
        <v>0</v>
      </c>
      <c r="EB353" s="73">
        <v>244</v>
      </c>
      <c r="EC353" s="65" t="s">
        <v>126</v>
      </c>
    </row>
    <row r="354" spans="1:133" ht="12" customHeight="1" x14ac:dyDescent="0.2">
      <c r="A354" t="s">
        <v>2935</v>
      </c>
      <c r="B354" t="s">
        <v>2946</v>
      </c>
      <c r="C354" t="str">
        <f t="shared" si="17"/>
        <v>Full</v>
      </c>
      <c r="E354" s="65">
        <v>5109</v>
      </c>
      <c r="F354" t="s">
        <v>1951</v>
      </c>
      <c r="G354" s="71" t="s">
        <v>150</v>
      </c>
      <c r="H354" s="67">
        <v>3.7999998778104803E-2</v>
      </c>
      <c r="I354" s="65">
        <v>527405</v>
      </c>
      <c r="J354" s="65">
        <v>171440</v>
      </c>
      <c r="L354" s="65" t="s">
        <v>1082</v>
      </c>
      <c r="M354" s="65" t="s">
        <v>27</v>
      </c>
      <c r="N354" s="69">
        <v>42646</v>
      </c>
      <c r="O354" s="69">
        <v>42702</v>
      </c>
      <c r="R354" s="65" t="s">
        <v>28</v>
      </c>
      <c r="U354" t="s">
        <v>1083</v>
      </c>
      <c r="V354" t="s">
        <v>3319</v>
      </c>
      <c r="W354" s="65" t="s">
        <v>29</v>
      </c>
      <c r="X354" s="65" t="s">
        <v>29</v>
      </c>
      <c r="Y354" s="65" t="s">
        <v>30</v>
      </c>
      <c r="AA354" s="69">
        <v>43190</v>
      </c>
      <c r="AD354" s="65" t="s">
        <v>23</v>
      </c>
      <c r="AE354" s="65" t="s">
        <v>24</v>
      </c>
      <c r="AH354" s="69">
        <f t="shared" si="15"/>
        <v>43190</v>
      </c>
      <c r="BO354" s="185" t="s">
        <v>3794</v>
      </c>
      <c r="BP354" s="185" t="s">
        <v>3794</v>
      </c>
      <c r="BQ354" s="185" t="s">
        <v>3794</v>
      </c>
      <c r="BW354" s="73"/>
      <c r="BY354" s="185" t="s">
        <v>3794</v>
      </c>
      <c r="CJ354" t="s">
        <v>25</v>
      </c>
      <c r="CK354" t="s">
        <v>25</v>
      </c>
      <c r="CL354" t="s">
        <v>25</v>
      </c>
      <c r="CM354" t="s">
        <v>25</v>
      </c>
      <c r="CN354" t="s">
        <v>25</v>
      </c>
      <c r="CO354" t="s">
        <v>25</v>
      </c>
      <c r="CP354" t="s">
        <v>25</v>
      </c>
      <c r="CQ354" t="s">
        <v>25</v>
      </c>
      <c r="CR354" t="s">
        <v>25</v>
      </c>
      <c r="CS354" t="s">
        <v>25</v>
      </c>
      <c r="CT354" t="s">
        <v>25</v>
      </c>
      <c r="CU354" t="s">
        <v>25</v>
      </c>
      <c r="CV354" t="s">
        <v>25</v>
      </c>
      <c r="CW354" t="s">
        <v>25</v>
      </c>
      <c r="CX354" t="s">
        <v>25</v>
      </c>
      <c r="CY354" t="s">
        <v>25</v>
      </c>
      <c r="CZ354" t="s">
        <v>25</v>
      </c>
      <c r="DA354" t="s">
        <v>25</v>
      </c>
      <c r="DB354" t="s">
        <v>25</v>
      </c>
      <c r="DC354" t="s">
        <v>25</v>
      </c>
      <c r="DD354" t="s">
        <v>25</v>
      </c>
      <c r="DE354" t="s">
        <v>25</v>
      </c>
      <c r="DF354" t="s">
        <v>25</v>
      </c>
      <c r="DG354" t="s">
        <v>25</v>
      </c>
      <c r="DH354" t="s">
        <v>25</v>
      </c>
      <c r="DI354" t="s">
        <v>25</v>
      </c>
      <c r="DJ354" s="76">
        <v>1.2999998405575804E-2</v>
      </c>
      <c r="DK354" s="73">
        <v>0</v>
      </c>
      <c r="DL354" s="73">
        <v>65</v>
      </c>
      <c r="DM354" s="73">
        <v>-65</v>
      </c>
      <c r="DU354"/>
      <c r="DV354" s="65" t="s">
        <v>126</v>
      </c>
      <c r="DW354" t="s">
        <v>150</v>
      </c>
      <c r="DZ354" s="73">
        <v>86</v>
      </c>
      <c r="EA354" s="73">
        <v>0</v>
      </c>
      <c r="EB354" s="73">
        <v>86</v>
      </c>
      <c r="EC354" s="65" t="s">
        <v>126</v>
      </c>
    </row>
    <row r="355" spans="1:133" ht="12" customHeight="1" x14ac:dyDescent="0.2">
      <c r="A355" t="s">
        <v>2935</v>
      </c>
      <c r="B355" t="s">
        <v>2946</v>
      </c>
      <c r="C355" t="str">
        <f t="shared" si="17"/>
        <v>Full</v>
      </c>
      <c r="E355" s="65">
        <v>5114</v>
      </c>
      <c r="F355" t="s">
        <v>1952</v>
      </c>
      <c r="G355" s="71" t="s">
        <v>3951</v>
      </c>
      <c r="H355" s="67">
        <v>5.7000000029802302E-2</v>
      </c>
      <c r="I355" s="65">
        <v>527786</v>
      </c>
      <c r="J355" s="65">
        <v>171065</v>
      </c>
      <c r="L355" s="65" t="s">
        <v>1302</v>
      </c>
      <c r="M355" s="65" t="s">
        <v>27</v>
      </c>
      <c r="N355" s="69">
        <v>42474</v>
      </c>
      <c r="O355" s="69">
        <v>42599</v>
      </c>
      <c r="R355" s="65" t="s">
        <v>28</v>
      </c>
      <c r="U355" t="s">
        <v>659</v>
      </c>
      <c r="V355" t="s">
        <v>3320</v>
      </c>
      <c r="W355" s="65" t="s">
        <v>29</v>
      </c>
      <c r="X355" s="65" t="s">
        <v>29</v>
      </c>
      <c r="Y355" s="65" t="s">
        <v>30</v>
      </c>
      <c r="Z355" s="69">
        <v>42825</v>
      </c>
      <c r="AA355" s="69">
        <v>42825</v>
      </c>
      <c r="AD355" s="65" t="s">
        <v>23</v>
      </c>
      <c r="AE355" s="65" t="s">
        <v>24</v>
      </c>
      <c r="AH355" s="69">
        <f t="shared" si="15"/>
        <v>42825</v>
      </c>
      <c r="AJ355" s="73">
        <v>833</v>
      </c>
      <c r="AO355" s="73">
        <v>833</v>
      </c>
      <c r="AW355" s="73">
        <v>500</v>
      </c>
      <c r="AY355" s="73">
        <v>500</v>
      </c>
      <c r="BO355" s="185" t="s">
        <v>126</v>
      </c>
      <c r="BP355" s="185" t="s">
        <v>3794</v>
      </c>
      <c r="BQ355" s="185" t="s">
        <v>126</v>
      </c>
      <c r="BR355" s="73">
        <v>833</v>
      </c>
      <c r="BW355" s="570">
        <v>833</v>
      </c>
      <c r="BY355" s="185" t="s">
        <v>3794</v>
      </c>
      <c r="CG355" s="73">
        <v>500</v>
      </c>
      <c r="CI355" s="73">
        <v>500</v>
      </c>
      <c r="CJ355" t="s">
        <v>46</v>
      </c>
      <c r="CK355" t="s">
        <v>25</v>
      </c>
      <c r="CL355" t="s">
        <v>25</v>
      </c>
      <c r="CM355" t="s">
        <v>25</v>
      </c>
      <c r="CN355" t="s">
        <v>25</v>
      </c>
      <c r="CO355" t="s">
        <v>25</v>
      </c>
      <c r="CP355" t="s">
        <v>25</v>
      </c>
      <c r="CQ355" t="s">
        <v>25</v>
      </c>
      <c r="CR355" t="s">
        <v>25</v>
      </c>
      <c r="CS355" t="s">
        <v>25</v>
      </c>
      <c r="CT355" t="s">
        <v>25</v>
      </c>
      <c r="CU355" t="s">
        <v>56</v>
      </c>
      <c r="CV355" t="s">
        <v>25</v>
      </c>
      <c r="CW355" t="s">
        <v>25</v>
      </c>
      <c r="CX355" t="s">
        <v>25</v>
      </c>
      <c r="CY355" t="s">
        <v>25</v>
      </c>
      <c r="CZ355" t="s">
        <v>25</v>
      </c>
      <c r="DA355" t="s">
        <v>25</v>
      </c>
      <c r="DB355" t="s">
        <v>25</v>
      </c>
      <c r="DC355" t="s">
        <v>25</v>
      </c>
      <c r="DD355" t="s">
        <v>25</v>
      </c>
      <c r="DE355" t="s">
        <v>25</v>
      </c>
      <c r="DF355" t="s">
        <v>25</v>
      </c>
      <c r="DG355" t="s">
        <v>25</v>
      </c>
      <c r="DH355" t="s">
        <v>25</v>
      </c>
      <c r="DI355" t="s">
        <v>25</v>
      </c>
      <c r="DJ355" s="76">
        <v>1.3999998569488505E-2</v>
      </c>
      <c r="DK355" s="73">
        <v>1333</v>
      </c>
      <c r="DL355" s="73">
        <v>684</v>
      </c>
      <c r="DM355" s="73">
        <v>649</v>
      </c>
      <c r="DU355"/>
      <c r="DV355" s="65" t="s">
        <v>126</v>
      </c>
      <c r="DW355" t="s">
        <v>150</v>
      </c>
      <c r="DZ355" s="73">
        <v>732</v>
      </c>
      <c r="EA355" s="73">
        <v>0</v>
      </c>
      <c r="EB355" s="73">
        <v>732</v>
      </c>
      <c r="EC355" s="65" t="s">
        <v>126</v>
      </c>
    </row>
    <row r="356" spans="1:133" ht="12" customHeight="1" x14ac:dyDescent="0.2">
      <c r="A356" t="s">
        <v>2938</v>
      </c>
      <c r="B356" t="s">
        <v>2959</v>
      </c>
      <c r="C356" t="str">
        <f t="shared" si="17"/>
        <v>Appeal</v>
      </c>
      <c r="E356" s="65">
        <v>5119</v>
      </c>
      <c r="F356" t="s">
        <v>1953</v>
      </c>
      <c r="G356" s="71" t="s">
        <v>150</v>
      </c>
      <c r="H356" s="67">
        <v>2.5000000372528999E-2</v>
      </c>
      <c r="I356" s="65">
        <v>527391</v>
      </c>
      <c r="J356" s="65">
        <v>171805</v>
      </c>
      <c r="L356" s="65" t="s">
        <v>1074</v>
      </c>
      <c r="M356" s="65" t="s">
        <v>19</v>
      </c>
      <c r="N356" s="69">
        <v>42643</v>
      </c>
      <c r="O356" s="69">
        <v>42699</v>
      </c>
      <c r="R356" s="65" t="s">
        <v>987</v>
      </c>
      <c r="S356" s="69">
        <v>42753</v>
      </c>
      <c r="U356" t="s">
        <v>1075</v>
      </c>
      <c r="V356" t="s">
        <v>3321</v>
      </c>
      <c r="W356" s="65" t="s">
        <v>29</v>
      </c>
      <c r="X356" s="65" t="s">
        <v>29</v>
      </c>
      <c r="Y356" s="65" t="s">
        <v>69</v>
      </c>
      <c r="AD356" s="65" t="s">
        <v>23</v>
      </c>
      <c r="AE356" s="65" t="s">
        <v>24</v>
      </c>
      <c r="BO356" s="185" t="s">
        <v>3794</v>
      </c>
      <c r="BP356" s="185" t="s">
        <v>3794</v>
      </c>
      <c r="BQ356" s="185" t="s">
        <v>3794</v>
      </c>
      <c r="BW356" s="73"/>
      <c r="BY356" s="185" t="s">
        <v>3794</v>
      </c>
      <c r="CJ356" t="s">
        <v>25</v>
      </c>
      <c r="CK356" t="s">
        <v>25</v>
      </c>
      <c r="CL356" t="s">
        <v>25</v>
      </c>
      <c r="CM356" t="s">
        <v>25</v>
      </c>
      <c r="CN356" t="s">
        <v>25</v>
      </c>
      <c r="CO356" t="s">
        <v>25</v>
      </c>
      <c r="CP356" t="s">
        <v>25</v>
      </c>
      <c r="CQ356" t="s">
        <v>25</v>
      </c>
      <c r="CR356" t="s">
        <v>25</v>
      </c>
      <c r="CS356" t="s">
        <v>25</v>
      </c>
      <c r="CT356" t="s">
        <v>25</v>
      </c>
      <c r="CU356" t="s">
        <v>25</v>
      </c>
      <c r="CV356" t="s">
        <v>25</v>
      </c>
      <c r="CW356" t="s">
        <v>25</v>
      </c>
      <c r="CX356" t="s">
        <v>25</v>
      </c>
      <c r="CY356" t="s">
        <v>25</v>
      </c>
      <c r="CZ356" t="s">
        <v>25</v>
      </c>
      <c r="DA356" t="s">
        <v>25</v>
      </c>
      <c r="DB356" t="s">
        <v>25</v>
      </c>
      <c r="DC356" t="s">
        <v>25</v>
      </c>
      <c r="DD356" t="s">
        <v>25</v>
      </c>
      <c r="DE356" t="s">
        <v>25</v>
      </c>
      <c r="DF356" t="s">
        <v>25</v>
      </c>
      <c r="DG356" t="s">
        <v>25</v>
      </c>
      <c r="DH356" t="s">
        <v>25</v>
      </c>
      <c r="DI356" t="s">
        <v>25</v>
      </c>
      <c r="DJ356" s="76">
        <v>7.000001147389398E-3</v>
      </c>
      <c r="DK356" s="73">
        <v>0</v>
      </c>
      <c r="DL356" s="73">
        <v>260</v>
      </c>
      <c r="DM356" s="73">
        <v>-260</v>
      </c>
      <c r="DU356"/>
      <c r="DZ356" s="73">
        <v>615</v>
      </c>
      <c r="EA356" s="73">
        <v>0</v>
      </c>
      <c r="EB356" s="73">
        <v>615</v>
      </c>
      <c r="EC356" s="65" t="s">
        <v>126</v>
      </c>
    </row>
    <row r="357" spans="1:133" ht="12" customHeight="1" x14ac:dyDescent="0.2">
      <c r="A357" t="s">
        <v>2937</v>
      </c>
      <c r="B357" t="s">
        <v>2946</v>
      </c>
      <c r="C357" t="str">
        <f t="shared" si="17"/>
        <v>Full</v>
      </c>
      <c r="E357" s="65">
        <v>5119</v>
      </c>
      <c r="F357" t="s">
        <v>1953</v>
      </c>
      <c r="G357" s="71" t="s">
        <v>150</v>
      </c>
      <c r="H357" s="67">
        <v>2.5000000372528999E-2</v>
      </c>
      <c r="I357" s="65">
        <v>527391</v>
      </c>
      <c r="J357" s="65">
        <v>171805</v>
      </c>
      <c r="L357" s="65" t="s">
        <v>1261</v>
      </c>
      <c r="M357" s="65" t="s">
        <v>27</v>
      </c>
      <c r="N357" s="69">
        <v>42780</v>
      </c>
      <c r="O357" s="69">
        <v>43003</v>
      </c>
      <c r="P357" s="65" t="s">
        <v>126</v>
      </c>
      <c r="R357" s="65" t="s">
        <v>28</v>
      </c>
      <c r="U357" t="s">
        <v>1954</v>
      </c>
      <c r="V357" t="s">
        <v>3322</v>
      </c>
      <c r="W357" s="65" t="s">
        <v>29</v>
      </c>
      <c r="X357" s="65" t="s">
        <v>29</v>
      </c>
      <c r="Y357" s="65" t="s">
        <v>69</v>
      </c>
      <c r="AD357" s="65" t="s">
        <v>23</v>
      </c>
      <c r="AE357" s="65" t="s">
        <v>24</v>
      </c>
      <c r="BO357" s="185" t="s">
        <v>3794</v>
      </c>
      <c r="BP357" s="185" t="s">
        <v>3794</v>
      </c>
      <c r="BQ357" s="185" t="s">
        <v>3794</v>
      </c>
      <c r="BW357" s="73"/>
      <c r="BY357" s="185" t="s">
        <v>3794</v>
      </c>
      <c r="CJ357" t="s">
        <v>25</v>
      </c>
      <c r="CK357" t="s">
        <v>25</v>
      </c>
      <c r="CL357" t="s">
        <v>25</v>
      </c>
      <c r="CM357" t="s">
        <v>25</v>
      </c>
      <c r="CN357" t="s">
        <v>25</v>
      </c>
      <c r="CO357" t="s">
        <v>25</v>
      </c>
      <c r="CP357" t="s">
        <v>25</v>
      </c>
      <c r="CQ357" t="s">
        <v>25</v>
      </c>
      <c r="CR357" t="s">
        <v>25</v>
      </c>
      <c r="CS357" t="s">
        <v>25</v>
      </c>
      <c r="CT357" t="s">
        <v>25</v>
      </c>
      <c r="CU357" t="s">
        <v>25</v>
      </c>
      <c r="CV357" t="s">
        <v>25</v>
      </c>
      <c r="CW357" t="s">
        <v>25</v>
      </c>
      <c r="CX357" t="s">
        <v>25</v>
      </c>
      <c r="CY357" t="s">
        <v>25</v>
      </c>
      <c r="CZ357" t="s">
        <v>25</v>
      </c>
      <c r="DA357" t="s">
        <v>25</v>
      </c>
      <c r="DB357" t="s">
        <v>25</v>
      </c>
      <c r="DC357" t="s">
        <v>25</v>
      </c>
      <c r="DD357" t="s">
        <v>25</v>
      </c>
      <c r="DE357" t="s">
        <v>25</v>
      </c>
      <c r="DF357" t="s">
        <v>25</v>
      </c>
      <c r="DG357" t="s">
        <v>25</v>
      </c>
      <c r="DH357" t="s">
        <v>25</v>
      </c>
      <c r="DI357" t="s">
        <v>25</v>
      </c>
      <c r="DJ357" s="76">
        <v>0</v>
      </c>
      <c r="DK357" s="73">
        <v>0</v>
      </c>
      <c r="DL357" s="73">
        <v>260</v>
      </c>
      <c r="DM357" s="73">
        <v>-260</v>
      </c>
      <c r="DU357"/>
      <c r="DZ357" s="73">
        <v>431</v>
      </c>
      <c r="EA357" s="73">
        <v>0</v>
      </c>
      <c r="EB357" s="73">
        <v>431</v>
      </c>
      <c r="EC357" s="65" t="s">
        <v>126</v>
      </c>
    </row>
    <row r="358" spans="1:133" ht="12" customHeight="1" x14ac:dyDescent="0.2">
      <c r="A358" t="s">
        <v>2937</v>
      </c>
      <c r="B358" t="s">
        <v>2946</v>
      </c>
      <c r="C358" t="str">
        <f t="shared" si="17"/>
        <v>Full</v>
      </c>
      <c r="E358" s="65">
        <v>5122</v>
      </c>
      <c r="F358" t="s">
        <v>1955</v>
      </c>
      <c r="G358" s="71" t="s">
        <v>3951</v>
      </c>
      <c r="H358" s="67">
        <v>9.8999999463558197E-2</v>
      </c>
      <c r="I358" s="65">
        <v>527968</v>
      </c>
      <c r="J358" s="65">
        <v>170921</v>
      </c>
      <c r="L358" s="65" t="s">
        <v>870</v>
      </c>
      <c r="M358" s="65" t="s">
        <v>27</v>
      </c>
      <c r="N358" s="69">
        <v>42507</v>
      </c>
      <c r="O358" s="69">
        <v>42634</v>
      </c>
      <c r="R358" s="65" t="s">
        <v>28</v>
      </c>
      <c r="U358" t="s">
        <v>871</v>
      </c>
      <c r="V358" t="s">
        <v>3323</v>
      </c>
      <c r="W358" s="65" t="s">
        <v>29</v>
      </c>
      <c r="X358" s="65" t="s">
        <v>29</v>
      </c>
      <c r="Y358" s="65" t="s">
        <v>69</v>
      </c>
      <c r="AD358" s="65" t="s">
        <v>23</v>
      </c>
      <c r="AE358" s="65" t="s">
        <v>24</v>
      </c>
      <c r="AP358" s="73">
        <v>392</v>
      </c>
      <c r="AS358" s="73">
        <v>392</v>
      </c>
      <c r="AV358" s="73">
        <v>392</v>
      </c>
      <c r="BF358" s="73">
        <v>396</v>
      </c>
      <c r="BK358" s="73">
        <v>396</v>
      </c>
      <c r="BO358" s="185" t="s">
        <v>3794</v>
      </c>
      <c r="BP358" s="185" t="s">
        <v>126</v>
      </c>
      <c r="BQ358" s="185" t="s">
        <v>3794</v>
      </c>
      <c r="BW358" s="73"/>
      <c r="BX358" s="73">
        <v>-4</v>
      </c>
      <c r="BY358" s="185" t="s">
        <v>126</v>
      </c>
      <c r="CD358" s="73">
        <v>-4</v>
      </c>
      <c r="CE358" s="65" t="s">
        <v>126</v>
      </c>
      <c r="CJ358" t="s">
        <v>25</v>
      </c>
      <c r="CK358" t="s">
        <v>25</v>
      </c>
      <c r="CL358" t="s">
        <v>25</v>
      </c>
      <c r="CM358" t="s">
        <v>25</v>
      </c>
      <c r="CN358" t="s">
        <v>25</v>
      </c>
      <c r="CO358" t="s">
        <v>31</v>
      </c>
      <c r="CP358" t="s">
        <v>25</v>
      </c>
      <c r="CQ358" t="s">
        <v>25</v>
      </c>
      <c r="CR358" t="s">
        <v>25</v>
      </c>
      <c r="CS358" t="s">
        <v>25</v>
      </c>
      <c r="CT358" t="s">
        <v>25</v>
      </c>
      <c r="CU358" t="s">
        <v>25</v>
      </c>
      <c r="CV358" t="s">
        <v>25</v>
      </c>
      <c r="CW358" t="s">
        <v>25</v>
      </c>
      <c r="CX358" t="s">
        <v>25</v>
      </c>
      <c r="CY358" t="s">
        <v>25</v>
      </c>
      <c r="CZ358" t="s">
        <v>25</v>
      </c>
      <c r="DA358" t="s">
        <v>25</v>
      </c>
      <c r="DB358" t="s">
        <v>47</v>
      </c>
      <c r="DC358" t="s">
        <v>25</v>
      </c>
      <c r="DD358" t="s">
        <v>25</v>
      </c>
      <c r="DE358" t="s">
        <v>25</v>
      </c>
      <c r="DF358" t="s">
        <v>25</v>
      </c>
      <c r="DG358" t="s">
        <v>25</v>
      </c>
      <c r="DH358" t="s">
        <v>25</v>
      </c>
      <c r="DI358" t="s">
        <v>25</v>
      </c>
      <c r="DJ358" s="76">
        <v>0</v>
      </c>
      <c r="DK358" s="73">
        <v>392</v>
      </c>
      <c r="DL358" s="73">
        <v>396</v>
      </c>
      <c r="DM358" s="73">
        <v>-4</v>
      </c>
      <c r="DU358"/>
      <c r="DZ358" s="73">
        <v>1046</v>
      </c>
      <c r="EA358" s="73">
        <v>610</v>
      </c>
      <c r="EB358" s="73">
        <v>436</v>
      </c>
      <c r="EC358" s="65" t="s">
        <v>126</v>
      </c>
    </row>
    <row r="359" spans="1:133" ht="12" customHeight="1" x14ac:dyDescent="0.2">
      <c r="A359" t="s">
        <v>2937</v>
      </c>
      <c r="B359" t="s">
        <v>2946</v>
      </c>
      <c r="C359" t="str">
        <f t="shared" si="17"/>
        <v>Full</v>
      </c>
      <c r="E359" s="65">
        <v>5162</v>
      </c>
      <c r="F359" t="s">
        <v>1956</v>
      </c>
      <c r="G359" s="71" t="s">
        <v>150</v>
      </c>
      <c r="H359" s="67">
        <v>1.9999999552965199E-2</v>
      </c>
      <c r="I359" s="65">
        <v>527391</v>
      </c>
      <c r="J359" s="65">
        <v>171717</v>
      </c>
      <c r="L359" s="65" t="s">
        <v>1017</v>
      </c>
      <c r="M359" s="65" t="s">
        <v>27</v>
      </c>
      <c r="N359" s="69">
        <v>42691</v>
      </c>
      <c r="O359" s="69">
        <v>42873</v>
      </c>
      <c r="P359" s="65" t="s">
        <v>126</v>
      </c>
      <c r="R359" s="65" t="s">
        <v>28</v>
      </c>
      <c r="U359" t="s">
        <v>1018</v>
      </c>
      <c r="V359" t="s">
        <v>3324</v>
      </c>
      <c r="W359" s="65" t="s">
        <v>21</v>
      </c>
      <c r="X359" s="65" t="s">
        <v>21</v>
      </c>
      <c r="Y359" s="65" t="s">
        <v>69</v>
      </c>
      <c r="AD359" s="65" t="s">
        <v>23</v>
      </c>
      <c r="AE359" s="65" t="s">
        <v>24</v>
      </c>
      <c r="BH359" s="73">
        <v>95</v>
      </c>
      <c r="BK359" s="73">
        <v>95</v>
      </c>
      <c r="BO359" s="185" t="s">
        <v>3794</v>
      </c>
      <c r="BP359" s="185" t="s">
        <v>126</v>
      </c>
      <c r="BQ359" s="185" t="s">
        <v>3794</v>
      </c>
      <c r="BW359" s="73"/>
      <c r="BY359" s="185" t="s">
        <v>3794</v>
      </c>
      <c r="CA359" s="73">
        <v>-95</v>
      </c>
      <c r="CD359" s="73">
        <v>-95</v>
      </c>
      <c r="CE359" s="65" t="s">
        <v>126</v>
      </c>
      <c r="CJ359" t="s">
        <v>25</v>
      </c>
      <c r="CK359" t="s">
        <v>25</v>
      </c>
      <c r="CL359" t="s">
        <v>25</v>
      </c>
      <c r="CM359" t="s">
        <v>25</v>
      </c>
      <c r="CN359" t="s">
        <v>25</v>
      </c>
      <c r="CO359" t="s">
        <v>25</v>
      </c>
      <c r="CP359" t="s">
        <v>25</v>
      </c>
      <c r="CQ359" t="s">
        <v>25</v>
      </c>
      <c r="CR359" t="s">
        <v>25</v>
      </c>
      <c r="CS359" t="s">
        <v>25</v>
      </c>
      <c r="CT359" t="s">
        <v>25</v>
      </c>
      <c r="CU359" t="s">
        <v>25</v>
      </c>
      <c r="CV359" t="s">
        <v>25</v>
      </c>
      <c r="CW359" t="s">
        <v>25</v>
      </c>
      <c r="CX359" t="s">
        <v>25</v>
      </c>
      <c r="CY359" t="s">
        <v>25</v>
      </c>
      <c r="CZ359" t="s">
        <v>25</v>
      </c>
      <c r="DA359" t="s">
        <v>25</v>
      </c>
      <c r="DB359" t="s">
        <v>25</v>
      </c>
      <c r="DC359" t="s">
        <v>25</v>
      </c>
      <c r="DD359" t="s">
        <v>47</v>
      </c>
      <c r="DE359" t="s">
        <v>25</v>
      </c>
      <c r="DF359" t="s">
        <v>25</v>
      </c>
      <c r="DG359" t="s">
        <v>25</v>
      </c>
      <c r="DH359" t="s">
        <v>25</v>
      </c>
      <c r="DI359" t="s">
        <v>25</v>
      </c>
      <c r="DJ359" s="76">
        <v>0</v>
      </c>
      <c r="DK359" s="73">
        <v>0</v>
      </c>
      <c r="DL359" s="73">
        <v>95</v>
      </c>
      <c r="DM359" s="73">
        <v>-95</v>
      </c>
      <c r="DU359"/>
      <c r="DZ359" s="73">
        <v>81</v>
      </c>
      <c r="EA359" s="73">
        <v>0</v>
      </c>
      <c r="EB359" s="73">
        <v>81</v>
      </c>
      <c r="EC359" s="65" t="s">
        <v>126</v>
      </c>
    </row>
    <row r="360" spans="1:133" ht="12" customHeight="1" x14ac:dyDescent="0.2">
      <c r="A360" t="s">
        <v>2935</v>
      </c>
      <c r="B360" t="s">
        <v>2946</v>
      </c>
      <c r="C360" t="str">
        <f t="shared" si="17"/>
        <v>Full</v>
      </c>
      <c r="E360" s="65">
        <v>5181</v>
      </c>
      <c r="F360" t="s">
        <v>1957</v>
      </c>
      <c r="G360" s="71" t="s">
        <v>3946</v>
      </c>
      <c r="H360" s="67">
        <v>1.2000000104308101E-2</v>
      </c>
      <c r="I360" s="65">
        <v>524012</v>
      </c>
      <c r="J360" s="65">
        <v>175048</v>
      </c>
      <c r="L360" s="65" t="s">
        <v>230</v>
      </c>
      <c r="M360" s="65" t="s">
        <v>27</v>
      </c>
      <c r="N360" s="69">
        <v>41323</v>
      </c>
      <c r="O360" s="69">
        <v>41404</v>
      </c>
      <c r="R360" s="65" t="s">
        <v>28</v>
      </c>
      <c r="U360" t="s">
        <v>679</v>
      </c>
      <c r="V360" t="s">
        <v>3325</v>
      </c>
      <c r="W360" s="65" t="s">
        <v>34</v>
      </c>
      <c r="X360" s="65" t="s">
        <v>29</v>
      </c>
      <c r="Y360" s="65" t="s">
        <v>30</v>
      </c>
      <c r="AA360" s="69">
        <v>41612</v>
      </c>
      <c r="AD360" s="65" t="s">
        <v>23</v>
      </c>
      <c r="AE360" s="65" t="s">
        <v>24</v>
      </c>
      <c r="AH360" s="69">
        <f t="shared" si="15"/>
        <v>41612</v>
      </c>
      <c r="AJ360" s="73">
        <v>30</v>
      </c>
      <c r="AO360" s="73">
        <v>30</v>
      </c>
      <c r="AP360" s="73">
        <v>126</v>
      </c>
      <c r="AS360" s="73">
        <v>126</v>
      </c>
      <c r="AV360" s="73">
        <v>126</v>
      </c>
      <c r="BA360" s="73">
        <v>245</v>
      </c>
      <c r="BE360" s="73">
        <v>245</v>
      </c>
      <c r="BO360" s="185" t="s">
        <v>126</v>
      </c>
      <c r="BP360" s="185" t="s">
        <v>126</v>
      </c>
      <c r="BQ360" s="185" t="s">
        <v>3794</v>
      </c>
      <c r="BR360" s="73">
        <v>30</v>
      </c>
      <c r="BS360" s="73">
        <v>-245</v>
      </c>
      <c r="BW360" s="570">
        <v>-215</v>
      </c>
      <c r="BX360" s="73">
        <v>126</v>
      </c>
      <c r="BY360" s="185" t="s">
        <v>3794</v>
      </c>
      <c r="CD360" s="73">
        <v>126</v>
      </c>
      <c r="CJ360" t="s">
        <v>31</v>
      </c>
      <c r="CK360" t="s">
        <v>25</v>
      </c>
      <c r="CL360" t="s">
        <v>25</v>
      </c>
      <c r="CM360" t="s">
        <v>25</v>
      </c>
      <c r="CN360" t="s">
        <v>25</v>
      </c>
      <c r="CO360" t="s">
        <v>31</v>
      </c>
      <c r="CP360" t="s">
        <v>25</v>
      </c>
      <c r="CQ360" t="s">
        <v>25</v>
      </c>
      <c r="CR360" t="s">
        <v>25</v>
      </c>
      <c r="CS360" t="s">
        <v>25</v>
      </c>
      <c r="CT360" t="s">
        <v>25</v>
      </c>
      <c r="CU360" t="s">
        <v>25</v>
      </c>
      <c r="CV360" t="s">
        <v>25</v>
      </c>
      <c r="CW360" t="s">
        <v>25</v>
      </c>
      <c r="CX360" t="s">
        <v>31</v>
      </c>
      <c r="CY360" t="s">
        <v>25</v>
      </c>
      <c r="CZ360" t="s">
        <v>25</v>
      </c>
      <c r="DA360" t="s">
        <v>25</v>
      </c>
      <c r="DB360" t="s">
        <v>25</v>
      </c>
      <c r="DC360" t="s">
        <v>25</v>
      </c>
      <c r="DD360" t="s">
        <v>25</v>
      </c>
      <c r="DE360" t="s">
        <v>25</v>
      </c>
      <c r="DF360" t="s">
        <v>25</v>
      </c>
      <c r="DG360" t="s">
        <v>25</v>
      </c>
      <c r="DH360" t="s">
        <v>25</v>
      </c>
      <c r="DI360" t="s">
        <v>25</v>
      </c>
      <c r="DJ360" s="76">
        <v>3.9999997243284902E-3</v>
      </c>
      <c r="DK360" s="73">
        <v>156</v>
      </c>
      <c r="DL360" s="73">
        <v>245</v>
      </c>
      <c r="DM360" s="73">
        <v>-89</v>
      </c>
      <c r="DU360"/>
      <c r="DV360" s="65" t="s">
        <v>126</v>
      </c>
      <c r="DW360" t="s">
        <v>131</v>
      </c>
      <c r="DZ360" s="73">
        <v>156</v>
      </c>
      <c r="EA360" s="73">
        <v>0</v>
      </c>
      <c r="EB360" s="73">
        <v>156</v>
      </c>
      <c r="EC360" s="65" t="s">
        <v>126</v>
      </c>
    </row>
    <row r="361" spans="1:133" ht="12" customHeight="1" x14ac:dyDescent="0.2">
      <c r="A361" t="s">
        <v>2938</v>
      </c>
      <c r="B361" t="s">
        <v>2946</v>
      </c>
      <c r="C361" t="str">
        <f t="shared" si="17"/>
        <v>Full</v>
      </c>
      <c r="E361" s="65">
        <v>5181</v>
      </c>
      <c r="F361" t="s">
        <v>1957</v>
      </c>
      <c r="G361" s="71" t="s">
        <v>3946</v>
      </c>
      <c r="H361" s="67">
        <v>1.2000000104308101E-2</v>
      </c>
      <c r="I361" s="65">
        <v>524012</v>
      </c>
      <c r="J361" s="65">
        <v>175048</v>
      </c>
      <c r="L361" s="65" t="s">
        <v>1958</v>
      </c>
      <c r="M361" s="65" t="s">
        <v>172</v>
      </c>
      <c r="N361" s="69">
        <v>43133</v>
      </c>
      <c r="R361" s="65" t="s">
        <v>28</v>
      </c>
      <c r="U361" t="s">
        <v>1959</v>
      </c>
      <c r="V361" t="s">
        <v>3326</v>
      </c>
      <c r="W361" s="65" t="s">
        <v>21</v>
      </c>
      <c r="X361" s="65" t="s">
        <v>21</v>
      </c>
      <c r="Y361" s="65" t="s">
        <v>69</v>
      </c>
      <c r="AD361" s="65" t="s">
        <v>173</v>
      </c>
      <c r="AE361" s="65" t="s">
        <v>24</v>
      </c>
      <c r="AW361" s="73">
        <v>178</v>
      </c>
      <c r="AY361" s="73">
        <v>178</v>
      </c>
      <c r="AZ361" s="73">
        <v>51</v>
      </c>
      <c r="BE361" s="73">
        <v>51</v>
      </c>
      <c r="BF361" s="73">
        <v>127</v>
      </c>
      <c r="BK361" s="73">
        <v>127</v>
      </c>
      <c r="BO361" s="185" t="s">
        <v>126</v>
      </c>
      <c r="BP361" s="185" t="s">
        <v>126</v>
      </c>
      <c r="BQ361" s="185" t="s">
        <v>126</v>
      </c>
      <c r="BR361" s="73">
        <v>-51</v>
      </c>
      <c r="BW361" s="73">
        <v>-51</v>
      </c>
      <c r="BX361" s="73">
        <v>-127</v>
      </c>
      <c r="BY361" s="185" t="s">
        <v>126</v>
      </c>
      <c r="CD361" s="73">
        <v>-127</v>
      </c>
      <c r="CE361" s="65" t="s">
        <v>126</v>
      </c>
      <c r="CG361" s="73">
        <v>178</v>
      </c>
      <c r="CI361" s="73">
        <v>178</v>
      </c>
      <c r="CJ361" t="s">
        <v>25</v>
      </c>
      <c r="CK361" t="s">
        <v>25</v>
      </c>
      <c r="CL361" t="s">
        <v>25</v>
      </c>
      <c r="CM361" t="s">
        <v>25</v>
      </c>
      <c r="CN361" t="s">
        <v>25</v>
      </c>
      <c r="CO361" t="s">
        <v>25</v>
      </c>
      <c r="CP361" t="s">
        <v>25</v>
      </c>
      <c r="CQ361" t="s">
        <v>25</v>
      </c>
      <c r="CR361" t="s">
        <v>25</v>
      </c>
      <c r="CS361" t="s">
        <v>25</v>
      </c>
      <c r="CT361" t="s">
        <v>25</v>
      </c>
      <c r="CU361" t="s">
        <v>49</v>
      </c>
      <c r="CV361" t="s">
        <v>25</v>
      </c>
      <c r="CW361" t="s">
        <v>47</v>
      </c>
      <c r="CX361" t="s">
        <v>25</v>
      </c>
      <c r="CY361" t="s">
        <v>25</v>
      </c>
      <c r="CZ361" t="s">
        <v>25</v>
      </c>
      <c r="DA361" t="s">
        <v>25</v>
      </c>
      <c r="DB361" t="s">
        <v>47</v>
      </c>
      <c r="DC361" t="s">
        <v>25</v>
      </c>
      <c r="DD361" t="s">
        <v>25</v>
      </c>
      <c r="DE361" t="s">
        <v>25</v>
      </c>
      <c r="DF361" t="s">
        <v>25</v>
      </c>
      <c r="DG361" t="s">
        <v>25</v>
      </c>
      <c r="DH361" t="s">
        <v>25</v>
      </c>
      <c r="DI361" t="s">
        <v>25</v>
      </c>
      <c r="DJ361" s="76">
        <v>1.2000000104308101E-2</v>
      </c>
      <c r="DK361" s="73">
        <v>178</v>
      </c>
      <c r="DL361" s="73">
        <v>178</v>
      </c>
      <c r="DM361" s="73">
        <v>0</v>
      </c>
      <c r="DU361"/>
      <c r="DV361" s="65" t="s">
        <v>126</v>
      </c>
      <c r="DW361" t="s">
        <v>131</v>
      </c>
      <c r="DZ361" s="73">
        <v>0</v>
      </c>
      <c r="EA361" s="73">
        <v>0</v>
      </c>
      <c r="EB361" s="73">
        <v>0</v>
      </c>
    </row>
    <row r="362" spans="1:133" ht="12" customHeight="1" x14ac:dyDescent="0.2">
      <c r="A362" t="s">
        <v>2937</v>
      </c>
      <c r="B362" t="s">
        <v>2946</v>
      </c>
      <c r="C362" t="str">
        <f t="shared" si="17"/>
        <v>Full</v>
      </c>
      <c r="E362" s="65">
        <v>5187</v>
      </c>
      <c r="F362" t="s">
        <v>1960</v>
      </c>
      <c r="G362" s="71" t="s">
        <v>3946</v>
      </c>
      <c r="H362" s="67">
        <v>1.30000002682209E-2</v>
      </c>
      <c r="I362" s="65">
        <v>524769</v>
      </c>
      <c r="J362" s="65">
        <v>175151</v>
      </c>
      <c r="L362" s="65" t="s">
        <v>1170</v>
      </c>
      <c r="M362" s="65" t="s">
        <v>27</v>
      </c>
      <c r="N362" s="69">
        <v>42711</v>
      </c>
      <c r="O362" s="69">
        <v>42767</v>
      </c>
      <c r="R362" s="65" t="s">
        <v>28</v>
      </c>
      <c r="U362" t="s">
        <v>1171</v>
      </c>
      <c r="V362" t="s">
        <v>3327</v>
      </c>
      <c r="W362" s="65" t="s">
        <v>34</v>
      </c>
      <c r="X362" s="65" t="s">
        <v>29</v>
      </c>
      <c r="Y362" s="65" t="s">
        <v>69</v>
      </c>
      <c r="AD362" s="65" t="s">
        <v>23</v>
      </c>
      <c r="AE362" s="65" t="s">
        <v>24</v>
      </c>
      <c r="AW362" s="73">
        <v>85</v>
      </c>
      <c r="AY362" s="73">
        <v>85</v>
      </c>
      <c r="AZ362" s="73">
        <v>48</v>
      </c>
      <c r="BE362" s="73">
        <v>48</v>
      </c>
      <c r="BO362" s="185" t="s">
        <v>126</v>
      </c>
      <c r="BP362" s="185" t="s">
        <v>3794</v>
      </c>
      <c r="BQ362" s="185" t="s">
        <v>126</v>
      </c>
      <c r="BR362" s="73">
        <v>-48</v>
      </c>
      <c r="BW362" s="73">
        <v>-48</v>
      </c>
      <c r="BY362" s="185" t="s">
        <v>3794</v>
      </c>
      <c r="CG362" s="73">
        <v>85</v>
      </c>
      <c r="CI362" s="73">
        <v>85</v>
      </c>
      <c r="CJ362" t="s">
        <v>25</v>
      </c>
      <c r="CK362" t="s">
        <v>25</v>
      </c>
      <c r="CL362" t="s">
        <v>25</v>
      </c>
      <c r="CM362" t="s">
        <v>25</v>
      </c>
      <c r="CN362" t="s">
        <v>25</v>
      </c>
      <c r="CO362" t="s">
        <v>25</v>
      </c>
      <c r="CP362" t="s">
        <v>25</v>
      </c>
      <c r="CQ362" t="s">
        <v>25</v>
      </c>
      <c r="CR362" t="s">
        <v>25</v>
      </c>
      <c r="CS362" t="s">
        <v>25</v>
      </c>
      <c r="CT362" t="s">
        <v>25</v>
      </c>
      <c r="CU362" t="s">
        <v>49</v>
      </c>
      <c r="CV362" t="s">
        <v>25</v>
      </c>
      <c r="CW362" t="s">
        <v>46</v>
      </c>
      <c r="CX362" t="s">
        <v>25</v>
      </c>
      <c r="CY362" t="s">
        <v>25</v>
      </c>
      <c r="CZ362" t="s">
        <v>25</v>
      </c>
      <c r="DA362" t="s">
        <v>25</v>
      </c>
      <c r="DB362" t="s">
        <v>25</v>
      </c>
      <c r="DC362" t="s">
        <v>25</v>
      </c>
      <c r="DD362" t="s">
        <v>25</v>
      </c>
      <c r="DE362" t="s">
        <v>25</v>
      </c>
      <c r="DF362" t="s">
        <v>25</v>
      </c>
      <c r="DG362" t="s">
        <v>25</v>
      </c>
      <c r="DH362" t="s">
        <v>25</v>
      </c>
      <c r="DI362" t="s">
        <v>25</v>
      </c>
      <c r="DJ362" s="76">
        <v>1.30000002682209E-2</v>
      </c>
      <c r="DK362" s="73">
        <v>85</v>
      </c>
      <c r="DL362" s="73">
        <v>48</v>
      </c>
      <c r="DM362" s="73">
        <v>37</v>
      </c>
      <c r="DU362"/>
      <c r="DZ362" s="73">
        <v>0</v>
      </c>
      <c r="EA362" s="73">
        <v>0</v>
      </c>
      <c r="EB362" s="73">
        <v>0</v>
      </c>
    </row>
    <row r="363" spans="1:133" ht="12" customHeight="1" x14ac:dyDescent="0.2">
      <c r="A363" t="s">
        <v>2935</v>
      </c>
      <c r="B363" t="s">
        <v>2946</v>
      </c>
      <c r="C363" t="str">
        <f t="shared" si="17"/>
        <v>Full</v>
      </c>
      <c r="E363" s="65">
        <v>5195</v>
      </c>
      <c r="F363" t="s">
        <v>1961</v>
      </c>
      <c r="G363" s="71" t="s">
        <v>3939</v>
      </c>
      <c r="H363" s="67">
        <v>1.2489999532699601</v>
      </c>
      <c r="I363" s="65">
        <v>523820</v>
      </c>
      <c r="J363" s="65">
        <v>173605</v>
      </c>
      <c r="L363" s="65" t="s">
        <v>239</v>
      </c>
      <c r="M363" s="65" t="s">
        <v>33</v>
      </c>
      <c r="N363" s="69">
        <v>41423</v>
      </c>
      <c r="O363" s="69">
        <v>41569</v>
      </c>
      <c r="Q363" s="69">
        <v>41527</v>
      </c>
      <c r="R363" s="65" t="s">
        <v>28</v>
      </c>
      <c r="U363" t="s">
        <v>683</v>
      </c>
      <c r="V363" t="s">
        <v>3328</v>
      </c>
      <c r="W363" s="65" t="s">
        <v>29</v>
      </c>
      <c r="X363" s="65" t="s">
        <v>29</v>
      </c>
      <c r="Y363" s="65" t="s">
        <v>30</v>
      </c>
      <c r="Z363" s="69">
        <v>42460</v>
      </c>
      <c r="AA363" s="69">
        <v>42522</v>
      </c>
      <c r="AD363" s="65" t="s">
        <v>23</v>
      </c>
      <c r="AE363" s="65" t="s">
        <v>24</v>
      </c>
      <c r="AH363" s="69">
        <f t="shared" si="15"/>
        <v>42522</v>
      </c>
      <c r="BL363" s="73">
        <v>7657</v>
      </c>
      <c r="BN363" s="73">
        <v>7657</v>
      </c>
      <c r="BO363" s="185" t="s">
        <v>3794</v>
      </c>
      <c r="BP363" s="185" t="s">
        <v>3794</v>
      </c>
      <c r="BQ363" s="185" t="s">
        <v>126</v>
      </c>
      <c r="BW363" s="73"/>
      <c r="BY363" s="185" t="s">
        <v>3794</v>
      </c>
      <c r="CG363" s="73">
        <v>-7657</v>
      </c>
      <c r="CI363" s="73">
        <v>-7657</v>
      </c>
      <c r="CJ363" t="s">
        <v>25</v>
      </c>
      <c r="CK363" t="s">
        <v>25</v>
      </c>
      <c r="CL363" t="s">
        <v>25</v>
      </c>
      <c r="CM363" t="s">
        <v>25</v>
      </c>
      <c r="CN363" t="s">
        <v>25</v>
      </c>
      <c r="CO363" t="s">
        <v>25</v>
      </c>
      <c r="CP363" t="s">
        <v>25</v>
      </c>
      <c r="CQ363" t="s">
        <v>25</v>
      </c>
      <c r="CR363" t="s">
        <v>25</v>
      </c>
      <c r="CS363" t="s">
        <v>25</v>
      </c>
      <c r="CT363" t="s">
        <v>25</v>
      </c>
      <c r="CU363" t="s">
        <v>25</v>
      </c>
      <c r="CV363" t="s">
        <v>25</v>
      </c>
      <c r="CW363" t="s">
        <v>25</v>
      </c>
      <c r="CX363" t="s">
        <v>25</v>
      </c>
      <c r="CY363" t="s">
        <v>25</v>
      </c>
      <c r="CZ363" t="s">
        <v>25</v>
      </c>
      <c r="DA363" t="s">
        <v>25</v>
      </c>
      <c r="DB363" t="s">
        <v>25</v>
      </c>
      <c r="DC363" t="s">
        <v>25</v>
      </c>
      <c r="DD363" t="s">
        <v>25</v>
      </c>
      <c r="DE363" t="s">
        <v>25</v>
      </c>
      <c r="DF363" t="s">
        <v>25</v>
      </c>
      <c r="DG363" t="s">
        <v>25</v>
      </c>
      <c r="DH363" t="s">
        <v>60</v>
      </c>
      <c r="DI363" t="s">
        <v>25</v>
      </c>
      <c r="DJ363" s="76">
        <v>0</v>
      </c>
      <c r="DK363" s="73">
        <v>0</v>
      </c>
      <c r="DL363" s="73">
        <v>7657</v>
      </c>
      <c r="DM363" s="73">
        <v>-7657</v>
      </c>
      <c r="DU363"/>
      <c r="DZ363" s="73">
        <v>15762</v>
      </c>
      <c r="EA363" s="73">
        <v>0</v>
      </c>
      <c r="EB363" s="73">
        <v>15762</v>
      </c>
      <c r="EC363" s="65" t="s">
        <v>126</v>
      </c>
    </row>
    <row r="364" spans="1:133" ht="12" customHeight="1" x14ac:dyDescent="0.2">
      <c r="A364" t="s">
        <v>2937</v>
      </c>
      <c r="B364" t="s">
        <v>2946</v>
      </c>
      <c r="C364" t="str">
        <f t="shared" si="17"/>
        <v>Full</v>
      </c>
      <c r="E364" s="65">
        <v>5197</v>
      </c>
      <c r="F364" t="s">
        <v>1962</v>
      </c>
      <c r="G364" s="71" t="s">
        <v>2904</v>
      </c>
      <c r="H364" s="67">
        <v>2.9999999329447701E-2</v>
      </c>
      <c r="I364" s="65">
        <v>526177</v>
      </c>
      <c r="J364" s="65">
        <v>172334</v>
      </c>
      <c r="L364" s="65" t="s">
        <v>431</v>
      </c>
      <c r="M364" s="65" t="s">
        <v>19</v>
      </c>
      <c r="N364" s="69">
        <v>41355</v>
      </c>
      <c r="O364" s="69">
        <v>41411</v>
      </c>
      <c r="R364" s="65" t="s">
        <v>432</v>
      </c>
      <c r="S364" s="69">
        <v>41456</v>
      </c>
      <c r="T364" s="69">
        <v>41674</v>
      </c>
      <c r="U364" t="s">
        <v>433</v>
      </c>
      <c r="V364" t="s">
        <v>3329</v>
      </c>
      <c r="W364" s="65" t="s">
        <v>39</v>
      </c>
      <c r="X364" s="65" t="s">
        <v>39</v>
      </c>
      <c r="Y364" s="65" t="s">
        <v>69</v>
      </c>
      <c r="AD364" s="65" t="s">
        <v>23</v>
      </c>
      <c r="AE364" s="65" t="s">
        <v>24</v>
      </c>
      <c r="AR364" s="73">
        <v>52</v>
      </c>
      <c r="AS364" s="73">
        <v>52</v>
      </c>
      <c r="AV364" s="73">
        <v>52</v>
      </c>
      <c r="BO364" s="185" t="s">
        <v>3794</v>
      </c>
      <c r="BP364" s="185" t="s">
        <v>126</v>
      </c>
      <c r="BQ364" s="185" t="s">
        <v>3794</v>
      </c>
      <c r="BW364" s="73"/>
      <c r="BY364" s="185" t="s">
        <v>3794</v>
      </c>
      <c r="CA364" s="73">
        <v>52</v>
      </c>
      <c r="CD364" s="73">
        <v>52</v>
      </c>
      <c r="CJ364" t="s">
        <v>25</v>
      </c>
      <c r="CK364" t="s">
        <v>25</v>
      </c>
      <c r="CL364" t="s">
        <v>25</v>
      </c>
      <c r="CM364" t="s">
        <v>25</v>
      </c>
      <c r="CN364" t="s">
        <v>25</v>
      </c>
      <c r="CO364" t="s">
        <v>25</v>
      </c>
      <c r="CP364" t="s">
        <v>25</v>
      </c>
      <c r="CQ364" t="s">
        <v>51</v>
      </c>
      <c r="CR364" t="s">
        <v>25</v>
      </c>
      <c r="CS364" t="s">
        <v>25</v>
      </c>
      <c r="CT364" t="s">
        <v>25</v>
      </c>
      <c r="CU364" t="s">
        <v>25</v>
      </c>
      <c r="CV364" t="s">
        <v>25</v>
      </c>
      <c r="CW364" t="s">
        <v>25</v>
      </c>
      <c r="CX364" t="s">
        <v>25</v>
      </c>
      <c r="CY364" t="s">
        <v>25</v>
      </c>
      <c r="CZ364" t="s">
        <v>25</v>
      </c>
      <c r="DA364" t="s">
        <v>25</v>
      </c>
      <c r="DB364" t="s">
        <v>25</v>
      </c>
      <c r="DC364" t="s">
        <v>25</v>
      </c>
      <c r="DD364" t="s">
        <v>25</v>
      </c>
      <c r="DE364" t="s">
        <v>25</v>
      </c>
      <c r="DF364" t="s">
        <v>25</v>
      </c>
      <c r="DG364" t="s">
        <v>25</v>
      </c>
      <c r="DH364" t="s">
        <v>25</v>
      </c>
      <c r="DI364" t="s">
        <v>25</v>
      </c>
      <c r="DJ364" s="76">
        <v>2.9999999329447701E-2</v>
      </c>
      <c r="DK364" s="73">
        <v>52</v>
      </c>
      <c r="DL364" s="73">
        <v>0</v>
      </c>
      <c r="DM364" s="73">
        <v>52</v>
      </c>
      <c r="DU364"/>
      <c r="DZ364" s="73">
        <v>0</v>
      </c>
      <c r="EA364" s="73">
        <v>0</v>
      </c>
      <c r="EB364" s="73">
        <v>0</v>
      </c>
    </row>
    <row r="365" spans="1:133" ht="12" customHeight="1" x14ac:dyDescent="0.2">
      <c r="A365" t="s">
        <v>2935</v>
      </c>
      <c r="B365" t="s">
        <v>2946</v>
      </c>
      <c r="C365" t="str">
        <f t="shared" si="17"/>
        <v>Full</v>
      </c>
      <c r="E365" s="65">
        <v>5215</v>
      </c>
      <c r="F365" t="s">
        <v>1964</v>
      </c>
      <c r="G365" s="71" t="s">
        <v>149</v>
      </c>
      <c r="H365" s="67">
        <v>1.30000002682209E-2</v>
      </c>
      <c r="I365" s="65">
        <v>528754</v>
      </c>
      <c r="J365" s="65">
        <v>173676</v>
      </c>
      <c r="L365" s="65" t="s">
        <v>1965</v>
      </c>
      <c r="M365" s="65" t="s">
        <v>27</v>
      </c>
      <c r="N365" s="69">
        <v>42944</v>
      </c>
      <c r="O365" s="69">
        <v>43000</v>
      </c>
      <c r="P365" s="65" t="s">
        <v>126</v>
      </c>
      <c r="R365" s="65" t="s">
        <v>28</v>
      </c>
      <c r="U365" t="s">
        <v>1966</v>
      </c>
      <c r="V365" t="s">
        <v>3330</v>
      </c>
      <c r="W365" s="65" t="s">
        <v>29</v>
      </c>
      <c r="X365" s="65" t="s">
        <v>29</v>
      </c>
      <c r="Y365" s="65" t="s">
        <v>30</v>
      </c>
      <c r="AA365" s="69">
        <v>43190</v>
      </c>
      <c r="AD365" s="65" t="s">
        <v>23</v>
      </c>
      <c r="AE365" s="65" t="s">
        <v>24</v>
      </c>
      <c r="AH365" s="69">
        <f t="shared" si="15"/>
        <v>43190</v>
      </c>
      <c r="AJ365" s="73">
        <v>40</v>
      </c>
      <c r="AO365" s="73">
        <v>40</v>
      </c>
      <c r="AZ365" s="73">
        <v>101</v>
      </c>
      <c r="BE365" s="73">
        <v>101</v>
      </c>
      <c r="BO365" s="185" t="s">
        <v>126</v>
      </c>
      <c r="BP365" s="185" t="s">
        <v>3794</v>
      </c>
      <c r="BQ365" s="185" t="s">
        <v>3794</v>
      </c>
      <c r="BR365" s="73">
        <v>-61</v>
      </c>
      <c r="BW365" s="570">
        <v>-61</v>
      </c>
      <c r="BY365" s="185" t="s">
        <v>3794</v>
      </c>
      <c r="CJ365" t="s">
        <v>46</v>
      </c>
      <c r="CK365" t="s">
        <v>25</v>
      </c>
      <c r="CL365" t="s">
        <v>25</v>
      </c>
      <c r="CM365" t="s">
        <v>25</v>
      </c>
      <c r="CN365" t="s">
        <v>25</v>
      </c>
      <c r="CO365" t="s">
        <v>25</v>
      </c>
      <c r="CP365" t="s">
        <v>25</v>
      </c>
      <c r="CQ365" t="s">
        <v>25</v>
      </c>
      <c r="CR365" t="s">
        <v>25</v>
      </c>
      <c r="CS365" t="s">
        <v>25</v>
      </c>
      <c r="CT365" t="s">
        <v>25</v>
      </c>
      <c r="CU365" t="s">
        <v>25</v>
      </c>
      <c r="CV365" t="s">
        <v>25</v>
      </c>
      <c r="CW365" t="s">
        <v>46</v>
      </c>
      <c r="CX365" t="s">
        <v>25</v>
      </c>
      <c r="CY365" t="s">
        <v>25</v>
      </c>
      <c r="CZ365" t="s">
        <v>25</v>
      </c>
      <c r="DA365" t="s">
        <v>25</v>
      </c>
      <c r="DB365" t="s">
        <v>25</v>
      </c>
      <c r="DC365" t="s">
        <v>25</v>
      </c>
      <c r="DD365" t="s">
        <v>25</v>
      </c>
      <c r="DE365" t="s">
        <v>25</v>
      </c>
      <c r="DF365" t="s">
        <v>25</v>
      </c>
      <c r="DG365" t="s">
        <v>25</v>
      </c>
      <c r="DH365" t="s">
        <v>25</v>
      </c>
      <c r="DI365" t="s">
        <v>25</v>
      </c>
      <c r="DJ365" s="76">
        <v>9.0000000782310893E-3</v>
      </c>
      <c r="DK365" s="73">
        <v>40</v>
      </c>
      <c r="DL365" s="73">
        <v>101</v>
      </c>
      <c r="DM365" s="73">
        <v>-61</v>
      </c>
      <c r="DU365"/>
      <c r="DV365" s="65" t="s">
        <v>126</v>
      </c>
      <c r="DW365" t="s">
        <v>149</v>
      </c>
      <c r="DZ365" s="73">
        <v>51</v>
      </c>
      <c r="EA365" s="73">
        <v>0</v>
      </c>
      <c r="EB365" s="73">
        <v>51</v>
      </c>
      <c r="EC365" s="65" t="s">
        <v>126</v>
      </c>
    </row>
    <row r="366" spans="1:133" ht="12" customHeight="1" x14ac:dyDescent="0.2">
      <c r="A366" t="s">
        <v>2937</v>
      </c>
      <c r="B366" t="s">
        <v>2946</v>
      </c>
      <c r="C366" t="str">
        <f t="shared" si="17"/>
        <v>Full</v>
      </c>
      <c r="E366" s="65">
        <v>5234</v>
      </c>
      <c r="F366" t="s">
        <v>1967</v>
      </c>
      <c r="G366" s="71" t="s">
        <v>150</v>
      </c>
      <c r="H366" s="67">
        <v>1.4999999664723899E-2</v>
      </c>
      <c r="I366" s="65">
        <v>526770</v>
      </c>
      <c r="J366" s="65">
        <v>171464</v>
      </c>
      <c r="L366" s="65" t="s">
        <v>530</v>
      </c>
      <c r="M366" s="65" t="s">
        <v>27</v>
      </c>
      <c r="N366" s="69">
        <v>42263</v>
      </c>
      <c r="O366" s="69">
        <v>42319</v>
      </c>
      <c r="R366" s="65" t="s">
        <v>28</v>
      </c>
      <c r="U366" t="s">
        <v>531</v>
      </c>
      <c r="V366" t="s">
        <v>3331</v>
      </c>
      <c r="W366" s="65" t="s">
        <v>29</v>
      </c>
      <c r="X366" s="65" t="s">
        <v>29</v>
      </c>
      <c r="Y366" s="65" t="s">
        <v>69</v>
      </c>
      <c r="AD366" s="65" t="s">
        <v>23</v>
      </c>
      <c r="AE366" s="65" t="s">
        <v>24</v>
      </c>
      <c r="BO366" s="185" t="s">
        <v>3794</v>
      </c>
      <c r="BP366" s="185" t="s">
        <v>3794</v>
      </c>
      <c r="BQ366" s="185" t="s">
        <v>3794</v>
      </c>
      <c r="BW366" s="73"/>
      <c r="BY366" s="185" t="s">
        <v>3794</v>
      </c>
      <c r="CJ366" t="s">
        <v>25</v>
      </c>
      <c r="CK366" t="s">
        <v>25</v>
      </c>
      <c r="CL366" t="s">
        <v>25</v>
      </c>
      <c r="CM366" t="s">
        <v>25</v>
      </c>
      <c r="CN366" t="s">
        <v>25</v>
      </c>
      <c r="CO366" t="s">
        <v>25</v>
      </c>
      <c r="CP366" t="s">
        <v>25</v>
      </c>
      <c r="CQ366" t="s">
        <v>25</v>
      </c>
      <c r="CR366" t="s">
        <v>25</v>
      </c>
      <c r="CS366" t="s">
        <v>25</v>
      </c>
      <c r="CT366" t="s">
        <v>25</v>
      </c>
      <c r="CU366" t="s">
        <v>25</v>
      </c>
      <c r="CV366" t="s">
        <v>25</v>
      </c>
      <c r="CW366" t="s">
        <v>25</v>
      </c>
      <c r="CX366" t="s">
        <v>25</v>
      </c>
      <c r="CY366" t="s">
        <v>25</v>
      </c>
      <c r="CZ366" t="s">
        <v>25</v>
      </c>
      <c r="DA366" t="s">
        <v>25</v>
      </c>
      <c r="DB366" t="s">
        <v>25</v>
      </c>
      <c r="DC366" t="s">
        <v>25</v>
      </c>
      <c r="DD366" t="s">
        <v>25</v>
      </c>
      <c r="DE366" t="s">
        <v>25</v>
      </c>
      <c r="DF366" t="s">
        <v>25</v>
      </c>
      <c r="DG366" t="s">
        <v>25</v>
      </c>
      <c r="DH366" t="s">
        <v>25</v>
      </c>
      <c r="DI366" t="s">
        <v>25</v>
      </c>
      <c r="DJ366" s="76">
        <v>0</v>
      </c>
      <c r="DK366" s="73">
        <v>0</v>
      </c>
      <c r="DL366" s="73">
        <v>52</v>
      </c>
      <c r="DM366" s="73">
        <v>-52</v>
      </c>
      <c r="DU366"/>
      <c r="DZ366" s="73">
        <v>92</v>
      </c>
      <c r="EA366" s="73">
        <v>0</v>
      </c>
      <c r="EB366" s="73">
        <v>92</v>
      </c>
      <c r="EC366" s="65" t="s">
        <v>126</v>
      </c>
    </row>
    <row r="367" spans="1:133" ht="12" customHeight="1" x14ac:dyDescent="0.2">
      <c r="A367" t="s">
        <v>2935</v>
      </c>
      <c r="B367" t="s">
        <v>2946</v>
      </c>
      <c r="C367" t="str">
        <f t="shared" si="17"/>
        <v>Full</v>
      </c>
      <c r="E367" s="65">
        <v>5245</v>
      </c>
      <c r="F367" t="s">
        <v>1968</v>
      </c>
      <c r="G367" s="71" t="s">
        <v>3947</v>
      </c>
      <c r="H367" s="67">
        <v>2.0999999716877899E-2</v>
      </c>
      <c r="I367" s="65">
        <v>529554</v>
      </c>
      <c r="J367" s="65">
        <v>176699</v>
      </c>
      <c r="L367" s="65" t="s">
        <v>235</v>
      </c>
      <c r="M367" s="65" t="s">
        <v>33</v>
      </c>
      <c r="N367" s="69">
        <v>41354</v>
      </c>
      <c r="O367" s="69">
        <v>41555</v>
      </c>
      <c r="Q367" s="69">
        <v>41458</v>
      </c>
      <c r="R367" s="65" t="s">
        <v>28</v>
      </c>
      <c r="U367" t="s">
        <v>681</v>
      </c>
      <c r="V367" t="s">
        <v>3332</v>
      </c>
      <c r="W367" s="65" t="s">
        <v>29</v>
      </c>
      <c r="X367" s="65" t="s">
        <v>29</v>
      </c>
      <c r="Y367" s="65" t="s">
        <v>30</v>
      </c>
      <c r="Z367" s="69">
        <v>42461</v>
      </c>
      <c r="AA367" s="69">
        <v>42461</v>
      </c>
      <c r="AD367" s="65" t="s">
        <v>23</v>
      </c>
      <c r="AE367" s="65" t="s">
        <v>24</v>
      </c>
      <c r="AH367" s="69">
        <f t="shared" si="15"/>
        <v>42461</v>
      </c>
      <c r="BC367" s="73">
        <v>201</v>
      </c>
      <c r="BE367" s="73">
        <v>201</v>
      </c>
      <c r="BO367" s="185" t="s">
        <v>126</v>
      </c>
      <c r="BP367" s="185" t="s">
        <v>3794</v>
      </c>
      <c r="BQ367" s="185" t="s">
        <v>3794</v>
      </c>
      <c r="BU367" s="73">
        <v>-201</v>
      </c>
      <c r="BW367" s="73">
        <v>-201</v>
      </c>
      <c r="BY367" s="185" t="s">
        <v>3794</v>
      </c>
      <c r="CJ367" t="s">
        <v>25</v>
      </c>
      <c r="CK367" t="s">
        <v>25</v>
      </c>
      <c r="CL367" t="s">
        <v>25</v>
      </c>
      <c r="CM367" t="s">
        <v>25</v>
      </c>
      <c r="CN367" t="s">
        <v>25</v>
      </c>
      <c r="CO367" t="s">
        <v>25</v>
      </c>
      <c r="CP367" t="s">
        <v>25</v>
      </c>
      <c r="CQ367" t="s">
        <v>25</v>
      </c>
      <c r="CR367" t="s">
        <v>25</v>
      </c>
      <c r="CS367" t="s">
        <v>25</v>
      </c>
      <c r="CT367" t="s">
        <v>25</v>
      </c>
      <c r="CU367" t="s">
        <v>25</v>
      </c>
      <c r="CV367" t="s">
        <v>25</v>
      </c>
      <c r="CW367" t="s">
        <v>25</v>
      </c>
      <c r="CX367" t="s">
        <v>25</v>
      </c>
      <c r="CY367" t="s">
        <v>25</v>
      </c>
      <c r="CZ367" t="s">
        <v>71</v>
      </c>
      <c r="DA367" t="s">
        <v>25</v>
      </c>
      <c r="DB367" t="s">
        <v>25</v>
      </c>
      <c r="DC367" t="s">
        <v>25</v>
      </c>
      <c r="DD367" t="s">
        <v>25</v>
      </c>
      <c r="DE367" t="s">
        <v>25</v>
      </c>
      <c r="DF367" t="s">
        <v>25</v>
      </c>
      <c r="DG367" t="s">
        <v>25</v>
      </c>
      <c r="DH367" t="s">
        <v>25</v>
      </c>
      <c r="DI367" t="s">
        <v>25</v>
      </c>
      <c r="DJ367" s="76">
        <v>0</v>
      </c>
      <c r="DK367" s="73">
        <v>0</v>
      </c>
      <c r="DL367" s="73">
        <v>201</v>
      </c>
      <c r="DM367" s="73">
        <v>-201</v>
      </c>
      <c r="DU367" s="65" t="s">
        <v>126</v>
      </c>
      <c r="DZ367" s="73">
        <v>1517</v>
      </c>
      <c r="EA367" s="73">
        <v>0</v>
      </c>
      <c r="EB367" s="73">
        <v>1517</v>
      </c>
      <c r="EC367" s="65" t="s">
        <v>126</v>
      </c>
    </row>
    <row r="368" spans="1:133" ht="12" customHeight="1" x14ac:dyDescent="0.2">
      <c r="A368" t="s">
        <v>2937</v>
      </c>
      <c r="B368" t="s">
        <v>2946</v>
      </c>
      <c r="C368" t="str">
        <f t="shared" si="17"/>
        <v>Full</v>
      </c>
      <c r="E368" s="65">
        <v>5248</v>
      </c>
      <c r="F368" t="s">
        <v>1969</v>
      </c>
      <c r="G368" s="71" t="s">
        <v>150</v>
      </c>
      <c r="H368" s="67">
        <v>1.2000000104308101E-2</v>
      </c>
      <c r="I368" s="65">
        <v>527740</v>
      </c>
      <c r="J368" s="65">
        <v>171911</v>
      </c>
      <c r="L368" s="65" t="s">
        <v>234</v>
      </c>
      <c r="M368" s="65" t="s">
        <v>27</v>
      </c>
      <c r="N368" s="69">
        <v>41352</v>
      </c>
      <c r="O368" s="69">
        <v>41408</v>
      </c>
      <c r="R368" s="65" t="s">
        <v>28</v>
      </c>
      <c r="U368" t="s">
        <v>410</v>
      </c>
      <c r="V368" t="s">
        <v>3333</v>
      </c>
      <c r="W368" s="65" t="s">
        <v>21</v>
      </c>
      <c r="X368" s="65" t="s">
        <v>21</v>
      </c>
      <c r="Y368" s="65" t="s">
        <v>69</v>
      </c>
      <c r="AD368" s="65" t="s">
        <v>23</v>
      </c>
      <c r="AE368" s="65" t="s">
        <v>24</v>
      </c>
      <c r="AK368" s="73">
        <v>30</v>
      </c>
      <c r="AO368" s="73">
        <v>30</v>
      </c>
      <c r="AZ368" s="73">
        <v>30</v>
      </c>
      <c r="BE368" s="73">
        <v>30</v>
      </c>
      <c r="BO368" s="185" t="s">
        <v>126</v>
      </c>
      <c r="BP368" s="185" t="s">
        <v>3794</v>
      </c>
      <c r="BQ368" s="185" t="s">
        <v>3794</v>
      </c>
      <c r="BR368" s="73">
        <v>-30</v>
      </c>
      <c r="BS368" s="73">
        <v>30</v>
      </c>
      <c r="BW368" s="73"/>
      <c r="BY368" s="185" t="s">
        <v>3794</v>
      </c>
      <c r="CJ368" t="s">
        <v>25</v>
      </c>
      <c r="CK368" t="s">
        <v>31</v>
      </c>
      <c r="CL368" t="s">
        <v>25</v>
      </c>
      <c r="CM368" t="s">
        <v>25</v>
      </c>
      <c r="CN368" t="s">
        <v>25</v>
      </c>
      <c r="CO368" t="s">
        <v>25</v>
      </c>
      <c r="CP368" t="s">
        <v>25</v>
      </c>
      <c r="CQ368" t="s">
        <v>25</v>
      </c>
      <c r="CR368" t="s">
        <v>25</v>
      </c>
      <c r="CS368" t="s">
        <v>25</v>
      </c>
      <c r="CT368" t="s">
        <v>25</v>
      </c>
      <c r="CU368" t="s">
        <v>25</v>
      </c>
      <c r="CV368" t="s">
        <v>25</v>
      </c>
      <c r="CW368" t="s">
        <v>31</v>
      </c>
      <c r="CX368" t="s">
        <v>25</v>
      </c>
      <c r="CY368" t="s">
        <v>25</v>
      </c>
      <c r="CZ368" t="s">
        <v>25</v>
      </c>
      <c r="DA368" t="s">
        <v>25</v>
      </c>
      <c r="DB368" t="s">
        <v>25</v>
      </c>
      <c r="DC368" t="s">
        <v>25</v>
      </c>
      <c r="DD368" t="s">
        <v>25</v>
      </c>
      <c r="DE368" t="s">
        <v>25</v>
      </c>
      <c r="DF368" t="s">
        <v>25</v>
      </c>
      <c r="DG368" t="s">
        <v>25</v>
      </c>
      <c r="DH368" t="s">
        <v>25</v>
      </c>
      <c r="DI368" t="s">
        <v>25</v>
      </c>
      <c r="DJ368" s="76">
        <v>1.2000000104308101E-2</v>
      </c>
      <c r="DK368" s="73">
        <v>30</v>
      </c>
      <c r="DL368" s="73">
        <v>30</v>
      </c>
      <c r="DM368" s="73">
        <v>0</v>
      </c>
      <c r="DU368"/>
      <c r="DV368" s="65" t="s">
        <v>126</v>
      </c>
      <c r="DW368" t="s">
        <v>150</v>
      </c>
      <c r="DZ368" s="73">
        <v>0</v>
      </c>
      <c r="EA368" s="73">
        <v>0</v>
      </c>
      <c r="EB368" s="73">
        <v>0</v>
      </c>
    </row>
    <row r="369" spans="1:133" ht="12" customHeight="1" x14ac:dyDescent="0.2">
      <c r="A369" t="s">
        <v>2937</v>
      </c>
      <c r="B369" t="s">
        <v>2946</v>
      </c>
      <c r="C369" t="str">
        <f t="shared" si="17"/>
        <v>Full</v>
      </c>
      <c r="E369" s="65">
        <v>5251</v>
      </c>
      <c r="F369" t="s">
        <v>1970</v>
      </c>
      <c r="G369" s="71" t="s">
        <v>150</v>
      </c>
      <c r="H369" s="67">
        <v>8.9999996125698107E-3</v>
      </c>
      <c r="I369" s="65">
        <v>527712</v>
      </c>
      <c r="J369" s="65">
        <v>171962</v>
      </c>
      <c r="L369" s="65" t="s">
        <v>236</v>
      </c>
      <c r="M369" s="65" t="s">
        <v>27</v>
      </c>
      <c r="N369" s="69">
        <v>41361</v>
      </c>
      <c r="O369" s="69">
        <v>41516</v>
      </c>
      <c r="R369" s="65" t="s">
        <v>28</v>
      </c>
      <c r="U369" t="s">
        <v>411</v>
      </c>
      <c r="V369" t="s">
        <v>3334</v>
      </c>
      <c r="W369" s="65" t="s">
        <v>21</v>
      </c>
      <c r="X369" s="65" t="s">
        <v>21</v>
      </c>
      <c r="Y369" s="65" t="s">
        <v>69</v>
      </c>
      <c r="AD369" s="65" t="s">
        <v>23</v>
      </c>
      <c r="AE369" s="65" t="s">
        <v>24</v>
      </c>
      <c r="AN369" s="73">
        <v>65</v>
      </c>
      <c r="AO369" s="73">
        <v>65</v>
      </c>
      <c r="AZ369" s="73">
        <v>65</v>
      </c>
      <c r="BE369" s="73">
        <v>65</v>
      </c>
      <c r="BO369" s="185" t="s">
        <v>126</v>
      </c>
      <c r="BP369" s="185" t="s">
        <v>3794</v>
      </c>
      <c r="BQ369" s="185" t="s">
        <v>3794</v>
      </c>
      <c r="BR369" s="73">
        <v>-65</v>
      </c>
      <c r="BV369" s="73">
        <v>65</v>
      </c>
      <c r="BW369" s="73"/>
      <c r="BY369" s="185" t="s">
        <v>3794</v>
      </c>
      <c r="CJ369" t="s">
        <v>25</v>
      </c>
      <c r="CK369" t="s">
        <v>25</v>
      </c>
      <c r="CL369" t="s">
        <v>25</v>
      </c>
      <c r="CM369" t="s">
        <v>25</v>
      </c>
      <c r="CN369" t="s">
        <v>65</v>
      </c>
      <c r="CO369" t="s">
        <v>25</v>
      </c>
      <c r="CP369" t="s">
        <v>25</v>
      </c>
      <c r="CQ369" t="s">
        <v>25</v>
      </c>
      <c r="CR369" t="s">
        <v>25</v>
      </c>
      <c r="CS369" t="s">
        <v>25</v>
      </c>
      <c r="CT369" t="s">
        <v>25</v>
      </c>
      <c r="CU369" t="s">
        <v>25</v>
      </c>
      <c r="CV369" t="s">
        <v>25</v>
      </c>
      <c r="CW369" t="s">
        <v>31</v>
      </c>
      <c r="CX369" t="s">
        <v>25</v>
      </c>
      <c r="CY369" t="s">
        <v>25</v>
      </c>
      <c r="CZ369" t="s">
        <v>25</v>
      </c>
      <c r="DA369" t="s">
        <v>25</v>
      </c>
      <c r="DB369" t="s">
        <v>25</v>
      </c>
      <c r="DC369" t="s">
        <v>25</v>
      </c>
      <c r="DD369" t="s">
        <v>25</v>
      </c>
      <c r="DE369" t="s">
        <v>25</v>
      </c>
      <c r="DF369" t="s">
        <v>25</v>
      </c>
      <c r="DG369" t="s">
        <v>25</v>
      </c>
      <c r="DH369" t="s">
        <v>25</v>
      </c>
      <c r="DI369" t="s">
        <v>25</v>
      </c>
      <c r="DJ369" s="76">
        <v>8.9999996125698107E-3</v>
      </c>
      <c r="DK369" s="73">
        <v>65</v>
      </c>
      <c r="DL369" s="73">
        <v>65</v>
      </c>
      <c r="DM369" s="73">
        <v>0</v>
      </c>
      <c r="DU369"/>
      <c r="DV369" s="65" t="s">
        <v>126</v>
      </c>
      <c r="DW369" t="s">
        <v>150</v>
      </c>
      <c r="DZ369" s="73">
        <v>0</v>
      </c>
      <c r="EA369" s="73">
        <v>0</v>
      </c>
      <c r="EB369" s="73">
        <v>0</v>
      </c>
    </row>
    <row r="370" spans="1:133" ht="12" customHeight="1" x14ac:dyDescent="0.2">
      <c r="A370" t="s">
        <v>2936</v>
      </c>
      <c r="B370" t="s">
        <v>2946</v>
      </c>
      <c r="C370" t="str">
        <f t="shared" si="17"/>
        <v>Full</v>
      </c>
      <c r="D370" t="s">
        <v>2942</v>
      </c>
      <c r="E370" s="65">
        <v>5260</v>
      </c>
      <c r="F370" t="s">
        <v>1971</v>
      </c>
      <c r="G370" s="71" t="s">
        <v>2904</v>
      </c>
      <c r="H370" s="67">
        <v>0.20299999415874501</v>
      </c>
      <c r="I370" s="65">
        <v>525987</v>
      </c>
      <c r="J370" s="65">
        <v>172044</v>
      </c>
      <c r="L370" s="65" t="s">
        <v>444</v>
      </c>
      <c r="M370" s="65" t="s">
        <v>27</v>
      </c>
      <c r="N370" s="69">
        <v>42130</v>
      </c>
      <c r="O370" s="69">
        <v>42201</v>
      </c>
      <c r="R370" s="65" t="s">
        <v>28</v>
      </c>
      <c r="U370" t="s">
        <v>445</v>
      </c>
      <c r="V370" t="s">
        <v>3335</v>
      </c>
      <c r="W370" s="65" t="s">
        <v>29</v>
      </c>
      <c r="X370" s="65" t="s">
        <v>29</v>
      </c>
      <c r="Y370" s="65" t="s">
        <v>22</v>
      </c>
      <c r="AA370" s="69">
        <v>42826</v>
      </c>
      <c r="AB370" s="69">
        <v>43190</v>
      </c>
      <c r="AD370" s="65" t="s">
        <v>23</v>
      </c>
      <c r="AE370" s="65" t="s">
        <v>24</v>
      </c>
      <c r="AH370" s="69">
        <f t="shared" si="15"/>
        <v>42826</v>
      </c>
      <c r="AI370" s="69">
        <f t="shared" si="16"/>
        <v>43190</v>
      </c>
      <c r="AP370" s="73">
        <v>2714</v>
      </c>
      <c r="AS370" s="73">
        <v>2714</v>
      </c>
      <c r="AV370" s="73">
        <v>2714</v>
      </c>
      <c r="BF370" s="73">
        <v>1995</v>
      </c>
      <c r="BK370" s="73">
        <v>1995</v>
      </c>
      <c r="BO370" s="185" t="s">
        <v>3794</v>
      </c>
      <c r="BP370" s="185" t="s">
        <v>126</v>
      </c>
      <c r="BQ370" s="185" t="s">
        <v>3794</v>
      </c>
      <c r="BW370" s="73"/>
      <c r="BX370" s="73">
        <v>719</v>
      </c>
      <c r="BY370" s="185" t="s">
        <v>3794</v>
      </c>
      <c r="CD370" s="73">
        <v>719</v>
      </c>
      <c r="CJ370" t="s">
        <v>25</v>
      </c>
      <c r="CK370" t="s">
        <v>25</v>
      </c>
      <c r="CL370" t="s">
        <v>25</v>
      </c>
      <c r="CM370" t="s">
        <v>25</v>
      </c>
      <c r="CN370" t="s">
        <v>25</v>
      </c>
      <c r="CO370" t="s">
        <v>49</v>
      </c>
      <c r="CP370" t="s">
        <v>25</v>
      </c>
      <c r="CQ370" t="s">
        <v>25</v>
      </c>
      <c r="CR370" t="s">
        <v>25</v>
      </c>
      <c r="CS370" t="s">
        <v>25</v>
      </c>
      <c r="CT370" t="s">
        <v>25</v>
      </c>
      <c r="CU370" t="s">
        <v>25</v>
      </c>
      <c r="CV370" t="s">
        <v>25</v>
      </c>
      <c r="CW370" t="s">
        <v>25</v>
      </c>
      <c r="CX370" t="s">
        <v>25</v>
      </c>
      <c r="CY370" t="s">
        <v>25</v>
      </c>
      <c r="CZ370" t="s">
        <v>25</v>
      </c>
      <c r="DA370" t="s">
        <v>25</v>
      </c>
      <c r="DB370" t="s">
        <v>49</v>
      </c>
      <c r="DC370" t="s">
        <v>25</v>
      </c>
      <c r="DD370" t="s">
        <v>25</v>
      </c>
      <c r="DE370" t="s">
        <v>25</v>
      </c>
      <c r="DF370" t="s">
        <v>25</v>
      </c>
      <c r="DG370" t="s">
        <v>25</v>
      </c>
      <c r="DH370" t="s">
        <v>25</v>
      </c>
      <c r="DI370" t="s">
        <v>25</v>
      </c>
      <c r="DJ370" s="76">
        <v>0.20299999415874501</v>
      </c>
      <c r="DK370" s="73">
        <v>2714</v>
      </c>
      <c r="DL370" s="73">
        <v>1995</v>
      </c>
      <c r="DM370" s="73">
        <v>719</v>
      </c>
      <c r="DQ370" s="65" t="s">
        <v>126</v>
      </c>
      <c r="DR370" t="s">
        <v>2903</v>
      </c>
      <c r="DU370"/>
      <c r="DZ370" s="73">
        <v>0</v>
      </c>
      <c r="EA370" s="73">
        <v>0</v>
      </c>
      <c r="EB370" s="73">
        <v>0</v>
      </c>
    </row>
    <row r="371" spans="1:133" ht="12" customHeight="1" x14ac:dyDescent="0.2">
      <c r="A371" t="s">
        <v>2936</v>
      </c>
      <c r="B371" t="s">
        <v>2946</v>
      </c>
      <c r="C371" t="str">
        <f t="shared" si="17"/>
        <v>Full</v>
      </c>
      <c r="D371" t="s">
        <v>2943</v>
      </c>
      <c r="E371" s="65">
        <v>5263</v>
      </c>
      <c r="F371" t="s">
        <v>1972</v>
      </c>
      <c r="G371" s="71" t="s">
        <v>150</v>
      </c>
      <c r="H371" s="67">
        <v>3.0999999493360499E-2</v>
      </c>
      <c r="I371" s="65">
        <v>526677</v>
      </c>
      <c r="J371" s="65">
        <v>171345</v>
      </c>
      <c r="L371" s="65" t="s">
        <v>231</v>
      </c>
      <c r="M371" s="65" t="s">
        <v>27</v>
      </c>
      <c r="N371" s="69">
        <v>41255</v>
      </c>
      <c r="O371" s="69">
        <v>41310</v>
      </c>
      <c r="R371" s="65" t="s">
        <v>28</v>
      </c>
      <c r="U371" t="s">
        <v>409</v>
      </c>
      <c r="V371" t="s">
        <v>3336</v>
      </c>
      <c r="W371" s="65" t="s">
        <v>39</v>
      </c>
      <c r="X371" s="65" t="s">
        <v>39</v>
      </c>
      <c r="Y371" s="65" t="s">
        <v>35</v>
      </c>
      <c r="AA371" s="69">
        <v>41311</v>
      </c>
      <c r="AB371" s="69">
        <v>42856</v>
      </c>
      <c r="AC371" s="69">
        <v>42856</v>
      </c>
      <c r="AD371" s="65" t="s">
        <v>23</v>
      </c>
      <c r="AE371" s="65" t="s">
        <v>24</v>
      </c>
      <c r="AH371" s="69">
        <f t="shared" si="15"/>
        <v>41311</v>
      </c>
      <c r="AI371" s="69">
        <f t="shared" si="16"/>
        <v>42856</v>
      </c>
      <c r="AP371" s="73">
        <v>15</v>
      </c>
      <c r="AS371" s="73">
        <v>15</v>
      </c>
      <c r="AV371" s="73">
        <v>15</v>
      </c>
      <c r="BO371" s="185" t="s">
        <v>3794</v>
      </c>
      <c r="BP371" s="185" t="s">
        <v>126</v>
      </c>
      <c r="BQ371" s="185" t="s">
        <v>3794</v>
      </c>
      <c r="BW371" s="73"/>
      <c r="BX371" s="73">
        <v>15</v>
      </c>
      <c r="BY371" s="185" t="s">
        <v>3794</v>
      </c>
      <c r="CD371" s="73">
        <v>15</v>
      </c>
      <c r="CJ371" t="s">
        <v>25</v>
      </c>
      <c r="CK371" t="s">
        <v>25</v>
      </c>
      <c r="CL371" t="s">
        <v>25</v>
      </c>
      <c r="CM371" t="s">
        <v>25</v>
      </c>
      <c r="CN371" t="s">
        <v>25</v>
      </c>
      <c r="CO371" t="s">
        <v>49</v>
      </c>
      <c r="CP371" t="s">
        <v>25</v>
      </c>
      <c r="CQ371" t="s">
        <v>25</v>
      </c>
      <c r="CR371" t="s">
        <v>25</v>
      </c>
      <c r="CS371" t="s">
        <v>25</v>
      </c>
      <c r="CT371" t="s">
        <v>25</v>
      </c>
      <c r="CU371" t="s">
        <v>25</v>
      </c>
      <c r="CV371" t="s">
        <v>25</v>
      </c>
      <c r="CW371" t="s">
        <v>25</v>
      </c>
      <c r="CX371" t="s">
        <v>25</v>
      </c>
      <c r="CY371" t="s">
        <v>25</v>
      </c>
      <c r="CZ371" t="s">
        <v>25</v>
      </c>
      <c r="DA371" t="s">
        <v>25</v>
      </c>
      <c r="DB371" t="s">
        <v>25</v>
      </c>
      <c r="DC371" t="s">
        <v>25</v>
      </c>
      <c r="DD371" t="s">
        <v>25</v>
      </c>
      <c r="DE371" t="s">
        <v>25</v>
      </c>
      <c r="DF371" t="s">
        <v>25</v>
      </c>
      <c r="DG371" t="s">
        <v>25</v>
      </c>
      <c r="DH371" t="s">
        <v>25</v>
      </c>
      <c r="DI371" t="s">
        <v>25</v>
      </c>
      <c r="DJ371" s="76">
        <v>3.0999999493360499E-2</v>
      </c>
      <c r="DK371" s="73">
        <v>15</v>
      </c>
      <c r="DL371" s="73">
        <v>0</v>
      </c>
      <c r="DM371" s="73">
        <v>15</v>
      </c>
      <c r="DU371"/>
      <c r="DZ371" s="73">
        <v>0</v>
      </c>
      <c r="EA371" s="73">
        <v>0</v>
      </c>
      <c r="EB371" s="73">
        <v>0</v>
      </c>
    </row>
    <row r="372" spans="1:133" ht="12" customHeight="1" x14ac:dyDescent="0.2">
      <c r="A372" t="s">
        <v>2936</v>
      </c>
      <c r="B372" t="s">
        <v>2946</v>
      </c>
      <c r="C372" t="str">
        <f t="shared" si="17"/>
        <v>Full</v>
      </c>
      <c r="D372" t="s">
        <v>2943</v>
      </c>
      <c r="E372" s="65">
        <v>5271</v>
      </c>
      <c r="F372" t="s">
        <v>1973</v>
      </c>
      <c r="G372" s="71" t="s">
        <v>3953</v>
      </c>
      <c r="H372" s="67">
        <v>0.481000006198883</v>
      </c>
      <c r="I372" s="65">
        <v>526162</v>
      </c>
      <c r="J372" s="65">
        <v>173999</v>
      </c>
      <c r="L372" s="65" t="s">
        <v>351</v>
      </c>
      <c r="M372" s="65" t="s">
        <v>27</v>
      </c>
      <c r="N372" s="69">
        <v>41808</v>
      </c>
      <c r="O372" s="69">
        <v>41843</v>
      </c>
      <c r="R372" s="65" t="s">
        <v>28</v>
      </c>
      <c r="U372" t="s">
        <v>352</v>
      </c>
      <c r="V372" t="s">
        <v>3337</v>
      </c>
      <c r="W372" s="65" t="s">
        <v>29</v>
      </c>
      <c r="X372" s="65" t="s">
        <v>29</v>
      </c>
      <c r="Y372" s="65" t="s">
        <v>35</v>
      </c>
      <c r="AA372" s="69">
        <v>41843</v>
      </c>
      <c r="AB372" s="69">
        <v>43190</v>
      </c>
      <c r="AC372" s="69">
        <v>43190</v>
      </c>
      <c r="AD372" s="65" t="s">
        <v>23</v>
      </c>
      <c r="AE372" s="65" t="s">
        <v>24</v>
      </c>
      <c r="AH372" s="69">
        <f t="shared" si="15"/>
        <v>41843</v>
      </c>
      <c r="AI372" s="69">
        <f t="shared" si="16"/>
        <v>43190</v>
      </c>
      <c r="AW372" s="73">
        <v>140</v>
      </c>
      <c r="AY372" s="73">
        <v>140</v>
      </c>
      <c r="BL372" s="73">
        <v>60</v>
      </c>
      <c r="BN372" s="73">
        <v>60</v>
      </c>
      <c r="BO372" s="185" t="s">
        <v>3794</v>
      </c>
      <c r="BP372" s="185" t="s">
        <v>3794</v>
      </c>
      <c r="BQ372" s="185" t="s">
        <v>126</v>
      </c>
      <c r="BW372" s="73"/>
      <c r="BY372" s="185" t="s">
        <v>3794</v>
      </c>
      <c r="CG372" s="73">
        <v>80</v>
      </c>
      <c r="CI372" s="73">
        <v>80</v>
      </c>
      <c r="CJ372" t="s">
        <v>25</v>
      </c>
      <c r="CK372" t="s">
        <v>25</v>
      </c>
      <c r="CL372" t="s">
        <v>25</v>
      </c>
      <c r="CM372" t="s">
        <v>25</v>
      </c>
      <c r="CN372" t="s">
        <v>25</v>
      </c>
      <c r="CO372" t="s">
        <v>25</v>
      </c>
      <c r="CP372" t="s">
        <v>25</v>
      </c>
      <c r="CQ372" t="s">
        <v>25</v>
      </c>
      <c r="CR372" t="s">
        <v>25</v>
      </c>
      <c r="CS372" t="s">
        <v>25</v>
      </c>
      <c r="CT372" t="s">
        <v>25</v>
      </c>
      <c r="CU372" t="s">
        <v>60</v>
      </c>
      <c r="CV372" t="s">
        <v>25</v>
      </c>
      <c r="CW372" t="s">
        <v>25</v>
      </c>
      <c r="CX372" t="s">
        <v>25</v>
      </c>
      <c r="CY372" t="s">
        <v>25</v>
      </c>
      <c r="CZ372" t="s">
        <v>25</v>
      </c>
      <c r="DA372" t="s">
        <v>25</v>
      </c>
      <c r="DB372" t="s">
        <v>25</v>
      </c>
      <c r="DC372" t="s">
        <v>25</v>
      </c>
      <c r="DD372" t="s">
        <v>25</v>
      </c>
      <c r="DE372" t="s">
        <v>25</v>
      </c>
      <c r="DF372" t="s">
        <v>25</v>
      </c>
      <c r="DG372" t="s">
        <v>25</v>
      </c>
      <c r="DH372" t="s">
        <v>60</v>
      </c>
      <c r="DI372" t="s">
        <v>25</v>
      </c>
      <c r="DJ372" s="76">
        <v>0.481000006198883</v>
      </c>
      <c r="DK372" s="73">
        <v>140</v>
      </c>
      <c r="DL372" s="73">
        <v>60</v>
      </c>
      <c r="DM372" s="73">
        <v>80</v>
      </c>
      <c r="DU372"/>
      <c r="DZ372" s="73">
        <v>0</v>
      </c>
      <c r="EA372" s="73">
        <v>0</v>
      </c>
      <c r="EB372" s="73">
        <v>0</v>
      </c>
    </row>
    <row r="373" spans="1:133" ht="12" customHeight="1" x14ac:dyDescent="0.2">
      <c r="A373" t="s">
        <v>2936</v>
      </c>
      <c r="B373" t="s">
        <v>2946</v>
      </c>
      <c r="C373" t="str">
        <f t="shared" si="17"/>
        <v>Full</v>
      </c>
      <c r="D373" t="s">
        <v>2942</v>
      </c>
      <c r="E373" s="65">
        <v>5273</v>
      </c>
      <c r="F373" t="s">
        <v>1974</v>
      </c>
      <c r="G373" s="71" t="s">
        <v>3951</v>
      </c>
      <c r="H373" s="67">
        <v>9.9999997764825804E-3</v>
      </c>
      <c r="I373" s="65">
        <v>527367</v>
      </c>
      <c r="J373" s="65">
        <v>171295</v>
      </c>
      <c r="L373" s="65" t="s">
        <v>686</v>
      </c>
      <c r="M373" s="65" t="s">
        <v>27</v>
      </c>
      <c r="N373" s="69">
        <v>41432</v>
      </c>
      <c r="O373" s="69">
        <v>41488</v>
      </c>
      <c r="R373" s="65" t="s">
        <v>28</v>
      </c>
      <c r="U373" t="s">
        <v>687</v>
      </c>
      <c r="V373" t="s">
        <v>3338</v>
      </c>
      <c r="W373" s="65" t="s">
        <v>34</v>
      </c>
      <c r="X373" s="65" t="s">
        <v>29</v>
      </c>
      <c r="Y373" s="65" t="s">
        <v>22</v>
      </c>
      <c r="AA373" s="69">
        <v>42248</v>
      </c>
      <c r="AB373" s="69">
        <v>43190</v>
      </c>
      <c r="AD373" s="65" t="s">
        <v>23</v>
      </c>
      <c r="AE373" s="65" t="s">
        <v>24</v>
      </c>
      <c r="AH373" s="69">
        <f t="shared" si="15"/>
        <v>42248</v>
      </c>
      <c r="AI373" s="69">
        <f t="shared" si="16"/>
        <v>43190</v>
      </c>
      <c r="AJ373" s="73">
        <v>102</v>
      </c>
      <c r="AO373" s="73">
        <v>102</v>
      </c>
      <c r="BF373" s="73">
        <v>151</v>
      </c>
      <c r="BK373" s="73">
        <v>151</v>
      </c>
      <c r="BO373" s="185" t="s">
        <v>126</v>
      </c>
      <c r="BP373" s="185" t="s">
        <v>126</v>
      </c>
      <c r="BQ373" s="185" t="s">
        <v>3794</v>
      </c>
      <c r="BR373" s="73">
        <v>102</v>
      </c>
      <c r="BW373" s="73">
        <v>102</v>
      </c>
      <c r="BX373" s="73">
        <v>-151</v>
      </c>
      <c r="BY373" s="185" t="s">
        <v>126</v>
      </c>
      <c r="CD373" s="73">
        <v>-151</v>
      </c>
      <c r="CE373" s="65" t="s">
        <v>126</v>
      </c>
      <c r="CJ373" t="s">
        <v>40</v>
      </c>
      <c r="CK373" t="s">
        <v>25</v>
      </c>
      <c r="CL373" t="s">
        <v>25</v>
      </c>
      <c r="CM373" t="s">
        <v>25</v>
      </c>
      <c r="CN373" t="s">
        <v>25</v>
      </c>
      <c r="CO373" t="s">
        <v>25</v>
      </c>
      <c r="CP373" t="s">
        <v>25</v>
      </c>
      <c r="CQ373" t="s">
        <v>25</v>
      </c>
      <c r="CR373" t="s">
        <v>25</v>
      </c>
      <c r="CS373" t="s">
        <v>25</v>
      </c>
      <c r="CT373" t="s">
        <v>25</v>
      </c>
      <c r="CU373" t="s">
        <v>25</v>
      </c>
      <c r="CV373" t="s">
        <v>25</v>
      </c>
      <c r="CW373" t="s">
        <v>25</v>
      </c>
      <c r="CX373" t="s">
        <v>25</v>
      </c>
      <c r="CY373" t="s">
        <v>25</v>
      </c>
      <c r="CZ373" t="s">
        <v>25</v>
      </c>
      <c r="DA373" t="s">
        <v>25</v>
      </c>
      <c r="DB373" t="s">
        <v>31</v>
      </c>
      <c r="DC373" t="s">
        <v>25</v>
      </c>
      <c r="DD373" t="s">
        <v>25</v>
      </c>
      <c r="DE373" t="s">
        <v>25</v>
      </c>
      <c r="DF373" t="s">
        <v>25</v>
      </c>
      <c r="DG373" t="s">
        <v>25</v>
      </c>
      <c r="DH373" t="s">
        <v>25</v>
      </c>
      <c r="DI373" t="s">
        <v>25</v>
      </c>
      <c r="DJ373" s="76">
        <v>4.9999998882412902E-3</v>
      </c>
      <c r="DK373" s="73">
        <v>102</v>
      </c>
      <c r="DL373" s="73">
        <v>151</v>
      </c>
      <c r="DM373" s="73">
        <v>-49</v>
      </c>
      <c r="DU373"/>
      <c r="DZ373" s="73">
        <v>102</v>
      </c>
      <c r="EA373" s="73">
        <v>0</v>
      </c>
      <c r="EB373" s="73">
        <v>102</v>
      </c>
      <c r="EC373" s="65" t="s">
        <v>126</v>
      </c>
    </row>
    <row r="374" spans="1:133" ht="12" customHeight="1" x14ac:dyDescent="0.2">
      <c r="A374" t="s">
        <v>2936</v>
      </c>
      <c r="B374" t="s">
        <v>2946</v>
      </c>
      <c r="C374" t="str">
        <f t="shared" si="17"/>
        <v>Full</v>
      </c>
      <c r="D374" t="s">
        <v>2943</v>
      </c>
      <c r="E374" s="65">
        <v>5276</v>
      </c>
      <c r="F374" t="s">
        <v>1975</v>
      </c>
      <c r="G374" s="71" t="s">
        <v>3952</v>
      </c>
      <c r="H374" s="67">
        <v>0.69400000572204601</v>
      </c>
      <c r="I374" s="65">
        <v>529475</v>
      </c>
      <c r="J374" s="65">
        <v>171919</v>
      </c>
      <c r="L374" s="65" t="s">
        <v>237</v>
      </c>
      <c r="M374" s="65" t="s">
        <v>27</v>
      </c>
      <c r="N374" s="69">
        <v>41366</v>
      </c>
      <c r="O374" s="69">
        <v>41550</v>
      </c>
      <c r="R374" s="65" t="s">
        <v>28</v>
      </c>
      <c r="U374" t="s">
        <v>682</v>
      </c>
      <c r="V374" t="s">
        <v>3339</v>
      </c>
      <c r="W374" s="65" t="s">
        <v>29</v>
      </c>
      <c r="X374" s="65" t="s">
        <v>29</v>
      </c>
      <c r="Y374" s="65" t="s">
        <v>35</v>
      </c>
      <c r="AA374" s="69">
        <v>42577</v>
      </c>
      <c r="AB374" s="69">
        <v>42934</v>
      </c>
      <c r="AC374" s="69">
        <v>42934</v>
      </c>
      <c r="AD374" s="65" t="s">
        <v>23</v>
      </c>
      <c r="AE374" s="65" t="s">
        <v>24</v>
      </c>
      <c r="AH374" s="69">
        <f t="shared" si="15"/>
        <v>42577</v>
      </c>
      <c r="AI374" s="69">
        <f t="shared" si="16"/>
        <v>42934</v>
      </c>
      <c r="AX374" s="73">
        <v>117</v>
      </c>
      <c r="AY374" s="73">
        <v>117</v>
      </c>
      <c r="BM374" s="73">
        <v>63</v>
      </c>
      <c r="BN374" s="73">
        <v>63</v>
      </c>
      <c r="BO374" s="185" t="s">
        <v>3794</v>
      </c>
      <c r="BP374" s="185" t="s">
        <v>3794</v>
      </c>
      <c r="BQ374" s="185" t="s">
        <v>126</v>
      </c>
      <c r="BW374" s="73"/>
      <c r="BY374" s="185" t="s">
        <v>3794</v>
      </c>
      <c r="CH374" s="73">
        <v>54</v>
      </c>
      <c r="CI374" s="73">
        <v>54</v>
      </c>
      <c r="CJ374" t="s">
        <v>25</v>
      </c>
      <c r="CK374" t="s">
        <v>25</v>
      </c>
      <c r="CL374" t="s">
        <v>25</v>
      </c>
      <c r="CM374" t="s">
        <v>25</v>
      </c>
      <c r="CN374" t="s">
        <v>25</v>
      </c>
      <c r="CO374" t="s">
        <v>25</v>
      </c>
      <c r="CP374" t="s">
        <v>25</v>
      </c>
      <c r="CQ374" t="s">
        <v>25</v>
      </c>
      <c r="CR374" t="s">
        <v>25</v>
      </c>
      <c r="CS374" t="s">
        <v>25</v>
      </c>
      <c r="CT374" t="s">
        <v>25</v>
      </c>
      <c r="CU374" t="s">
        <v>25</v>
      </c>
      <c r="CV374" t="s">
        <v>49</v>
      </c>
      <c r="CW374" t="s">
        <v>25</v>
      </c>
      <c r="CX374" t="s">
        <v>25</v>
      </c>
      <c r="CY374" t="s">
        <v>25</v>
      </c>
      <c r="CZ374" t="s">
        <v>25</v>
      </c>
      <c r="DA374" t="s">
        <v>25</v>
      </c>
      <c r="DB374" t="s">
        <v>25</v>
      </c>
      <c r="DC374" t="s">
        <v>25</v>
      </c>
      <c r="DD374" t="s">
        <v>25</v>
      </c>
      <c r="DE374" t="s">
        <v>25</v>
      </c>
      <c r="DF374" t="s">
        <v>25</v>
      </c>
      <c r="DG374" t="s">
        <v>25</v>
      </c>
      <c r="DH374" t="s">
        <v>25</v>
      </c>
      <c r="DI374" t="s">
        <v>49</v>
      </c>
      <c r="DJ374" s="76">
        <v>0.69400000572204601</v>
      </c>
      <c r="DK374" s="73">
        <v>117</v>
      </c>
      <c r="DL374" s="73">
        <v>63</v>
      </c>
      <c r="DM374" s="73">
        <v>54</v>
      </c>
      <c r="DU374"/>
      <c r="DZ374" s="73">
        <v>0</v>
      </c>
      <c r="EA374" s="73">
        <v>0</v>
      </c>
      <c r="EB374" s="73">
        <v>0</v>
      </c>
    </row>
    <row r="375" spans="1:133" ht="12" customHeight="1" x14ac:dyDescent="0.2">
      <c r="A375" t="s">
        <v>2937</v>
      </c>
      <c r="B375" t="s">
        <v>2946</v>
      </c>
      <c r="C375" t="str">
        <f t="shared" si="17"/>
        <v>Full</v>
      </c>
      <c r="E375" s="65">
        <v>5278</v>
      </c>
      <c r="F375" t="s">
        <v>1976</v>
      </c>
      <c r="G375" s="71" t="s">
        <v>3947</v>
      </c>
      <c r="H375" s="67">
        <v>1.9999999552965199E-2</v>
      </c>
      <c r="I375" s="65">
        <v>528623</v>
      </c>
      <c r="J375" s="65">
        <v>176042</v>
      </c>
      <c r="L375" s="65" t="s">
        <v>627</v>
      </c>
      <c r="M375" s="65" t="s">
        <v>27</v>
      </c>
      <c r="N375" s="69">
        <v>42417</v>
      </c>
      <c r="O375" s="69">
        <v>42614</v>
      </c>
      <c r="R375" s="65" t="s">
        <v>28</v>
      </c>
      <c r="U375" t="s">
        <v>809</v>
      </c>
      <c r="V375" t="s">
        <v>3340</v>
      </c>
      <c r="W375" s="65" t="s">
        <v>29</v>
      </c>
      <c r="X375" s="65" t="s">
        <v>29</v>
      </c>
      <c r="Y375" s="65" t="s">
        <v>59</v>
      </c>
      <c r="AD375" s="65" t="s">
        <v>23</v>
      </c>
      <c r="AE375" s="65" t="s">
        <v>24</v>
      </c>
      <c r="BF375" s="73">
        <v>540</v>
      </c>
      <c r="BK375" s="73">
        <v>540</v>
      </c>
      <c r="BO375" s="185" t="s">
        <v>3794</v>
      </c>
      <c r="BP375" s="185" t="s">
        <v>126</v>
      </c>
      <c r="BQ375" s="185" t="s">
        <v>3794</v>
      </c>
      <c r="BW375" s="73"/>
      <c r="BX375" s="73">
        <v>-540</v>
      </c>
      <c r="BY375" s="185" t="s">
        <v>126</v>
      </c>
      <c r="CD375" s="73">
        <v>-540</v>
      </c>
      <c r="CE375" s="65" t="s">
        <v>126</v>
      </c>
      <c r="CJ375" t="s">
        <v>25</v>
      </c>
      <c r="CK375" t="s">
        <v>25</v>
      </c>
      <c r="CL375" t="s">
        <v>25</v>
      </c>
      <c r="CM375" t="s">
        <v>25</v>
      </c>
      <c r="CN375" t="s">
        <v>25</v>
      </c>
      <c r="CO375" t="s">
        <v>25</v>
      </c>
      <c r="CP375" t="s">
        <v>25</v>
      </c>
      <c r="CQ375" t="s">
        <v>25</v>
      </c>
      <c r="CR375" t="s">
        <v>25</v>
      </c>
      <c r="CS375" t="s">
        <v>25</v>
      </c>
      <c r="CT375" t="s">
        <v>25</v>
      </c>
      <c r="CU375" t="s">
        <v>25</v>
      </c>
      <c r="CV375" t="s">
        <v>25</v>
      </c>
      <c r="CW375" t="s">
        <v>25</v>
      </c>
      <c r="CX375" t="s">
        <v>25</v>
      </c>
      <c r="CY375" t="s">
        <v>25</v>
      </c>
      <c r="CZ375" t="s">
        <v>25</v>
      </c>
      <c r="DA375" t="s">
        <v>25</v>
      </c>
      <c r="DB375" t="s">
        <v>49</v>
      </c>
      <c r="DC375" t="s">
        <v>25</v>
      </c>
      <c r="DD375" t="s">
        <v>25</v>
      </c>
      <c r="DE375" t="s">
        <v>25</v>
      </c>
      <c r="DF375" t="s">
        <v>25</v>
      </c>
      <c r="DG375" t="s">
        <v>25</v>
      </c>
      <c r="DH375" t="s">
        <v>25</v>
      </c>
      <c r="DI375" t="s">
        <v>25</v>
      </c>
      <c r="DJ375" s="76">
        <v>0</v>
      </c>
      <c r="DK375" s="73">
        <v>0</v>
      </c>
      <c r="DL375" s="73">
        <v>540</v>
      </c>
      <c r="DM375" s="73">
        <v>-540</v>
      </c>
      <c r="DU375"/>
      <c r="DZ375" s="73">
        <v>797</v>
      </c>
      <c r="EA375" s="73">
        <v>0</v>
      </c>
      <c r="EB375" s="73">
        <v>797</v>
      </c>
      <c r="EC375" s="65" t="s">
        <v>126</v>
      </c>
    </row>
    <row r="376" spans="1:133" ht="12" customHeight="1" x14ac:dyDescent="0.2">
      <c r="A376" t="s">
        <v>2937</v>
      </c>
      <c r="B376" t="s">
        <v>2946</v>
      </c>
      <c r="C376" t="str">
        <f t="shared" si="17"/>
        <v>Full</v>
      </c>
      <c r="E376" s="65">
        <v>5281</v>
      </c>
      <c r="F376" t="s">
        <v>1977</v>
      </c>
      <c r="G376" s="71" t="s">
        <v>150</v>
      </c>
      <c r="H376" s="67">
        <v>1.4999999664723899E-2</v>
      </c>
      <c r="I376" s="65">
        <v>526909</v>
      </c>
      <c r="J376" s="65">
        <v>171864</v>
      </c>
      <c r="L376" s="65" t="s">
        <v>1978</v>
      </c>
      <c r="M376" s="65" t="s">
        <v>27</v>
      </c>
      <c r="N376" s="69">
        <v>42991</v>
      </c>
      <c r="O376" s="69">
        <v>43077</v>
      </c>
      <c r="P376" s="65" t="s">
        <v>126</v>
      </c>
      <c r="R376" s="65" t="s">
        <v>28</v>
      </c>
      <c r="U376" t="s">
        <v>1979</v>
      </c>
      <c r="V376" t="s">
        <v>3341</v>
      </c>
      <c r="W376" s="65" t="s">
        <v>34</v>
      </c>
      <c r="X376" s="65" t="s">
        <v>29</v>
      </c>
      <c r="Y376" s="65" t="s">
        <v>69</v>
      </c>
      <c r="AD376" s="65" t="s">
        <v>23</v>
      </c>
      <c r="AE376" s="65" t="s">
        <v>24</v>
      </c>
      <c r="AJ376" s="73">
        <v>47</v>
      </c>
      <c r="AO376" s="73">
        <v>47</v>
      </c>
      <c r="AZ376" s="73">
        <v>68</v>
      </c>
      <c r="BE376" s="73">
        <v>68</v>
      </c>
      <c r="BO376" s="185" t="s">
        <v>126</v>
      </c>
      <c r="BP376" s="185" t="s">
        <v>3794</v>
      </c>
      <c r="BQ376" s="185" t="s">
        <v>3794</v>
      </c>
      <c r="BR376" s="73">
        <v>-21</v>
      </c>
      <c r="BW376" s="73">
        <v>-21</v>
      </c>
      <c r="BY376" s="185" t="s">
        <v>3794</v>
      </c>
      <c r="CJ376" t="s">
        <v>46</v>
      </c>
      <c r="CK376" t="s">
        <v>25</v>
      </c>
      <c r="CL376" t="s">
        <v>25</v>
      </c>
      <c r="CM376" t="s">
        <v>25</v>
      </c>
      <c r="CN376" t="s">
        <v>25</v>
      </c>
      <c r="CO376" t="s">
        <v>25</v>
      </c>
      <c r="CP376" t="s">
        <v>25</v>
      </c>
      <c r="CQ376" t="s">
        <v>25</v>
      </c>
      <c r="CR376" t="s">
        <v>25</v>
      </c>
      <c r="CS376" t="s">
        <v>25</v>
      </c>
      <c r="CT376" t="s">
        <v>25</v>
      </c>
      <c r="CU376" t="s">
        <v>25</v>
      </c>
      <c r="CV376" t="s">
        <v>25</v>
      </c>
      <c r="CW376" t="s">
        <v>46</v>
      </c>
      <c r="CX376" t="s">
        <v>25</v>
      </c>
      <c r="CY376" t="s">
        <v>25</v>
      </c>
      <c r="CZ376" t="s">
        <v>25</v>
      </c>
      <c r="DA376" t="s">
        <v>25</v>
      </c>
      <c r="DB376" t="s">
        <v>25</v>
      </c>
      <c r="DC376" t="s">
        <v>25</v>
      </c>
      <c r="DD376" t="s">
        <v>25</v>
      </c>
      <c r="DE376" t="s">
        <v>25</v>
      </c>
      <c r="DF376" t="s">
        <v>25</v>
      </c>
      <c r="DG376" t="s">
        <v>25</v>
      </c>
      <c r="DH376" t="s">
        <v>25</v>
      </c>
      <c r="DI376" t="s">
        <v>25</v>
      </c>
      <c r="DJ376" s="76">
        <v>1.0999999474734089E-2</v>
      </c>
      <c r="DK376" s="73">
        <v>47</v>
      </c>
      <c r="DL376" s="73">
        <v>87</v>
      </c>
      <c r="DM376" s="73">
        <v>-40</v>
      </c>
      <c r="DU376"/>
      <c r="DZ376" s="73">
        <v>52</v>
      </c>
      <c r="EA376" s="73">
        <v>0</v>
      </c>
      <c r="EB376" s="73">
        <v>52</v>
      </c>
      <c r="EC376" s="65" t="s">
        <v>126</v>
      </c>
    </row>
    <row r="377" spans="1:133" ht="12" customHeight="1" x14ac:dyDescent="0.2">
      <c r="A377" t="s">
        <v>2937</v>
      </c>
      <c r="B377" t="s">
        <v>2946</v>
      </c>
      <c r="C377" t="str">
        <f t="shared" si="17"/>
        <v>Full</v>
      </c>
      <c r="E377" s="65">
        <v>5284</v>
      </c>
      <c r="F377" t="s">
        <v>1980</v>
      </c>
      <c r="G377" s="71" t="s">
        <v>3948</v>
      </c>
      <c r="H377" s="67">
        <v>9.9999997764825804E-3</v>
      </c>
      <c r="I377" s="65">
        <v>527494</v>
      </c>
      <c r="J377" s="65">
        <v>176369</v>
      </c>
      <c r="L377" s="65" t="s">
        <v>1153</v>
      </c>
      <c r="M377" s="65" t="s">
        <v>27</v>
      </c>
      <c r="N377" s="69">
        <v>42718</v>
      </c>
      <c r="O377" s="69">
        <v>42822</v>
      </c>
      <c r="R377" s="65" t="s">
        <v>28</v>
      </c>
      <c r="U377" t="s">
        <v>1154</v>
      </c>
      <c r="V377" t="s">
        <v>3342</v>
      </c>
      <c r="W377" s="65" t="s">
        <v>34</v>
      </c>
      <c r="X377" s="65" t="s">
        <v>29</v>
      </c>
      <c r="Y377" s="65" t="s">
        <v>69</v>
      </c>
      <c r="AD377" s="65" t="s">
        <v>23</v>
      </c>
      <c r="AE377" s="65" t="s">
        <v>24</v>
      </c>
      <c r="AK377" s="73">
        <v>47</v>
      </c>
      <c r="AO377" s="73">
        <v>47</v>
      </c>
      <c r="BA377" s="73">
        <v>62</v>
      </c>
      <c r="BE377" s="73">
        <v>62</v>
      </c>
      <c r="BO377" s="185" t="s">
        <v>126</v>
      </c>
      <c r="BP377" s="185" t="s">
        <v>3794</v>
      </c>
      <c r="BQ377" s="185" t="s">
        <v>3794</v>
      </c>
      <c r="BS377" s="73">
        <v>-15</v>
      </c>
      <c r="BW377" s="73">
        <v>-15</v>
      </c>
      <c r="BY377" s="185" t="s">
        <v>3794</v>
      </c>
      <c r="CJ377" t="s">
        <v>25</v>
      </c>
      <c r="CK377" t="s">
        <v>238</v>
      </c>
      <c r="CL377" t="s">
        <v>25</v>
      </c>
      <c r="CM377" t="s">
        <v>25</v>
      </c>
      <c r="CN377" t="s">
        <v>25</v>
      </c>
      <c r="CO377" t="s">
        <v>25</v>
      </c>
      <c r="CP377" t="s">
        <v>25</v>
      </c>
      <c r="CQ377" t="s">
        <v>25</v>
      </c>
      <c r="CR377" t="s">
        <v>25</v>
      </c>
      <c r="CS377" t="s">
        <v>25</v>
      </c>
      <c r="CT377" t="s">
        <v>25</v>
      </c>
      <c r="CU377" t="s">
        <v>25</v>
      </c>
      <c r="CV377" t="s">
        <v>25</v>
      </c>
      <c r="CW377" t="s">
        <v>25</v>
      </c>
      <c r="CX377" t="s">
        <v>238</v>
      </c>
      <c r="CY377" t="s">
        <v>25</v>
      </c>
      <c r="CZ377" t="s">
        <v>25</v>
      </c>
      <c r="DA377" t="s">
        <v>25</v>
      </c>
      <c r="DB377" t="s">
        <v>25</v>
      </c>
      <c r="DC377" t="s">
        <v>25</v>
      </c>
      <c r="DD377" t="s">
        <v>25</v>
      </c>
      <c r="DE377" t="s">
        <v>25</v>
      </c>
      <c r="DF377" t="s">
        <v>25</v>
      </c>
      <c r="DG377" t="s">
        <v>25</v>
      </c>
      <c r="DH377" t="s">
        <v>25</v>
      </c>
      <c r="DI377" t="s">
        <v>25</v>
      </c>
      <c r="DJ377" s="76">
        <v>3.9999997243285205E-3</v>
      </c>
      <c r="DK377" s="73">
        <v>47</v>
      </c>
      <c r="DL377" s="73">
        <v>124</v>
      </c>
      <c r="DM377" s="73">
        <v>-77</v>
      </c>
      <c r="DU377"/>
      <c r="DX377" s="65" t="s">
        <v>126</v>
      </c>
      <c r="DY377" t="s">
        <v>36</v>
      </c>
      <c r="DZ377" s="73">
        <v>92</v>
      </c>
      <c r="EA377" s="73">
        <v>0</v>
      </c>
      <c r="EB377" s="73">
        <v>92</v>
      </c>
      <c r="EC377" s="65" t="s">
        <v>126</v>
      </c>
    </row>
    <row r="378" spans="1:133" ht="12" customHeight="1" x14ac:dyDescent="0.2">
      <c r="A378" t="s">
        <v>2935</v>
      </c>
      <c r="B378" t="s">
        <v>2946</v>
      </c>
      <c r="C378" t="str">
        <f t="shared" si="17"/>
        <v>Full</v>
      </c>
      <c r="E378" s="65">
        <v>5292</v>
      </c>
      <c r="F378" t="s">
        <v>1983</v>
      </c>
      <c r="G378" s="71" t="s">
        <v>3949</v>
      </c>
      <c r="H378" s="67">
        <v>0.21400000154972099</v>
      </c>
      <c r="I378" s="65">
        <v>524279</v>
      </c>
      <c r="J378" s="65">
        <v>174909</v>
      </c>
      <c r="K378" s="65" t="s">
        <v>1984</v>
      </c>
      <c r="L378" s="65" t="s">
        <v>493</v>
      </c>
      <c r="M378" s="65" t="s">
        <v>33</v>
      </c>
      <c r="N378" s="69">
        <v>42188</v>
      </c>
      <c r="O378" s="69">
        <v>42335</v>
      </c>
      <c r="Q378" s="69">
        <v>42292</v>
      </c>
      <c r="R378" s="65" t="s">
        <v>28</v>
      </c>
      <c r="U378" t="s">
        <v>754</v>
      </c>
      <c r="V378" t="s">
        <v>3343</v>
      </c>
      <c r="W378" s="65" t="s">
        <v>29</v>
      </c>
      <c r="X378" s="65" t="s">
        <v>29</v>
      </c>
      <c r="Y378" s="65" t="s">
        <v>30</v>
      </c>
      <c r="Z378" s="69">
        <v>42825</v>
      </c>
      <c r="AA378" s="69">
        <v>42825</v>
      </c>
      <c r="AD378" s="65" t="s">
        <v>23</v>
      </c>
      <c r="AE378" s="65" t="s">
        <v>24</v>
      </c>
      <c r="AH378" s="69">
        <f t="shared" si="15"/>
        <v>42825</v>
      </c>
      <c r="AJ378" s="73">
        <v>677</v>
      </c>
      <c r="AK378" s="73">
        <v>677</v>
      </c>
      <c r="AO378" s="73">
        <v>1354</v>
      </c>
      <c r="AP378" s="73">
        <v>186</v>
      </c>
      <c r="AS378" s="73">
        <v>186</v>
      </c>
      <c r="AV378" s="73">
        <v>186</v>
      </c>
      <c r="BF378" s="73">
        <v>3721</v>
      </c>
      <c r="BK378" s="73">
        <v>3721</v>
      </c>
      <c r="BO378" s="185" t="s">
        <v>126</v>
      </c>
      <c r="BP378" s="185" t="s">
        <v>126</v>
      </c>
      <c r="BQ378" s="185" t="s">
        <v>3794</v>
      </c>
      <c r="BR378" s="73">
        <v>677</v>
      </c>
      <c r="BS378" s="73">
        <v>677</v>
      </c>
      <c r="BW378" s="570">
        <v>1354</v>
      </c>
      <c r="BX378" s="73">
        <v>-3535</v>
      </c>
      <c r="BY378" s="185" t="s">
        <v>126</v>
      </c>
      <c r="CD378" s="73">
        <v>-3535</v>
      </c>
      <c r="CE378" s="65" t="s">
        <v>126</v>
      </c>
      <c r="CJ378" t="s">
        <v>31</v>
      </c>
      <c r="CK378" t="s">
        <v>31</v>
      </c>
      <c r="CL378" t="s">
        <v>25</v>
      </c>
      <c r="CM378" t="s">
        <v>25</v>
      </c>
      <c r="CN378" t="s">
        <v>25</v>
      </c>
      <c r="CO378" t="s">
        <v>31</v>
      </c>
      <c r="CP378" t="s">
        <v>25</v>
      </c>
      <c r="CQ378" t="s">
        <v>25</v>
      </c>
      <c r="CR378" t="s">
        <v>25</v>
      </c>
      <c r="CS378" t="s">
        <v>25</v>
      </c>
      <c r="CT378" t="s">
        <v>25</v>
      </c>
      <c r="CU378" t="s">
        <v>25</v>
      </c>
      <c r="CV378" t="s">
        <v>25</v>
      </c>
      <c r="CW378" t="s">
        <v>25</v>
      </c>
      <c r="CX378" t="s">
        <v>25</v>
      </c>
      <c r="CY378" t="s">
        <v>25</v>
      </c>
      <c r="CZ378" t="s">
        <v>25</v>
      </c>
      <c r="DA378" t="s">
        <v>25</v>
      </c>
      <c r="DB378" t="s">
        <v>47</v>
      </c>
      <c r="DC378" t="s">
        <v>25</v>
      </c>
      <c r="DD378" t="s">
        <v>25</v>
      </c>
      <c r="DE378" t="s">
        <v>25</v>
      </c>
      <c r="DF378" t="s">
        <v>25</v>
      </c>
      <c r="DG378" t="s">
        <v>25</v>
      </c>
      <c r="DH378" t="s">
        <v>25</v>
      </c>
      <c r="DI378" t="s">
        <v>25</v>
      </c>
      <c r="DJ378" s="76">
        <v>4.7E-2</v>
      </c>
      <c r="DK378" s="73">
        <v>1540</v>
      </c>
      <c r="DL378" s="73">
        <v>3721</v>
      </c>
      <c r="DM378" s="73">
        <v>-2181</v>
      </c>
      <c r="DU378"/>
      <c r="DV378" s="65" t="s">
        <v>126</v>
      </c>
      <c r="DW378" t="s">
        <v>131</v>
      </c>
      <c r="DZ378" s="73">
        <v>5546</v>
      </c>
      <c r="EA378" s="73">
        <v>0</v>
      </c>
      <c r="EB378" s="73">
        <v>5546</v>
      </c>
      <c r="EC378" s="65" t="s">
        <v>126</v>
      </c>
    </row>
    <row r="379" spans="1:133" ht="12" customHeight="1" x14ac:dyDescent="0.2">
      <c r="A379" t="s">
        <v>2936</v>
      </c>
      <c r="B379" t="s">
        <v>2946</v>
      </c>
      <c r="C379" t="str">
        <f t="shared" si="17"/>
        <v>Full</v>
      </c>
      <c r="D379" t="s">
        <v>2943</v>
      </c>
      <c r="E379" s="65">
        <v>5297</v>
      </c>
      <c r="F379" t="s">
        <v>1985</v>
      </c>
      <c r="G379" s="71" t="s">
        <v>3948</v>
      </c>
      <c r="H379" s="67">
        <v>7.4000000953674303E-2</v>
      </c>
      <c r="I379" s="65">
        <v>527113</v>
      </c>
      <c r="J379" s="65">
        <v>176021</v>
      </c>
      <c r="L379" s="65" t="s">
        <v>368</v>
      </c>
      <c r="M379" s="65" t="s">
        <v>33</v>
      </c>
      <c r="N379" s="69">
        <v>41823</v>
      </c>
      <c r="O379" s="69">
        <v>42340</v>
      </c>
      <c r="Q379" s="69">
        <v>41987</v>
      </c>
      <c r="R379" s="65" t="s">
        <v>28</v>
      </c>
      <c r="U379" t="s">
        <v>706</v>
      </c>
      <c r="V379" t="s">
        <v>3344</v>
      </c>
      <c r="W379" s="65" t="s">
        <v>29</v>
      </c>
      <c r="X379" s="65" t="s">
        <v>29</v>
      </c>
      <c r="Y379" s="65" t="s">
        <v>35</v>
      </c>
      <c r="AA379" s="69">
        <v>42825</v>
      </c>
      <c r="AB379" s="69">
        <v>43076</v>
      </c>
      <c r="AC379" s="69">
        <v>43190</v>
      </c>
      <c r="AD379" s="65" t="s">
        <v>23</v>
      </c>
      <c r="AE379" s="65" t="s">
        <v>24</v>
      </c>
      <c r="AH379" s="69">
        <f t="shared" ref="AH379:AH440" si="18">AA379</f>
        <v>42825</v>
      </c>
      <c r="AI379" s="69">
        <f t="shared" ref="AI379:AI437" si="19">AB379</f>
        <v>43076</v>
      </c>
      <c r="AJ379" s="73">
        <v>238</v>
      </c>
      <c r="AK379" s="73">
        <v>238</v>
      </c>
      <c r="AO379" s="73">
        <v>476</v>
      </c>
      <c r="BC379" s="73">
        <v>430</v>
      </c>
      <c r="BE379" s="73">
        <v>430</v>
      </c>
      <c r="BO379" s="185" t="s">
        <v>126</v>
      </c>
      <c r="BP379" s="185" t="s">
        <v>3794</v>
      </c>
      <c r="BQ379" s="185" t="s">
        <v>3794</v>
      </c>
      <c r="BR379" s="73">
        <v>238</v>
      </c>
      <c r="BS379" s="73">
        <v>238</v>
      </c>
      <c r="BU379" s="73">
        <v>-430</v>
      </c>
      <c r="BW379" s="73">
        <v>46</v>
      </c>
      <c r="BY379" s="185" t="s">
        <v>3794</v>
      </c>
      <c r="CJ379" t="s">
        <v>31</v>
      </c>
      <c r="CK379" t="s">
        <v>31</v>
      </c>
      <c r="CL379" t="s">
        <v>25</v>
      </c>
      <c r="CM379" t="s">
        <v>25</v>
      </c>
      <c r="CN379" t="s">
        <v>25</v>
      </c>
      <c r="CO379" t="s">
        <v>25</v>
      </c>
      <c r="CP379" t="s">
        <v>25</v>
      </c>
      <c r="CQ379" t="s">
        <v>25</v>
      </c>
      <c r="CR379" t="s">
        <v>25</v>
      </c>
      <c r="CS379" t="s">
        <v>25</v>
      </c>
      <c r="CT379" t="s">
        <v>25</v>
      </c>
      <c r="CU379" t="s">
        <v>25</v>
      </c>
      <c r="CV379" t="s">
        <v>25</v>
      </c>
      <c r="CW379" t="s">
        <v>25</v>
      </c>
      <c r="CX379" t="s">
        <v>25</v>
      </c>
      <c r="CY379" t="s">
        <v>25</v>
      </c>
      <c r="CZ379" t="s">
        <v>71</v>
      </c>
      <c r="DA379" t="s">
        <v>25</v>
      </c>
      <c r="DB379" t="s">
        <v>25</v>
      </c>
      <c r="DC379" t="s">
        <v>25</v>
      </c>
      <c r="DD379" t="s">
        <v>25</v>
      </c>
      <c r="DE379" t="s">
        <v>25</v>
      </c>
      <c r="DF379" t="s">
        <v>25</v>
      </c>
      <c r="DG379" t="s">
        <v>25</v>
      </c>
      <c r="DH379" t="s">
        <v>25</v>
      </c>
      <c r="DI379" t="s">
        <v>25</v>
      </c>
      <c r="DJ379" s="76">
        <v>2.49999994412064E-2</v>
      </c>
      <c r="DK379" s="73">
        <v>476</v>
      </c>
      <c r="DL379" s="73">
        <v>430</v>
      </c>
      <c r="DM379" s="73">
        <v>46</v>
      </c>
      <c r="DU379"/>
      <c r="DZ379" s="73">
        <v>1830</v>
      </c>
      <c r="EA379" s="73">
        <v>0</v>
      </c>
      <c r="EB379" s="73">
        <v>1830</v>
      </c>
      <c r="EC379" s="65" t="s">
        <v>126</v>
      </c>
    </row>
    <row r="380" spans="1:133" ht="12" customHeight="1" x14ac:dyDescent="0.2">
      <c r="A380" t="s">
        <v>2935</v>
      </c>
      <c r="B380" t="s">
        <v>2946</v>
      </c>
      <c r="C380" t="str">
        <f t="shared" si="17"/>
        <v>Full</v>
      </c>
      <c r="E380" s="65">
        <v>5297</v>
      </c>
      <c r="F380" t="s">
        <v>1985</v>
      </c>
      <c r="G380" s="71" t="s">
        <v>3948</v>
      </c>
      <c r="H380" s="67">
        <v>7.4000000953674303E-2</v>
      </c>
      <c r="I380" s="65">
        <v>527113</v>
      </c>
      <c r="J380" s="65">
        <v>176021</v>
      </c>
      <c r="L380" s="65" t="s">
        <v>1194</v>
      </c>
      <c r="M380" s="65" t="s">
        <v>27</v>
      </c>
      <c r="N380" s="69">
        <v>42758</v>
      </c>
      <c r="O380" s="69">
        <v>42814</v>
      </c>
      <c r="R380" s="65" t="s">
        <v>28</v>
      </c>
      <c r="U380" t="s">
        <v>1195</v>
      </c>
      <c r="V380" t="s">
        <v>3345</v>
      </c>
      <c r="W380" s="65" t="s">
        <v>21</v>
      </c>
      <c r="X380" s="65" t="s">
        <v>21</v>
      </c>
      <c r="Y380" s="65" t="s">
        <v>30</v>
      </c>
      <c r="AA380" s="69">
        <v>42825</v>
      </c>
      <c r="AD380" s="65" t="s">
        <v>23</v>
      </c>
      <c r="AE380" s="65" t="s">
        <v>24</v>
      </c>
      <c r="AH380" s="69">
        <f t="shared" si="18"/>
        <v>42825</v>
      </c>
      <c r="AX380" s="73">
        <v>467</v>
      </c>
      <c r="AY380" s="73">
        <v>467</v>
      </c>
      <c r="AZ380" s="73">
        <v>234</v>
      </c>
      <c r="BA380" s="73">
        <v>234</v>
      </c>
      <c r="BE380" s="73">
        <v>468</v>
      </c>
      <c r="BO380" s="185" t="s">
        <v>126</v>
      </c>
      <c r="BP380" s="185" t="s">
        <v>3794</v>
      </c>
      <c r="BQ380" s="185" t="s">
        <v>126</v>
      </c>
      <c r="BR380" s="73">
        <v>-234</v>
      </c>
      <c r="BS380" s="73">
        <v>-234</v>
      </c>
      <c r="BW380" s="73">
        <v>-468</v>
      </c>
      <c r="BY380" s="185" t="s">
        <v>3794</v>
      </c>
      <c r="CH380" s="73">
        <v>467</v>
      </c>
      <c r="CI380" s="73">
        <v>467</v>
      </c>
      <c r="CJ380" t="s">
        <v>25</v>
      </c>
      <c r="CK380" t="s">
        <v>25</v>
      </c>
      <c r="CL380" t="s">
        <v>25</v>
      </c>
      <c r="CM380" t="s">
        <v>25</v>
      </c>
      <c r="CN380" t="s">
        <v>25</v>
      </c>
      <c r="CO380" t="s">
        <v>25</v>
      </c>
      <c r="CP380" t="s">
        <v>25</v>
      </c>
      <c r="CQ380" t="s">
        <v>25</v>
      </c>
      <c r="CR380" t="s">
        <v>25</v>
      </c>
      <c r="CS380" t="s">
        <v>25</v>
      </c>
      <c r="CT380" t="s">
        <v>25</v>
      </c>
      <c r="CU380" t="s">
        <v>25</v>
      </c>
      <c r="CV380" t="s">
        <v>49</v>
      </c>
      <c r="CW380" t="s">
        <v>47</v>
      </c>
      <c r="CX380" t="s">
        <v>47</v>
      </c>
      <c r="CY380" t="s">
        <v>25</v>
      </c>
      <c r="CZ380" t="s">
        <v>25</v>
      </c>
      <c r="DA380" t="s">
        <v>25</v>
      </c>
      <c r="DB380" t="s">
        <v>25</v>
      </c>
      <c r="DC380" t="s">
        <v>25</v>
      </c>
      <c r="DD380" t="s">
        <v>25</v>
      </c>
      <c r="DE380" t="s">
        <v>25</v>
      </c>
      <c r="DF380" t="s">
        <v>25</v>
      </c>
      <c r="DG380" t="s">
        <v>25</v>
      </c>
      <c r="DH380" t="s">
        <v>25</v>
      </c>
      <c r="DI380" t="s">
        <v>25</v>
      </c>
      <c r="DJ380" s="76">
        <v>7.4000000953674303E-2</v>
      </c>
      <c r="DK380" s="73">
        <v>467</v>
      </c>
      <c r="DL380" s="73">
        <v>468</v>
      </c>
      <c r="DM380" s="73">
        <v>-1</v>
      </c>
      <c r="DU380"/>
      <c r="DZ380" s="73">
        <v>0</v>
      </c>
      <c r="EA380" s="73">
        <v>0</v>
      </c>
      <c r="EB380" s="73">
        <v>0</v>
      </c>
    </row>
    <row r="381" spans="1:133" ht="12" customHeight="1" x14ac:dyDescent="0.2">
      <c r="A381" t="s">
        <v>2936</v>
      </c>
      <c r="B381" t="s">
        <v>2946</v>
      </c>
      <c r="C381" t="str">
        <f t="shared" si="17"/>
        <v>Full</v>
      </c>
      <c r="D381" t="s">
        <v>2943</v>
      </c>
      <c r="E381" s="65">
        <v>5344</v>
      </c>
      <c r="F381" t="s">
        <v>1986</v>
      </c>
      <c r="G381" s="71" t="s">
        <v>3952</v>
      </c>
      <c r="H381" s="67">
        <v>4.0000001899898104E-3</v>
      </c>
      <c r="I381" s="65">
        <v>528033</v>
      </c>
      <c r="J381" s="65">
        <v>172324</v>
      </c>
      <c r="L381" s="65" t="s">
        <v>1987</v>
      </c>
      <c r="M381" s="65" t="s">
        <v>27</v>
      </c>
      <c r="N381" s="69">
        <v>42930</v>
      </c>
      <c r="O381" s="69">
        <v>42986</v>
      </c>
      <c r="P381" s="65" t="s">
        <v>126</v>
      </c>
      <c r="R381" s="65" t="s">
        <v>28</v>
      </c>
      <c r="U381" t="s">
        <v>1988</v>
      </c>
      <c r="V381" t="s">
        <v>3346</v>
      </c>
      <c r="W381" s="65" t="s">
        <v>21</v>
      </c>
      <c r="X381" s="65" t="s">
        <v>21</v>
      </c>
      <c r="Y381" s="65" t="s">
        <v>35</v>
      </c>
      <c r="AA381" s="69">
        <v>42986</v>
      </c>
      <c r="AB381" s="69">
        <v>43190</v>
      </c>
      <c r="AC381" s="69">
        <v>43190</v>
      </c>
      <c r="AD381" s="65" t="s">
        <v>23</v>
      </c>
      <c r="AE381" s="65" t="s">
        <v>24</v>
      </c>
      <c r="AH381" s="69">
        <f t="shared" si="18"/>
        <v>42986</v>
      </c>
      <c r="AI381" s="69">
        <f t="shared" si="19"/>
        <v>43190</v>
      </c>
      <c r="AL381" s="73">
        <v>83</v>
      </c>
      <c r="AO381" s="73">
        <v>83</v>
      </c>
      <c r="AZ381" s="73">
        <v>83</v>
      </c>
      <c r="BE381" s="73">
        <v>83</v>
      </c>
      <c r="BO381" s="185" t="s">
        <v>126</v>
      </c>
      <c r="BP381" s="185" t="s">
        <v>3794</v>
      </c>
      <c r="BQ381" s="185" t="s">
        <v>3794</v>
      </c>
      <c r="BR381" s="73">
        <v>-83</v>
      </c>
      <c r="BT381" s="73">
        <v>83</v>
      </c>
      <c r="BW381" s="73"/>
      <c r="BY381" s="185" t="s">
        <v>3794</v>
      </c>
      <c r="CJ381" t="s">
        <v>25</v>
      </c>
      <c r="CK381" t="s">
        <v>25</v>
      </c>
      <c r="CL381" t="s">
        <v>38</v>
      </c>
      <c r="CM381" t="s">
        <v>25</v>
      </c>
      <c r="CN381" t="s">
        <v>25</v>
      </c>
      <c r="CO381" t="s">
        <v>25</v>
      </c>
      <c r="CP381" t="s">
        <v>25</v>
      </c>
      <c r="CQ381" t="s">
        <v>25</v>
      </c>
      <c r="CR381" t="s">
        <v>25</v>
      </c>
      <c r="CS381" t="s">
        <v>25</v>
      </c>
      <c r="CT381" t="s">
        <v>25</v>
      </c>
      <c r="CU381" t="s">
        <v>25</v>
      </c>
      <c r="CV381" t="s">
        <v>25</v>
      </c>
      <c r="CW381" t="s">
        <v>40</v>
      </c>
      <c r="CX381" t="s">
        <v>25</v>
      </c>
      <c r="CY381" t="s">
        <v>25</v>
      </c>
      <c r="CZ381" t="s">
        <v>25</v>
      </c>
      <c r="DA381" t="s">
        <v>25</v>
      </c>
      <c r="DB381" t="s">
        <v>25</v>
      </c>
      <c r="DC381" t="s">
        <v>25</v>
      </c>
      <c r="DD381" t="s">
        <v>25</v>
      </c>
      <c r="DE381" t="s">
        <v>25</v>
      </c>
      <c r="DF381" t="s">
        <v>25</v>
      </c>
      <c r="DG381" t="s">
        <v>25</v>
      </c>
      <c r="DH381" t="s">
        <v>25</v>
      </c>
      <c r="DI381" t="s">
        <v>25</v>
      </c>
      <c r="DJ381" s="76">
        <v>4.0000001899898104E-3</v>
      </c>
      <c r="DK381" s="73">
        <v>83</v>
      </c>
      <c r="DL381" s="73">
        <v>83</v>
      </c>
      <c r="DM381" s="73">
        <v>0</v>
      </c>
      <c r="DU381"/>
      <c r="DZ381" s="73">
        <v>0</v>
      </c>
      <c r="EA381" s="73">
        <v>0</v>
      </c>
      <c r="EB381" s="73">
        <v>0</v>
      </c>
    </row>
    <row r="382" spans="1:133" ht="12" customHeight="1" x14ac:dyDescent="0.2">
      <c r="A382" t="s">
        <v>2937</v>
      </c>
      <c r="B382" t="s">
        <v>2946</v>
      </c>
      <c r="C382" t="str">
        <f t="shared" si="17"/>
        <v>Full</v>
      </c>
      <c r="E382" s="65">
        <v>5346</v>
      </c>
      <c r="F382" t="s">
        <v>1989</v>
      </c>
      <c r="G382" s="71" t="s">
        <v>3950</v>
      </c>
      <c r="H382" s="67">
        <v>1.7999999225139601E-2</v>
      </c>
      <c r="I382" s="65">
        <v>529259</v>
      </c>
      <c r="J382" s="65">
        <v>170676</v>
      </c>
      <c r="L382" s="65" t="s">
        <v>664</v>
      </c>
      <c r="M382" s="65" t="s">
        <v>27</v>
      </c>
      <c r="N382" s="69">
        <v>42506</v>
      </c>
      <c r="O382" s="69">
        <v>42667</v>
      </c>
      <c r="R382" s="65" t="s">
        <v>28</v>
      </c>
      <c r="U382" t="s">
        <v>665</v>
      </c>
      <c r="V382" t="s">
        <v>3347</v>
      </c>
      <c r="W382" s="65" t="s">
        <v>21</v>
      </c>
      <c r="X382" s="65" t="s">
        <v>21</v>
      </c>
      <c r="Y382" s="65" t="s">
        <v>69</v>
      </c>
      <c r="AD382" s="65" t="s">
        <v>23</v>
      </c>
      <c r="AE382" s="65" t="s">
        <v>24</v>
      </c>
      <c r="AW382" s="73">
        <v>35</v>
      </c>
      <c r="AY382" s="73">
        <v>35</v>
      </c>
      <c r="BF382" s="73">
        <v>35</v>
      </c>
      <c r="BK382" s="73">
        <v>35</v>
      </c>
      <c r="BO382" s="185" t="s">
        <v>3794</v>
      </c>
      <c r="BP382" s="185" t="s">
        <v>126</v>
      </c>
      <c r="BQ382" s="185" t="s">
        <v>126</v>
      </c>
      <c r="BW382" s="73"/>
      <c r="BX382" s="73">
        <v>-35</v>
      </c>
      <c r="BY382" s="185" t="s">
        <v>126</v>
      </c>
      <c r="CD382" s="73">
        <v>-35</v>
      </c>
      <c r="CE382" s="65" t="s">
        <v>126</v>
      </c>
      <c r="CG382" s="73">
        <v>35</v>
      </c>
      <c r="CI382" s="73">
        <v>35</v>
      </c>
      <c r="CJ382" t="s">
        <v>25</v>
      </c>
      <c r="CK382" t="s">
        <v>25</v>
      </c>
      <c r="CL382" t="s">
        <v>25</v>
      </c>
      <c r="CM382" t="s">
        <v>25</v>
      </c>
      <c r="CN382" t="s">
        <v>25</v>
      </c>
      <c r="CO382" t="s">
        <v>25</v>
      </c>
      <c r="CP382" t="s">
        <v>25</v>
      </c>
      <c r="CQ382" t="s">
        <v>25</v>
      </c>
      <c r="CR382" t="s">
        <v>25</v>
      </c>
      <c r="CS382" t="s">
        <v>25</v>
      </c>
      <c r="CT382" t="s">
        <v>25</v>
      </c>
      <c r="CU382" t="s">
        <v>49</v>
      </c>
      <c r="CV382" t="s">
        <v>25</v>
      </c>
      <c r="CW382" t="s">
        <v>25</v>
      </c>
      <c r="CX382" t="s">
        <v>25</v>
      </c>
      <c r="CY382" t="s">
        <v>25</v>
      </c>
      <c r="CZ382" t="s">
        <v>25</v>
      </c>
      <c r="DA382" t="s">
        <v>25</v>
      </c>
      <c r="DB382" t="s">
        <v>47</v>
      </c>
      <c r="DC382" t="s">
        <v>25</v>
      </c>
      <c r="DD382" t="s">
        <v>25</v>
      </c>
      <c r="DE382" t="s">
        <v>25</v>
      </c>
      <c r="DF382" t="s">
        <v>25</v>
      </c>
      <c r="DG382" t="s">
        <v>25</v>
      </c>
      <c r="DH382" t="s">
        <v>25</v>
      </c>
      <c r="DI382" t="s">
        <v>25</v>
      </c>
      <c r="DJ382" s="76">
        <v>1.7999999225139601E-2</v>
      </c>
      <c r="DK382" s="73">
        <v>35</v>
      </c>
      <c r="DL382" s="73">
        <v>35</v>
      </c>
      <c r="DM382" s="73">
        <v>0</v>
      </c>
      <c r="DU382"/>
      <c r="DZ382" s="73">
        <v>0</v>
      </c>
      <c r="EA382" s="73">
        <v>0</v>
      </c>
      <c r="EB382" s="73">
        <v>0</v>
      </c>
    </row>
    <row r="383" spans="1:133" ht="12" customHeight="1" x14ac:dyDescent="0.2">
      <c r="A383" t="s">
        <v>2936</v>
      </c>
      <c r="B383" t="s">
        <v>2946</v>
      </c>
      <c r="C383" t="str">
        <f t="shared" si="17"/>
        <v>Full</v>
      </c>
      <c r="D383" t="s">
        <v>2942</v>
      </c>
      <c r="E383" s="65">
        <v>5360</v>
      </c>
      <c r="F383" t="s">
        <v>1990</v>
      </c>
      <c r="G383" s="71" t="s">
        <v>2904</v>
      </c>
      <c r="H383" s="67">
        <v>8.0000003799796104E-3</v>
      </c>
      <c r="I383" s="65">
        <v>526566</v>
      </c>
      <c r="J383" s="65">
        <v>172115</v>
      </c>
      <c r="L383" s="65" t="s">
        <v>246</v>
      </c>
      <c r="M383" s="65" t="s">
        <v>27</v>
      </c>
      <c r="N383" s="69">
        <v>41477</v>
      </c>
      <c r="O383" s="69">
        <v>41533</v>
      </c>
      <c r="R383" s="65" t="s">
        <v>28</v>
      </c>
      <c r="U383" t="s">
        <v>405</v>
      </c>
      <c r="V383" t="s">
        <v>3348</v>
      </c>
      <c r="W383" s="65" t="s">
        <v>29</v>
      </c>
      <c r="X383" s="65" t="s">
        <v>29</v>
      </c>
      <c r="Y383" s="65" t="s">
        <v>22</v>
      </c>
      <c r="AA383" s="69">
        <v>41843</v>
      </c>
      <c r="AB383" s="69">
        <v>43190</v>
      </c>
      <c r="AD383" s="65" t="s">
        <v>23</v>
      </c>
      <c r="AE383" s="65" t="s">
        <v>24</v>
      </c>
      <c r="AH383" s="69">
        <f t="shared" si="18"/>
        <v>41843</v>
      </c>
      <c r="AI383" s="69">
        <f t="shared" si="19"/>
        <v>43190</v>
      </c>
      <c r="BO383" s="185" t="s">
        <v>3794</v>
      </c>
      <c r="BP383" s="185" t="s">
        <v>3794</v>
      </c>
      <c r="BQ383" s="185" t="s">
        <v>3794</v>
      </c>
      <c r="BW383" s="73"/>
      <c r="BY383" s="185" t="s">
        <v>3794</v>
      </c>
      <c r="CJ383" t="s">
        <v>25</v>
      </c>
      <c r="CK383" t="s">
        <v>25</v>
      </c>
      <c r="CL383" t="s">
        <v>25</v>
      </c>
      <c r="CM383" t="s">
        <v>25</v>
      </c>
      <c r="CN383" t="s">
        <v>25</v>
      </c>
      <c r="CO383" t="s">
        <v>25</v>
      </c>
      <c r="CP383" t="s">
        <v>25</v>
      </c>
      <c r="CQ383" t="s">
        <v>25</v>
      </c>
      <c r="CR383" t="s">
        <v>25</v>
      </c>
      <c r="CS383" t="s">
        <v>25</v>
      </c>
      <c r="CT383" t="s">
        <v>25</v>
      </c>
      <c r="CU383" t="s">
        <v>25</v>
      </c>
      <c r="CV383" t="s">
        <v>25</v>
      </c>
      <c r="CW383" t="s">
        <v>25</v>
      </c>
      <c r="CX383" t="s">
        <v>25</v>
      </c>
      <c r="CY383" t="s">
        <v>25</v>
      </c>
      <c r="CZ383" t="s">
        <v>25</v>
      </c>
      <c r="DA383" t="s">
        <v>25</v>
      </c>
      <c r="DB383" t="s">
        <v>25</v>
      </c>
      <c r="DC383" t="s">
        <v>25</v>
      </c>
      <c r="DD383" t="s">
        <v>25</v>
      </c>
      <c r="DE383" t="s">
        <v>25</v>
      </c>
      <c r="DF383" t="s">
        <v>25</v>
      </c>
      <c r="DG383" t="s">
        <v>25</v>
      </c>
      <c r="DH383" t="s">
        <v>25</v>
      </c>
      <c r="DI383" t="s">
        <v>25</v>
      </c>
      <c r="DJ383" s="76">
        <v>0</v>
      </c>
      <c r="DK383" s="73">
        <v>0</v>
      </c>
      <c r="DL383" s="73">
        <v>11</v>
      </c>
      <c r="DM383" s="73">
        <v>-11</v>
      </c>
      <c r="DU383"/>
      <c r="DZ383" s="73">
        <v>88</v>
      </c>
      <c r="EA383" s="73">
        <v>0</v>
      </c>
      <c r="EB383" s="73">
        <v>88</v>
      </c>
      <c r="EC383" s="65" t="s">
        <v>126</v>
      </c>
    </row>
    <row r="384" spans="1:133" ht="12" customHeight="1" x14ac:dyDescent="0.2">
      <c r="A384" t="s">
        <v>2935</v>
      </c>
      <c r="B384" t="s">
        <v>2948</v>
      </c>
      <c r="C384" t="str">
        <f t="shared" si="17"/>
        <v>Prior Approval</v>
      </c>
      <c r="E384" s="65">
        <v>5363</v>
      </c>
      <c r="F384" t="s">
        <v>1991</v>
      </c>
      <c r="G384" s="71" t="s">
        <v>2907</v>
      </c>
      <c r="H384" s="67">
        <v>7.9999998211860698E-2</v>
      </c>
      <c r="I384" s="65">
        <v>525417</v>
      </c>
      <c r="J384" s="65">
        <v>174604</v>
      </c>
      <c r="L384" s="65" t="s">
        <v>482</v>
      </c>
      <c r="M384" s="65" t="s">
        <v>244</v>
      </c>
      <c r="N384" s="69">
        <v>42173</v>
      </c>
      <c r="O384" s="69">
        <v>42263</v>
      </c>
      <c r="R384" s="65" t="s">
        <v>28</v>
      </c>
      <c r="U384" t="s">
        <v>447</v>
      </c>
      <c r="V384" t="s">
        <v>3349</v>
      </c>
      <c r="W384" s="65" t="s">
        <v>21</v>
      </c>
      <c r="X384" s="65" t="s">
        <v>21</v>
      </c>
      <c r="Y384" s="65" t="s">
        <v>30</v>
      </c>
      <c r="AA384" s="69">
        <v>42825</v>
      </c>
      <c r="AD384" s="65" t="s">
        <v>23</v>
      </c>
      <c r="AE384" s="65" t="s">
        <v>24</v>
      </c>
      <c r="AH384" s="69">
        <f t="shared" si="18"/>
        <v>42825</v>
      </c>
      <c r="BF384" s="73">
        <v>415</v>
      </c>
      <c r="BK384" s="73">
        <v>415</v>
      </c>
      <c r="BO384" s="185" t="s">
        <v>3794</v>
      </c>
      <c r="BP384" s="185" t="s">
        <v>126</v>
      </c>
      <c r="BQ384" s="185" t="s">
        <v>3794</v>
      </c>
      <c r="BW384" s="73"/>
      <c r="BX384" s="73">
        <v>-415</v>
      </c>
      <c r="BY384" s="185" t="s">
        <v>126</v>
      </c>
      <c r="CD384" s="73">
        <v>-415</v>
      </c>
      <c r="CE384" s="65" t="s">
        <v>126</v>
      </c>
      <c r="CJ384" t="s">
        <v>25</v>
      </c>
      <c r="CK384" t="s">
        <v>25</v>
      </c>
      <c r="CL384" t="s">
        <v>25</v>
      </c>
      <c r="CM384" t="s">
        <v>25</v>
      </c>
      <c r="CN384" t="s">
        <v>25</v>
      </c>
      <c r="CO384" t="s">
        <v>25</v>
      </c>
      <c r="CP384" t="s">
        <v>25</v>
      </c>
      <c r="CQ384" t="s">
        <v>25</v>
      </c>
      <c r="CR384" t="s">
        <v>25</v>
      </c>
      <c r="CS384" t="s">
        <v>25</v>
      </c>
      <c r="CT384" t="s">
        <v>25</v>
      </c>
      <c r="CU384" t="s">
        <v>25</v>
      </c>
      <c r="CV384" t="s">
        <v>25</v>
      </c>
      <c r="CW384" t="s">
        <v>25</v>
      </c>
      <c r="CX384" t="s">
        <v>25</v>
      </c>
      <c r="CY384" t="s">
        <v>25</v>
      </c>
      <c r="CZ384" t="s">
        <v>25</v>
      </c>
      <c r="DA384" t="s">
        <v>25</v>
      </c>
      <c r="DB384" t="s">
        <v>47</v>
      </c>
      <c r="DC384" t="s">
        <v>25</v>
      </c>
      <c r="DD384" t="s">
        <v>25</v>
      </c>
      <c r="DE384" t="s">
        <v>25</v>
      </c>
      <c r="DF384" t="s">
        <v>25</v>
      </c>
      <c r="DG384" t="s">
        <v>25</v>
      </c>
      <c r="DH384" t="s">
        <v>25</v>
      </c>
      <c r="DI384" t="s">
        <v>25</v>
      </c>
      <c r="DJ384" s="76">
        <v>3.7999998778104796E-2</v>
      </c>
      <c r="DK384" s="73">
        <v>0</v>
      </c>
      <c r="DL384" s="73">
        <v>415</v>
      </c>
      <c r="DM384" s="73">
        <v>-415</v>
      </c>
      <c r="DU384"/>
      <c r="DV384" s="65" t="s">
        <v>126</v>
      </c>
      <c r="DW384" t="s">
        <v>151</v>
      </c>
      <c r="DZ384" s="73">
        <v>415</v>
      </c>
      <c r="EA384" s="73">
        <v>0</v>
      </c>
      <c r="EB384" s="73">
        <v>415</v>
      </c>
      <c r="EC384" s="65" t="s">
        <v>126</v>
      </c>
    </row>
    <row r="385" spans="1:133" ht="12" customHeight="1" x14ac:dyDescent="0.2">
      <c r="A385" t="s">
        <v>2937</v>
      </c>
      <c r="B385" t="s">
        <v>2946</v>
      </c>
      <c r="C385" t="str">
        <f t="shared" si="17"/>
        <v>Full</v>
      </c>
      <c r="E385" s="65">
        <v>5363</v>
      </c>
      <c r="F385" t="s">
        <v>1991</v>
      </c>
      <c r="G385" s="71" t="s">
        <v>2907</v>
      </c>
      <c r="H385" s="67">
        <v>7.9999998211860698E-2</v>
      </c>
      <c r="I385" s="65">
        <v>525417</v>
      </c>
      <c r="J385" s="65">
        <v>174604</v>
      </c>
      <c r="L385" s="65" t="s">
        <v>604</v>
      </c>
      <c r="M385" s="65" t="s">
        <v>27</v>
      </c>
      <c r="N385" s="69">
        <v>42394</v>
      </c>
      <c r="O385" s="69">
        <v>42450</v>
      </c>
      <c r="R385" s="65" t="s">
        <v>28</v>
      </c>
      <c r="U385" t="s">
        <v>605</v>
      </c>
      <c r="V385" t="s">
        <v>3350</v>
      </c>
      <c r="W385" s="65" t="s">
        <v>21</v>
      </c>
      <c r="X385" s="65" t="s">
        <v>21</v>
      </c>
      <c r="Y385" s="65" t="s">
        <v>69</v>
      </c>
      <c r="AD385" s="65" t="s">
        <v>23</v>
      </c>
      <c r="AE385" s="65" t="s">
        <v>24</v>
      </c>
      <c r="AX385" s="73">
        <v>110</v>
      </c>
      <c r="AY385" s="73">
        <v>110</v>
      </c>
      <c r="BO385" s="185" t="s">
        <v>3794</v>
      </c>
      <c r="BP385" s="185" t="s">
        <v>3794</v>
      </c>
      <c r="BQ385" s="185" t="s">
        <v>126</v>
      </c>
      <c r="BW385" s="73"/>
      <c r="BY385" s="185" t="s">
        <v>3794</v>
      </c>
      <c r="CH385" s="73">
        <v>110</v>
      </c>
      <c r="CI385" s="73">
        <v>110</v>
      </c>
      <c r="CJ385" t="s">
        <v>25</v>
      </c>
      <c r="CK385" t="s">
        <v>25</v>
      </c>
      <c r="CL385" t="s">
        <v>25</v>
      </c>
      <c r="CM385" t="s">
        <v>25</v>
      </c>
      <c r="CN385" t="s">
        <v>25</v>
      </c>
      <c r="CO385" t="s">
        <v>25</v>
      </c>
      <c r="CP385" t="s">
        <v>25</v>
      </c>
      <c r="CQ385" t="s">
        <v>25</v>
      </c>
      <c r="CR385" t="s">
        <v>25</v>
      </c>
      <c r="CS385" t="s">
        <v>25</v>
      </c>
      <c r="CT385" t="s">
        <v>25</v>
      </c>
      <c r="CU385" t="s">
        <v>25</v>
      </c>
      <c r="CV385" t="s">
        <v>44</v>
      </c>
      <c r="CW385" t="s">
        <v>25</v>
      </c>
      <c r="CX385" t="s">
        <v>25</v>
      </c>
      <c r="CY385" t="s">
        <v>25</v>
      </c>
      <c r="CZ385" t="s">
        <v>25</v>
      </c>
      <c r="DA385" t="s">
        <v>25</v>
      </c>
      <c r="DB385" t="s">
        <v>25</v>
      </c>
      <c r="DC385" t="s">
        <v>25</v>
      </c>
      <c r="DD385" t="s">
        <v>25</v>
      </c>
      <c r="DE385" t="s">
        <v>25</v>
      </c>
      <c r="DF385" t="s">
        <v>25</v>
      </c>
      <c r="DG385" t="s">
        <v>25</v>
      </c>
      <c r="DH385" t="s">
        <v>25</v>
      </c>
      <c r="DI385" t="s">
        <v>25</v>
      </c>
      <c r="DJ385" s="76">
        <v>7.3999998159706634E-2</v>
      </c>
      <c r="DK385" s="73">
        <v>110</v>
      </c>
      <c r="DL385" s="73">
        <v>0</v>
      </c>
      <c r="DM385" s="73">
        <v>110</v>
      </c>
      <c r="DU385"/>
      <c r="DV385" s="65" t="s">
        <v>126</v>
      </c>
      <c r="DW385" t="s">
        <v>151</v>
      </c>
      <c r="DZ385" s="73">
        <v>298</v>
      </c>
      <c r="EA385" s="73">
        <v>408</v>
      </c>
      <c r="EB385" s="73">
        <v>-110</v>
      </c>
    </row>
    <row r="386" spans="1:133" ht="12" customHeight="1" x14ac:dyDescent="0.2">
      <c r="A386" t="s">
        <v>2937</v>
      </c>
      <c r="B386" t="s">
        <v>2946</v>
      </c>
      <c r="C386" t="str">
        <f t="shared" si="17"/>
        <v>Full</v>
      </c>
      <c r="E386" s="65">
        <v>5363</v>
      </c>
      <c r="F386" t="s">
        <v>1991</v>
      </c>
      <c r="G386" s="71" t="s">
        <v>2907</v>
      </c>
      <c r="H386" s="67">
        <v>7.9999998211860698E-2</v>
      </c>
      <c r="I386" s="65">
        <v>525417</v>
      </c>
      <c r="J386" s="65">
        <v>174604</v>
      </c>
      <c r="L386" s="65" t="s">
        <v>1277</v>
      </c>
      <c r="M386" s="65" t="s">
        <v>27</v>
      </c>
      <c r="N386" s="69">
        <v>42788</v>
      </c>
      <c r="O386" s="69">
        <v>42894</v>
      </c>
      <c r="P386" s="65" t="s">
        <v>126</v>
      </c>
      <c r="R386" s="65" t="s">
        <v>28</v>
      </c>
      <c r="U386" t="s">
        <v>1278</v>
      </c>
      <c r="V386" t="s">
        <v>3351</v>
      </c>
      <c r="W386" s="65" t="s">
        <v>21</v>
      </c>
      <c r="X386" s="65" t="s">
        <v>21</v>
      </c>
      <c r="Y386" s="65" t="s">
        <v>69</v>
      </c>
      <c r="AD386" s="65" t="s">
        <v>23</v>
      </c>
      <c r="AE386" s="65" t="s">
        <v>24</v>
      </c>
      <c r="AK386" s="73">
        <v>1274</v>
      </c>
      <c r="AO386" s="73">
        <v>1274</v>
      </c>
      <c r="AP386" s="73">
        <v>3228</v>
      </c>
      <c r="AS386" s="73">
        <v>3228</v>
      </c>
      <c r="AV386" s="73">
        <v>3228</v>
      </c>
      <c r="BF386" s="73">
        <v>4502</v>
      </c>
      <c r="BK386" s="73">
        <v>4502</v>
      </c>
      <c r="BO386" s="185" t="s">
        <v>126</v>
      </c>
      <c r="BP386" s="185" t="s">
        <v>126</v>
      </c>
      <c r="BQ386" s="185" t="s">
        <v>3794</v>
      </c>
      <c r="BS386" s="73">
        <v>1274</v>
      </c>
      <c r="BW386" s="73">
        <v>1274</v>
      </c>
      <c r="BX386" s="73">
        <v>-1274</v>
      </c>
      <c r="BY386" s="185" t="s">
        <v>126</v>
      </c>
      <c r="CD386" s="73">
        <v>-1274</v>
      </c>
      <c r="CE386" s="65" t="s">
        <v>126</v>
      </c>
      <c r="CJ386" t="s">
        <v>25</v>
      </c>
      <c r="CK386" t="s">
        <v>31</v>
      </c>
      <c r="CL386" t="s">
        <v>25</v>
      </c>
      <c r="CM386" t="s">
        <v>25</v>
      </c>
      <c r="CN386" t="s">
        <v>25</v>
      </c>
      <c r="CO386" t="s">
        <v>31</v>
      </c>
      <c r="CP386" t="s">
        <v>25</v>
      </c>
      <c r="CQ386" t="s">
        <v>25</v>
      </c>
      <c r="CR386" t="s">
        <v>25</v>
      </c>
      <c r="CS386" t="s">
        <v>25</v>
      </c>
      <c r="CT386" t="s">
        <v>25</v>
      </c>
      <c r="CU386" t="s">
        <v>25</v>
      </c>
      <c r="CV386" t="s">
        <v>25</v>
      </c>
      <c r="CW386" t="s">
        <v>25</v>
      </c>
      <c r="CX386" t="s">
        <v>25</v>
      </c>
      <c r="CY386" t="s">
        <v>25</v>
      </c>
      <c r="CZ386" t="s">
        <v>25</v>
      </c>
      <c r="DA386" t="s">
        <v>25</v>
      </c>
      <c r="DB386" t="s">
        <v>72</v>
      </c>
      <c r="DC386" t="s">
        <v>25</v>
      </c>
      <c r="DD386" t="s">
        <v>25</v>
      </c>
      <c r="DE386" t="s">
        <v>25</v>
      </c>
      <c r="DF386" t="s">
        <v>25</v>
      </c>
      <c r="DG386" t="s">
        <v>25</v>
      </c>
      <c r="DH386" t="s">
        <v>25</v>
      </c>
      <c r="DI386" t="s">
        <v>25</v>
      </c>
      <c r="DJ386" s="76">
        <v>7.9999998211860698E-2</v>
      </c>
      <c r="DK386" s="73">
        <v>4502</v>
      </c>
      <c r="DL386" s="73">
        <v>4502</v>
      </c>
      <c r="DM386" s="73">
        <v>0</v>
      </c>
      <c r="DU386"/>
      <c r="DV386" s="65" t="s">
        <v>126</v>
      </c>
      <c r="DW386" t="s">
        <v>151</v>
      </c>
      <c r="DZ386" s="73">
        <v>0</v>
      </c>
      <c r="EA386" s="73">
        <v>0</v>
      </c>
      <c r="EB386" s="73">
        <v>0</v>
      </c>
    </row>
    <row r="387" spans="1:133" ht="12" customHeight="1" x14ac:dyDescent="0.2">
      <c r="A387" t="s">
        <v>2935</v>
      </c>
      <c r="B387" t="s">
        <v>2946</v>
      </c>
      <c r="C387" t="str">
        <f t="shared" ref="C387:C450" si="20">RIGHT(B387,LEN(B387)-3)</f>
        <v>Full</v>
      </c>
      <c r="E387" s="65">
        <v>5376</v>
      </c>
      <c r="F387" t="s">
        <v>1992</v>
      </c>
      <c r="G387" s="71" t="s">
        <v>3941</v>
      </c>
      <c r="H387" s="67">
        <v>1.4000000432133701E-2</v>
      </c>
      <c r="I387" s="65">
        <v>528703</v>
      </c>
      <c r="J387" s="65">
        <v>173099</v>
      </c>
      <c r="L387" s="65" t="s">
        <v>248</v>
      </c>
      <c r="M387" s="65" t="s">
        <v>27</v>
      </c>
      <c r="N387" s="69">
        <v>41509</v>
      </c>
      <c r="O387" s="69">
        <v>41843</v>
      </c>
      <c r="R387" s="65" t="s">
        <v>28</v>
      </c>
      <c r="U387" t="s">
        <v>407</v>
      </c>
      <c r="V387" t="s">
        <v>3352</v>
      </c>
      <c r="W387" s="65" t="s">
        <v>29</v>
      </c>
      <c r="X387" s="65" t="s">
        <v>29</v>
      </c>
      <c r="Y387" s="65" t="s">
        <v>30</v>
      </c>
      <c r="AA387" s="69">
        <v>42552</v>
      </c>
      <c r="AD387" s="65" t="s">
        <v>23</v>
      </c>
      <c r="AE387" s="65" t="s">
        <v>24</v>
      </c>
      <c r="AH387" s="69">
        <f t="shared" si="18"/>
        <v>42552</v>
      </c>
      <c r="AJ387" s="73">
        <v>52</v>
      </c>
      <c r="AO387" s="73">
        <v>52</v>
      </c>
      <c r="BO387" s="185" t="s">
        <v>126</v>
      </c>
      <c r="BP387" s="185" t="s">
        <v>3794</v>
      </c>
      <c r="BQ387" s="185" t="s">
        <v>3794</v>
      </c>
      <c r="BR387" s="73">
        <v>52</v>
      </c>
      <c r="BW387" s="73">
        <v>52</v>
      </c>
      <c r="BY387" s="185" t="s">
        <v>3794</v>
      </c>
      <c r="CJ387" t="s">
        <v>31</v>
      </c>
      <c r="CK387" t="s">
        <v>25</v>
      </c>
      <c r="CL387" t="s">
        <v>25</v>
      </c>
      <c r="CM387" t="s">
        <v>25</v>
      </c>
      <c r="CN387" t="s">
        <v>25</v>
      </c>
      <c r="CO387" t="s">
        <v>25</v>
      </c>
      <c r="CP387" t="s">
        <v>25</v>
      </c>
      <c r="CQ387" t="s">
        <v>25</v>
      </c>
      <c r="CR387" t="s">
        <v>25</v>
      </c>
      <c r="CS387" t="s">
        <v>25</v>
      </c>
      <c r="CT387" t="s">
        <v>25</v>
      </c>
      <c r="CU387" t="s">
        <v>25</v>
      </c>
      <c r="CV387" t="s">
        <v>25</v>
      </c>
      <c r="CW387" t="s">
        <v>25</v>
      </c>
      <c r="CX387" t="s">
        <v>25</v>
      </c>
      <c r="CY387" t="s">
        <v>25</v>
      </c>
      <c r="CZ387" t="s">
        <v>25</v>
      </c>
      <c r="DA387" t="s">
        <v>25</v>
      </c>
      <c r="DB387" t="s">
        <v>25</v>
      </c>
      <c r="DC387" t="s">
        <v>25</v>
      </c>
      <c r="DD387" t="s">
        <v>25</v>
      </c>
      <c r="DE387" t="s">
        <v>25</v>
      </c>
      <c r="DF387" t="s">
        <v>25</v>
      </c>
      <c r="DG387" t="s">
        <v>25</v>
      </c>
      <c r="DH387" t="s">
        <v>25</v>
      </c>
      <c r="DI387" t="s">
        <v>25</v>
      </c>
      <c r="DJ387" s="76">
        <v>5.0000008195638899E-3</v>
      </c>
      <c r="DK387" s="73">
        <v>52</v>
      </c>
      <c r="DL387" s="73">
        <v>0</v>
      </c>
      <c r="DM387" s="73">
        <v>52</v>
      </c>
      <c r="DU387"/>
      <c r="DZ387" s="73">
        <v>74</v>
      </c>
      <c r="EA387" s="73">
        <v>0</v>
      </c>
      <c r="EB387" s="73">
        <v>74</v>
      </c>
      <c r="EC387" s="65" t="s">
        <v>126</v>
      </c>
    </row>
    <row r="388" spans="1:133" ht="12" customHeight="1" x14ac:dyDescent="0.2">
      <c r="A388" t="s">
        <v>2935</v>
      </c>
      <c r="B388" t="s">
        <v>2946</v>
      </c>
      <c r="C388" t="str">
        <f t="shared" si="20"/>
        <v>Full</v>
      </c>
      <c r="E388" s="65">
        <v>5377</v>
      </c>
      <c r="F388" t="s">
        <v>1993</v>
      </c>
      <c r="G388" s="71" t="s">
        <v>3952</v>
      </c>
      <c r="H388" s="67">
        <v>1.09999999403954E-2</v>
      </c>
      <c r="I388" s="65">
        <v>528146</v>
      </c>
      <c r="J388" s="65">
        <v>172290</v>
      </c>
      <c r="L388" s="65" t="s">
        <v>995</v>
      </c>
      <c r="M388" s="65" t="s">
        <v>27</v>
      </c>
      <c r="N388" s="69">
        <v>42587</v>
      </c>
      <c r="O388" s="69">
        <v>42667</v>
      </c>
      <c r="R388" s="65" t="s">
        <v>28</v>
      </c>
      <c r="U388" t="s">
        <v>996</v>
      </c>
      <c r="V388" t="s">
        <v>3353</v>
      </c>
      <c r="W388" s="65" t="s">
        <v>34</v>
      </c>
      <c r="X388" s="65" t="s">
        <v>29</v>
      </c>
      <c r="Y388" s="65" t="s">
        <v>30</v>
      </c>
      <c r="AA388" s="69">
        <v>43190</v>
      </c>
      <c r="AD388" s="65" t="s">
        <v>23</v>
      </c>
      <c r="AE388" s="65" t="s">
        <v>24</v>
      </c>
      <c r="AH388" s="69">
        <f t="shared" si="18"/>
        <v>43190</v>
      </c>
      <c r="AK388" s="73">
        <v>97</v>
      </c>
      <c r="AO388" s="73">
        <v>97</v>
      </c>
      <c r="BA388" s="73">
        <v>41</v>
      </c>
      <c r="BE388" s="73">
        <v>41</v>
      </c>
      <c r="BO388" s="185" t="s">
        <v>126</v>
      </c>
      <c r="BP388" s="185" t="s">
        <v>3794</v>
      </c>
      <c r="BQ388" s="185" t="s">
        <v>3794</v>
      </c>
      <c r="BS388" s="73">
        <v>56</v>
      </c>
      <c r="BW388" s="73">
        <v>56</v>
      </c>
      <c r="BY388" s="185" t="s">
        <v>3794</v>
      </c>
      <c r="CJ388" t="s">
        <v>25</v>
      </c>
      <c r="CK388" t="s">
        <v>64</v>
      </c>
      <c r="CL388" t="s">
        <v>25</v>
      </c>
      <c r="CM388" t="s">
        <v>25</v>
      </c>
      <c r="CN388" t="s">
        <v>25</v>
      </c>
      <c r="CO388" t="s">
        <v>25</v>
      </c>
      <c r="CP388" t="s">
        <v>25</v>
      </c>
      <c r="CQ388" t="s">
        <v>25</v>
      </c>
      <c r="CR388" t="s">
        <v>25</v>
      </c>
      <c r="CS388" t="s">
        <v>25</v>
      </c>
      <c r="CT388" t="s">
        <v>25</v>
      </c>
      <c r="CU388" t="s">
        <v>25</v>
      </c>
      <c r="CV388" t="s">
        <v>25</v>
      </c>
      <c r="CW388" t="s">
        <v>25</v>
      </c>
      <c r="CX388" t="s">
        <v>64</v>
      </c>
      <c r="CY388" t="s">
        <v>25</v>
      </c>
      <c r="CZ388" t="s">
        <v>25</v>
      </c>
      <c r="DA388" t="s">
        <v>25</v>
      </c>
      <c r="DB388" t="s">
        <v>25</v>
      </c>
      <c r="DC388" t="s">
        <v>25</v>
      </c>
      <c r="DD388" t="s">
        <v>25</v>
      </c>
      <c r="DE388" t="s">
        <v>25</v>
      </c>
      <c r="DF388" t="s">
        <v>25</v>
      </c>
      <c r="DG388" t="s">
        <v>25</v>
      </c>
      <c r="DH388" t="s">
        <v>25</v>
      </c>
      <c r="DI388" t="s">
        <v>25</v>
      </c>
      <c r="DJ388" s="76">
        <v>3.9999997243285604E-3</v>
      </c>
      <c r="DK388" s="73">
        <v>97</v>
      </c>
      <c r="DL388" s="73">
        <v>41</v>
      </c>
      <c r="DM388" s="73">
        <v>56</v>
      </c>
      <c r="DU388"/>
      <c r="DZ388" s="73">
        <v>203</v>
      </c>
      <c r="EA388" s="73">
        <v>117</v>
      </c>
      <c r="EB388" s="73">
        <v>86</v>
      </c>
      <c r="EC388" s="65" t="s">
        <v>126</v>
      </c>
    </row>
    <row r="389" spans="1:133" ht="12" customHeight="1" x14ac:dyDescent="0.2">
      <c r="A389" t="s">
        <v>2936</v>
      </c>
      <c r="B389" t="s">
        <v>2946</v>
      </c>
      <c r="C389" t="str">
        <f t="shared" si="20"/>
        <v>Full</v>
      </c>
      <c r="D389" t="s">
        <v>2943</v>
      </c>
      <c r="E389" s="65">
        <v>5380</v>
      </c>
      <c r="F389" t="s">
        <v>1994</v>
      </c>
      <c r="G389" s="71" t="s">
        <v>3946</v>
      </c>
      <c r="H389" s="67">
        <v>1.09999999403954E-2</v>
      </c>
      <c r="I389" s="65">
        <v>523621</v>
      </c>
      <c r="J389" s="65">
        <v>175794</v>
      </c>
      <c r="L389" s="65" t="s">
        <v>832</v>
      </c>
      <c r="M389" s="65" t="s">
        <v>27</v>
      </c>
      <c r="N389" s="69">
        <v>42461</v>
      </c>
      <c r="O389" s="69">
        <v>42517</v>
      </c>
      <c r="R389" s="65" t="s">
        <v>28</v>
      </c>
      <c r="U389" t="s">
        <v>833</v>
      </c>
      <c r="V389" t="s">
        <v>3354</v>
      </c>
      <c r="W389" s="65" t="s">
        <v>34</v>
      </c>
      <c r="X389" s="65" t="s">
        <v>29</v>
      </c>
      <c r="Y389" s="65" t="s">
        <v>35</v>
      </c>
      <c r="AA389" s="69">
        <v>42678</v>
      </c>
      <c r="AB389" s="69">
        <v>42969</v>
      </c>
      <c r="AC389" s="69">
        <v>42969</v>
      </c>
      <c r="AD389" s="65" t="s">
        <v>23</v>
      </c>
      <c r="AE389" s="65" t="s">
        <v>24</v>
      </c>
      <c r="AH389" s="69">
        <f t="shared" si="18"/>
        <v>42678</v>
      </c>
      <c r="AI389" s="69">
        <f t="shared" si="19"/>
        <v>42969</v>
      </c>
      <c r="AK389" s="73">
        <v>46</v>
      </c>
      <c r="AO389" s="73">
        <v>46</v>
      </c>
      <c r="AZ389" s="73">
        <v>92</v>
      </c>
      <c r="BE389" s="73">
        <v>92</v>
      </c>
      <c r="BO389" s="185" t="s">
        <v>126</v>
      </c>
      <c r="BP389" s="185" t="s">
        <v>3794</v>
      </c>
      <c r="BQ389" s="185" t="s">
        <v>3794</v>
      </c>
      <c r="BR389" s="73">
        <v>-92</v>
      </c>
      <c r="BS389" s="73">
        <v>46</v>
      </c>
      <c r="BW389" s="73">
        <v>-46</v>
      </c>
      <c r="BY389" s="185" t="s">
        <v>3794</v>
      </c>
      <c r="CJ389" t="s">
        <v>25</v>
      </c>
      <c r="CK389" t="s">
        <v>31</v>
      </c>
      <c r="CL389" t="s">
        <v>25</v>
      </c>
      <c r="CM389" t="s">
        <v>25</v>
      </c>
      <c r="CN389" t="s">
        <v>25</v>
      </c>
      <c r="CO389" t="s">
        <v>25</v>
      </c>
      <c r="CP389" t="s">
        <v>25</v>
      </c>
      <c r="CQ389" t="s">
        <v>25</v>
      </c>
      <c r="CR389" t="s">
        <v>25</v>
      </c>
      <c r="CS389" t="s">
        <v>25</v>
      </c>
      <c r="CT389" t="s">
        <v>25</v>
      </c>
      <c r="CU389" t="s">
        <v>25</v>
      </c>
      <c r="CV389" t="s">
        <v>25</v>
      </c>
      <c r="CW389" t="s">
        <v>47</v>
      </c>
      <c r="CX389" t="s">
        <v>25</v>
      </c>
      <c r="CY389" t="s">
        <v>25</v>
      </c>
      <c r="CZ389" t="s">
        <v>25</v>
      </c>
      <c r="DA389" t="s">
        <v>25</v>
      </c>
      <c r="DB389" t="s">
        <v>25</v>
      </c>
      <c r="DC389" t="s">
        <v>25</v>
      </c>
      <c r="DD389" t="s">
        <v>25</v>
      </c>
      <c r="DE389" t="s">
        <v>25</v>
      </c>
      <c r="DF389" t="s">
        <v>25</v>
      </c>
      <c r="DG389" t="s">
        <v>25</v>
      </c>
      <c r="DH389" t="s">
        <v>25</v>
      </c>
      <c r="DI389" t="s">
        <v>25</v>
      </c>
      <c r="DJ389" s="76">
        <v>6.0000000521541101E-3</v>
      </c>
      <c r="DK389" s="73">
        <v>46</v>
      </c>
      <c r="DL389" s="73">
        <v>92</v>
      </c>
      <c r="DM389" s="73">
        <v>-46</v>
      </c>
      <c r="DU389"/>
      <c r="DZ389" s="73">
        <v>68</v>
      </c>
      <c r="EA389" s="73">
        <v>0</v>
      </c>
      <c r="EB389" s="73">
        <v>68</v>
      </c>
      <c r="EC389" s="65" t="s">
        <v>126</v>
      </c>
    </row>
    <row r="390" spans="1:133" ht="12" customHeight="1" x14ac:dyDescent="0.2">
      <c r="A390" t="s">
        <v>2937</v>
      </c>
      <c r="B390" t="s">
        <v>2946</v>
      </c>
      <c r="C390" t="str">
        <f t="shared" si="20"/>
        <v>Full</v>
      </c>
      <c r="E390" s="65">
        <v>5381</v>
      </c>
      <c r="F390" t="s">
        <v>1995</v>
      </c>
      <c r="G390" s="71" t="s">
        <v>3943</v>
      </c>
      <c r="H390" s="67">
        <v>9.4999998807907104E-2</v>
      </c>
      <c r="I390" s="65">
        <v>526820</v>
      </c>
      <c r="J390" s="65">
        <v>176155</v>
      </c>
      <c r="K390" s="65" t="s">
        <v>1996</v>
      </c>
      <c r="L390" s="65" t="s">
        <v>543</v>
      </c>
      <c r="M390" s="65" t="s">
        <v>33</v>
      </c>
      <c r="N390" s="69">
        <v>42261</v>
      </c>
      <c r="O390" s="69">
        <v>42717</v>
      </c>
      <c r="Q390" s="69">
        <v>42353</v>
      </c>
      <c r="R390" s="65" t="s">
        <v>28</v>
      </c>
      <c r="U390" t="s">
        <v>769</v>
      </c>
      <c r="V390" t="s">
        <v>3355</v>
      </c>
      <c r="W390" s="65" t="s">
        <v>29</v>
      </c>
      <c r="X390" s="65" t="s">
        <v>29</v>
      </c>
      <c r="Y390" s="65" t="s">
        <v>59</v>
      </c>
      <c r="AD390" s="65" t="s">
        <v>23</v>
      </c>
      <c r="AE390" s="65" t="s">
        <v>24</v>
      </c>
      <c r="AL390" s="73">
        <v>26</v>
      </c>
      <c r="AM390" s="73">
        <v>285</v>
      </c>
      <c r="AO390" s="73">
        <v>311</v>
      </c>
      <c r="BC390" s="73">
        <v>313</v>
      </c>
      <c r="BE390" s="73">
        <v>313</v>
      </c>
      <c r="BO390" s="185" t="s">
        <v>126</v>
      </c>
      <c r="BP390" s="185" t="s">
        <v>3794</v>
      </c>
      <c r="BQ390" s="185" t="s">
        <v>3794</v>
      </c>
      <c r="BT390" s="73">
        <v>26</v>
      </c>
      <c r="BU390" s="73">
        <v>-28</v>
      </c>
      <c r="BW390" s="73">
        <v>-2</v>
      </c>
      <c r="BY390" s="185" t="s">
        <v>3794</v>
      </c>
      <c r="CJ390" t="s">
        <v>25</v>
      </c>
      <c r="CK390" t="s">
        <v>25</v>
      </c>
      <c r="CL390" t="s">
        <v>38</v>
      </c>
      <c r="CM390" t="s">
        <v>71</v>
      </c>
      <c r="CN390" t="s">
        <v>25</v>
      </c>
      <c r="CO390" t="s">
        <v>25</v>
      </c>
      <c r="CP390" t="s">
        <v>25</v>
      </c>
      <c r="CQ390" t="s">
        <v>25</v>
      </c>
      <c r="CR390" t="s">
        <v>25</v>
      </c>
      <c r="CS390" t="s">
        <v>25</v>
      </c>
      <c r="CT390" t="s">
        <v>25</v>
      </c>
      <c r="CU390" t="s">
        <v>25</v>
      </c>
      <c r="CV390" t="s">
        <v>25</v>
      </c>
      <c r="CW390" t="s">
        <v>25</v>
      </c>
      <c r="CX390" t="s">
        <v>25</v>
      </c>
      <c r="CY390" t="s">
        <v>25</v>
      </c>
      <c r="CZ390" t="s">
        <v>47</v>
      </c>
      <c r="DA390" t="s">
        <v>25</v>
      </c>
      <c r="DB390" t="s">
        <v>25</v>
      </c>
      <c r="DC390" t="s">
        <v>25</v>
      </c>
      <c r="DD390" t="s">
        <v>25</v>
      </c>
      <c r="DE390" t="s">
        <v>25</v>
      </c>
      <c r="DF390" t="s">
        <v>25</v>
      </c>
      <c r="DG390" t="s">
        <v>25</v>
      </c>
      <c r="DH390" t="s">
        <v>25</v>
      </c>
      <c r="DI390" t="s">
        <v>25</v>
      </c>
      <c r="DJ390" s="76">
        <v>1.6999999992549406E-2</v>
      </c>
      <c r="DK390" s="73">
        <v>311</v>
      </c>
      <c r="DL390" s="73">
        <v>313</v>
      </c>
      <c r="DM390" s="73">
        <v>-2</v>
      </c>
      <c r="DU390"/>
      <c r="DZ390" s="73">
        <v>2532</v>
      </c>
      <c r="EA390" s="73">
        <v>110</v>
      </c>
      <c r="EB390" s="73">
        <v>2422</v>
      </c>
      <c r="EC390" s="65" t="s">
        <v>126</v>
      </c>
    </row>
    <row r="391" spans="1:133" ht="12" customHeight="1" x14ac:dyDescent="0.2">
      <c r="A391" t="s">
        <v>2935</v>
      </c>
      <c r="B391" t="s">
        <v>2946</v>
      </c>
      <c r="C391" t="str">
        <f t="shared" si="20"/>
        <v>Full</v>
      </c>
      <c r="E391" s="65">
        <v>5410</v>
      </c>
      <c r="F391" t="s">
        <v>1997</v>
      </c>
      <c r="G391" s="71" t="s">
        <v>3939</v>
      </c>
      <c r="H391" s="67">
        <v>5.6000001728534698E-2</v>
      </c>
      <c r="I391" s="65">
        <v>524095</v>
      </c>
      <c r="J391" s="65">
        <v>173645</v>
      </c>
      <c r="L391" s="65" t="s">
        <v>1998</v>
      </c>
      <c r="M391" s="65" t="s">
        <v>33</v>
      </c>
      <c r="N391" s="69">
        <v>42852</v>
      </c>
      <c r="O391" s="69">
        <v>43126</v>
      </c>
      <c r="P391" s="65" t="s">
        <v>126</v>
      </c>
      <c r="Q391" s="69">
        <v>42936</v>
      </c>
      <c r="R391" s="65" t="s">
        <v>28</v>
      </c>
      <c r="U391" t="s">
        <v>1999</v>
      </c>
      <c r="V391" t="s">
        <v>3356</v>
      </c>
      <c r="W391" s="65" t="s">
        <v>29</v>
      </c>
      <c r="X391" s="65" t="s">
        <v>29</v>
      </c>
      <c r="Y391" s="65" t="s">
        <v>30</v>
      </c>
      <c r="Z391" s="69">
        <v>42826</v>
      </c>
      <c r="AA391" s="69">
        <v>43126</v>
      </c>
      <c r="AD391" s="65" t="s">
        <v>23</v>
      </c>
      <c r="AE391" s="65" t="s">
        <v>24</v>
      </c>
      <c r="AH391" s="69">
        <f t="shared" si="18"/>
        <v>43126</v>
      </c>
      <c r="AJ391" s="73">
        <v>597</v>
      </c>
      <c r="AO391" s="73">
        <v>597</v>
      </c>
      <c r="AZ391" s="73">
        <v>500</v>
      </c>
      <c r="BE391" s="73">
        <v>500</v>
      </c>
      <c r="BO391" s="185" t="s">
        <v>126</v>
      </c>
      <c r="BP391" s="185" t="s">
        <v>3794</v>
      </c>
      <c r="BQ391" s="185" t="s">
        <v>3794</v>
      </c>
      <c r="BR391" s="73">
        <v>97</v>
      </c>
      <c r="BW391" s="73">
        <v>97</v>
      </c>
      <c r="BY391" s="185" t="s">
        <v>3794</v>
      </c>
      <c r="CJ391" t="s">
        <v>31</v>
      </c>
      <c r="CK391" t="s">
        <v>25</v>
      </c>
      <c r="CL391" t="s">
        <v>25</v>
      </c>
      <c r="CM391" t="s">
        <v>25</v>
      </c>
      <c r="CN391" t="s">
        <v>25</v>
      </c>
      <c r="CO391" t="s">
        <v>25</v>
      </c>
      <c r="CP391" t="s">
        <v>25</v>
      </c>
      <c r="CQ391" t="s">
        <v>25</v>
      </c>
      <c r="CR391" t="s">
        <v>25</v>
      </c>
      <c r="CS391" t="s">
        <v>25</v>
      </c>
      <c r="CT391" t="s">
        <v>25</v>
      </c>
      <c r="CU391" t="s">
        <v>25</v>
      </c>
      <c r="CV391" t="s">
        <v>25</v>
      </c>
      <c r="CW391" t="s">
        <v>47</v>
      </c>
      <c r="CX391" t="s">
        <v>25</v>
      </c>
      <c r="CY391" t="s">
        <v>25</v>
      </c>
      <c r="CZ391" t="s">
        <v>25</v>
      </c>
      <c r="DA391" t="s">
        <v>25</v>
      </c>
      <c r="DB391" t="s">
        <v>25</v>
      </c>
      <c r="DC391" t="s">
        <v>25</v>
      </c>
      <c r="DD391" t="s">
        <v>25</v>
      </c>
      <c r="DE391" t="s">
        <v>25</v>
      </c>
      <c r="DF391" t="s">
        <v>25</v>
      </c>
      <c r="DG391" t="s">
        <v>25</v>
      </c>
      <c r="DH391" t="s">
        <v>25</v>
      </c>
      <c r="DI391" t="s">
        <v>25</v>
      </c>
      <c r="DJ391" s="76">
        <v>9.0000033378601005E-3</v>
      </c>
      <c r="DK391" s="73">
        <v>597</v>
      </c>
      <c r="DL391" s="73">
        <v>500</v>
      </c>
      <c r="DM391" s="73">
        <v>97</v>
      </c>
      <c r="DU391"/>
      <c r="DZ391" s="73">
        <v>3229</v>
      </c>
      <c r="EA391" s="73">
        <v>0</v>
      </c>
      <c r="EB391" s="73">
        <v>3229</v>
      </c>
      <c r="EC391" s="65" t="s">
        <v>126</v>
      </c>
    </row>
    <row r="392" spans="1:133" ht="12" customHeight="1" x14ac:dyDescent="0.2">
      <c r="A392" t="s">
        <v>2936</v>
      </c>
      <c r="B392" t="s">
        <v>2946</v>
      </c>
      <c r="C392" t="str">
        <f t="shared" si="20"/>
        <v>Full</v>
      </c>
      <c r="D392" t="s">
        <v>2942</v>
      </c>
      <c r="E392" s="65">
        <v>5420</v>
      </c>
      <c r="F392" t="s">
        <v>2000</v>
      </c>
      <c r="G392" s="71" t="s">
        <v>150</v>
      </c>
      <c r="H392" s="67">
        <v>0.10199999809265101</v>
      </c>
      <c r="I392" s="65">
        <v>527461</v>
      </c>
      <c r="J392" s="65">
        <v>171563</v>
      </c>
      <c r="L392" s="65" t="s">
        <v>254</v>
      </c>
      <c r="M392" s="65" t="s">
        <v>33</v>
      </c>
      <c r="N392" s="69">
        <v>41596</v>
      </c>
      <c r="O392" s="69">
        <v>41883</v>
      </c>
      <c r="Q392" s="69">
        <v>41743</v>
      </c>
      <c r="R392" s="65" t="s">
        <v>28</v>
      </c>
      <c r="U392" t="s">
        <v>689</v>
      </c>
      <c r="V392" t="s">
        <v>3357</v>
      </c>
      <c r="W392" s="65" t="s">
        <v>34</v>
      </c>
      <c r="X392" s="65" t="s">
        <v>29</v>
      </c>
      <c r="Y392" s="65" t="s">
        <v>22</v>
      </c>
      <c r="AA392" s="69">
        <v>42185</v>
      </c>
      <c r="AB392" s="69">
        <v>43066</v>
      </c>
      <c r="AD392" s="65" t="s">
        <v>23</v>
      </c>
      <c r="AE392" s="65" t="s">
        <v>24</v>
      </c>
      <c r="AH392" s="69">
        <f t="shared" si="18"/>
        <v>42185</v>
      </c>
      <c r="AI392" s="69">
        <f t="shared" si="19"/>
        <v>43066</v>
      </c>
      <c r="AJ392" s="73">
        <v>326</v>
      </c>
      <c r="AL392" s="73">
        <v>326</v>
      </c>
      <c r="AO392" s="73">
        <v>652</v>
      </c>
      <c r="BF392" s="73">
        <v>980</v>
      </c>
      <c r="BK392" s="73">
        <v>980</v>
      </c>
      <c r="BO392" s="185" t="s">
        <v>126</v>
      </c>
      <c r="BP392" s="185" t="s">
        <v>126</v>
      </c>
      <c r="BQ392" s="185" t="s">
        <v>3794</v>
      </c>
      <c r="BR392" s="73">
        <v>326</v>
      </c>
      <c r="BT392" s="73">
        <v>326</v>
      </c>
      <c r="BW392" s="73">
        <v>652</v>
      </c>
      <c r="BX392" s="73">
        <v>-980</v>
      </c>
      <c r="BY392" s="185" t="s">
        <v>126</v>
      </c>
      <c r="CD392" s="73">
        <v>-980</v>
      </c>
      <c r="CE392" s="65" t="s">
        <v>126</v>
      </c>
      <c r="CJ392" t="s">
        <v>31</v>
      </c>
      <c r="CK392" t="s">
        <v>25</v>
      </c>
      <c r="CL392" t="s">
        <v>38</v>
      </c>
      <c r="CM392" t="s">
        <v>25</v>
      </c>
      <c r="CN392" t="s">
        <v>25</v>
      </c>
      <c r="CO392" t="s">
        <v>25</v>
      </c>
      <c r="CP392" t="s">
        <v>25</v>
      </c>
      <c r="CQ392" t="s">
        <v>25</v>
      </c>
      <c r="CR392" t="s">
        <v>25</v>
      </c>
      <c r="CS392" t="s">
        <v>25</v>
      </c>
      <c r="CT392" t="s">
        <v>25</v>
      </c>
      <c r="CU392" t="s">
        <v>25</v>
      </c>
      <c r="CV392" t="s">
        <v>25</v>
      </c>
      <c r="CW392" t="s">
        <v>25</v>
      </c>
      <c r="CX392" t="s">
        <v>25</v>
      </c>
      <c r="CY392" t="s">
        <v>25</v>
      </c>
      <c r="CZ392" t="s">
        <v>25</v>
      </c>
      <c r="DA392" t="s">
        <v>25</v>
      </c>
      <c r="DB392" t="s">
        <v>47</v>
      </c>
      <c r="DC392" t="s">
        <v>25</v>
      </c>
      <c r="DD392" t="s">
        <v>25</v>
      </c>
      <c r="DE392" t="s">
        <v>25</v>
      </c>
      <c r="DF392" t="s">
        <v>25</v>
      </c>
      <c r="DG392" t="s">
        <v>25</v>
      </c>
      <c r="DH392" t="s">
        <v>25</v>
      </c>
      <c r="DI392" t="s">
        <v>25</v>
      </c>
      <c r="DJ392" s="76">
        <v>1.5000000596046101E-2</v>
      </c>
      <c r="DK392" s="73">
        <v>652</v>
      </c>
      <c r="DL392" s="73">
        <v>980</v>
      </c>
      <c r="DM392" s="73">
        <v>-328</v>
      </c>
      <c r="DU392"/>
      <c r="DV392" s="65" t="s">
        <v>126</v>
      </c>
      <c r="DW392" t="s">
        <v>150</v>
      </c>
      <c r="DZ392" s="73">
        <v>870</v>
      </c>
      <c r="EA392" s="73">
        <v>0</v>
      </c>
      <c r="EB392" s="73">
        <v>870</v>
      </c>
      <c r="EC392" s="65" t="s">
        <v>126</v>
      </c>
    </row>
    <row r="393" spans="1:133" ht="12" customHeight="1" x14ac:dyDescent="0.2">
      <c r="A393" t="s">
        <v>2935</v>
      </c>
      <c r="B393" t="s">
        <v>2946</v>
      </c>
      <c r="C393" t="str">
        <f t="shared" si="20"/>
        <v>Full</v>
      </c>
      <c r="E393" s="65">
        <v>5442</v>
      </c>
      <c r="F393" t="s">
        <v>2002</v>
      </c>
      <c r="G393" s="71" t="s">
        <v>2907</v>
      </c>
      <c r="H393" s="67">
        <v>4.0000001899898104E-3</v>
      </c>
      <c r="I393" s="65">
        <v>525614</v>
      </c>
      <c r="J393" s="65">
        <v>172864</v>
      </c>
      <c r="L393" s="65" t="s">
        <v>169</v>
      </c>
      <c r="M393" s="65" t="s">
        <v>27</v>
      </c>
      <c r="N393" s="69">
        <v>41470</v>
      </c>
      <c r="O393" s="69">
        <v>41558</v>
      </c>
      <c r="R393" s="65" t="s">
        <v>28</v>
      </c>
      <c r="U393" t="s">
        <v>408</v>
      </c>
      <c r="V393" t="s">
        <v>3358</v>
      </c>
      <c r="W393" s="65" t="s">
        <v>29</v>
      </c>
      <c r="X393" s="65" t="s">
        <v>29</v>
      </c>
      <c r="Y393" s="65" t="s">
        <v>30</v>
      </c>
      <c r="Z393" s="69">
        <v>41729</v>
      </c>
      <c r="AA393" s="69">
        <v>41729</v>
      </c>
      <c r="AD393" s="65" t="s">
        <v>23</v>
      </c>
      <c r="AE393" s="65" t="s">
        <v>24</v>
      </c>
      <c r="AH393" s="69">
        <f t="shared" si="18"/>
        <v>41729</v>
      </c>
      <c r="BJ393" s="73">
        <v>35</v>
      </c>
      <c r="BK393" s="73">
        <v>35</v>
      </c>
      <c r="BO393" s="185" t="s">
        <v>3794</v>
      </c>
      <c r="BP393" s="185" t="s">
        <v>126</v>
      </c>
      <c r="BQ393" s="185" t="s">
        <v>3794</v>
      </c>
      <c r="BW393" s="73"/>
      <c r="BY393" s="185" t="s">
        <v>3794</v>
      </c>
      <c r="CC393" s="73">
        <v>-35</v>
      </c>
      <c r="CD393" s="73">
        <v>-35</v>
      </c>
      <c r="CE393" s="65" t="s">
        <v>126</v>
      </c>
      <c r="CJ393" t="s">
        <v>25</v>
      </c>
      <c r="CK393" t="s">
        <v>25</v>
      </c>
      <c r="CL393" t="s">
        <v>25</v>
      </c>
      <c r="CM393" t="s">
        <v>25</v>
      </c>
      <c r="CN393" t="s">
        <v>25</v>
      </c>
      <c r="CO393" t="s">
        <v>25</v>
      </c>
      <c r="CP393" t="s">
        <v>25</v>
      </c>
      <c r="CQ393" t="s">
        <v>25</v>
      </c>
      <c r="CR393" t="s">
        <v>25</v>
      </c>
      <c r="CS393" t="s">
        <v>25</v>
      </c>
      <c r="CT393" t="s">
        <v>25</v>
      </c>
      <c r="CU393" t="s">
        <v>25</v>
      </c>
      <c r="CV393" t="s">
        <v>25</v>
      </c>
      <c r="CW393" t="s">
        <v>25</v>
      </c>
      <c r="CX393" t="s">
        <v>25</v>
      </c>
      <c r="CY393" t="s">
        <v>25</v>
      </c>
      <c r="CZ393" t="s">
        <v>25</v>
      </c>
      <c r="DA393" t="s">
        <v>25</v>
      </c>
      <c r="DB393" t="s">
        <v>25</v>
      </c>
      <c r="DC393" t="s">
        <v>25</v>
      </c>
      <c r="DD393" t="s">
        <v>25</v>
      </c>
      <c r="DE393" t="s">
        <v>25</v>
      </c>
      <c r="DF393" t="s">
        <v>31</v>
      </c>
      <c r="DG393" t="s">
        <v>25</v>
      </c>
      <c r="DH393" t="s">
        <v>25</v>
      </c>
      <c r="DI393" t="s">
        <v>25</v>
      </c>
      <c r="DJ393" s="76">
        <v>0</v>
      </c>
      <c r="DK393" s="73">
        <v>0</v>
      </c>
      <c r="DL393" s="73">
        <v>35</v>
      </c>
      <c r="DM393" s="73">
        <v>-35</v>
      </c>
      <c r="DU393"/>
      <c r="DZ393" s="73">
        <v>57</v>
      </c>
      <c r="EA393" s="73">
        <v>0</v>
      </c>
      <c r="EB393" s="73">
        <v>57</v>
      </c>
      <c r="EC393" s="65" t="s">
        <v>126</v>
      </c>
    </row>
    <row r="394" spans="1:133" ht="12" customHeight="1" x14ac:dyDescent="0.2">
      <c r="A394" t="s">
        <v>2935</v>
      </c>
      <c r="B394" t="s">
        <v>2946</v>
      </c>
      <c r="C394" t="str">
        <f t="shared" si="20"/>
        <v>Full</v>
      </c>
      <c r="E394" s="65">
        <v>5447</v>
      </c>
      <c r="F394" t="s">
        <v>2003</v>
      </c>
      <c r="G394" s="71" t="s">
        <v>3945</v>
      </c>
      <c r="H394" s="67">
        <v>2.3000000044703501E-2</v>
      </c>
      <c r="I394" s="65">
        <v>528513</v>
      </c>
      <c r="J394" s="65">
        <v>175788</v>
      </c>
      <c r="L394" s="65" t="s">
        <v>381</v>
      </c>
      <c r="M394" s="65" t="s">
        <v>27</v>
      </c>
      <c r="N394" s="69">
        <v>41647</v>
      </c>
      <c r="O394" s="69">
        <v>41808</v>
      </c>
      <c r="R394" s="65" t="s">
        <v>28</v>
      </c>
      <c r="U394" t="s">
        <v>382</v>
      </c>
      <c r="V394" t="s">
        <v>3359</v>
      </c>
      <c r="W394" s="65" t="s">
        <v>29</v>
      </c>
      <c r="X394" s="65" t="s">
        <v>29</v>
      </c>
      <c r="Y394" s="65" t="s">
        <v>30</v>
      </c>
      <c r="AA394" s="69">
        <v>43011</v>
      </c>
      <c r="AD394" s="65" t="s">
        <v>23</v>
      </c>
      <c r="AE394" s="65" t="s">
        <v>24</v>
      </c>
      <c r="AH394" s="69">
        <f t="shared" si="18"/>
        <v>43011</v>
      </c>
      <c r="BO394" s="185" t="s">
        <v>3794</v>
      </c>
      <c r="BP394" s="185" t="s">
        <v>3794</v>
      </c>
      <c r="BQ394" s="185" t="s">
        <v>3794</v>
      </c>
      <c r="BW394" s="73"/>
      <c r="BY394" s="185" t="s">
        <v>3794</v>
      </c>
      <c r="CJ394" t="s">
        <v>25</v>
      </c>
      <c r="CK394" t="s">
        <v>25</v>
      </c>
      <c r="CL394" t="s">
        <v>25</v>
      </c>
      <c r="CM394" t="s">
        <v>25</v>
      </c>
      <c r="CN394" t="s">
        <v>25</v>
      </c>
      <c r="CO394" t="s">
        <v>25</v>
      </c>
      <c r="CP394" t="s">
        <v>25</v>
      </c>
      <c r="CQ394" t="s">
        <v>25</v>
      </c>
      <c r="CR394" t="s">
        <v>25</v>
      </c>
      <c r="CS394" t="s">
        <v>25</v>
      </c>
      <c r="CT394" t="s">
        <v>25</v>
      </c>
      <c r="CU394" t="s">
        <v>25</v>
      </c>
      <c r="CV394" t="s">
        <v>25</v>
      </c>
      <c r="CW394" t="s">
        <v>25</v>
      </c>
      <c r="CX394" t="s">
        <v>25</v>
      </c>
      <c r="CY394" t="s">
        <v>25</v>
      </c>
      <c r="CZ394" t="s">
        <v>25</v>
      </c>
      <c r="DA394" t="s">
        <v>25</v>
      </c>
      <c r="DB394" t="s">
        <v>25</v>
      </c>
      <c r="DC394" t="s">
        <v>25</v>
      </c>
      <c r="DD394" t="s">
        <v>25</v>
      </c>
      <c r="DE394" t="s">
        <v>25</v>
      </c>
      <c r="DF394" t="s">
        <v>25</v>
      </c>
      <c r="DG394" t="s">
        <v>25</v>
      </c>
      <c r="DH394" t="s">
        <v>25</v>
      </c>
      <c r="DI394" t="s">
        <v>25</v>
      </c>
      <c r="DJ394" s="76">
        <v>0</v>
      </c>
      <c r="DK394" s="73">
        <v>0</v>
      </c>
      <c r="DL394" s="73">
        <v>85</v>
      </c>
      <c r="DM394" s="73">
        <v>-85</v>
      </c>
      <c r="DU394"/>
      <c r="DX394" s="65" t="s">
        <v>126</v>
      </c>
      <c r="DY394" t="s">
        <v>2908</v>
      </c>
      <c r="DZ394" s="73">
        <v>47</v>
      </c>
      <c r="EA394" s="73">
        <v>0</v>
      </c>
      <c r="EB394" s="73">
        <v>47</v>
      </c>
      <c r="EC394" s="65" t="s">
        <v>126</v>
      </c>
    </row>
    <row r="395" spans="1:133" ht="12" customHeight="1" x14ac:dyDescent="0.2">
      <c r="A395" t="s">
        <v>2937</v>
      </c>
      <c r="B395" t="s">
        <v>2946</v>
      </c>
      <c r="C395" t="str">
        <f t="shared" si="20"/>
        <v>Full</v>
      </c>
      <c r="E395" s="65">
        <v>5454</v>
      </c>
      <c r="F395" t="s">
        <v>2004</v>
      </c>
      <c r="G395" s="71" t="s">
        <v>3946</v>
      </c>
      <c r="H395" s="67">
        <v>0.245000004768372</v>
      </c>
      <c r="I395" s="65">
        <v>524592</v>
      </c>
      <c r="J395" s="65">
        <v>175268</v>
      </c>
      <c r="L395" s="65" t="s">
        <v>311</v>
      </c>
      <c r="M395" s="65" t="s">
        <v>33</v>
      </c>
      <c r="N395" s="69">
        <v>42011</v>
      </c>
      <c r="O395" s="69">
        <v>42291</v>
      </c>
      <c r="Q395" s="69">
        <v>42081</v>
      </c>
      <c r="R395" s="65" t="s">
        <v>28</v>
      </c>
      <c r="U395" t="s">
        <v>730</v>
      </c>
      <c r="V395" t="s">
        <v>3360</v>
      </c>
      <c r="W395" s="65" t="s">
        <v>29</v>
      </c>
      <c r="X395" s="65" t="s">
        <v>29</v>
      </c>
      <c r="Y395" s="65" t="s">
        <v>69</v>
      </c>
      <c r="AD395" s="65" t="s">
        <v>23</v>
      </c>
      <c r="AE395" s="65" t="s">
        <v>24</v>
      </c>
      <c r="AP395" s="73">
        <v>2225</v>
      </c>
      <c r="AS395" s="73">
        <v>2225</v>
      </c>
      <c r="AV395" s="73">
        <v>2225</v>
      </c>
      <c r="BF395" s="73">
        <v>6480</v>
      </c>
      <c r="BK395" s="73">
        <v>6480</v>
      </c>
      <c r="BO395" s="185" t="s">
        <v>3794</v>
      </c>
      <c r="BP395" s="185" t="s">
        <v>126</v>
      </c>
      <c r="BQ395" s="185" t="s">
        <v>3794</v>
      </c>
      <c r="BW395" s="73"/>
      <c r="BX395" s="73">
        <v>-4255</v>
      </c>
      <c r="BY395" s="185" t="s">
        <v>126</v>
      </c>
      <c r="CD395" s="73">
        <v>-4255</v>
      </c>
      <c r="CE395" s="65" t="s">
        <v>126</v>
      </c>
      <c r="CJ395" t="s">
        <v>25</v>
      </c>
      <c r="CK395" t="s">
        <v>25</v>
      </c>
      <c r="CL395" t="s">
        <v>25</v>
      </c>
      <c r="CM395" t="s">
        <v>25</v>
      </c>
      <c r="CN395" t="s">
        <v>25</v>
      </c>
      <c r="CO395" t="s">
        <v>31</v>
      </c>
      <c r="CP395" t="s">
        <v>25</v>
      </c>
      <c r="CQ395" t="s">
        <v>25</v>
      </c>
      <c r="CR395" t="s">
        <v>25</v>
      </c>
      <c r="CS395" t="s">
        <v>25</v>
      </c>
      <c r="CT395" t="s">
        <v>25</v>
      </c>
      <c r="CU395" t="s">
        <v>25</v>
      </c>
      <c r="CV395" t="s">
        <v>25</v>
      </c>
      <c r="CW395" t="s">
        <v>25</v>
      </c>
      <c r="CX395" t="s">
        <v>25</v>
      </c>
      <c r="CY395" t="s">
        <v>25</v>
      </c>
      <c r="CZ395" t="s">
        <v>25</v>
      </c>
      <c r="DA395" t="s">
        <v>25</v>
      </c>
      <c r="DB395" t="s">
        <v>47</v>
      </c>
      <c r="DC395" t="s">
        <v>25</v>
      </c>
      <c r="DD395" t="s">
        <v>25</v>
      </c>
      <c r="DE395" t="s">
        <v>25</v>
      </c>
      <c r="DF395" t="s">
        <v>25</v>
      </c>
      <c r="DG395" t="s">
        <v>25</v>
      </c>
      <c r="DH395" t="s">
        <v>25</v>
      </c>
      <c r="DI395" t="s">
        <v>25</v>
      </c>
      <c r="DJ395" s="76">
        <v>4.4000010006129714E-2</v>
      </c>
      <c r="DK395" s="73">
        <v>2225</v>
      </c>
      <c r="DL395" s="73">
        <v>6480</v>
      </c>
      <c r="DM395" s="73">
        <v>-4255</v>
      </c>
      <c r="DN395" s="65" t="s">
        <v>126</v>
      </c>
      <c r="DU395"/>
      <c r="DZ395" s="73">
        <v>6001</v>
      </c>
      <c r="EA395" s="73">
        <v>0</v>
      </c>
      <c r="EB395" s="73">
        <v>6001</v>
      </c>
      <c r="EC395" s="65" t="s">
        <v>126</v>
      </c>
    </row>
    <row r="396" spans="1:133" ht="12" customHeight="1" x14ac:dyDescent="0.2">
      <c r="A396" t="s">
        <v>2937</v>
      </c>
      <c r="B396" t="s">
        <v>2946</v>
      </c>
      <c r="C396" t="str">
        <f t="shared" si="20"/>
        <v>Full</v>
      </c>
      <c r="E396" s="65">
        <v>5454</v>
      </c>
      <c r="F396" t="s">
        <v>2004</v>
      </c>
      <c r="G396" s="71" t="s">
        <v>3946</v>
      </c>
      <c r="H396" s="67">
        <v>0.245000004768372</v>
      </c>
      <c r="I396" s="65">
        <v>524592</v>
      </c>
      <c r="J396" s="65">
        <v>175268</v>
      </c>
      <c r="L396" s="65" t="s">
        <v>978</v>
      </c>
      <c r="M396" s="65" t="s">
        <v>27</v>
      </c>
      <c r="N396" s="69">
        <v>42559</v>
      </c>
      <c r="O396" s="69">
        <v>42628</v>
      </c>
      <c r="R396" s="65" t="s">
        <v>28</v>
      </c>
      <c r="U396" t="s">
        <v>979</v>
      </c>
      <c r="V396" t="s">
        <v>3361</v>
      </c>
      <c r="W396" s="65" t="s">
        <v>29</v>
      </c>
      <c r="X396" s="65" t="s">
        <v>29</v>
      </c>
      <c r="Y396" s="65" t="s">
        <v>69</v>
      </c>
      <c r="AD396" s="65" t="s">
        <v>23</v>
      </c>
      <c r="AE396" s="65" t="s">
        <v>24</v>
      </c>
      <c r="AJ396" s="73">
        <v>250</v>
      </c>
      <c r="AL396" s="73">
        <v>250</v>
      </c>
      <c r="AO396" s="73">
        <v>500</v>
      </c>
      <c r="AP396" s="73">
        <v>9596</v>
      </c>
      <c r="AS396" s="73">
        <v>9596</v>
      </c>
      <c r="AV396" s="73">
        <v>9596</v>
      </c>
      <c r="AW396" s="73">
        <v>251</v>
      </c>
      <c r="AY396" s="73">
        <v>251</v>
      </c>
      <c r="BF396" s="73">
        <v>6480</v>
      </c>
      <c r="BK396" s="73">
        <v>6480</v>
      </c>
      <c r="BO396" s="185" t="s">
        <v>126</v>
      </c>
      <c r="BP396" s="185" t="s">
        <v>126</v>
      </c>
      <c r="BQ396" s="185" t="s">
        <v>126</v>
      </c>
      <c r="BR396" s="73">
        <v>250</v>
      </c>
      <c r="BT396" s="73">
        <v>250</v>
      </c>
      <c r="BW396" s="73">
        <v>500</v>
      </c>
      <c r="BX396" s="73">
        <v>3116</v>
      </c>
      <c r="BY396" s="185" t="s">
        <v>3794</v>
      </c>
      <c r="CD396" s="73">
        <v>3116</v>
      </c>
      <c r="CG396" s="73">
        <v>251</v>
      </c>
      <c r="CI396" s="73">
        <v>251</v>
      </c>
      <c r="CJ396" t="s">
        <v>31</v>
      </c>
      <c r="CK396" t="s">
        <v>25</v>
      </c>
      <c r="CL396" t="s">
        <v>31</v>
      </c>
      <c r="CM396" t="s">
        <v>25</v>
      </c>
      <c r="CN396" t="s">
        <v>25</v>
      </c>
      <c r="CO396" t="s">
        <v>31</v>
      </c>
      <c r="CP396" t="s">
        <v>25</v>
      </c>
      <c r="CQ396" t="s">
        <v>25</v>
      </c>
      <c r="CR396" t="s">
        <v>25</v>
      </c>
      <c r="CS396" t="s">
        <v>25</v>
      </c>
      <c r="CT396" t="s">
        <v>25</v>
      </c>
      <c r="CU396" t="s">
        <v>31</v>
      </c>
      <c r="CV396" t="s">
        <v>25</v>
      </c>
      <c r="CW396" t="s">
        <v>25</v>
      </c>
      <c r="CX396" t="s">
        <v>25</v>
      </c>
      <c r="CY396" t="s">
        <v>25</v>
      </c>
      <c r="CZ396" t="s">
        <v>25</v>
      </c>
      <c r="DA396" t="s">
        <v>25</v>
      </c>
      <c r="DB396" t="s">
        <v>47</v>
      </c>
      <c r="DC396" t="s">
        <v>25</v>
      </c>
      <c r="DD396" t="s">
        <v>25</v>
      </c>
      <c r="DE396" t="s">
        <v>25</v>
      </c>
      <c r="DF396" t="s">
        <v>25</v>
      </c>
      <c r="DG396" t="s">
        <v>25</v>
      </c>
      <c r="DH396" t="s">
        <v>25</v>
      </c>
      <c r="DI396" t="s">
        <v>25</v>
      </c>
      <c r="DJ396" s="76">
        <v>0.245000004768372</v>
      </c>
      <c r="DK396" s="73">
        <v>10347</v>
      </c>
      <c r="DL396" s="73">
        <v>6480</v>
      </c>
      <c r="DM396" s="73">
        <v>3867</v>
      </c>
      <c r="DN396" s="65" t="s">
        <v>126</v>
      </c>
      <c r="DU396"/>
      <c r="DZ396" s="73">
        <v>0</v>
      </c>
      <c r="EA396" s="73">
        <v>0</v>
      </c>
      <c r="EB396" s="73">
        <v>0</v>
      </c>
    </row>
    <row r="397" spans="1:133" ht="12" customHeight="1" x14ac:dyDescent="0.2">
      <c r="A397" t="s">
        <v>2937</v>
      </c>
      <c r="B397" t="s">
        <v>2946</v>
      </c>
      <c r="C397" t="str">
        <f t="shared" si="20"/>
        <v>Full</v>
      </c>
      <c r="E397" s="65">
        <v>5454</v>
      </c>
      <c r="F397" t="s">
        <v>2004</v>
      </c>
      <c r="G397" s="71" t="s">
        <v>3946</v>
      </c>
      <c r="H397" s="67">
        <v>0.245000004768372</v>
      </c>
      <c r="I397" s="65">
        <v>524592</v>
      </c>
      <c r="J397" s="65">
        <v>175268</v>
      </c>
      <c r="L397" s="65" t="s">
        <v>2005</v>
      </c>
      <c r="M397" s="65" t="s">
        <v>434</v>
      </c>
      <c r="N397" s="69">
        <v>42844</v>
      </c>
      <c r="O397" s="69">
        <v>42871</v>
      </c>
      <c r="P397" s="65" t="s">
        <v>126</v>
      </c>
      <c r="R397" s="65" t="s">
        <v>28</v>
      </c>
      <c r="U397" t="s">
        <v>2006</v>
      </c>
      <c r="V397" t="s">
        <v>3362</v>
      </c>
      <c r="W397" s="65" t="s">
        <v>21</v>
      </c>
      <c r="X397" s="65" t="s">
        <v>21</v>
      </c>
      <c r="Y397" s="65" t="s">
        <v>69</v>
      </c>
      <c r="AD397" s="65" t="s">
        <v>23</v>
      </c>
      <c r="AE397" s="65" t="s">
        <v>24</v>
      </c>
      <c r="AX397" s="73">
        <v>251</v>
      </c>
      <c r="AY397" s="73">
        <v>251</v>
      </c>
      <c r="BL397" s="73">
        <v>251</v>
      </c>
      <c r="BN397" s="73">
        <v>251</v>
      </c>
      <c r="BO397" s="185" t="s">
        <v>3794</v>
      </c>
      <c r="BP397" s="185" t="s">
        <v>3794</v>
      </c>
      <c r="BQ397" s="185" t="s">
        <v>126</v>
      </c>
      <c r="BW397" s="73"/>
      <c r="BY397" s="185" t="s">
        <v>3794</v>
      </c>
      <c r="CG397" s="73">
        <v>-251</v>
      </c>
      <c r="CH397" s="73">
        <v>251</v>
      </c>
      <c r="CJ397" t="s">
        <v>25</v>
      </c>
      <c r="CK397" t="s">
        <v>25</v>
      </c>
      <c r="CL397" t="s">
        <v>25</v>
      </c>
      <c r="CM397" t="s">
        <v>25</v>
      </c>
      <c r="CN397" t="s">
        <v>25</v>
      </c>
      <c r="CO397" t="s">
        <v>25</v>
      </c>
      <c r="CP397" t="s">
        <v>25</v>
      </c>
      <c r="CQ397" t="s">
        <v>25</v>
      </c>
      <c r="CR397" t="s">
        <v>25</v>
      </c>
      <c r="CS397" t="s">
        <v>25</v>
      </c>
      <c r="CT397" t="s">
        <v>25</v>
      </c>
      <c r="CU397" t="s">
        <v>25</v>
      </c>
      <c r="CV397" t="s">
        <v>31</v>
      </c>
      <c r="CW397" t="s">
        <v>25</v>
      </c>
      <c r="CX397" t="s">
        <v>25</v>
      </c>
      <c r="CY397" t="s">
        <v>25</v>
      </c>
      <c r="CZ397" t="s">
        <v>25</v>
      </c>
      <c r="DA397" t="s">
        <v>25</v>
      </c>
      <c r="DB397" t="s">
        <v>25</v>
      </c>
      <c r="DC397" t="s">
        <v>25</v>
      </c>
      <c r="DD397" t="s">
        <v>25</v>
      </c>
      <c r="DE397" t="s">
        <v>25</v>
      </c>
      <c r="DF397" t="s">
        <v>25</v>
      </c>
      <c r="DG397" t="s">
        <v>25</v>
      </c>
      <c r="DH397" t="s">
        <v>31</v>
      </c>
      <c r="DI397" t="s">
        <v>25</v>
      </c>
      <c r="DJ397" s="76">
        <v>0.245000004768372</v>
      </c>
      <c r="DK397" s="73">
        <v>251</v>
      </c>
      <c r="DL397" s="73">
        <v>251</v>
      </c>
      <c r="DM397" s="73">
        <v>0</v>
      </c>
      <c r="DN397" s="65" t="s">
        <v>126</v>
      </c>
      <c r="DU397"/>
      <c r="DZ397" s="73">
        <v>0</v>
      </c>
      <c r="EA397" s="73">
        <v>0</v>
      </c>
      <c r="EB397" s="73">
        <v>0</v>
      </c>
    </row>
    <row r="398" spans="1:133" ht="12" customHeight="1" x14ac:dyDescent="0.2">
      <c r="A398" t="s">
        <v>2937</v>
      </c>
      <c r="B398" t="s">
        <v>2946</v>
      </c>
      <c r="C398" t="str">
        <f t="shared" si="20"/>
        <v>Full</v>
      </c>
      <c r="E398" s="65">
        <v>5479</v>
      </c>
      <c r="F398" t="s">
        <v>2007</v>
      </c>
      <c r="G398" s="71" t="s">
        <v>3947</v>
      </c>
      <c r="H398" s="67">
        <v>3.29999998211861E-2</v>
      </c>
      <c r="I398" s="65">
        <v>528475</v>
      </c>
      <c r="J398" s="65">
        <v>176217</v>
      </c>
      <c r="L398" s="65" t="s">
        <v>982</v>
      </c>
      <c r="M398" s="65" t="s">
        <v>27</v>
      </c>
      <c r="N398" s="69">
        <v>42559</v>
      </c>
      <c r="O398" s="69">
        <v>42702</v>
      </c>
      <c r="R398" s="65" t="s">
        <v>28</v>
      </c>
      <c r="U398" t="s">
        <v>983</v>
      </c>
      <c r="V398" t="s">
        <v>3363</v>
      </c>
      <c r="W398" s="65" t="s">
        <v>29</v>
      </c>
      <c r="X398" s="65" t="s">
        <v>29</v>
      </c>
      <c r="Y398" s="65" t="s">
        <v>59</v>
      </c>
      <c r="AD398" s="65" t="s">
        <v>23</v>
      </c>
      <c r="AE398" s="65" t="s">
        <v>24</v>
      </c>
      <c r="BO398" s="185" t="s">
        <v>3794</v>
      </c>
      <c r="BP398" s="185" t="s">
        <v>3794</v>
      </c>
      <c r="BQ398" s="185" t="s">
        <v>3794</v>
      </c>
      <c r="BW398" s="73"/>
      <c r="BY398" s="185" t="s">
        <v>3794</v>
      </c>
      <c r="CJ398" t="s">
        <v>25</v>
      </c>
      <c r="CK398" t="s">
        <v>25</v>
      </c>
      <c r="CL398" t="s">
        <v>25</v>
      </c>
      <c r="CM398" t="s">
        <v>25</v>
      </c>
      <c r="CN398" t="s">
        <v>25</v>
      </c>
      <c r="CO398" t="s">
        <v>25</v>
      </c>
      <c r="CP398" t="s">
        <v>25</v>
      </c>
      <c r="CQ398" t="s">
        <v>25</v>
      </c>
      <c r="CR398" t="s">
        <v>25</v>
      </c>
      <c r="CS398" t="s">
        <v>25</v>
      </c>
      <c r="CT398" t="s">
        <v>25</v>
      </c>
      <c r="CU398" t="s">
        <v>25</v>
      </c>
      <c r="CV398" t="s">
        <v>25</v>
      </c>
      <c r="CW398" t="s">
        <v>25</v>
      </c>
      <c r="CX398" t="s">
        <v>25</v>
      </c>
      <c r="CY398" t="s">
        <v>25</v>
      </c>
      <c r="CZ398" t="s">
        <v>25</v>
      </c>
      <c r="DA398" t="s">
        <v>25</v>
      </c>
      <c r="DB398" t="s">
        <v>25</v>
      </c>
      <c r="DC398" t="s">
        <v>25</v>
      </c>
      <c r="DD398" t="s">
        <v>25</v>
      </c>
      <c r="DE398" t="s">
        <v>25</v>
      </c>
      <c r="DF398" t="s">
        <v>25</v>
      </c>
      <c r="DG398" t="s">
        <v>25</v>
      </c>
      <c r="DH398" t="s">
        <v>25</v>
      </c>
      <c r="DI398" t="s">
        <v>25</v>
      </c>
      <c r="DJ398" s="76">
        <v>0</v>
      </c>
      <c r="DK398" s="73">
        <v>15</v>
      </c>
      <c r="DL398" s="73">
        <v>460</v>
      </c>
      <c r="DM398" s="73">
        <v>-445</v>
      </c>
      <c r="DU398"/>
      <c r="DZ398" s="73">
        <v>473</v>
      </c>
      <c r="EA398" s="73">
        <v>0</v>
      </c>
      <c r="EB398" s="73">
        <v>473</v>
      </c>
      <c r="EC398" s="65" t="s">
        <v>126</v>
      </c>
    </row>
    <row r="399" spans="1:133" ht="12" customHeight="1" x14ac:dyDescent="0.2">
      <c r="A399" t="s">
        <v>2935</v>
      </c>
      <c r="B399" t="s">
        <v>2946</v>
      </c>
      <c r="C399" t="str">
        <f t="shared" si="20"/>
        <v>Full</v>
      </c>
      <c r="E399" s="65">
        <v>5490</v>
      </c>
      <c r="F399" t="s">
        <v>2008</v>
      </c>
      <c r="G399" s="71" t="s">
        <v>3948</v>
      </c>
      <c r="H399" s="67">
        <v>2.19999998807907E-2</v>
      </c>
      <c r="I399" s="65">
        <v>527161</v>
      </c>
      <c r="J399" s="65">
        <v>175655</v>
      </c>
      <c r="K399" s="65" t="s">
        <v>1368</v>
      </c>
      <c r="L399" s="65" t="s">
        <v>258</v>
      </c>
      <c r="M399" s="65" t="s">
        <v>27</v>
      </c>
      <c r="N399" s="69">
        <v>41598</v>
      </c>
      <c r="O399" s="69">
        <v>41711</v>
      </c>
      <c r="R399" s="65" t="s">
        <v>28</v>
      </c>
      <c r="U399" t="s">
        <v>691</v>
      </c>
      <c r="V399" t="s">
        <v>3364</v>
      </c>
      <c r="W399" s="65" t="s">
        <v>34</v>
      </c>
      <c r="X399" s="65" t="s">
        <v>29</v>
      </c>
      <c r="Y399" s="65" t="s">
        <v>30</v>
      </c>
      <c r="AA399" s="69">
        <v>42825</v>
      </c>
      <c r="AD399" s="65" t="s">
        <v>23</v>
      </c>
      <c r="AE399" s="65" t="s">
        <v>24</v>
      </c>
      <c r="AH399" s="69">
        <f t="shared" si="18"/>
        <v>42825</v>
      </c>
      <c r="AW399" s="73">
        <v>502</v>
      </c>
      <c r="AY399" s="73">
        <v>502</v>
      </c>
      <c r="BL399" s="73">
        <v>497</v>
      </c>
      <c r="BN399" s="73">
        <v>497</v>
      </c>
      <c r="BO399" s="185" t="s">
        <v>3794</v>
      </c>
      <c r="BP399" s="185" t="s">
        <v>3794</v>
      </c>
      <c r="BQ399" s="185" t="s">
        <v>126</v>
      </c>
      <c r="BW399" s="73"/>
      <c r="BY399" s="185" t="s">
        <v>3794</v>
      </c>
      <c r="CG399" s="73">
        <v>5</v>
      </c>
      <c r="CI399" s="73">
        <v>5</v>
      </c>
      <c r="CJ399" t="s">
        <v>25</v>
      </c>
      <c r="CK399" t="s">
        <v>25</v>
      </c>
      <c r="CL399" t="s">
        <v>25</v>
      </c>
      <c r="CM399" t="s">
        <v>25</v>
      </c>
      <c r="CN399" t="s">
        <v>25</v>
      </c>
      <c r="CO399" t="s">
        <v>25</v>
      </c>
      <c r="CP399" t="s">
        <v>25</v>
      </c>
      <c r="CQ399" t="s">
        <v>25</v>
      </c>
      <c r="CR399" t="s">
        <v>25</v>
      </c>
      <c r="CS399" t="s">
        <v>25</v>
      </c>
      <c r="CT399" t="s">
        <v>25</v>
      </c>
      <c r="CU399" t="s">
        <v>37</v>
      </c>
      <c r="CV399" t="s">
        <v>25</v>
      </c>
      <c r="CW399" t="s">
        <v>25</v>
      </c>
      <c r="CX399" t="s">
        <v>25</v>
      </c>
      <c r="CY399" t="s">
        <v>25</v>
      </c>
      <c r="CZ399" t="s">
        <v>25</v>
      </c>
      <c r="DA399" t="s">
        <v>25</v>
      </c>
      <c r="DB399" t="s">
        <v>25</v>
      </c>
      <c r="DC399" t="s">
        <v>25</v>
      </c>
      <c r="DD399" t="s">
        <v>25</v>
      </c>
      <c r="DE399" t="s">
        <v>25</v>
      </c>
      <c r="DF399" t="s">
        <v>25</v>
      </c>
      <c r="DG399" t="s">
        <v>25</v>
      </c>
      <c r="DH399" t="s">
        <v>37</v>
      </c>
      <c r="DI399" t="s">
        <v>25</v>
      </c>
      <c r="DJ399" s="76">
        <v>2.19999998807907E-2</v>
      </c>
      <c r="DK399" s="73">
        <v>502</v>
      </c>
      <c r="DL399" s="73">
        <v>497</v>
      </c>
      <c r="DM399" s="73">
        <v>5</v>
      </c>
      <c r="DU399"/>
      <c r="DV399" s="65" t="s">
        <v>126</v>
      </c>
      <c r="DW399" t="s">
        <v>132</v>
      </c>
      <c r="DZ399" s="73">
        <v>0</v>
      </c>
      <c r="EA399" s="73">
        <v>0</v>
      </c>
      <c r="EB399" s="73">
        <v>0</v>
      </c>
    </row>
    <row r="400" spans="1:133" ht="12" customHeight="1" x14ac:dyDescent="0.2">
      <c r="A400" t="s">
        <v>2937</v>
      </c>
      <c r="B400" t="s">
        <v>2946</v>
      </c>
      <c r="C400" t="str">
        <f t="shared" si="20"/>
        <v>Full</v>
      </c>
      <c r="E400" s="65">
        <v>5499</v>
      </c>
      <c r="F400" t="s">
        <v>2009</v>
      </c>
      <c r="G400" s="71" t="s">
        <v>3943</v>
      </c>
      <c r="H400" s="67">
        <v>3.5999998450279201E-2</v>
      </c>
      <c r="I400" s="65">
        <v>526630</v>
      </c>
      <c r="J400" s="65">
        <v>176073</v>
      </c>
      <c r="K400" s="65" t="s">
        <v>1596</v>
      </c>
      <c r="L400" s="65" t="s">
        <v>851</v>
      </c>
      <c r="M400" s="65" t="s">
        <v>434</v>
      </c>
      <c r="N400" s="69">
        <v>42500</v>
      </c>
      <c r="O400" s="69">
        <v>42789</v>
      </c>
      <c r="R400" s="65" t="s">
        <v>28</v>
      </c>
      <c r="U400" t="s">
        <v>852</v>
      </c>
      <c r="V400" t="s">
        <v>3365</v>
      </c>
      <c r="W400" s="65" t="s">
        <v>29</v>
      </c>
      <c r="X400" s="65" t="s">
        <v>29</v>
      </c>
      <c r="Y400" s="65" t="s">
        <v>59</v>
      </c>
      <c r="AD400" s="65" t="s">
        <v>23</v>
      </c>
      <c r="AE400" s="65" t="s">
        <v>24</v>
      </c>
      <c r="BO400" s="185" t="s">
        <v>3794</v>
      </c>
      <c r="BP400" s="185" t="s">
        <v>3794</v>
      </c>
      <c r="BQ400" s="185" t="s">
        <v>3794</v>
      </c>
      <c r="BW400" s="73"/>
      <c r="BY400" s="185" t="s">
        <v>3794</v>
      </c>
      <c r="CJ400" t="s">
        <v>25</v>
      </c>
      <c r="CK400" t="s">
        <v>25</v>
      </c>
      <c r="CL400" t="s">
        <v>25</v>
      </c>
      <c r="CM400" t="s">
        <v>25</v>
      </c>
      <c r="CN400" t="s">
        <v>25</v>
      </c>
      <c r="CO400" t="s">
        <v>25</v>
      </c>
      <c r="CP400" t="s">
        <v>25</v>
      </c>
      <c r="CQ400" t="s">
        <v>25</v>
      </c>
      <c r="CR400" t="s">
        <v>25</v>
      </c>
      <c r="CS400" t="s">
        <v>25</v>
      </c>
      <c r="CT400" t="s">
        <v>25</v>
      </c>
      <c r="CU400" t="s">
        <v>25</v>
      </c>
      <c r="CV400" t="s">
        <v>25</v>
      </c>
      <c r="CW400" t="s">
        <v>25</v>
      </c>
      <c r="CX400" t="s">
        <v>25</v>
      </c>
      <c r="CY400" t="s">
        <v>25</v>
      </c>
      <c r="CZ400" t="s">
        <v>25</v>
      </c>
      <c r="DA400" t="s">
        <v>25</v>
      </c>
      <c r="DB400" t="s">
        <v>25</v>
      </c>
      <c r="DC400" t="s">
        <v>25</v>
      </c>
      <c r="DD400" t="s">
        <v>25</v>
      </c>
      <c r="DE400" t="s">
        <v>25</v>
      </c>
      <c r="DF400" t="s">
        <v>25</v>
      </c>
      <c r="DG400" t="s">
        <v>25</v>
      </c>
      <c r="DH400" t="s">
        <v>25</v>
      </c>
      <c r="DI400" t="s">
        <v>25</v>
      </c>
      <c r="DJ400" s="76">
        <v>3.5999998450279201E-2</v>
      </c>
      <c r="DK400" s="73">
        <v>114</v>
      </c>
      <c r="DL400" s="73">
        <v>0</v>
      </c>
      <c r="DM400" s="73">
        <v>114</v>
      </c>
      <c r="DN400" s="65" t="s">
        <v>126</v>
      </c>
      <c r="DU400"/>
      <c r="DZ400" s="73">
        <v>0</v>
      </c>
      <c r="EA400" s="73">
        <v>0</v>
      </c>
      <c r="EB400" s="73">
        <v>0</v>
      </c>
    </row>
    <row r="401" spans="1:133" ht="12" customHeight="1" x14ac:dyDescent="0.2">
      <c r="A401" t="s">
        <v>2937</v>
      </c>
      <c r="B401" t="s">
        <v>2948</v>
      </c>
      <c r="C401" t="str">
        <f t="shared" si="20"/>
        <v>Prior Approval</v>
      </c>
      <c r="E401" s="65">
        <v>5499</v>
      </c>
      <c r="F401" t="s">
        <v>2009</v>
      </c>
      <c r="G401" s="71" t="s">
        <v>3943</v>
      </c>
      <c r="H401" s="67">
        <v>3.5999998450279201E-2</v>
      </c>
      <c r="I401" s="65">
        <v>526630</v>
      </c>
      <c r="J401" s="65">
        <v>176073</v>
      </c>
      <c r="K401" s="65" t="s">
        <v>1596</v>
      </c>
      <c r="L401" s="65" t="s">
        <v>1206</v>
      </c>
      <c r="M401" s="65" t="s">
        <v>243</v>
      </c>
      <c r="N401" s="69">
        <v>42747</v>
      </c>
      <c r="O401" s="69">
        <v>42803</v>
      </c>
      <c r="R401" s="65" t="s">
        <v>28</v>
      </c>
      <c r="U401" t="s">
        <v>1207</v>
      </c>
      <c r="V401" t="s">
        <v>3366</v>
      </c>
      <c r="W401" s="65" t="s">
        <v>21</v>
      </c>
      <c r="X401" s="65" t="s">
        <v>21</v>
      </c>
      <c r="Y401" s="65" t="s">
        <v>59</v>
      </c>
      <c r="AD401" s="65" t="s">
        <v>23</v>
      </c>
      <c r="AE401" s="65" t="s">
        <v>24</v>
      </c>
      <c r="BF401" s="73">
        <v>168</v>
      </c>
      <c r="BK401" s="73">
        <v>168</v>
      </c>
      <c r="BO401" s="185" t="s">
        <v>3794</v>
      </c>
      <c r="BP401" s="185" t="s">
        <v>126</v>
      </c>
      <c r="BQ401" s="185" t="s">
        <v>3794</v>
      </c>
      <c r="BW401" s="73"/>
      <c r="BX401" s="73">
        <v>-168</v>
      </c>
      <c r="BY401" s="185" t="s">
        <v>126</v>
      </c>
      <c r="CD401" s="73">
        <v>-168</v>
      </c>
      <c r="CE401" s="65" t="s">
        <v>126</v>
      </c>
      <c r="CJ401" t="s">
        <v>25</v>
      </c>
      <c r="CK401" t="s">
        <v>25</v>
      </c>
      <c r="CL401" t="s">
        <v>25</v>
      </c>
      <c r="CM401" t="s">
        <v>25</v>
      </c>
      <c r="CN401" t="s">
        <v>25</v>
      </c>
      <c r="CO401" t="s">
        <v>25</v>
      </c>
      <c r="CP401" t="s">
        <v>25</v>
      </c>
      <c r="CQ401" t="s">
        <v>25</v>
      </c>
      <c r="CR401" t="s">
        <v>25</v>
      </c>
      <c r="CS401" t="s">
        <v>25</v>
      </c>
      <c r="CT401" t="s">
        <v>25</v>
      </c>
      <c r="CU401" t="s">
        <v>25</v>
      </c>
      <c r="CV401" t="s">
        <v>25</v>
      </c>
      <c r="CW401" t="s">
        <v>25</v>
      </c>
      <c r="CX401" t="s">
        <v>25</v>
      </c>
      <c r="CY401" t="s">
        <v>25</v>
      </c>
      <c r="CZ401" t="s">
        <v>25</v>
      </c>
      <c r="DA401" t="s">
        <v>25</v>
      </c>
      <c r="DB401" t="s">
        <v>47</v>
      </c>
      <c r="DC401" t="s">
        <v>25</v>
      </c>
      <c r="DD401" t="s">
        <v>25</v>
      </c>
      <c r="DE401" t="s">
        <v>25</v>
      </c>
      <c r="DF401" t="s">
        <v>25</v>
      </c>
      <c r="DG401" t="s">
        <v>25</v>
      </c>
      <c r="DH401" t="s">
        <v>25</v>
      </c>
      <c r="DI401" t="s">
        <v>25</v>
      </c>
      <c r="DJ401" s="76">
        <v>3.4599998500198091E-2</v>
      </c>
      <c r="DK401" s="73">
        <v>0</v>
      </c>
      <c r="DL401" s="73">
        <v>168</v>
      </c>
      <c r="DM401" s="73">
        <v>-168</v>
      </c>
      <c r="DN401" s="65" t="s">
        <v>126</v>
      </c>
      <c r="DU401"/>
      <c r="DZ401" s="73">
        <v>168</v>
      </c>
      <c r="EA401" s="73">
        <v>0</v>
      </c>
      <c r="EB401" s="73">
        <v>168</v>
      </c>
      <c r="EC401" s="65" t="s">
        <v>126</v>
      </c>
    </row>
    <row r="402" spans="1:133" ht="12" customHeight="1" x14ac:dyDescent="0.2">
      <c r="A402" t="s">
        <v>2935</v>
      </c>
      <c r="B402" t="s">
        <v>2946</v>
      </c>
      <c r="C402" t="str">
        <f t="shared" si="20"/>
        <v>Full</v>
      </c>
      <c r="E402" s="65">
        <v>5514</v>
      </c>
      <c r="F402" t="s">
        <v>2010</v>
      </c>
      <c r="G402" s="71" t="s">
        <v>3950</v>
      </c>
      <c r="H402" s="67">
        <v>2.3000000044703501E-2</v>
      </c>
      <c r="I402" s="65">
        <v>529246</v>
      </c>
      <c r="J402" s="65">
        <v>170855</v>
      </c>
      <c r="L402" s="65" t="s">
        <v>259</v>
      </c>
      <c r="M402" s="65" t="s">
        <v>27</v>
      </c>
      <c r="N402" s="69">
        <v>41647</v>
      </c>
      <c r="O402" s="69">
        <v>42107</v>
      </c>
      <c r="R402" s="65" t="s">
        <v>28</v>
      </c>
      <c r="U402" t="s">
        <v>402</v>
      </c>
      <c r="V402" t="s">
        <v>3367</v>
      </c>
      <c r="W402" s="65" t="s">
        <v>34</v>
      </c>
      <c r="X402" s="65" t="s">
        <v>29</v>
      </c>
      <c r="Y402" s="65" t="s">
        <v>30</v>
      </c>
      <c r="Z402" s="69">
        <v>42826</v>
      </c>
      <c r="AA402" s="69">
        <v>42826</v>
      </c>
      <c r="AD402" s="65" t="s">
        <v>23</v>
      </c>
      <c r="AE402" s="65" t="s">
        <v>24</v>
      </c>
      <c r="AH402" s="69">
        <f t="shared" si="18"/>
        <v>42826</v>
      </c>
      <c r="BO402" s="185" t="s">
        <v>3794</v>
      </c>
      <c r="BP402" s="185" t="s">
        <v>3794</v>
      </c>
      <c r="BQ402" s="185" t="s">
        <v>3794</v>
      </c>
      <c r="BW402" s="73"/>
      <c r="BY402" s="185" t="s">
        <v>3794</v>
      </c>
      <c r="CJ402" t="s">
        <v>25</v>
      </c>
      <c r="CK402" t="s">
        <v>25</v>
      </c>
      <c r="CL402" t="s">
        <v>25</v>
      </c>
      <c r="CM402" t="s">
        <v>25</v>
      </c>
      <c r="CN402" t="s">
        <v>25</v>
      </c>
      <c r="CO402" t="s">
        <v>25</v>
      </c>
      <c r="CP402" t="s">
        <v>25</v>
      </c>
      <c r="CQ402" t="s">
        <v>25</v>
      </c>
      <c r="CR402" t="s">
        <v>25</v>
      </c>
      <c r="CS402" t="s">
        <v>25</v>
      </c>
      <c r="CT402" t="s">
        <v>25</v>
      </c>
      <c r="CU402" t="s">
        <v>25</v>
      </c>
      <c r="CV402" t="s">
        <v>25</v>
      </c>
      <c r="CW402" t="s">
        <v>25</v>
      </c>
      <c r="CX402" t="s">
        <v>25</v>
      </c>
      <c r="CY402" t="s">
        <v>25</v>
      </c>
      <c r="CZ402" t="s">
        <v>25</v>
      </c>
      <c r="DA402" t="s">
        <v>25</v>
      </c>
      <c r="DB402" t="s">
        <v>25</v>
      </c>
      <c r="DC402" t="s">
        <v>25</v>
      </c>
      <c r="DD402" t="s">
        <v>25</v>
      </c>
      <c r="DE402" t="s">
        <v>25</v>
      </c>
      <c r="DF402" t="s">
        <v>25</v>
      </c>
      <c r="DG402" t="s">
        <v>25</v>
      </c>
      <c r="DH402" t="s">
        <v>25</v>
      </c>
      <c r="DI402" t="s">
        <v>25</v>
      </c>
      <c r="DJ402" s="76">
        <v>1.599999982863666E-2</v>
      </c>
      <c r="DK402" s="73">
        <v>0</v>
      </c>
      <c r="DL402" s="73">
        <v>19</v>
      </c>
      <c r="DM402" s="73">
        <v>-19</v>
      </c>
      <c r="DU402"/>
      <c r="DZ402" s="73">
        <v>66</v>
      </c>
      <c r="EA402" s="73">
        <v>0</v>
      </c>
      <c r="EB402" s="73">
        <v>66</v>
      </c>
      <c r="EC402" s="65" t="s">
        <v>126</v>
      </c>
    </row>
    <row r="403" spans="1:133" ht="12" customHeight="1" x14ac:dyDescent="0.2">
      <c r="A403" t="s">
        <v>2937</v>
      </c>
      <c r="B403" t="s">
        <v>2948</v>
      </c>
      <c r="C403" t="str">
        <f t="shared" si="20"/>
        <v>Prior Approval</v>
      </c>
      <c r="E403" s="65">
        <v>5552</v>
      </c>
      <c r="F403" t="s">
        <v>2011</v>
      </c>
      <c r="G403" s="71" t="s">
        <v>2904</v>
      </c>
      <c r="H403" s="67">
        <v>8.6000002920627594E-2</v>
      </c>
      <c r="I403" s="65">
        <v>525905</v>
      </c>
      <c r="J403" s="65">
        <v>173024</v>
      </c>
      <c r="L403" s="65" t="s">
        <v>2012</v>
      </c>
      <c r="M403" s="65" t="s">
        <v>243</v>
      </c>
      <c r="N403" s="69">
        <v>42888</v>
      </c>
      <c r="O403" s="69">
        <v>42944</v>
      </c>
      <c r="P403" s="65" t="s">
        <v>126</v>
      </c>
      <c r="R403" s="65" t="s">
        <v>28</v>
      </c>
      <c r="U403" t="s">
        <v>2013</v>
      </c>
      <c r="V403" t="s">
        <v>3368</v>
      </c>
      <c r="W403" s="65" t="s">
        <v>21</v>
      </c>
      <c r="X403" s="65" t="s">
        <v>21</v>
      </c>
      <c r="Y403" s="65" t="s">
        <v>69</v>
      </c>
      <c r="AD403" s="65" t="s">
        <v>23</v>
      </c>
      <c r="AE403" s="65" t="s">
        <v>24</v>
      </c>
      <c r="BF403" s="73">
        <v>545</v>
      </c>
      <c r="BK403" s="73">
        <v>545</v>
      </c>
      <c r="BO403" s="185" t="s">
        <v>3794</v>
      </c>
      <c r="BP403" s="185" t="s">
        <v>126</v>
      </c>
      <c r="BQ403" s="185" t="s">
        <v>3794</v>
      </c>
      <c r="BW403" s="73"/>
      <c r="BX403" s="73">
        <v>-545</v>
      </c>
      <c r="BY403" s="185" t="s">
        <v>126</v>
      </c>
      <c r="CD403" s="73">
        <v>-545</v>
      </c>
      <c r="CE403" s="65" t="s">
        <v>126</v>
      </c>
      <c r="CJ403" t="s">
        <v>25</v>
      </c>
      <c r="CK403" t="s">
        <v>25</v>
      </c>
      <c r="CL403" t="s">
        <v>25</v>
      </c>
      <c r="CM403" t="s">
        <v>25</v>
      </c>
      <c r="CN403" t="s">
        <v>25</v>
      </c>
      <c r="CO403" t="s">
        <v>25</v>
      </c>
      <c r="CP403" t="s">
        <v>25</v>
      </c>
      <c r="CQ403" t="s">
        <v>25</v>
      </c>
      <c r="CR403" t="s">
        <v>25</v>
      </c>
      <c r="CS403" t="s">
        <v>25</v>
      </c>
      <c r="CT403" t="s">
        <v>25</v>
      </c>
      <c r="CU403" t="s">
        <v>25</v>
      </c>
      <c r="CV403" t="s">
        <v>25</v>
      </c>
      <c r="CW403" t="s">
        <v>25</v>
      </c>
      <c r="CX403" t="s">
        <v>25</v>
      </c>
      <c r="CY403" t="s">
        <v>25</v>
      </c>
      <c r="CZ403" t="s">
        <v>25</v>
      </c>
      <c r="DA403" t="s">
        <v>25</v>
      </c>
      <c r="DB403" t="s">
        <v>47</v>
      </c>
      <c r="DC403" t="s">
        <v>25</v>
      </c>
      <c r="DD403" t="s">
        <v>25</v>
      </c>
      <c r="DE403" t="s">
        <v>25</v>
      </c>
      <c r="DF403" t="s">
        <v>25</v>
      </c>
      <c r="DG403" t="s">
        <v>25</v>
      </c>
      <c r="DH403" t="s">
        <v>25</v>
      </c>
      <c r="DI403" t="s">
        <v>25</v>
      </c>
      <c r="DJ403" s="76">
        <v>2.9000002890825292E-2</v>
      </c>
      <c r="DK403" s="73">
        <v>0</v>
      </c>
      <c r="DL403" s="73">
        <v>545</v>
      </c>
      <c r="DM403" s="73">
        <v>-545</v>
      </c>
      <c r="DQ403" s="65" t="s">
        <v>126</v>
      </c>
      <c r="DR403" t="s">
        <v>2915</v>
      </c>
      <c r="DU403"/>
      <c r="DZ403" s="73">
        <v>545</v>
      </c>
      <c r="EA403" s="73">
        <v>0</v>
      </c>
      <c r="EB403" s="73">
        <v>545</v>
      </c>
      <c r="EC403" s="65" t="s">
        <v>126</v>
      </c>
    </row>
    <row r="404" spans="1:133" ht="12" customHeight="1" x14ac:dyDescent="0.2">
      <c r="A404" t="s">
        <v>2938</v>
      </c>
      <c r="B404" t="s">
        <v>2946</v>
      </c>
      <c r="C404" t="str">
        <f t="shared" si="20"/>
        <v>Full</v>
      </c>
      <c r="E404" s="65">
        <v>5552</v>
      </c>
      <c r="F404" t="s">
        <v>2011</v>
      </c>
      <c r="G404" s="71" t="s">
        <v>2904</v>
      </c>
      <c r="H404" s="67">
        <v>8.6000002920627594E-2</v>
      </c>
      <c r="I404" s="65">
        <v>525905</v>
      </c>
      <c r="J404" s="65">
        <v>173024</v>
      </c>
      <c r="L404" s="65" t="s">
        <v>2014</v>
      </c>
      <c r="M404" s="65" t="s">
        <v>172</v>
      </c>
      <c r="N404" s="69">
        <v>43074</v>
      </c>
      <c r="R404" s="65" t="s">
        <v>28</v>
      </c>
      <c r="U404" t="s">
        <v>2015</v>
      </c>
      <c r="V404" t="s">
        <v>3369</v>
      </c>
      <c r="W404" s="65" t="s">
        <v>21</v>
      </c>
      <c r="X404" s="65" t="s">
        <v>21</v>
      </c>
      <c r="Y404" s="65" t="s">
        <v>69</v>
      </c>
      <c r="AD404" s="65" t="s">
        <v>173</v>
      </c>
      <c r="AE404" s="65" t="s">
        <v>24</v>
      </c>
      <c r="BL404" s="73">
        <v>92</v>
      </c>
      <c r="BN404" s="73">
        <v>92</v>
      </c>
      <c r="BO404" s="185" t="s">
        <v>3794</v>
      </c>
      <c r="BP404" s="185" t="s">
        <v>3794</v>
      </c>
      <c r="BQ404" s="185" t="s">
        <v>126</v>
      </c>
      <c r="BW404" s="73"/>
      <c r="BY404" s="185" t="s">
        <v>3794</v>
      </c>
      <c r="CG404" s="73">
        <v>-92</v>
      </c>
      <c r="CI404" s="73">
        <v>-92</v>
      </c>
      <c r="CJ404" t="s">
        <v>25</v>
      </c>
      <c r="CK404" t="s">
        <v>25</v>
      </c>
      <c r="CL404" t="s">
        <v>25</v>
      </c>
      <c r="CM404" t="s">
        <v>25</v>
      </c>
      <c r="CN404" t="s">
        <v>25</v>
      </c>
      <c r="CO404" t="s">
        <v>25</v>
      </c>
      <c r="CP404" t="s">
        <v>25</v>
      </c>
      <c r="CQ404" t="s">
        <v>25</v>
      </c>
      <c r="CR404" t="s">
        <v>25</v>
      </c>
      <c r="CS404" t="s">
        <v>25</v>
      </c>
      <c r="CT404" t="s">
        <v>25</v>
      </c>
      <c r="CU404" t="s">
        <v>25</v>
      </c>
      <c r="CV404" t="s">
        <v>25</v>
      </c>
      <c r="CW404" t="s">
        <v>25</v>
      </c>
      <c r="CX404" t="s">
        <v>25</v>
      </c>
      <c r="CY404" t="s">
        <v>25</v>
      </c>
      <c r="CZ404" t="s">
        <v>25</v>
      </c>
      <c r="DA404" t="s">
        <v>25</v>
      </c>
      <c r="DB404" t="s">
        <v>25</v>
      </c>
      <c r="DC404" t="s">
        <v>25</v>
      </c>
      <c r="DD404" t="s">
        <v>25</v>
      </c>
      <c r="DE404" t="s">
        <v>25</v>
      </c>
      <c r="DF404" t="s">
        <v>25</v>
      </c>
      <c r="DG404" t="s">
        <v>25</v>
      </c>
      <c r="DH404" t="s">
        <v>49</v>
      </c>
      <c r="DI404" t="s">
        <v>25</v>
      </c>
      <c r="DJ404" s="76">
        <v>7.7000003308057785E-2</v>
      </c>
      <c r="DK404" s="73">
        <v>0</v>
      </c>
      <c r="DL404" s="73">
        <v>92</v>
      </c>
      <c r="DM404" s="73">
        <v>-92</v>
      </c>
      <c r="DQ404" s="65" t="s">
        <v>126</v>
      </c>
      <c r="DR404" t="s">
        <v>2915</v>
      </c>
      <c r="DU404"/>
      <c r="DZ404" s="73">
        <v>92</v>
      </c>
      <c r="EA404" s="73">
        <v>0</v>
      </c>
      <c r="EB404" s="73">
        <v>92</v>
      </c>
      <c r="EC404" s="65" t="s">
        <v>126</v>
      </c>
    </row>
    <row r="405" spans="1:133" ht="12" customHeight="1" x14ac:dyDescent="0.2">
      <c r="A405" t="s">
        <v>2935</v>
      </c>
      <c r="B405" t="s">
        <v>2946</v>
      </c>
      <c r="C405" t="str">
        <f t="shared" si="20"/>
        <v>Full</v>
      </c>
      <c r="E405" s="65">
        <v>5555</v>
      </c>
      <c r="F405" t="s">
        <v>2016</v>
      </c>
      <c r="G405" s="71" t="s">
        <v>3947</v>
      </c>
      <c r="H405" s="67">
        <v>0.34299999475479098</v>
      </c>
      <c r="I405" s="65">
        <v>527992</v>
      </c>
      <c r="J405" s="65">
        <v>176642</v>
      </c>
      <c r="L405" s="65" t="s">
        <v>260</v>
      </c>
      <c r="M405" s="65" t="s">
        <v>27</v>
      </c>
      <c r="N405" s="69">
        <v>41696</v>
      </c>
      <c r="O405" s="69">
        <v>42025</v>
      </c>
      <c r="R405" s="65" t="s">
        <v>28</v>
      </c>
      <c r="U405" t="s">
        <v>692</v>
      </c>
      <c r="V405" t="s">
        <v>3370</v>
      </c>
      <c r="W405" s="65" t="s">
        <v>29</v>
      </c>
      <c r="X405" s="65" t="s">
        <v>29</v>
      </c>
      <c r="Y405" s="65" t="s">
        <v>30</v>
      </c>
      <c r="AA405" s="69">
        <v>42825</v>
      </c>
      <c r="AD405" s="65" t="s">
        <v>23</v>
      </c>
      <c r="AE405" s="65" t="s">
        <v>24</v>
      </c>
      <c r="AH405" s="69">
        <f t="shared" si="18"/>
        <v>42825</v>
      </c>
      <c r="AP405" s="73">
        <v>1581</v>
      </c>
      <c r="AS405" s="73">
        <v>1581</v>
      </c>
      <c r="AV405" s="73">
        <v>1581</v>
      </c>
      <c r="BF405" s="73">
        <v>2840</v>
      </c>
      <c r="BK405" s="73">
        <v>2840</v>
      </c>
      <c r="BO405" s="185" t="s">
        <v>3794</v>
      </c>
      <c r="BP405" s="185" t="s">
        <v>126</v>
      </c>
      <c r="BQ405" s="185" t="s">
        <v>3794</v>
      </c>
      <c r="BW405" s="73"/>
      <c r="BX405" s="73">
        <v>-1259</v>
      </c>
      <c r="BY405" s="185" t="s">
        <v>126</v>
      </c>
      <c r="CD405" s="73">
        <v>-1259</v>
      </c>
      <c r="CE405" s="65" t="s">
        <v>126</v>
      </c>
      <c r="CJ405" t="s">
        <v>25</v>
      </c>
      <c r="CK405" t="s">
        <v>25</v>
      </c>
      <c r="CL405" t="s">
        <v>25</v>
      </c>
      <c r="CM405" t="s">
        <v>25</v>
      </c>
      <c r="CN405" t="s">
        <v>25</v>
      </c>
      <c r="CO405" t="s">
        <v>31</v>
      </c>
      <c r="CP405" t="s">
        <v>25</v>
      </c>
      <c r="CQ405" t="s">
        <v>25</v>
      </c>
      <c r="CR405" t="s">
        <v>25</v>
      </c>
      <c r="CS405" t="s">
        <v>25</v>
      </c>
      <c r="CT405" t="s">
        <v>25</v>
      </c>
      <c r="CU405" t="s">
        <v>25</v>
      </c>
      <c r="CV405" t="s">
        <v>25</v>
      </c>
      <c r="CW405" t="s">
        <v>25</v>
      </c>
      <c r="CX405" t="s">
        <v>25</v>
      </c>
      <c r="CY405" t="s">
        <v>25</v>
      </c>
      <c r="CZ405" t="s">
        <v>25</v>
      </c>
      <c r="DA405" t="s">
        <v>25</v>
      </c>
      <c r="DB405" t="s">
        <v>31</v>
      </c>
      <c r="DC405" t="s">
        <v>25</v>
      </c>
      <c r="DD405" t="s">
        <v>25</v>
      </c>
      <c r="DE405" t="s">
        <v>25</v>
      </c>
      <c r="DF405" t="s">
        <v>25</v>
      </c>
      <c r="DG405" t="s">
        <v>25</v>
      </c>
      <c r="DH405" t="s">
        <v>25</v>
      </c>
      <c r="DI405" t="s">
        <v>25</v>
      </c>
      <c r="DJ405" s="76">
        <v>8.6999982595443004E-2</v>
      </c>
      <c r="DK405" s="73">
        <v>1581</v>
      </c>
      <c r="DL405" s="73">
        <v>2840</v>
      </c>
      <c r="DM405" s="73">
        <v>-1259</v>
      </c>
      <c r="DU405"/>
      <c r="DZ405" s="73">
        <v>2563</v>
      </c>
      <c r="EA405" s="73">
        <v>0</v>
      </c>
      <c r="EB405" s="73">
        <v>2563</v>
      </c>
      <c r="EC405" s="65" t="s">
        <v>126</v>
      </c>
    </row>
    <row r="406" spans="1:133" ht="12" customHeight="1" x14ac:dyDescent="0.2">
      <c r="A406" t="s">
        <v>2936</v>
      </c>
      <c r="B406" t="s">
        <v>2946</v>
      </c>
      <c r="C406" t="str">
        <f t="shared" si="20"/>
        <v>Full</v>
      </c>
      <c r="D406" t="s">
        <v>2942</v>
      </c>
      <c r="E406" s="65">
        <v>5569</v>
      </c>
      <c r="F406" t="s">
        <v>2017</v>
      </c>
      <c r="G406" s="71" t="s">
        <v>2907</v>
      </c>
      <c r="H406" s="67">
        <v>4.1999999433755902E-2</v>
      </c>
      <c r="I406" s="65">
        <v>525381</v>
      </c>
      <c r="J406" s="65">
        <v>174578</v>
      </c>
      <c r="K406" s="65" t="s">
        <v>2018</v>
      </c>
      <c r="L406" s="65" t="s">
        <v>253</v>
      </c>
      <c r="M406" s="65" t="s">
        <v>33</v>
      </c>
      <c r="N406" s="69">
        <v>41541</v>
      </c>
      <c r="O406" s="69">
        <v>41842</v>
      </c>
      <c r="Q406" s="69">
        <v>41659</v>
      </c>
      <c r="R406" s="65" t="s">
        <v>28</v>
      </c>
      <c r="U406" t="s">
        <v>688</v>
      </c>
      <c r="V406" t="s">
        <v>3371</v>
      </c>
      <c r="W406" s="65" t="s">
        <v>29</v>
      </c>
      <c r="X406" s="65" t="s">
        <v>29</v>
      </c>
      <c r="Y406" s="65" t="s">
        <v>22</v>
      </c>
      <c r="Z406" s="69">
        <v>42643</v>
      </c>
      <c r="AA406" s="69">
        <v>42643</v>
      </c>
      <c r="AB406" s="69">
        <v>43190</v>
      </c>
      <c r="AD406" s="65" t="s">
        <v>23</v>
      </c>
      <c r="AE406" s="65" t="s">
        <v>24</v>
      </c>
      <c r="AH406" s="69">
        <f t="shared" si="18"/>
        <v>42643</v>
      </c>
      <c r="AI406" s="69">
        <f t="shared" si="19"/>
        <v>43190</v>
      </c>
      <c r="AL406" s="73">
        <v>163</v>
      </c>
      <c r="AO406" s="73">
        <v>163</v>
      </c>
      <c r="AP406" s="73">
        <v>2245</v>
      </c>
      <c r="AS406" s="73">
        <v>2245</v>
      </c>
      <c r="AV406" s="73">
        <v>2245</v>
      </c>
      <c r="BO406" s="185" t="s">
        <v>126</v>
      </c>
      <c r="BP406" s="185" t="s">
        <v>126</v>
      </c>
      <c r="BQ406" s="185" t="s">
        <v>3794</v>
      </c>
      <c r="BT406" s="73">
        <v>163</v>
      </c>
      <c r="BW406" s="73">
        <v>163</v>
      </c>
      <c r="BX406" s="73">
        <v>2245</v>
      </c>
      <c r="BY406" s="185" t="s">
        <v>3794</v>
      </c>
      <c r="CD406" s="73">
        <v>2245</v>
      </c>
      <c r="CJ406" t="s">
        <v>25</v>
      </c>
      <c r="CK406" t="s">
        <v>25</v>
      </c>
      <c r="CL406" t="s">
        <v>50</v>
      </c>
      <c r="CM406" t="s">
        <v>25</v>
      </c>
      <c r="CN406" t="s">
        <v>25</v>
      </c>
      <c r="CO406" t="s">
        <v>31</v>
      </c>
      <c r="CP406" t="s">
        <v>25</v>
      </c>
      <c r="CQ406" t="s">
        <v>25</v>
      </c>
      <c r="CR406" t="s">
        <v>25</v>
      </c>
      <c r="CS406" t="s">
        <v>25</v>
      </c>
      <c r="CT406" t="s">
        <v>25</v>
      </c>
      <c r="CU406" t="s">
        <v>25</v>
      </c>
      <c r="CV406" t="s">
        <v>25</v>
      </c>
      <c r="CW406" t="s">
        <v>25</v>
      </c>
      <c r="CX406" t="s">
        <v>25</v>
      </c>
      <c r="CY406" t="s">
        <v>25</v>
      </c>
      <c r="CZ406" t="s">
        <v>25</v>
      </c>
      <c r="DA406" t="s">
        <v>25</v>
      </c>
      <c r="DB406" t="s">
        <v>25</v>
      </c>
      <c r="DC406" t="s">
        <v>25</v>
      </c>
      <c r="DD406" t="s">
        <v>25</v>
      </c>
      <c r="DE406" t="s">
        <v>25</v>
      </c>
      <c r="DF406" t="s">
        <v>25</v>
      </c>
      <c r="DG406" t="s">
        <v>25</v>
      </c>
      <c r="DH406" t="s">
        <v>25</v>
      </c>
      <c r="DI406" t="s">
        <v>25</v>
      </c>
      <c r="DJ406" s="76">
        <v>0</v>
      </c>
      <c r="DK406" s="73">
        <v>2408</v>
      </c>
      <c r="DL406" s="73">
        <v>125</v>
      </c>
      <c r="DM406" s="73">
        <v>2283</v>
      </c>
      <c r="DS406" s="65" t="s">
        <v>126</v>
      </c>
      <c r="DT406" t="s">
        <v>2909</v>
      </c>
      <c r="DU406"/>
      <c r="DV406" s="65" t="s">
        <v>126</v>
      </c>
      <c r="DW406" t="s">
        <v>151</v>
      </c>
      <c r="DZ406" s="73">
        <v>6774</v>
      </c>
      <c r="EA406" s="73">
        <v>0</v>
      </c>
      <c r="EB406" s="73">
        <v>6774</v>
      </c>
      <c r="EC406" s="65" t="s">
        <v>126</v>
      </c>
    </row>
    <row r="407" spans="1:133" ht="12" customHeight="1" x14ac:dyDescent="0.2">
      <c r="A407" t="s">
        <v>2937</v>
      </c>
      <c r="B407" t="s">
        <v>2946</v>
      </c>
      <c r="C407" t="str">
        <f t="shared" si="20"/>
        <v>Full</v>
      </c>
      <c r="E407" s="65">
        <v>5577</v>
      </c>
      <c r="F407" t="s">
        <v>2019</v>
      </c>
      <c r="G407" s="71" t="s">
        <v>3948</v>
      </c>
      <c r="H407" s="67">
        <v>1.09999999403954E-2</v>
      </c>
      <c r="I407" s="65">
        <v>528115</v>
      </c>
      <c r="J407" s="65">
        <v>176624</v>
      </c>
      <c r="L407" s="65" t="s">
        <v>389</v>
      </c>
      <c r="M407" s="65" t="s">
        <v>27</v>
      </c>
      <c r="N407" s="69">
        <v>41725</v>
      </c>
      <c r="O407" s="69">
        <v>41780</v>
      </c>
      <c r="R407" s="65" t="s">
        <v>28</v>
      </c>
      <c r="U407" t="s">
        <v>390</v>
      </c>
      <c r="V407" t="s">
        <v>3372</v>
      </c>
      <c r="W407" s="65" t="s">
        <v>21</v>
      </c>
      <c r="X407" s="65" t="s">
        <v>21</v>
      </c>
      <c r="Y407" s="65" t="s">
        <v>59</v>
      </c>
      <c r="AD407" s="65" t="s">
        <v>23</v>
      </c>
      <c r="AE407" s="65" t="s">
        <v>24</v>
      </c>
      <c r="BF407" s="73">
        <v>13</v>
      </c>
      <c r="BK407" s="73">
        <v>13</v>
      </c>
      <c r="BO407" s="185" t="s">
        <v>3794</v>
      </c>
      <c r="BP407" s="185" t="s">
        <v>126</v>
      </c>
      <c r="BQ407" s="185" t="s">
        <v>3794</v>
      </c>
      <c r="BW407" s="73"/>
      <c r="BX407" s="73">
        <v>-13</v>
      </c>
      <c r="BY407" s="185" t="s">
        <v>126</v>
      </c>
      <c r="CD407" s="73">
        <v>-13</v>
      </c>
      <c r="CE407" s="65" t="s">
        <v>126</v>
      </c>
      <c r="CJ407" t="s">
        <v>25</v>
      </c>
      <c r="CK407" t="s">
        <v>25</v>
      </c>
      <c r="CL407" t="s">
        <v>25</v>
      </c>
      <c r="CM407" t="s">
        <v>25</v>
      </c>
      <c r="CN407" t="s">
        <v>25</v>
      </c>
      <c r="CO407" t="s">
        <v>25</v>
      </c>
      <c r="CP407" t="s">
        <v>25</v>
      </c>
      <c r="CQ407" t="s">
        <v>25</v>
      </c>
      <c r="CR407" t="s">
        <v>25</v>
      </c>
      <c r="CS407" t="s">
        <v>25</v>
      </c>
      <c r="CT407" t="s">
        <v>25</v>
      </c>
      <c r="CU407" t="s">
        <v>25</v>
      </c>
      <c r="CV407" t="s">
        <v>25</v>
      </c>
      <c r="CW407" t="s">
        <v>25</v>
      </c>
      <c r="CX407" t="s">
        <v>25</v>
      </c>
      <c r="CY407" t="s">
        <v>25</v>
      </c>
      <c r="CZ407" t="s">
        <v>25</v>
      </c>
      <c r="DA407" t="s">
        <v>25</v>
      </c>
      <c r="DB407" t="s">
        <v>31</v>
      </c>
      <c r="DC407" t="s">
        <v>25</v>
      </c>
      <c r="DD407" t="s">
        <v>25</v>
      </c>
      <c r="DE407" t="s">
        <v>25</v>
      </c>
      <c r="DF407" t="s">
        <v>25</v>
      </c>
      <c r="DG407" t="s">
        <v>25</v>
      </c>
      <c r="DH407" t="s">
        <v>25</v>
      </c>
      <c r="DI407" t="s">
        <v>25</v>
      </c>
      <c r="DJ407" s="76">
        <v>1.09999999403954E-2</v>
      </c>
      <c r="DK407" s="73">
        <v>13</v>
      </c>
      <c r="DL407" s="73">
        <v>13</v>
      </c>
      <c r="DM407" s="73">
        <v>0</v>
      </c>
      <c r="DU407"/>
      <c r="DZ407" s="73">
        <v>0</v>
      </c>
      <c r="EA407" s="73">
        <v>0</v>
      </c>
      <c r="EB407" s="73">
        <v>0</v>
      </c>
    </row>
    <row r="408" spans="1:133" ht="12" customHeight="1" x14ac:dyDescent="0.2">
      <c r="A408" t="s">
        <v>2937</v>
      </c>
      <c r="B408" t="s">
        <v>2946</v>
      </c>
      <c r="C408" t="str">
        <f t="shared" si="20"/>
        <v>Full</v>
      </c>
      <c r="E408" s="65">
        <v>5584</v>
      </c>
      <c r="F408" t="s">
        <v>2020</v>
      </c>
      <c r="G408" s="71" t="s">
        <v>3939</v>
      </c>
      <c r="H408" s="67">
        <v>0.36899998784065202</v>
      </c>
      <c r="I408" s="65">
        <v>524584</v>
      </c>
      <c r="J408" s="65">
        <v>172963</v>
      </c>
      <c r="L408" s="65" t="s">
        <v>252</v>
      </c>
      <c r="M408" s="65" t="s">
        <v>27</v>
      </c>
      <c r="N408" s="69">
        <v>41726</v>
      </c>
      <c r="O408" s="69">
        <v>41810</v>
      </c>
      <c r="R408" s="65" t="s">
        <v>28</v>
      </c>
      <c r="U408" t="s">
        <v>395</v>
      </c>
      <c r="V408" t="s">
        <v>3373</v>
      </c>
      <c r="W408" s="65" t="s">
        <v>29</v>
      </c>
      <c r="X408" s="65" t="s">
        <v>29</v>
      </c>
      <c r="Y408" s="65" t="s">
        <v>69</v>
      </c>
      <c r="AD408" s="65" t="s">
        <v>23</v>
      </c>
      <c r="AE408" s="65" t="s">
        <v>24</v>
      </c>
      <c r="AW408" s="73">
        <v>142</v>
      </c>
      <c r="AX408" s="73">
        <v>324</v>
      </c>
      <c r="AY408" s="73">
        <v>466</v>
      </c>
      <c r="BM408" s="73">
        <v>233</v>
      </c>
      <c r="BN408" s="73">
        <v>233</v>
      </c>
      <c r="BO408" s="185" t="s">
        <v>3794</v>
      </c>
      <c r="BP408" s="185" t="s">
        <v>3794</v>
      </c>
      <c r="BQ408" s="185" t="s">
        <v>126</v>
      </c>
      <c r="BW408" s="73"/>
      <c r="BY408" s="185" t="s">
        <v>3794</v>
      </c>
      <c r="CG408" s="73">
        <v>142</v>
      </c>
      <c r="CH408" s="73">
        <v>91</v>
      </c>
      <c r="CI408" s="73">
        <v>233</v>
      </c>
      <c r="CJ408" t="s">
        <v>25</v>
      </c>
      <c r="CK408" t="s">
        <v>25</v>
      </c>
      <c r="CL408" t="s">
        <v>25</v>
      </c>
      <c r="CM408" t="s">
        <v>25</v>
      </c>
      <c r="CN408" t="s">
        <v>25</v>
      </c>
      <c r="CO408" t="s">
        <v>25</v>
      </c>
      <c r="CP408" t="s">
        <v>25</v>
      </c>
      <c r="CQ408" t="s">
        <v>25</v>
      </c>
      <c r="CR408" t="s">
        <v>25</v>
      </c>
      <c r="CS408" t="s">
        <v>25</v>
      </c>
      <c r="CT408" t="s">
        <v>25</v>
      </c>
      <c r="CU408" t="s">
        <v>43</v>
      </c>
      <c r="CV408" t="s">
        <v>44</v>
      </c>
      <c r="CW408" t="s">
        <v>25</v>
      </c>
      <c r="CX408" t="s">
        <v>25</v>
      </c>
      <c r="CY408" t="s">
        <v>25</v>
      </c>
      <c r="CZ408" t="s">
        <v>25</v>
      </c>
      <c r="DA408" t="s">
        <v>25</v>
      </c>
      <c r="DB408" t="s">
        <v>25</v>
      </c>
      <c r="DC408" t="s">
        <v>25</v>
      </c>
      <c r="DD408" t="s">
        <v>25</v>
      </c>
      <c r="DE408" t="s">
        <v>25</v>
      </c>
      <c r="DF408" t="s">
        <v>25</v>
      </c>
      <c r="DG408" t="s">
        <v>25</v>
      </c>
      <c r="DH408" t="s">
        <v>25</v>
      </c>
      <c r="DI408" t="s">
        <v>44</v>
      </c>
      <c r="DJ408" s="76">
        <v>0.36899998784065202</v>
      </c>
      <c r="DK408" s="73">
        <v>466</v>
      </c>
      <c r="DL408" s="73">
        <v>233</v>
      </c>
      <c r="DM408" s="73">
        <v>233</v>
      </c>
      <c r="DU408"/>
      <c r="DZ408" s="73">
        <v>0</v>
      </c>
      <c r="EA408" s="73">
        <v>0</v>
      </c>
      <c r="EB408" s="73">
        <v>0</v>
      </c>
    </row>
    <row r="409" spans="1:133" ht="12" customHeight="1" x14ac:dyDescent="0.2">
      <c r="A409" t="s">
        <v>2937</v>
      </c>
      <c r="B409" t="s">
        <v>2948</v>
      </c>
      <c r="C409" t="str">
        <f t="shared" si="20"/>
        <v>Prior Approval</v>
      </c>
      <c r="E409" s="65">
        <v>5589</v>
      </c>
      <c r="F409" t="s">
        <v>2021</v>
      </c>
      <c r="G409" s="71" t="s">
        <v>3943</v>
      </c>
      <c r="H409" s="67">
        <v>5.2999999374151202E-2</v>
      </c>
      <c r="I409" s="65">
        <v>526329</v>
      </c>
      <c r="J409" s="65">
        <v>175625</v>
      </c>
      <c r="L409" s="65" t="s">
        <v>577</v>
      </c>
      <c r="M409" s="65" t="s">
        <v>243</v>
      </c>
      <c r="N409" s="69">
        <v>42347</v>
      </c>
      <c r="O409" s="69">
        <v>42403</v>
      </c>
      <c r="R409" s="65" t="s">
        <v>28</v>
      </c>
      <c r="U409" t="s">
        <v>578</v>
      </c>
      <c r="V409" t="s">
        <v>3374</v>
      </c>
      <c r="W409" s="65" t="s">
        <v>21</v>
      </c>
      <c r="X409" s="65" t="s">
        <v>21</v>
      </c>
      <c r="Y409" s="65" t="s">
        <v>59</v>
      </c>
      <c r="AD409" s="65" t="s">
        <v>23</v>
      </c>
      <c r="AE409" s="65" t="s">
        <v>24</v>
      </c>
      <c r="BF409" s="73">
        <v>826</v>
      </c>
      <c r="BK409" s="73">
        <v>826</v>
      </c>
      <c r="BO409" s="185" t="s">
        <v>3794</v>
      </c>
      <c r="BP409" s="185" t="s">
        <v>126</v>
      </c>
      <c r="BQ409" s="185" t="s">
        <v>3794</v>
      </c>
      <c r="BW409" s="73"/>
      <c r="BX409" s="73">
        <v>-826</v>
      </c>
      <c r="BY409" s="185" t="s">
        <v>126</v>
      </c>
      <c r="CD409" s="73">
        <v>-826</v>
      </c>
      <c r="CE409" s="65" t="s">
        <v>126</v>
      </c>
      <c r="CJ409" t="s">
        <v>25</v>
      </c>
      <c r="CK409" t="s">
        <v>25</v>
      </c>
      <c r="CL409" t="s">
        <v>25</v>
      </c>
      <c r="CM409" t="s">
        <v>25</v>
      </c>
      <c r="CN409" t="s">
        <v>25</v>
      </c>
      <c r="CO409" t="s">
        <v>25</v>
      </c>
      <c r="CP409" t="s">
        <v>25</v>
      </c>
      <c r="CQ409" t="s">
        <v>25</v>
      </c>
      <c r="CR409" t="s">
        <v>25</v>
      </c>
      <c r="CS409" t="s">
        <v>25</v>
      </c>
      <c r="CT409" t="s">
        <v>25</v>
      </c>
      <c r="CU409" t="s">
        <v>25</v>
      </c>
      <c r="CV409" t="s">
        <v>25</v>
      </c>
      <c r="CW409" t="s">
        <v>25</v>
      </c>
      <c r="CX409" t="s">
        <v>25</v>
      </c>
      <c r="CY409" t="s">
        <v>25</v>
      </c>
      <c r="CZ409" t="s">
        <v>25</v>
      </c>
      <c r="DA409" t="s">
        <v>25</v>
      </c>
      <c r="DB409" t="s">
        <v>31</v>
      </c>
      <c r="DC409" t="s">
        <v>25</v>
      </c>
      <c r="DD409" t="s">
        <v>25</v>
      </c>
      <c r="DE409" t="s">
        <v>25</v>
      </c>
      <c r="DF409" t="s">
        <v>25</v>
      </c>
      <c r="DG409" t="s">
        <v>25</v>
      </c>
      <c r="DH409" t="s">
        <v>25</v>
      </c>
      <c r="DI409" t="s">
        <v>25</v>
      </c>
      <c r="DJ409" s="76">
        <v>0</v>
      </c>
      <c r="DK409" s="73">
        <v>0</v>
      </c>
      <c r="DL409" s="73">
        <v>826</v>
      </c>
      <c r="DM409" s="73">
        <v>-826</v>
      </c>
      <c r="DN409" s="65" t="s">
        <v>126</v>
      </c>
      <c r="DU409"/>
      <c r="DZ409" s="73">
        <v>826</v>
      </c>
      <c r="EA409" s="73">
        <v>0</v>
      </c>
      <c r="EB409" s="73">
        <v>826</v>
      </c>
      <c r="EC409" s="65" t="s">
        <v>126</v>
      </c>
    </row>
    <row r="410" spans="1:133" ht="12" customHeight="1" x14ac:dyDescent="0.2">
      <c r="A410" t="s">
        <v>2937</v>
      </c>
      <c r="B410" t="s">
        <v>2948</v>
      </c>
      <c r="C410" t="str">
        <f t="shared" si="20"/>
        <v>Prior Approval</v>
      </c>
      <c r="E410" s="65">
        <v>5605</v>
      </c>
      <c r="F410" t="s">
        <v>2022</v>
      </c>
      <c r="G410" s="71" t="s">
        <v>3943</v>
      </c>
      <c r="H410" s="67">
        <v>2.5000000372528999E-2</v>
      </c>
      <c r="I410" s="65">
        <v>526468</v>
      </c>
      <c r="J410" s="65">
        <v>175725</v>
      </c>
      <c r="K410" s="65" t="s">
        <v>1342</v>
      </c>
      <c r="L410" s="65" t="s">
        <v>933</v>
      </c>
      <c r="M410" s="65" t="s">
        <v>243</v>
      </c>
      <c r="N410" s="69">
        <v>42548</v>
      </c>
      <c r="O410" s="69">
        <v>42604</v>
      </c>
      <c r="R410" s="65" t="s">
        <v>28</v>
      </c>
      <c r="U410" t="s">
        <v>934</v>
      </c>
      <c r="V410" t="s">
        <v>3375</v>
      </c>
      <c r="W410" s="65" t="s">
        <v>21</v>
      </c>
      <c r="X410" s="65" t="s">
        <v>21</v>
      </c>
      <c r="Y410" s="65" t="s">
        <v>59</v>
      </c>
      <c r="AD410" s="65" t="s">
        <v>23</v>
      </c>
      <c r="AE410" s="65" t="s">
        <v>24</v>
      </c>
      <c r="BF410" s="73">
        <v>38</v>
      </c>
      <c r="BK410" s="73">
        <v>38</v>
      </c>
      <c r="BO410" s="185" t="s">
        <v>3794</v>
      </c>
      <c r="BP410" s="185" t="s">
        <v>126</v>
      </c>
      <c r="BQ410" s="185" t="s">
        <v>3794</v>
      </c>
      <c r="BW410" s="73"/>
      <c r="BX410" s="73">
        <v>-38</v>
      </c>
      <c r="BY410" s="185" t="s">
        <v>126</v>
      </c>
      <c r="CD410" s="73">
        <v>-38</v>
      </c>
      <c r="CE410" s="65" t="s">
        <v>126</v>
      </c>
      <c r="CJ410" t="s">
        <v>25</v>
      </c>
      <c r="CK410" t="s">
        <v>25</v>
      </c>
      <c r="CL410" t="s">
        <v>25</v>
      </c>
      <c r="CM410" t="s">
        <v>25</v>
      </c>
      <c r="CN410" t="s">
        <v>25</v>
      </c>
      <c r="CO410" t="s">
        <v>25</v>
      </c>
      <c r="CP410" t="s">
        <v>25</v>
      </c>
      <c r="CQ410" t="s">
        <v>25</v>
      </c>
      <c r="CR410" t="s">
        <v>25</v>
      </c>
      <c r="CS410" t="s">
        <v>25</v>
      </c>
      <c r="CT410" t="s">
        <v>25</v>
      </c>
      <c r="CU410" t="s">
        <v>25</v>
      </c>
      <c r="CV410" t="s">
        <v>25</v>
      </c>
      <c r="CW410" t="s">
        <v>25</v>
      </c>
      <c r="CX410" t="s">
        <v>25</v>
      </c>
      <c r="CY410" t="s">
        <v>25</v>
      </c>
      <c r="CZ410" t="s">
        <v>25</v>
      </c>
      <c r="DA410" t="s">
        <v>25</v>
      </c>
      <c r="DB410" t="s">
        <v>31</v>
      </c>
      <c r="DC410" t="s">
        <v>25</v>
      </c>
      <c r="DD410" t="s">
        <v>25</v>
      </c>
      <c r="DE410" t="s">
        <v>25</v>
      </c>
      <c r="DF410" t="s">
        <v>25</v>
      </c>
      <c r="DG410" t="s">
        <v>25</v>
      </c>
      <c r="DH410" t="s">
        <v>25</v>
      </c>
      <c r="DI410" t="s">
        <v>25</v>
      </c>
      <c r="DJ410" s="76">
        <v>2.100000018253919E-2</v>
      </c>
      <c r="DK410" s="73">
        <v>0</v>
      </c>
      <c r="DL410" s="73">
        <v>38</v>
      </c>
      <c r="DM410" s="73">
        <v>-38</v>
      </c>
      <c r="DN410" s="65" t="s">
        <v>126</v>
      </c>
      <c r="DU410"/>
      <c r="DZ410" s="73">
        <v>38</v>
      </c>
      <c r="EA410" s="73">
        <v>0</v>
      </c>
      <c r="EB410" s="73">
        <v>38</v>
      </c>
      <c r="EC410" s="65" t="s">
        <v>126</v>
      </c>
    </row>
    <row r="411" spans="1:133" ht="12" customHeight="1" x14ac:dyDescent="0.2">
      <c r="A411" t="s">
        <v>2935</v>
      </c>
      <c r="B411" t="s">
        <v>2946</v>
      </c>
      <c r="C411" t="str">
        <f t="shared" si="20"/>
        <v>Full</v>
      </c>
      <c r="E411" s="65">
        <v>5626</v>
      </c>
      <c r="F411" t="s">
        <v>2023</v>
      </c>
      <c r="G411" s="71" t="s">
        <v>3952</v>
      </c>
      <c r="H411" s="67">
        <v>0.108999997377396</v>
      </c>
      <c r="I411" s="65">
        <v>528298</v>
      </c>
      <c r="J411" s="65">
        <v>172753</v>
      </c>
      <c r="L411" s="65" t="s">
        <v>386</v>
      </c>
      <c r="M411" s="65" t="s">
        <v>33</v>
      </c>
      <c r="N411" s="69">
        <v>41680</v>
      </c>
      <c r="O411" s="69">
        <v>41817</v>
      </c>
      <c r="Q411" s="69">
        <v>41767</v>
      </c>
      <c r="R411" s="65" t="s">
        <v>28</v>
      </c>
      <c r="U411" t="s">
        <v>695</v>
      </c>
      <c r="V411" t="s">
        <v>3376</v>
      </c>
      <c r="W411" s="65" t="s">
        <v>29</v>
      </c>
      <c r="X411" s="65" t="s">
        <v>29</v>
      </c>
      <c r="Y411" s="65" t="s">
        <v>30</v>
      </c>
      <c r="AA411" s="69">
        <v>42825</v>
      </c>
      <c r="AD411" s="65" t="s">
        <v>23</v>
      </c>
      <c r="AE411" s="65" t="s">
        <v>24</v>
      </c>
      <c r="AH411" s="69">
        <f t="shared" si="18"/>
        <v>42825</v>
      </c>
      <c r="BF411" s="73">
        <v>2790</v>
      </c>
      <c r="BK411" s="73">
        <v>2790</v>
      </c>
      <c r="BO411" s="185" t="s">
        <v>3794</v>
      </c>
      <c r="BP411" s="185" t="s">
        <v>126</v>
      </c>
      <c r="BQ411" s="185" t="s">
        <v>3794</v>
      </c>
      <c r="BW411" s="73"/>
      <c r="BX411" s="73">
        <v>-2790</v>
      </c>
      <c r="BY411" s="185" t="s">
        <v>126</v>
      </c>
      <c r="CD411" s="73">
        <v>-2790</v>
      </c>
      <c r="CE411" s="65" t="s">
        <v>126</v>
      </c>
      <c r="CJ411" t="s">
        <v>25</v>
      </c>
      <c r="CK411" t="s">
        <v>25</v>
      </c>
      <c r="CL411" t="s">
        <v>25</v>
      </c>
      <c r="CM411" t="s">
        <v>25</v>
      </c>
      <c r="CN411" t="s">
        <v>25</v>
      </c>
      <c r="CO411" t="s">
        <v>25</v>
      </c>
      <c r="CP411" t="s">
        <v>25</v>
      </c>
      <c r="CQ411" t="s">
        <v>25</v>
      </c>
      <c r="CR411" t="s">
        <v>25</v>
      </c>
      <c r="CS411" t="s">
        <v>25</v>
      </c>
      <c r="CT411" t="s">
        <v>25</v>
      </c>
      <c r="CU411" t="s">
        <v>25</v>
      </c>
      <c r="CV411" t="s">
        <v>25</v>
      </c>
      <c r="CW411" t="s">
        <v>25</v>
      </c>
      <c r="CX411" t="s">
        <v>25</v>
      </c>
      <c r="CY411" t="s">
        <v>25</v>
      </c>
      <c r="CZ411" t="s">
        <v>25</v>
      </c>
      <c r="DA411" t="s">
        <v>25</v>
      </c>
      <c r="DB411" t="s">
        <v>47</v>
      </c>
      <c r="DC411" t="s">
        <v>25</v>
      </c>
      <c r="DD411" t="s">
        <v>25</v>
      </c>
      <c r="DE411" t="s">
        <v>25</v>
      </c>
      <c r="DF411" t="s">
        <v>25</v>
      </c>
      <c r="DG411" t="s">
        <v>25</v>
      </c>
      <c r="DH411" t="s">
        <v>25</v>
      </c>
      <c r="DI411" t="s">
        <v>25</v>
      </c>
      <c r="DJ411" s="76">
        <v>0</v>
      </c>
      <c r="DK411" s="73">
        <v>0</v>
      </c>
      <c r="DL411" s="73">
        <v>2790</v>
      </c>
      <c r="DM411" s="73">
        <v>-2790</v>
      </c>
      <c r="DU411"/>
      <c r="DZ411" s="73">
        <v>5050</v>
      </c>
      <c r="EA411" s="73">
        <v>0</v>
      </c>
      <c r="EB411" s="73">
        <v>5050</v>
      </c>
      <c r="EC411" s="65" t="s">
        <v>126</v>
      </c>
    </row>
    <row r="412" spans="1:133" ht="12" customHeight="1" x14ac:dyDescent="0.2">
      <c r="A412" t="s">
        <v>2936</v>
      </c>
      <c r="B412" t="s">
        <v>2948</v>
      </c>
      <c r="C412" t="str">
        <f t="shared" si="20"/>
        <v>Prior Approval</v>
      </c>
      <c r="D412" t="s">
        <v>2943</v>
      </c>
      <c r="E412" s="65">
        <v>5629</v>
      </c>
      <c r="F412" t="s">
        <v>2024</v>
      </c>
      <c r="G412" s="71" t="s">
        <v>2907</v>
      </c>
      <c r="H412" s="67">
        <v>5.2999999374151202E-2</v>
      </c>
      <c r="I412" s="65">
        <v>525681</v>
      </c>
      <c r="J412" s="65">
        <v>174324</v>
      </c>
      <c r="L412" s="65" t="s">
        <v>349</v>
      </c>
      <c r="M412" s="65" t="s">
        <v>244</v>
      </c>
      <c r="N412" s="69">
        <v>41766</v>
      </c>
      <c r="O412" s="69">
        <v>41822</v>
      </c>
      <c r="R412" s="65" t="s">
        <v>28</v>
      </c>
      <c r="U412" t="s">
        <v>350</v>
      </c>
      <c r="V412" t="s">
        <v>3377</v>
      </c>
      <c r="W412" s="65" t="s">
        <v>21</v>
      </c>
      <c r="X412" s="65" t="s">
        <v>21</v>
      </c>
      <c r="Y412" s="65" t="s">
        <v>35</v>
      </c>
      <c r="AA412" s="69">
        <v>41921</v>
      </c>
      <c r="AB412" s="69">
        <v>42852</v>
      </c>
      <c r="AC412" s="69">
        <v>42852</v>
      </c>
      <c r="AD412" s="65" t="s">
        <v>23</v>
      </c>
      <c r="AE412" s="65" t="s">
        <v>24</v>
      </c>
      <c r="AH412" s="69">
        <f t="shared" si="18"/>
        <v>41921</v>
      </c>
      <c r="AI412" s="69">
        <f t="shared" si="19"/>
        <v>42852</v>
      </c>
      <c r="BF412" s="73">
        <v>815</v>
      </c>
      <c r="BK412" s="73">
        <v>815</v>
      </c>
      <c r="BO412" s="185" t="s">
        <v>3794</v>
      </c>
      <c r="BP412" s="185" t="s">
        <v>126</v>
      </c>
      <c r="BQ412" s="185" t="s">
        <v>3794</v>
      </c>
      <c r="BW412" s="73"/>
      <c r="BX412" s="73">
        <v>-815</v>
      </c>
      <c r="BY412" s="185" t="s">
        <v>126</v>
      </c>
      <c r="CD412" s="73">
        <v>-815</v>
      </c>
      <c r="CE412" s="65" t="s">
        <v>126</v>
      </c>
      <c r="CJ412" t="s">
        <v>25</v>
      </c>
      <c r="CK412" t="s">
        <v>25</v>
      </c>
      <c r="CL412" t="s">
        <v>25</v>
      </c>
      <c r="CM412" t="s">
        <v>25</v>
      </c>
      <c r="CN412" t="s">
        <v>25</v>
      </c>
      <c r="CO412" t="s">
        <v>25</v>
      </c>
      <c r="CP412" t="s">
        <v>25</v>
      </c>
      <c r="CQ412" t="s">
        <v>25</v>
      </c>
      <c r="CR412" t="s">
        <v>25</v>
      </c>
      <c r="CS412" t="s">
        <v>25</v>
      </c>
      <c r="CT412" t="s">
        <v>25</v>
      </c>
      <c r="CU412" t="s">
        <v>25</v>
      </c>
      <c r="CV412" t="s">
        <v>25</v>
      </c>
      <c r="CW412" t="s">
        <v>25</v>
      </c>
      <c r="CX412" t="s">
        <v>25</v>
      </c>
      <c r="CY412" t="s">
        <v>25</v>
      </c>
      <c r="CZ412" t="s">
        <v>25</v>
      </c>
      <c r="DA412" t="s">
        <v>25</v>
      </c>
      <c r="DB412" t="s">
        <v>31</v>
      </c>
      <c r="DC412" t="s">
        <v>25</v>
      </c>
      <c r="DD412" t="s">
        <v>25</v>
      </c>
      <c r="DE412" t="s">
        <v>25</v>
      </c>
      <c r="DF412" t="s">
        <v>25</v>
      </c>
      <c r="DG412" t="s">
        <v>25</v>
      </c>
      <c r="DH412" t="s">
        <v>25</v>
      </c>
      <c r="DI412" t="s">
        <v>25</v>
      </c>
      <c r="DJ412" s="76">
        <v>2.6999998837709403E-2</v>
      </c>
      <c r="DK412" s="73">
        <v>0</v>
      </c>
      <c r="DL412" s="73">
        <v>815</v>
      </c>
      <c r="DM412" s="73">
        <v>-815</v>
      </c>
      <c r="DU412"/>
      <c r="DV412" s="65" t="s">
        <v>126</v>
      </c>
      <c r="DW412" t="s">
        <v>151</v>
      </c>
      <c r="DZ412" s="73">
        <v>815</v>
      </c>
      <c r="EA412" s="73">
        <v>0</v>
      </c>
      <c r="EB412" s="73">
        <v>815</v>
      </c>
      <c r="EC412" s="65" t="s">
        <v>126</v>
      </c>
    </row>
    <row r="413" spans="1:133" ht="12" customHeight="1" x14ac:dyDescent="0.2">
      <c r="A413" t="s">
        <v>2936</v>
      </c>
      <c r="B413" t="s">
        <v>2948</v>
      </c>
      <c r="C413" t="str">
        <f t="shared" si="20"/>
        <v>Prior Approval</v>
      </c>
      <c r="D413" t="s">
        <v>2943</v>
      </c>
      <c r="E413" s="65">
        <v>5629</v>
      </c>
      <c r="F413" t="s">
        <v>2024</v>
      </c>
      <c r="G413" s="71" t="s">
        <v>2907</v>
      </c>
      <c r="H413" s="67">
        <v>5.2999999374151202E-2</v>
      </c>
      <c r="I413" s="65">
        <v>525681</v>
      </c>
      <c r="J413" s="65">
        <v>174324</v>
      </c>
      <c r="L413" s="65" t="s">
        <v>343</v>
      </c>
      <c r="M413" s="65" t="s">
        <v>243</v>
      </c>
      <c r="N413" s="69">
        <v>41975</v>
      </c>
      <c r="O413" s="69">
        <v>42031</v>
      </c>
      <c r="R413" s="65" t="s">
        <v>28</v>
      </c>
      <c r="U413" t="s">
        <v>344</v>
      </c>
      <c r="V413" t="s">
        <v>3378</v>
      </c>
      <c r="W413" s="65" t="s">
        <v>21</v>
      </c>
      <c r="X413" s="65" t="s">
        <v>21</v>
      </c>
      <c r="Y413" s="65" t="s">
        <v>35</v>
      </c>
      <c r="AA413" s="69">
        <v>42125</v>
      </c>
      <c r="AB413" s="69">
        <v>42852</v>
      </c>
      <c r="AC413" s="69">
        <v>42852</v>
      </c>
      <c r="AD413" s="65" t="s">
        <v>23</v>
      </c>
      <c r="AE413" s="65" t="s">
        <v>24</v>
      </c>
      <c r="AH413" s="69">
        <f t="shared" si="18"/>
        <v>42125</v>
      </c>
      <c r="AI413" s="69">
        <f t="shared" si="19"/>
        <v>42852</v>
      </c>
      <c r="BF413" s="73">
        <v>119</v>
      </c>
      <c r="BK413" s="73">
        <v>119</v>
      </c>
      <c r="BO413" s="185" t="s">
        <v>3794</v>
      </c>
      <c r="BP413" s="185" t="s">
        <v>126</v>
      </c>
      <c r="BQ413" s="185" t="s">
        <v>3794</v>
      </c>
      <c r="BW413" s="73"/>
      <c r="BX413" s="73">
        <v>-119</v>
      </c>
      <c r="BY413" s="185" t="s">
        <v>126</v>
      </c>
      <c r="CD413" s="73">
        <v>-119</v>
      </c>
      <c r="CE413" s="65" t="s">
        <v>126</v>
      </c>
      <c r="CJ413" t="s">
        <v>25</v>
      </c>
      <c r="CK413" t="s">
        <v>25</v>
      </c>
      <c r="CL413" t="s">
        <v>25</v>
      </c>
      <c r="CM413" t="s">
        <v>25</v>
      </c>
      <c r="CN413" t="s">
        <v>25</v>
      </c>
      <c r="CO413" t="s">
        <v>25</v>
      </c>
      <c r="CP413" t="s">
        <v>25</v>
      </c>
      <c r="CQ413" t="s">
        <v>25</v>
      </c>
      <c r="CR413" t="s">
        <v>25</v>
      </c>
      <c r="CS413" t="s">
        <v>25</v>
      </c>
      <c r="CT413" t="s">
        <v>25</v>
      </c>
      <c r="CU413" t="s">
        <v>25</v>
      </c>
      <c r="CV413" t="s">
        <v>25</v>
      </c>
      <c r="CW413" t="s">
        <v>25</v>
      </c>
      <c r="CX413" t="s">
        <v>25</v>
      </c>
      <c r="CY413" t="s">
        <v>25</v>
      </c>
      <c r="CZ413" t="s">
        <v>25</v>
      </c>
      <c r="DA413" t="s">
        <v>25</v>
      </c>
      <c r="DB413" t="s">
        <v>31</v>
      </c>
      <c r="DC413" t="s">
        <v>25</v>
      </c>
      <c r="DD413" t="s">
        <v>25</v>
      </c>
      <c r="DE413" t="s">
        <v>25</v>
      </c>
      <c r="DF413" t="s">
        <v>25</v>
      </c>
      <c r="DG413" t="s">
        <v>25</v>
      </c>
      <c r="DH413" t="s">
        <v>25</v>
      </c>
      <c r="DI413" t="s">
        <v>25</v>
      </c>
      <c r="DJ413" s="76">
        <v>3.9999999105930301E-2</v>
      </c>
      <c r="DK413" s="73">
        <v>0</v>
      </c>
      <c r="DL413" s="73">
        <v>119</v>
      </c>
      <c r="DM413" s="73">
        <v>-119</v>
      </c>
      <c r="DU413"/>
      <c r="DV413" s="65" t="s">
        <v>126</v>
      </c>
      <c r="DW413" t="s">
        <v>151</v>
      </c>
      <c r="DZ413" s="73">
        <v>119</v>
      </c>
      <c r="EA413" s="73">
        <v>0</v>
      </c>
      <c r="EB413" s="73">
        <v>119</v>
      </c>
      <c r="EC413" s="65" t="s">
        <v>126</v>
      </c>
    </row>
    <row r="414" spans="1:133" ht="12" customHeight="1" x14ac:dyDescent="0.2">
      <c r="A414" t="s">
        <v>2935</v>
      </c>
      <c r="B414" t="s">
        <v>2946</v>
      </c>
      <c r="C414" t="str">
        <f t="shared" si="20"/>
        <v>Full</v>
      </c>
      <c r="E414" s="65">
        <v>5630</v>
      </c>
      <c r="F414" t="s">
        <v>2027</v>
      </c>
      <c r="G414" s="71" t="s">
        <v>3941</v>
      </c>
      <c r="H414" s="67">
        <v>1.4000000432133701E-2</v>
      </c>
      <c r="I414" s="65">
        <v>527902</v>
      </c>
      <c r="J414" s="65">
        <v>172490</v>
      </c>
      <c r="L414" s="65" t="s">
        <v>384</v>
      </c>
      <c r="M414" s="65" t="s">
        <v>27</v>
      </c>
      <c r="N414" s="69">
        <v>41677</v>
      </c>
      <c r="O414" s="69">
        <v>41831</v>
      </c>
      <c r="R414" s="65" t="s">
        <v>28</v>
      </c>
      <c r="U414" t="s">
        <v>385</v>
      </c>
      <c r="V414" t="s">
        <v>3379</v>
      </c>
      <c r="W414" s="65" t="s">
        <v>34</v>
      </c>
      <c r="X414" s="65" t="s">
        <v>29</v>
      </c>
      <c r="Y414" s="65" t="s">
        <v>30</v>
      </c>
      <c r="AA414" s="69">
        <v>42919</v>
      </c>
      <c r="AD414" s="65" t="s">
        <v>23</v>
      </c>
      <c r="AE414" s="65" t="s">
        <v>24</v>
      </c>
      <c r="AH414" s="69">
        <f t="shared" si="18"/>
        <v>42919</v>
      </c>
      <c r="AJ414" s="73">
        <v>34</v>
      </c>
      <c r="AO414" s="73">
        <v>34</v>
      </c>
      <c r="AZ414" s="73">
        <v>55</v>
      </c>
      <c r="BE414" s="73">
        <v>55</v>
      </c>
      <c r="BO414" s="185" t="s">
        <v>126</v>
      </c>
      <c r="BP414" s="185" t="s">
        <v>3794</v>
      </c>
      <c r="BQ414" s="185" t="s">
        <v>3794</v>
      </c>
      <c r="BR414" s="73">
        <v>-21</v>
      </c>
      <c r="BW414" s="73">
        <v>-21</v>
      </c>
      <c r="BY414" s="185" t="s">
        <v>3794</v>
      </c>
      <c r="CJ414" t="s">
        <v>31</v>
      </c>
      <c r="CK414" t="s">
        <v>25</v>
      </c>
      <c r="CL414" t="s">
        <v>25</v>
      </c>
      <c r="CM414" t="s">
        <v>25</v>
      </c>
      <c r="CN414" t="s">
        <v>25</v>
      </c>
      <c r="CO414" t="s">
        <v>25</v>
      </c>
      <c r="CP414" t="s">
        <v>25</v>
      </c>
      <c r="CQ414" t="s">
        <v>25</v>
      </c>
      <c r="CR414" t="s">
        <v>25</v>
      </c>
      <c r="CS414" t="s">
        <v>25</v>
      </c>
      <c r="CT414" t="s">
        <v>25</v>
      </c>
      <c r="CU414" t="s">
        <v>25</v>
      </c>
      <c r="CV414" t="s">
        <v>25</v>
      </c>
      <c r="CW414" t="s">
        <v>31</v>
      </c>
      <c r="CX414" t="s">
        <v>25</v>
      </c>
      <c r="CY414" t="s">
        <v>25</v>
      </c>
      <c r="CZ414" t="s">
        <v>25</v>
      </c>
      <c r="DA414" t="s">
        <v>25</v>
      </c>
      <c r="DB414" t="s">
        <v>25</v>
      </c>
      <c r="DC414" t="s">
        <v>25</v>
      </c>
      <c r="DD414" t="s">
        <v>25</v>
      </c>
      <c r="DE414" t="s">
        <v>25</v>
      </c>
      <c r="DF414" t="s">
        <v>25</v>
      </c>
      <c r="DG414" t="s">
        <v>25</v>
      </c>
      <c r="DH414" t="s">
        <v>25</v>
      </c>
      <c r="DI414" t="s">
        <v>25</v>
      </c>
      <c r="DJ414" s="76">
        <v>9.0000005438924113E-3</v>
      </c>
      <c r="DK414" s="73">
        <v>34</v>
      </c>
      <c r="DL414" s="73">
        <v>55</v>
      </c>
      <c r="DM414" s="73">
        <v>-21</v>
      </c>
      <c r="DU414"/>
      <c r="DX414" s="65" t="s">
        <v>126</v>
      </c>
      <c r="DY414" t="s">
        <v>2906</v>
      </c>
      <c r="DZ414" s="73">
        <v>46</v>
      </c>
      <c r="EA414" s="73">
        <v>0</v>
      </c>
      <c r="EB414" s="73">
        <v>46</v>
      </c>
      <c r="EC414" s="65" t="s">
        <v>126</v>
      </c>
    </row>
    <row r="415" spans="1:133" ht="12" customHeight="1" x14ac:dyDescent="0.2">
      <c r="A415" t="s">
        <v>2935</v>
      </c>
      <c r="B415" t="s">
        <v>2946</v>
      </c>
      <c r="C415" t="str">
        <f t="shared" si="20"/>
        <v>Full</v>
      </c>
      <c r="E415" s="65">
        <v>5632</v>
      </c>
      <c r="F415" t="s">
        <v>2028</v>
      </c>
      <c r="G415" s="71" t="s">
        <v>150</v>
      </c>
      <c r="H415" s="67">
        <v>1.09999999403954E-2</v>
      </c>
      <c r="I415" s="65">
        <v>527511</v>
      </c>
      <c r="J415" s="65">
        <v>171655</v>
      </c>
      <c r="L415" s="65" t="s">
        <v>398</v>
      </c>
      <c r="M415" s="65" t="s">
        <v>27</v>
      </c>
      <c r="N415" s="69">
        <v>41781</v>
      </c>
      <c r="O415" s="69">
        <v>41837</v>
      </c>
      <c r="R415" s="65" t="s">
        <v>28</v>
      </c>
      <c r="U415" t="s">
        <v>649</v>
      </c>
      <c r="V415" t="s">
        <v>3380</v>
      </c>
      <c r="W415" s="65" t="s">
        <v>21</v>
      </c>
      <c r="X415" s="65" t="s">
        <v>21</v>
      </c>
      <c r="Y415" s="65" t="s">
        <v>30</v>
      </c>
      <c r="AA415" s="69">
        <v>42825</v>
      </c>
      <c r="AD415" s="65" t="s">
        <v>23</v>
      </c>
      <c r="AE415" s="65" t="s">
        <v>24</v>
      </c>
      <c r="AH415" s="69">
        <f t="shared" si="18"/>
        <v>42825</v>
      </c>
      <c r="AJ415" s="73">
        <v>102</v>
      </c>
      <c r="AO415" s="73">
        <v>102</v>
      </c>
      <c r="AZ415" s="73">
        <v>131</v>
      </c>
      <c r="BE415" s="73">
        <v>131</v>
      </c>
      <c r="BO415" s="185" t="s">
        <v>126</v>
      </c>
      <c r="BP415" s="185" t="s">
        <v>3794</v>
      </c>
      <c r="BQ415" s="185" t="s">
        <v>3794</v>
      </c>
      <c r="BR415" s="73">
        <v>-29</v>
      </c>
      <c r="BW415" s="570">
        <v>-29</v>
      </c>
      <c r="BY415" s="185" t="s">
        <v>3794</v>
      </c>
      <c r="CJ415" t="s">
        <v>31</v>
      </c>
      <c r="CK415" t="s">
        <v>25</v>
      </c>
      <c r="CL415" t="s">
        <v>25</v>
      </c>
      <c r="CM415" t="s">
        <v>25</v>
      </c>
      <c r="CN415" t="s">
        <v>25</v>
      </c>
      <c r="CO415" t="s">
        <v>25</v>
      </c>
      <c r="CP415" t="s">
        <v>25</v>
      </c>
      <c r="CQ415" t="s">
        <v>25</v>
      </c>
      <c r="CR415" t="s">
        <v>25</v>
      </c>
      <c r="CS415" t="s">
        <v>25</v>
      </c>
      <c r="CT415" t="s">
        <v>25</v>
      </c>
      <c r="CU415" t="s">
        <v>25</v>
      </c>
      <c r="CV415" t="s">
        <v>25</v>
      </c>
      <c r="CW415" t="s">
        <v>31</v>
      </c>
      <c r="CX415" t="s">
        <v>25</v>
      </c>
      <c r="CY415" t="s">
        <v>25</v>
      </c>
      <c r="CZ415" t="s">
        <v>25</v>
      </c>
      <c r="DA415" t="s">
        <v>25</v>
      </c>
      <c r="DB415" t="s">
        <v>25</v>
      </c>
      <c r="DC415" t="s">
        <v>25</v>
      </c>
      <c r="DD415" t="s">
        <v>25</v>
      </c>
      <c r="DE415" t="s">
        <v>25</v>
      </c>
      <c r="DF415" t="s">
        <v>25</v>
      </c>
      <c r="DG415" t="s">
        <v>25</v>
      </c>
      <c r="DH415" t="s">
        <v>25</v>
      </c>
      <c r="DI415" t="s">
        <v>25</v>
      </c>
      <c r="DJ415" s="76">
        <v>1.09999999403954E-2</v>
      </c>
      <c r="DK415" s="73">
        <v>102</v>
      </c>
      <c r="DL415" s="73">
        <v>131</v>
      </c>
      <c r="DM415" s="73">
        <v>-29</v>
      </c>
      <c r="DU415"/>
      <c r="DV415" s="65" t="s">
        <v>126</v>
      </c>
      <c r="DW415" t="s">
        <v>150</v>
      </c>
      <c r="DZ415" s="73">
        <v>0</v>
      </c>
      <c r="EA415" s="73">
        <v>0</v>
      </c>
      <c r="EB415" s="73">
        <v>0</v>
      </c>
    </row>
    <row r="416" spans="1:133" ht="12" customHeight="1" x14ac:dyDescent="0.2">
      <c r="A416" t="s">
        <v>2937</v>
      </c>
      <c r="B416" t="s">
        <v>2948</v>
      </c>
      <c r="C416" t="str">
        <f t="shared" si="20"/>
        <v>Prior Approval</v>
      </c>
      <c r="E416" s="65">
        <v>5634</v>
      </c>
      <c r="F416" t="s">
        <v>2029</v>
      </c>
      <c r="G416" s="71" t="s">
        <v>3943</v>
      </c>
      <c r="H416" s="67">
        <v>0.34799998998642001</v>
      </c>
      <c r="I416" s="65">
        <v>527292</v>
      </c>
      <c r="J416" s="65">
        <v>177189</v>
      </c>
      <c r="L416" s="65" t="s">
        <v>2030</v>
      </c>
      <c r="M416" s="65" t="s">
        <v>244</v>
      </c>
      <c r="N416" s="69">
        <v>42888</v>
      </c>
      <c r="O416" s="69">
        <v>42930</v>
      </c>
      <c r="P416" s="65" t="s">
        <v>126</v>
      </c>
      <c r="R416" s="65" t="s">
        <v>28</v>
      </c>
      <c r="U416" t="s">
        <v>2031</v>
      </c>
      <c r="V416" t="s">
        <v>3381</v>
      </c>
      <c r="W416" s="65" t="s">
        <v>21</v>
      </c>
      <c r="X416" s="65" t="s">
        <v>21</v>
      </c>
      <c r="Y416" s="65" t="s">
        <v>69</v>
      </c>
      <c r="AD416" s="65" t="s">
        <v>23</v>
      </c>
      <c r="AE416" s="65" t="s">
        <v>24</v>
      </c>
      <c r="BF416" s="73">
        <v>264</v>
      </c>
      <c r="BK416" s="73">
        <v>264</v>
      </c>
      <c r="BO416" s="185" t="s">
        <v>3794</v>
      </c>
      <c r="BP416" s="185" t="s">
        <v>126</v>
      </c>
      <c r="BQ416" s="185" t="s">
        <v>3794</v>
      </c>
      <c r="BW416" s="73"/>
      <c r="BX416" s="73">
        <v>-264</v>
      </c>
      <c r="BY416" s="185" t="s">
        <v>126</v>
      </c>
      <c r="CD416" s="73">
        <v>-264</v>
      </c>
      <c r="CE416" s="65" t="s">
        <v>126</v>
      </c>
      <c r="CJ416" t="s">
        <v>25</v>
      </c>
      <c r="CK416" t="s">
        <v>25</v>
      </c>
      <c r="CL416" t="s">
        <v>25</v>
      </c>
      <c r="CM416" t="s">
        <v>25</v>
      </c>
      <c r="CN416" t="s">
        <v>25</v>
      </c>
      <c r="CO416" t="s">
        <v>25</v>
      </c>
      <c r="CP416" t="s">
        <v>25</v>
      </c>
      <c r="CQ416" t="s">
        <v>25</v>
      </c>
      <c r="CR416" t="s">
        <v>25</v>
      </c>
      <c r="CS416" t="s">
        <v>25</v>
      </c>
      <c r="CT416" t="s">
        <v>25</v>
      </c>
      <c r="CU416" t="s">
        <v>25</v>
      </c>
      <c r="CV416" t="s">
        <v>25</v>
      </c>
      <c r="CW416" t="s">
        <v>25</v>
      </c>
      <c r="CX416" t="s">
        <v>25</v>
      </c>
      <c r="CY416" t="s">
        <v>25</v>
      </c>
      <c r="CZ416" t="s">
        <v>25</v>
      </c>
      <c r="DA416" t="s">
        <v>25</v>
      </c>
      <c r="DB416" t="s">
        <v>72</v>
      </c>
      <c r="DC416" t="s">
        <v>25</v>
      </c>
      <c r="DD416" t="s">
        <v>25</v>
      </c>
      <c r="DE416" t="s">
        <v>25</v>
      </c>
      <c r="DF416" t="s">
        <v>25</v>
      </c>
      <c r="DG416" t="s">
        <v>25</v>
      </c>
      <c r="DH416" t="s">
        <v>25</v>
      </c>
      <c r="DI416" t="s">
        <v>25</v>
      </c>
      <c r="DJ416" s="76">
        <v>0.32199998944997821</v>
      </c>
      <c r="DK416" s="73">
        <v>0</v>
      </c>
      <c r="DL416" s="73">
        <v>264</v>
      </c>
      <c r="DM416" s="73">
        <v>-264</v>
      </c>
      <c r="DN416" s="65" t="s">
        <v>126</v>
      </c>
      <c r="DU416"/>
      <c r="DZ416" s="73">
        <v>264</v>
      </c>
      <c r="EA416" s="73">
        <v>0</v>
      </c>
      <c r="EB416" s="73">
        <v>264</v>
      </c>
      <c r="EC416" s="65" t="s">
        <v>126</v>
      </c>
    </row>
    <row r="417" spans="1:133" ht="12" customHeight="1" x14ac:dyDescent="0.2">
      <c r="A417" t="s">
        <v>2936</v>
      </c>
      <c r="B417" t="s">
        <v>2948</v>
      </c>
      <c r="C417" t="str">
        <f t="shared" si="20"/>
        <v>Prior Approval</v>
      </c>
      <c r="D417" t="s">
        <v>2943</v>
      </c>
      <c r="E417" s="65">
        <v>5639</v>
      </c>
      <c r="F417" t="s">
        <v>2032</v>
      </c>
      <c r="G417" s="71" t="s">
        <v>2907</v>
      </c>
      <c r="H417" s="67">
        <v>3.9000000804662698E-2</v>
      </c>
      <c r="I417" s="65">
        <v>525706</v>
      </c>
      <c r="J417" s="65">
        <v>174298</v>
      </c>
      <c r="L417" s="65" t="s">
        <v>321</v>
      </c>
      <c r="M417" s="65" t="s">
        <v>244</v>
      </c>
      <c r="N417" s="69">
        <v>41870</v>
      </c>
      <c r="O417" s="69">
        <v>41920</v>
      </c>
      <c r="R417" s="65" t="s">
        <v>28</v>
      </c>
      <c r="U417" t="s">
        <v>322</v>
      </c>
      <c r="V417" t="s">
        <v>3382</v>
      </c>
      <c r="W417" s="65" t="s">
        <v>21</v>
      </c>
      <c r="X417" s="65" t="s">
        <v>21</v>
      </c>
      <c r="Y417" s="65" t="s">
        <v>35</v>
      </c>
      <c r="AA417" s="69">
        <v>42125</v>
      </c>
      <c r="AB417" s="69">
        <v>42852</v>
      </c>
      <c r="AC417" s="69">
        <v>42852</v>
      </c>
      <c r="AD417" s="65" t="s">
        <v>23</v>
      </c>
      <c r="AE417" s="65" t="s">
        <v>24</v>
      </c>
      <c r="AH417" s="69">
        <f t="shared" si="18"/>
        <v>42125</v>
      </c>
      <c r="AI417" s="69">
        <f t="shared" si="19"/>
        <v>42852</v>
      </c>
      <c r="BF417" s="73">
        <v>284</v>
      </c>
      <c r="BK417" s="73">
        <v>284</v>
      </c>
      <c r="BO417" s="185" t="s">
        <v>3794</v>
      </c>
      <c r="BP417" s="185" t="s">
        <v>126</v>
      </c>
      <c r="BQ417" s="185" t="s">
        <v>3794</v>
      </c>
      <c r="BW417" s="73"/>
      <c r="BX417" s="73">
        <v>-284</v>
      </c>
      <c r="BY417" s="185" t="s">
        <v>126</v>
      </c>
      <c r="CD417" s="73">
        <v>-284</v>
      </c>
      <c r="CE417" s="65" t="s">
        <v>126</v>
      </c>
      <c r="CJ417" t="s">
        <v>25</v>
      </c>
      <c r="CK417" t="s">
        <v>25</v>
      </c>
      <c r="CL417" t="s">
        <v>25</v>
      </c>
      <c r="CM417" t="s">
        <v>25</v>
      </c>
      <c r="CN417" t="s">
        <v>25</v>
      </c>
      <c r="CO417" t="s">
        <v>25</v>
      </c>
      <c r="CP417" t="s">
        <v>25</v>
      </c>
      <c r="CQ417" t="s">
        <v>25</v>
      </c>
      <c r="CR417" t="s">
        <v>25</v>
      </c>
      <c r="CS417" t="s">
        <v>25</v>
      </c>
      <c r="CT417" t="s">
        <v>25</v>
      </c>
      <c r="CU417" t="s">
        <v>25</v>
      </c>
      <c r="CV417" t="s">
        <v>25</v>
      </c>
      <c r="CW417" t="s">
        <v>25</v>
      </c>
      <c r="CX417" t="s">
        <v>25</v>
      </c>
      <c r="CY417" t="s">
        <v>25</v>
      </c>
      <c r="CZ417" t="s">
        <v>25</v>
      </c>
      <c r="DA417" t="s">
        <v>25</v>
      </c>
      <c r="DB417" t="s">
        <v>47</v>
      </c>
      <c r="DC417" t="s">
        <v>25</v>
      </c>
      <c r="DD417" t="s">
        <v>25</v>
      </c>
      <c r="DE417" t="s">
        <v>25</v>
      </c>
      <c r="DF417" t="s">
        <v>25</v>
      </c>
      <c r="DG417" t="s">
        <v>25</v>
      </c>
      <c r="DH417" t="s">
        <v>25</v>
      </c>
      <c r="DI417" t="s">
        <v>25</v>
      </c>
      <c r="DJ417" s="76">
        <v>2.6000000536441796E-2</v>
      </c>
      <c r="DK417" s="73">
        <v>0</v>
      </c>
      <c r="DL417" s="73">
        <v>284</v>
      </c>
      <c r="DM417" s="73">
        <v>-284</v>
      </c>
      <c r="DU417"/>
      <c r="DV417" s="65" t="s">
        <v>126</v>
      </c>
      <c r="DW417" t="s">
        <v>151</v>
      </c>
      <c r="DZ417" s="73">
        <v>284</v>
      </c>
      <c r="EA417" s="73">
        <v>0</v>
      </c>
      <c r="EB417" s="73">
        <v>284</v>
      </c>
      <c r="EC417" s="65" t="s">
        <v>126</v>
      </c>
    </row>
    <row r="418" spans="1:133" ht="12" customHeight="1" x14ac:dyDescent="0.2">
      <c r="A418" t="s">
        <v>2938</v>
      </c>
      <c r="B418" t="s">
        <v>2959</v>
      </c>
      <c r="C418" t="str">
        <f t="shared" si="20"/>
        <v>Appeal</v>
      </c>
      <c r="E418" s="65">
        <v>5642</v>
      </c>
      <c r="F418" t="s">
        <v>2033</v>
      </c>
      <c r="G418" s="71" t="s">
        <v>3942</v>
      </c>
      <c r="H418" s="67">
        <v>8.9999996125698107E-3</v>
      </c>
      <c r="I418" s="65">
        <v>527300</v>
      </c>
      <c r="J418" s="65">
        <v>175396</v>
      </c>
      <c r="L418" s="65" t="s">
        <v>2034</v>
      </c>
      <c r="M418" s="65" t="s">
        <v>19</v>
      </c>
      <c r="N418" s="69">
        <v>42859</v>
      </c>
      <c r="O418" s="69">
        <v>43040</v>
      </c>
      <c r="P418" s="65" t="s">
        <v>126</v>
      </c>
      <c r="R418" s="65" t="s">
        <v>987</v>
      </c>
      <c r="S418" s="69">
        <v>43125</v>
      </c>
      <c r="U418" t="s">
        <v>2035</v>
      </c>
      <c r="V418" t="s">
        <v>3383</v>
      </c>
      <c r="W418" s="65" t="s">
        <v>21</v>
      </c>
      <c r="X418" s="65" t="s">
        <v>21</v>
      </c>
      <c r="Y418" s="65" t="s">
        <v>69</v>
      </c>
      <c r="AD418" s="65" t="s">
        <v>23</v>
      </c>
      <c r="AE418" s="65" t="s">
        <v>24</v>
      </c>
      <c r="BF418" s="73">
        <v>63</v>
      </c>
      <c r="BK418" s="73">
        <v>63</v>
      </c>
      <c r="BO418" s="185" t="s">
        <v>3794</v>
      </c>
      <c r="BP418" s="185" t="s">
        <v>126</v>
      </c>
      <c r="BQ418" s="185" t="s">
        <v>3794</v>
      </c>
      <c r="BW418" s="73"/>
      <c r="BX418" s="73">
        <v>-63</v>
      </c>
      <c r="BY418" s="185" t="s">
        <v>126</v>
      </c>
      <c r="CD418" s="73">
        <v>-63</v>
      </c>
      <c r="CE418" s="65" t="s">
        <v>126</v>
      </c>
      <c r="CJ418" t="s">
        <v>25</v>
      </c>
      <c r="CK418" t="s">
        <v>25</v>
      </c>
      <c r="CL418" t="s">
        <v>25</v>
      </c>
      <c r="CM418" t="s">
        <v>25</v>
      </c>
      <c r="CN418" t="s">
        <v>25</v>
      </c>
      <c r="CO418" t="s">
        <v>25</v>
      </c>
      <c r="CP418" t="s">
        <v>25</v>
      </c>
      <c r="CQ418" t="s">
        <v>25</v>
      </c>
      <c r="CR418" t="s">
        <v>25</v>
      </c>
      <c r="CS418" t="s">
        <v>25</v>
      </c>
      <c r="CT418" t="s">
        <v>25</v>
      </c>
      <c r="CU418" t="s">
        <v>25</v>
      </c>
      <c r="CV418" t="s">
        <v>25</v>
      </c>
      <c r="CW418" t="s">
        <v>25</v>
      </c>
      <c r="CX418" t="s">
        <v>25</v>
      </c>
      <c r="CY418" t="s">
        <v>25</v>
      </c>
      <c r="CZ418" t="s">
        <v>25</v>
      </c>
      <c r="DA418" t="s">
        <v>25</v>
      </c>
      <c r="DB418" t="s">
        <v>31</v>
      </c>
      <c r="DC418" t="s">
        <v>25</v>
      </c>
      <c r="DD418" t="s">
        <v>25</v>
      </c>
      <c r="DE418" t="s">
        <v>25</v>
      </c>
      <c r="DF418" t="s">
        <v>25</v>
      </c>
      <c r="DG418" t="s">
        <v>25</v>
      </c>
      <c r="DH418" t="s">
        <v>25</v>
      </c>
      <c r="DI418" t="s">
        <v>25</v>
      </c>
      <c r="DJ418" s="76">
        <v>2.9999995604157509E-3</v>
      </c>
      <c r="DK418" s="73">
        <v>0</v>
      </c>
      <c r="DL418" s="73">
        <v>63</v>
      </c>
      <c r="DM418" s="73">
        <v>-63</v>
      </c>
      <c r="DU418"/>
      <c r="DV418" s="65" t="s">
        <v>126</v>
      </c>
      <c r="DW418" t="s">
        <v>132</v>
      </c>
      <c r="DZ418" s="73">
        <v>63</v>
      </c>
      <c r="EA418" s="73">
        <v>0</v>
      </c>
      <c r="EB418" s="73">
        <v>63</v>
      </c>
      <c r="EC418" s="65" t="s">
        <v>126</v>
      </c>
    </row>
    <row r="419" spans="1:133" ht="12" customHeight="1" x14ac:dyDescent="0.2">
      <c r="A419" t="s">
        <v>2936</v>
      </c>
      <c r="B419" t="s">
        <v>2946</v>
      </c>
      <c r="C419" t="str">
        <f t="shared" si="20"/>
        <v>Full</v>
      </c>
      <c r="D419" t="s">
        <v>2943</v>
      </c>
      <c r="E419" s="65">
        <v>5643</v>
      </c>
      <c r="F419" t="s">
        <v>2036</v>
      </c>
      <c r="G419" s="71" t="s">
        <v>3945</v>
      </c>
      <c r="H419" s="67">
        <v>1.4999999664723899E-2</v>
      </c>
      <c r="I419" s="65">
        <v>527641</v>
      </c>
      <c r="J419" s="65">
        <v>175495</v>
      </c>
      <c r="L419" s="65" t="s">
        <v>292</v>
      </c>
      <c r="M419" s="65" t="s">
        <v>27</v>
      </c>
      <c r="N419" s="69">
        <v>41982</v>
      </c>
      <c r="O419" s="69">
        <v>42073</v>
      </c>
      <c r="R419" s="65" t="s">
        <v>28</v>
      </c>
      <c r="U419" t="s">
        <v>724</v>
      </c>
      <c r="V419" t="s">
        <v>3384</v>
      </c>
      <c r="W419" s="65" t="s">
        <v>34</v>
      </c>
      <c r="X419" s="65" t="s">
        <v>29</v>
      </c>
      <c r="Y419" s="65" t="s">
        <v>35</v>
      </c>
      <c r="AA419" s="69">
        <v>42298</v>
      </c>
      <c r="AB419" s="69">
        <v>42880</v>
      </c>
      <c r="AC419" s="69">
        <v>42880</v>
      </c>
      <c r="AD419" s="65" t="s">
        <v>23</v>
      </c>
      <c r="AE419" s="65" t="s">
        <v>24</v>
      </c>
      <c r="AH419" s="69">
        <f t="shared" si="18"/>
        <v>42298</v>
      </c>
      <c r="AI419" s="69">
        <f t="shared" si="19"/>
        <v>42880</v>
      </c>
      <c r="AP419" s="73">
        <v>139</v>
      </c>
      <c r="AS419" s="73">
        <v>139</v>
      </c>
      <c r="AV419" s="73">
        <v>139</v>
      </c>
      <c r="BF419" s="73">
        <v>139</v>
      </c>
      <c r="BK419" s="73">
        <v>139</v>
      </c>
      <c r="BO419" s="185" t="s">
        <v>3794</v>
      </c>
      <c r="BP419" s="185" t="s">
        <v>126</v>
      </c>
      <c r="BQ419" s="185" t="s">
        <v>3794</v>
      </c>
      <c r="BW419" s="73"/>
      <c r="BY419" s="185" t="s">
        <v>3794</v>
      </c>
      <c r="CJ419" t="s">
        <v>25</v>
      </c>
      <c r="CK419" t="s">
        <v>25</v>
      </c>
      <c r="CL419" t="s">
        <v>25</v>
      </c>
      <c r="CM419" t="s">
        <v>25</v>
      </c>
      <c r="CN419" t="s">
        <v>25</v>
      </c>
      <c r="CO419" t="s">
        <v>31</v>
      </c>
      <c r="CP419" t="s">
        <v>25</v>
      </c>
      <c r="CQ419" t="s">
        <v>25</v>
      </c>
      <c r="CR419" t="s">
        <v>25</v>
      </c>
      <c r="CS419" t="s">
        <v>25</v>
      </c>
      <c r="CT419" t="s">
        <v>25</v>
      </c>
      <c r="CU419" t="s">
        <v>25</v>
      </c>
      <c r="CV419" t="s">
        <v>25</v>
      </c>
      <c r="CW419" t="s">
        <v>25</v>
      </c>
      <c r="CX419" t="s">
        <v>25</v>
      </c>
      <c r="CY419" t="s">
        <v>25</v>
      </c>
      <c r="CZ419" t="s">
        <v>25</v>
      </c>
      <c r="DA419" t="s">
        <v>25</v>
      </c>
      <c r="DB419" t="s">
        <v>31</v>
      </c>
      <c r="DC419" t="s">
        <v>25</v>
      </c>
      <c r="DD419" t="s">
        <v>25</v>
      </c>
      <c r="DE419" t="s">
        <v>25</v>
      </c>
      <c r="DF419" t="s">
        <v>25</v>
      </c>
      <c r="DG419" t="s">
        <v>25</v>
      </c>
      <c r="DH419" t="s">
        <v>25</v>
      </c>
      <c r="DI419" t="s">
        <v>25</v>
      </c>
      <c r="DJ419" s="76">
        <v>3.9999997243284988E-3</v>
      </c>
      <c r="DK419" s="73">
        <v>139</v>
      </c>
      <c r="DL419" s="73">
        <v>139</v>
      </c>
      <c r="DM419" s="73">
        <v>0</v>
      </c>
      <c r="DU419"/>
      <c r="DV419" s="65" t="s">
        <v>126</v>
      </c>
      <c r="DW419" t="s">
        <v>132</v>
      </c>
      <c r="DZ419" s="73">
        <v>207</v>
      </c>
      <c r="EA419" s="73">
        <v>167</v>
      </c>
      <c r="EB419" s="73">
        <v>40</v>
      </c>
      <c r="EC419" s="65" t="s">
        <v>126</v>
      </c>
    </row>
    <row r="420" spans="1:133" ht="12" customHeight="1" x14ac:dyDescent="0.2">
      <c r="A420" t="s">
        <v>2935</v>
      </c>
      <c r="B420" t="s">
        <v>2948</v>
      </c>
      <c r="C420" t="str">
        <f t="shared" si="20"/>
        <v>Prior Approval</v>
      </c>
      <c r="E420" s="65">
        <v>5645</v>
      </c>
      <c r="F420" t="s">
        <v>2037</v>
      </c>
      <c r="G420" s="71" t="s">
        <v>3943</v>
      </c>
      <c r="H420" s="67">
        <v>0.38400000333786</v>
      </c>
      <c r="I420" s="65">
        <v>527292</v>
      </c>
      <c r="J420" s="65">
        <v>177189</v>
      </c>
      <c r="L420" s="65" t="s">
        <v>335</v>
      </c>
      <c r="M420" s="65" t="s">
        <v>243</v>
      </c>
      <c r="N420" s="69">
        <v>41947</v>
      </c>
      <c r="O420" s="69">
        <v>42060</v>
      </c>
      <c r="R420" s="65" t="s">
        <v>28</v>
      </c>
      <c r="U420" t="s">
        <v>336</v>
      </c>
      <c r="V420" t="s">
        <v>3385</v>
      </c>
      <c r="W420" s="65" t="s">
        <v>21</v>
      </c>
      <c r="X420" s="65" t="s">
        <v>21</v>
      </c>
      <c r="Y420" s="65" t="s">
        <v>30</v>
      </c>
      <c r="AA420" s="69">
        <v>42060</v>
      </c>
      <c r="AD420" s="65" t="s">
        <v>23</v>
      </c>
      <c r="AE420" s="65" t="s">
        <v>24</v>
      </c>
      <c r="AH420" s="69">
        <f t="shared" si="18"/>
        <v>42060</v>
      </c>
      <c r="BF420" s="73">
        <v>88</v>
      </c>
      <c r="BK420" s="73">
        <v>88</v>
      </c>
      <c r="BO420" s="185" t="s">
        <v>3794</v>
      </c>
      <c r="BP420" s="185" t="s">
        <v>126</v>
      </c>
      <c r="BQ420" s="185" t="s">
        <v>3794</v>
      </c>
      <c r="BW420" s="73"/>
      <c r="BX420" s="73">
        <v>-88</v>
      </c>
      <c r="BY420" s="185" t="s">
        <v>126</v>
      </c>
      <c r="CD420" s="73">
        <v>-88</v>
      </c>
      <c r="CE420" s="65" t="s">
        <v>126</v>
      </c>
      <c r="CJ420" t="s">
        <v>25</v>
      </c>
      <c r="CK420" t="s">
        <v>25</v>
      </c>
      <c r="CL420" t="s">
        <v>25</v>
      </c>
      <c r="CM420" t="s">
        <v>25</v>
      </c>
      <c r="CN420" t="s">
        <v>25</v>
      </c>
      <c r="CO420" t="s">
        <v>25</v>
      </c>
      <c r="CP420" t="s">
        <v>25</v>
      </c>
      <c r="CQ420" t="s">
        <v>25</v>
      </c>
      <c r="CR420" t="s">
        <v>25</v>
      </c>
      <c r="CS420" t="s">
        <v>25</v>
      </c>
      <c r="CT420" t="s">
        <v>25</v>
      </c>
      <c r="CU420" t="s">
        <v>25</v>
      </c>
      <c r="CV420" t="s">
        <v>25</v>
      </c>
      <c r="CW420" t="s">
        <v>25</v>
      </c>
      <c r="CX420" t="s">
        <v>25</v>
      </c>
      <c r="CY420" t="s">
        <v>25</v>
      </c>
      <c r="CZ420" t="s">
        <v>25</v>
      </c>
      <c r="DA420" t="s">
        <v>25</v>
      </c>
      <c r="DB420" t="s">
        <v>47</v>
      </c>
      <c r="DC420" t="s">
        <v>25</v>
      </c>
      <c r="DD420" t="s">
        <v>25</v>
      </c>
      <c r="DE420" t="s">
        <v>25</v>
      </c>
      <c r="DF420" t="s">
        <v>25</v>
      </c>
      <c r="DG420" t="s">
        <v>25</v>
      </c>
      <c r="DH420" t="s">
        <v>25</v>
      </c>
      <c r="DI420" t="s">
        <v>25</v>
      </c>
      <c r="DJ420" s="76">
        <v>0.3750000032596289</v>
      </c>
      <c r="DK420" s="73">
        <v>0</v>
      </c>
      <c r="DL420" s="73">
        <v>88</v>
      </c>
      <c r="DM420" s="73">
        <v>-88</v>
      </c>
      <c r="DN420" s="65" t="s">
        <v>126</v>
      </c>
      <c r="DU420"/>
      <c r="DZ420" s="73">
        <v>88</v>
      </c>
      <c r="EA420" s="73">
        <v>0</v>
      </c>
      <c r="EB420" s="73">
        <v>88</v>
      </c>
      <c r="EC420" s="65" t="s">
        <v>126</v>
      </c>
    </row>
    <row r="421" spans="1:133" ht="12" customHeight="1" x14ac:dyDescent="0.2">
      <c r="A421" t="s">
        <v>2935</v>
      </c>
      <c r="B421" t="s">
        <v>2948</v>
      </c>
      <c r="C421" t="str">
        <f t="shared" si="20"/>
        <v>Prior Approval</v>
      </c>
      <c r="E421" s="65">
        <v>5646</v>
      </c>
      <c r="F421" t="s">
        <v>2038</v>
      </c>
      <c r="G421" s="71" t="s">
        <v>3942</v>
      </c>
      <c r="H421" s="67">
        <v>6.0000000521540598E-3</v>
      </c>
      <c r="I421" s="65">
        <v>527378</v>
      </c>
      <c r="J421" s="65">
        <v>175255</v>
      </c>
      <c r="L421" s="65" t="s">
        <v>2039</v>
      </c>
      <c r="M421" s="65" t="s">
        <v>243</v>
      </c>
      <c r="N421" s="69">
        <v>42941</v>
      </c>
      <c r="O421" s="69">
        <v>42993</v>
      </c>
      <c r="P421" s="65" t="s">
        <v>126</v>
      </c>
      <c r="R421" s="65" t="s">
        <v>28</v>
      </c>
      <c r="U421" t="s">
        <v>2040</v>
      </c>
      <c r="V421" t="s">
        <v>3386</v>
      </c>
      <c r="W421" s="65" t="s">
        <v>21</v>
      </c>
      <c r="X421" s="65" t="s">
        <v>21</v>
      </c>
      <c r="Y421" s="65" t="s">
        <v>30</v>
      </c>
      <c r="AA421" s="69">
        <v>42993</v>
      </c>
      <c r="AD421" s="65" t="s">
        <v>23</v>
      </c>
      <c r="AE421" s="65" t="s">
        <v>24</v>
      </c>
      <c r="AH421" s="69">
        <f t="shared" si="18"/>
        <v>42993</v>
      </c>
      <c r="BF421" s="73">
        <v>150</v>
      </c>
      <c r="BK421" s="73">
        <v>150</v>
      </c>
      <c r="BO421" s="185" t="s">
        <v>3794</v>
      </c>
      <c r="BP421" s="185" t="s">
        <v>126</v>
      </c>
      <c r="BQ421" s="185" t="s">
        <v>3794</v>
      </c>
      <c r="BW421" s="73"/>
      <c r="BX421" s="73">
        <v>-150</v>
      </c>
      <c r="BY421" s="185" t="s">
        <v>126</v>
      </c>
      <c r="CD421" s="73">
        <v>-150</v>
      </c>
      <c r="CE421" s="65" t="s">
        <v>126</v>
      </c>
      <c r="CJ421" t="s">
        <v>25</v>
      </c>
      <c r="CK421" t="s">
        <v>25</v>
      </c>
      <c r="CL421" t="s">
        <v>25</v>
      </c>
      <c r="CM421" t="s">
        <v>25</v>
      </c>
      <c r="CN421" t="s">
        <v>25</v>
      </c>
      <c r="CO421" t="s">
        <v>25</v>
      </c>
      <c r="CP421" t="s">
        <v>25</v>
      </c>
      <c r="CQ421" t="s">
        <v>25</v>
      </c>
      <c r="CR421" t="s">
        <v>25</v>
      </c>
      <c r="CS421" t="s">
        <v>25</v>
      </c>
      <c r="CT421" t="s">
        <v>25</v>
      </c>
      <c r="CU421" t="s">
        <v>25</v>
      </c>
      <c r="CV421" t="s">
        <v>25</v>
      </c>
      <c r="CW421" t="s">
        <v>25</v>
      </c>
      <c r="CX421" t="s">
        <v>25</v>
      </c>
      <c r="CY421" t="s">
        <v>25</v>
      </c>
      <c r="CZ421" t="s">
        <v>25</v>
      </c>
      <c r="DA421" t="s">
        <v>25</v>
      </c>
      <c r="DB421" t="s">
        <v>49</v>
      </c>
      <c r="DC421" t="s">
        <v>25</v>
      </c>
      <c r="DD421" t="s">
        <v>25</v>
      </c>
      <c r="DE421" t="s">
        <v>25</v>
      </c>
      <c r="DF421" t="s">
        <v>25</v>
      </c>
      <c r="DG421" t="s">
        <v>25</v>
      </c>
      <c r="DH421" t="s">
        <v>25</v>
      </c>
      <c r="DI421" t="s">
        <v>25</v>
      </c>
      <c r="DJ421" s="76">
        <v>1.9999998621642494E-3</v>
      </c>
      <c r="DK421" s="73">
        <v>0</v>
      </c>
      <c r="DL421" s="73">
        <v>150</v>
      </c>
      <c r="DM421" s="73">
        <v>-150</v>
      </c>
      <c r="DU421"/>
      <c r="DV421" s="65" t="s">
        <v>126</v>
      </c>
      <c r="DW421" t="s">
        <v>132</v>
      </c>
      <c r="DZ421" s="73">
        <v>150</v>
      </c>
      <c r="EA421" s="73">
        <v>0</v>
      </c>
      <c r="EB421" s="73">
        <v>150</v>
      </c>
      <c r="EC421" s="65" t="s">
        <v>126</v>
      </c>
    </row>
    <row r="422" spans="1:133" ht="12" customHeight="1" x14ac:dyDescent="0.2">
      <c r="A422" t="s">
        <v>2936</v>
      </c>
      <c r="B422" t="s">
        <v>2948</v>
      </c>
      <c r="C422" t="str">
        <f t="shared" si="20"/>
        <v>Prior Approval</v>
      </c>
      <c r="D422" t="s">
        <v>2943</v>
      </c>
      <c r="E422" s="65">
        <v>5647</v>
      </c>
      <c r="F422" t="s">
        <v>2041</v>
      </c>
      <c r="G422" s="71" t="s">
        <v>3946</v>
      </c>
      <c r="H422" s="67">
        <v>1.7000000923872001E-2</v>
      </c>
      <c r="I422" s="65">
        <v>523995</v>
      </c>
      <c r="J422" s="65">
        <v>175107</v>
      </c>
      <c r="L422" s="65" t="s">
        <v>365</v>
      </c>
      <c r="M422" s="65" t="s">
        <v>244</v>
      </c>
      <c r="N422" s="69">
        <v>41835</v>
      </c>
      <c r="O422" s="69">
        <v>41891</v>
      </c>
      <c r="R422" s="65" t="s">
        <v>28</v>
      </c>
      <c r="U422" t="s">
        <v>366</v>
      </c>
      <c r="V422" t="s">
        <v>3387</v>
      </c>
      <c r="W422" s="65" t="s">
        <v>21</v>
      </c>
      <c r="X422" s="65" t="s">
        <v>21</v>
      </c>
      <c r="Y422" s="65" t="s">
        <v>35</v>
      </c>
      <c r="AA422" s="69">
        <v>42514</v>
      </c>
      <c r="AB422" s="69">
        <v>42858</v>
      </c>
      <c r="AC422" s="69">
        <v>42858</v>
      </c>
      <c r="AD422" s="65" t="s">
        <v>23</v>
      </c>
      <c r="AE422" s="65" t="s">
        <v>24</v>
      </c>
      <c r="AH422" s="69">
        <f t="shared" si="18"/>
        <v>42514</v>
      </c>
      <c r="AI422" s="69">
        <f t="shared" si="19"/>
        <v>42858</v>
      </c>
      <c r="BF422" s="73">
        <v>200</v>
      </c>
      <c r="BK422" s="73">
        <v>200</v>
      </c>
      <c r="BO422" s="185" t="s">
        <v>3794</v>
      </c>
      <c r="BP422" s="185" t="s">
        <v>126</v>
      </c>
      <c r="BQ422" s="185" t="s">
        <v>3794</v>
      </c>
      <c r="BW422" s="73"/>
      <c r="BX422" s="73">
        <v>-200</v>
      </c>
      <c r="BY422" s="185" t="s">
        <v>126</v>
      </c>
      <c r="CD422" s="73">
        <v>-200</v>
      </c>
      <c r="CE422" s="65" t="s">
        <v>126</v>
      </c>
      <c r="CJ422" t="s">
        <v>25</v>
      </c>
      <c r="CK422" t="s">
        <v>25</v>
      </c>
      <c r="CL422" t="s">
        <v>25</v>
      </c>
      <c r="CM422" t="s">
        <v>25</v>
      </c>
      <c r="CN422" t="s">
        <v>25</v>
      </c>
      <c r="CO422" t="s">
        <v>25</v>
      </c>
      <c r="CP422" t="s">
        <v>25</v>
      </c>
      <c r="CQ422" t="s">
        <v>25</v>
      </c>
      <c r="CR422" t="s">
        <v>25</v>
      </c>
      <c r="CS422" t="s">
        <v>25</v>
      </c>
      <c r="CT422" t="s">
        <v>25</v>
      </c>
      <c r="CU422" t="s">
        <v>25</v>
      </c>
      <c r="CV422" t="s">
        <v>25</v>
      </c>
      <c r="CW422" t="s">
        <v>25</v>
      </c>
      <c r="CX422" t="s">
        <v>25</v>
      </c>
      <c r="CY422" t="s">
        <v>25</v>
      </c>
      <c r="CZ422" t="s">
        <v>25</v>
      </c>
      <c r="DA422" t="s">
        <v>25</v>
      </c>
      <c r="DB422" t="s">
        <v>31</v>
      </c>
      <c r="DC422" t="s">
        <v>25</v>
      </c>
      <c r="DD422" t="s">
        <v>25</v>
      </c>
      <c r="DE422" t="s">
        <v>25</v>
      </c>
      <c r="DF422" t="s">
        <v>25</v>
      </c>
      <c r="DG422" t="s">
        <v>25</v>
      </c>
      <c r="DH422" t="s">
        <v>25</v>
      </c>
      <c r="DI422" t="s">
        <v>25</v>
      </c>
      <c r="DJ422" s="76">
        <v>4.0000006556511012E-3</v>
      </c>
      <c r="DK422" s="73">
        <v>0</v>
      </c>
      <c r="DL422" s="73">
        <v>200</v>
      </c>
      <c r="DM422" s="73">
        <v>-200</v>
      </c>
      <c r="DU422"/>
      <c r="DV422" s="65" t="s">
        <v>126</v>
      </c>
      <c r="DW422" t="s">
        <v>131</v>
      </c>
      <c r="DZ422" s="73">
        <v>200</v>
      </c>
      <c r="EA422" s="73">
        <v>0</v>
      </c>
      <c r="EB422" s="73">
        <v>200</v>
      </c>
      <c r="EC422" s="65" t="s">
        <v>126</v>
      </c>
    </row>
    <row r="423" spans="1:133" ht="12" customHeight="1" x14ac:dyDescent="0.2">
      <c r="A423" t="s">
        <v>2937</v>
      </c>
      <c r="B423" t="s">
        <v>2946</v>
      </c>
      <c r="C423" t="str">
        <f t="shared" si="20"/>
        <v>Full</v>
      </c>
      <c r="E423" s="65">
        <v>5653</v>
      </c>
      <c r="F423" t="s">
        <v>2042</v>
      </c>
      <c r="G423" s="71" t="s">
        <v>2907</v>
      </c>
      <c r="H423" s="67">
        <v>1.30000002682209E-2</v>
      </c>
      <c r="I423" s="65">
        <v>525465</v>
      </c>
      <c r="J423" s="65">
        <v>174675</v>
      </c>
      <c r="L423" s="65" t="s">
        <v>2043</v>
      </c>
      <c r="M423" s="65" t="s">
        <v>27</v>
      </c>
      <c r="N423" s="69">
        <v>42920</v>
      </c>
      <c r="O423" s="69">
        <v>43041</v>
      </c>
      <c r="P423" s="65" t="s">
        <v>126</v>
      </c>
      <c r="R423" s="65" t="s">
        <v>28</v>
      </c>
      <c r="U423" t="s">
        <v>2044</v>
      </c>
      <c r="V423" t="s">
        <v>3388</v>
      </c>
      <c r="W423" s="65" t="s">
        <v>34</v>
      </c>
      <c r="X423" s="65" t="s">
        <v>29</v>
      </c>
      <c r="Y423" s="65" t="s">
        <v>69</v>
      </c>
      <c r="AD423" s="65" t="s">
        <v>23</v>
      </c>
      <c r="AE423" s="65" t="s">
        <v>24</v>
      </c>
      <c r="AJ423" s="73">
        <v>76</v>
      </c>
      <c r="AO423" s="73">
        <v>76</v>
      </c>
      <c r="AZ423" s="73">
        <v>70</v>
      </c>
      <c r="BE423" s="73">
        <v>70</v>
      </c>
      <c r="BO423" s="185" t="s">
        <v>126</v>
      </c>
      <c r="BP423" s="185" t="s">
        <v>3794</v>
      </c>
      <c r="BQ423" s="185" t="s">
        <v>3794</v>
      </c>
      <c r="BR423" s="73">
        <v>6</v>
      </c>
      <c r="BW423" s="73">
        <v>6</v>
      </c>
      <c r="BY423" s="185" t="s">
        <v>3794</v>
      </c>
      <c r="CJ423" t="s">
        <v>31</v>
      </c>
      <c r="CK423" t="s">
        <v>25</v>
      </c>
      <c r="CL423" t="s">
        <v>25</v>
      </c>
      <c r="CM423" t="s">
        <v>25</v>
      </c>
      <c r="CN423" t="s">
        <v>25</v>
      </c>
      <c r="CO423" t="s">
        <v>25</v>
      </c>
      <c r="CP423" t="s">
        <v>25</v>
      </c>
      <c r="CQ423" t="s">
        <v>25</v>
      </c>
      <c r="CR423" t="s">
        <v>25</v>
      </c>
      <c r="CS423" t="s">
        <v>25</v>
      </c>
      <c r="CT423" t="s">
        <v>25</v>
      </c>
      <c r="CU423" t="s">
        <v>25</v>
      </c>
      <c r="CV423" t="s">
        <v>25</v>
      </c>
      <c r="CW423" t="s">
        <v>31</v>
      </c>
      <c r="CX423" t="s">
        <v>25</v>
      </c>
      <c r="CY423" t="s">
        <v>25</v>
      </c>
      <c r="CZ423" t="s">
        <v>25</v>
      </c>
      <c r="DA423" t="s">
        <v>25</v>
      </c>
      <c r="DB423" t="s">
        <v>25</v>
      </c>
      <c r="DC423" t="s">
        <v>25</v>
      </c>
      <c r="DD423" t="s">
        <v>25</v>
      </c>
      <c r="DE423" t="s">
        <v>25</v>
      </c>
      <c r="DF423" t="s">
        <v>25</v>
      </c>
      <c r="DG423" t="s">
        <v>25</v>
      </c>
      <c r="DH423" t="s">
        <v>25</v>
      </c>
      <c r="DI423" t="s">
        <v>25</v>
      </c>
      <c r="DJ423" s="76">
        <v>4.0000001899898E-3</v>
      </c>
      <c r="DK423" s="73">
        <v>76</v>
      </c>
      <c r="DL423" s="73">
        <v>70</v>
      </c>
      <c r="DM423" s="73">
        <v>6</v>
      </c>
      <c r="DU423"/>
      <c r="DV423" s="65" t="s">
        <v>126</v>
      </c>
      <c r="DW423" t="s">
        <v>151</v>
      </c>
      <c r="DZ423" s="73">
        <v>249</v>
      </c>
      <c r="EA423" s="73">
        <v>127</v>
      </c>
      <c r="EB423" s="73">
        <v>122</v>
      </c>
      <c r="EC423" s="65" t="s">
        <v>126</v>
      </c>
    </row>
    <row r="424" spans="1:133" ht="12" customHeight="1" x14ac:dyDescent="0.2">
      <c r="A424" t="s">
        <v>2935</v>
      </c>
      <c r="B424" t="s">
        <v>2946</v>
      </c>
      <c r="C424" t="str">
        <f t="shared" si="20"/>
        <v>Full</v>
      </c>
      <c r="E424" s="65">
        <v>5665</v>
      </c>
      <c r="F424" t="s">
        <v>2045</v>
      </c>
      <c r="G424" s="71" t="s">
        <v>150</v>
      </c>
      <c r="H424" s="67">
        <v>9.2000002041459101E-3</v>
      </c>
      <c r="I424" s="65">
        <v>527697</v>
      </c>
      <c r="J424" s="65">
        <v>171921</v>
      </c>
      <c r="L424" s="65" t="s">
        <v>441</v>
      </c>
      <c r="M424" s="65" t="s">
        <v>27</v>
      </c>
      <c r="N424" s="69">
        <v>42112</v>
      </c>
      <c r="O424" s="69">
        <v>42165</v>
      </c>
      <c r="R424" s="65" t="s">
        <v>28</v>
      </c>
      <c r="U424" t="s">
        <v>650</v>
      </c>
      <c r="V424" t="s">
        <v>3389</v>
      </c>
      <c r="W424" s="65" t="s">
        <v>34</v>
      </c>
      <c r="X424" s="65" t="s">
        <v>29</v>
      </c>
      <c r="Y424" s="65" t="s">
        <v>30</v>
      </c>
      <c r="AA424" s="69">
        <v>43190</v>
      </c>
      <c r="AD424" s="65" t="s">
        <v>23</v>
      </c>
      <c r="AE424" s="65" t="s">
        <v>24</v>
      </c>
      <c r="AH424" s="69">
        <f t="shared" si="18"/>
        <v>43190</v>
      </c>
      <c r="AJ424" s="73">
        <v>67</v>
      </c>
      <c r="AO424" s="73">
        <v>67</v>
      </c>
      <c r="AZ424" s="73">
        <v>50</v>
      </c>
      <c r="BE424" s="73">
        <v>50</v>
      </c>
      <c r="BO424" s="185" t="s">
        <v>126</v>
      </c>
      <c r="BP424" s="185" t="s">
        <v>3794</v>
      </c>
      <c r="BQ424" s="185" t="s">
        <v>3794</v>
      </c>
      <c r="BR424" s="73">
        <v>17</v>
      </c>
      <c r="BW424" s="570">
        <v>17</v>
      </c>
      <c r="BY424" s="185" t="s">
        <v>3794</v>
      </c>
      <c r="CJ424" t="s">
        <v>31</v>
      </c>
      <c r="CK424" t="s">
        <v>25</v>
      </c>
      <c r="CL424" t="s">
        <v>25</v>
      </c>
      <c r="CM424" t="s">
        <v>25</v>
      </c>
      <c r="CN424" t="s">
        <v>25</v>
      </c>
      <c r="CO424" t="s">
        <v>25</v>
      </c>
      <c r="CP424" t="s">
        <v>25</v>
      </c>
      <c r="CQ424" t="s">
        <v>25</v>
      </c>
      <c r="CR424" t="s">
        <v>25</v>
      </c>
      <c r="CS424" t="s">
        <v>25</v>
      </c>
      <c r="CT424" t="s">
        <v>25</v>
      </c>
      <c r="CU424" t="s">
        <v>25</v>
      </c>
      <c r="CV424" t="s">
        <v>25</v>
      </c>
      <c r="CW424" t="s">
        <v>31</v>
      </c>
      <c r="CX424" t="s">
        <v>25</v>
      </c>
      <c r="CY424" t="s">
        <v>25</v>
      </c>
      <c r="CZ424" t="s">
        <v>25</v>
      </c>
      <c r="DA424" t="s">
        <v>25</v>
      </c>
      <c r="DB424" t="s">
        <v>25</v>
      </c>
      <c r="DC424" t="s">
        <v>25</v>
      </c>
      <c r="DD424" t="s">
        <v>25</v>
      </c>
      <c r="DE424" t="s">
        <v>25</v>
      </c>
      <c r="DF424" t="s">
        <v>25</v>
      </c>
      <c r="DG424" t="s">
        <v>25</v>
      </c>
      <c r="DH424" t="s">
        <v>25</v>
      </c>
      <c r="DI424" t="s">
        <v>25</v>
      </c>
      <c r="DJ424" s="76">
        <v>3.2000001519918502E-3</v>
      </c>
      <c r="DK424" s="73">
        <v>67</v>
      </c>
      <c r="DL424" s="73">
        <v>50</v>
      </c>
      <c r="DM424" s="73">
        <v>17</v>
      </c>
      <c r="DU424"/>
      <c r="DV424" s="65" t="s">
        <v>126</v>
      </c>
      <c r="DW424" t="s">
        <v>150</v>
      </c>
      <c r="DZ424" s="73">
        <v>67</v>
      </c>
      <c r="EA424" s="73">
        <v>61</v>
      </c>
      <c r="EB424" s="73">
        <v>6</v>
      </c>
      <c r="EC424" s="65" t="s">
        <v>126</v>
      </c>
    </row>
    <row r="425" spans="1:133" ht="12" customHeight="1" x14ac:dyDescent="0.2">
      <c r="A425" t="s">
        <v>2937</v>
      </c>
      <c r="B425" t="s">
        <v>2946</v>
      </c>
      <c r="C425" t="str">
        <f t="shared" si="20"/>
        <v>Full</v>
      </c>
      <c r="E425" s="65">
        <v>5666</v>
      </c>
      <c r="F425" t="s">
        <v>2046</v>
      </c>
      <c r="G425" s="71" t="s">
        <v>3953</v>
      </c>
      <c r="H425" s="67">
        <v>0.15600000321865101</v>
      </c>
      <c r="I425" s="65">
        <v>527230</v>
      </c>
      <c r="J425" s="65">
        <v>174138</v>
      </c>
      <c r="L425" s="65" t="s">
        <v>526</v>
      </c>
      <c r="M425" s="65" t="s">
        <v>27</v>
      </c>
      <c r="N425" s="69">
        <v>42375</v>
      </c>
      <c r="O425" s="69">
        <v>42424</v>
      </c>
      <c r="R425" s="65" t="s">
        <v>28</v>
      </c>
      <c r="U425" t="s">
        <v>527</v>
      </c>
      <c r="V425" t="s">
        <v>3390</v>
      </c>
      <c r="W425" s="65" t="s">
        <v>21</v>
      </c>
      <c r="X425" s="65" t="s">
        <v>21</v>
      </c>
      <c r="Y425" s="65" t="s">
        <v>59</v>
      </c>
      <c r="AD425" s="65" t="s">
        <v>23</v>
      </c>
      <c r="AE425" s="65" t="s">
        <v>24</v>
      </c>
      <c r="AW425" s="73">
        <v>177</v>
      </c>
      <c r="AY425" s="73">
        <v>177</v>
      </c>
      <c r="BO425" s="185" t="s">
        <v>3794</v>
      </c>
      <c r="BP425" s="185" t="s">
        <v>3794</v>
      </c>
      <c r="BQ425" s="185" t="s">
        <v>126</v>
      </c>
      <c r="BW425" s="73"/>
      <c r="BY425" s="185" t="s">
        <v>3794</v>
      </c>
      <c r="CG425" s="73">
        <v>177</v>
      </c>
      <c r="CI425" s="73">
        <v>177</v>
      </c>
      <c r="CJ425" t="s">
        <v>25</v>
      </c>
      <c r="CK425" t="s">
        <v>25</v>
      </c>
      <c r="CL425" t="s">
        <v>25</v>
      </c>
      <c r="CM425" t="s">
        <v>25</v>
      </c>
      <c r="CN425" t="s">
        <v>25</v>
      </c>
      <c r="CO425" t="s">
        <v>25</v>
      </c>
      <c r="CP425" t="s">
        <v>25</v>
      </c>
      <c r="CQ425" t="s">
        <v>25</v>
      </c>
      <c r="CR425" t="s">
        <v>25</v>
      </c>
      <c r="CS425" t="s">
        <v>25</v>
      </c>
      <c r="CT425" t="s">
        <v>25</v>
      </c>
      <c r="CU425" t="s">
        <v>43</v>
      </c>
      <c r="CV425" t="s">
        <v>25</v>
      </c>
      <c r="CW425" t="s">
        <v>25</v>
      </c>
      <c r="CX425" t="s">
        <v>25</v>
      </c>
      <c r="CY425" t="s">
        <v>25</v>
      </c>
      <c r="CZ425" t="s">
        <v>25</v>
      </c>
      <c r="DA425" t="s">
        <v>25</v>
      </c>
      <c r="DB425" t="s">
        <v>25</v>
      </c>
      <c r="DC425" t="s">
        <v>25</v>
      </c>
      <c r="DD425" t="s">
        <v>25</v>
      </c>
      <c r="DE425" t="s">
        <v>25</v>
      </c>
      <c r="DF425" t="s">
        <v>25</v>
      </c>
      <c r="DG425" t="s">
        <v>25</v>
      </c>
      <c r="DH425" t="s">
        <v>25</v>
      </c>
      <c r="DI425" t="s">
        <v>25</v>
      </c>
      <c r="DJ425" s="76">
        <v>0.12400000169873261</v>
      </c>
      <c r="DK425" s="73">
        <v>177</v>
      </c>
      <c r="DL425" s="73">
        <v>0</v>
      </c>
      <c r="DM425" s="73">
        <v>177</v>
      </c>
      <c r="DU425"/>
      <c r="DZ425" s="73">
        <v>0</v>
      </c>
      <c r="EA425" s="73">
        <v>177</v>
      </c>
      <c r="EB425" s="73">
        <v>-177</v>
      </c>
    </row>
    <row r="426" spans="1:133" ht="12" customHeight="1" x14ac:dyDescent="0.2">
      <c r="A426" t="s">
        <v>2936</v>
      </c>
      <c r="B426" t="s">
        <v>2946</v>
      </c>
      <c r="C426" t="str">
        <f t="shared" si="20"/>
        <v>Full</v>
      </c>
      <c r="D426" t="s">
        <v>2943</v>
      </c>
      <c r="E426" s="65">
        <v>5669</v>
      </c>
      <c r="F426" t="s">
        <v>2047</v>
      </c>
      <c r="G426" s="71" t="s">
        <v>3954</v>
      </c>
      <c r="H426" s="67">
        <v>1.30000002682209E-2</v>
      </c>
      <c r="I426" s="65">
        <v>523325</v>
      </c>
      <c r="J426" s="65">
        <v>175241</v>
      </c>
      <c r="L426" s="65" t="s">
        <v>363</v>
      </c>
      <c r="M426" s="65" t="s">
        <v>27</v>
      </c>
      <c r="N426" s="69">
        <v>41801</v>
      </c>
      <c r="O426" s="69">
        <v>41934</v>
      </c>
      <c r="R426" s="65" t="s">
        <v>28</v>
      </c>
      <c r="U426" t="s">
        <v>703</v>
      </c>
      <c r="V426" t="s">
        <v>3391</v>
      </c>
      <c r="W426" s="65" t="s">
        <v>34</v>
      </c>
      <c r="X426" s="65" t="s">
        <v>29</v>
      </c>
      <c r="Y426" s="65" t="s">
        <v>35</v>
      </c>
      <c r="AA426" s="69">
        <v>42018</v>
      </c>
      <c r="AB426" s="69">
        <v>42865</v>
      </c>
      <c r="AC426" s="69">
        <v>42933</v>
      </c>
      <c r="AD426" s="65" t="s">
        <v>23</v>
      </c>
      <c r="AE426" s="65" t="s">
        <v>24</v>
      </c>
      <c r="AH426" s="69">
        <f t="shared" si="18"/>
        <v>42018</v>
      </c>
      <c r="AI426" s="69">
        <f t="shared" si="19"/>
        <v>42865</v>
      </c>
      <c r="AJ426" s="73">
        <v>25</v>
      </c>
      <c r="AK426" s="73">
        <v>25</v>
      </c>
      <c r="AO426" s="73">
        <v>50</v>
      </c>
      <c r="BB426" s="73">
        <v>220</v>
      </c>
      <c r="BE426" s="73">
        <v>220</v>
      </c>
      <c r="BO426" s="185" t="s">
        <v>126</v>
      </c>
      <c r="BP426" s="185" t="s">
        <v>3794</v>
      </c>
      <c r="BQ426" s="185" t="s">
        <v>3794</v>
      </c>
      <c r="BR426" s="73">
        <v>25</v>
      </c>
      <c r="BS426" s="73">
        <v>25</v>
      </c>
      <c r="BT426" s="73">
        <v>-220</v>
      </c>
      <c r="BW426" s="73">
        <v>-170</v>
      </c>
      <c r="BY426" s="185" t="s">
        <v>3794</v>
      </c>
      <c r="CJ426" t="s">
        <v>31</v>
      </c>
      <c r="CK426" t="s">
        <v>31</v>
      </c>
      <c r="CL426" t="s">
        <v>25</v>
      </c>
      <c r="CM426" t="s">
        <v>25</v>
      </c>
      <c r="CN426" t="s">
        <v>25</v>
      </c>
      <c r="CO426" t="s">
        <v>25</v>
      </c>
      <c r="CP426" t="s">
        <v>25</v>
      </c>
      <c r="CQ426" t="s">
        <v>25</v>
      </c>
      <c r="CR426" t="s">
        <v>25</v>
      </c>
      <c r="CS426" t="s">
        <v>25</v>
      </c>
      <c r="CT426" t="s">
        <v>25</v>
      </c>
      <c r="CU426" t="s">
        <v>25</v>
      </c>
      <c r="CV426" t="s">
        <v>25</v>
      </c>
      <c r="CW426" t="s">
        <v>25</v>
      </c>
      <c r="CX426" t="s">
        <v>25</v>
      </c>
      <c r="CY426" t="s">
        <v>38</v>
      </c>
      <c r="CZ426" t="s">
        <v>25</v>
      </c>
      <c r="DA426" t="s">
        <v>25</v>
      </c>
      <c r="DB426" t="s">
        <v>25</v>
      </c>
      <c r="DC426" t="s">
        <v>25</v>
      </c>
      <c r="DD426" t="s">
        <v>25</v>
      </c>
      <c r="DE426" t="s">
        <v>25</v>
      </c>
      <c r="DF426" t="s">
        <v>25</v>
      </c>
      <c r="DG426" t="s">
        <v>25</v>
      </c>
      <c r="DH426" t="s">
        <v>25</v>
      </c>
      <c r="DI426" t="s">
        <v>25</v>
      </c>
      <c r="DJ426" s="76">
        <v>4.9999998882412893E-3</v>
      </c>
      <c r="DK426" s="73">
        <v>50</v>
      </c>
      <c r="DL426" s="73">
        <v>220</v>
      </c>
      <c r="DM426" s="73">
        <v>-170</v>
      </c>
      <c r="DU426"/>
      <c r="DZ426" s="73">
        <v>252</v>
      </c>
      <c r="EA426" s="73">
        <v>69</v>
      </c>
      <c r="EB426" s="73">
        <v>183</v>
      </c>
      <c r="EC426" s="65" t="s">
        <v>126</v>
      </c>
    </row>
    <row r="427" spans="1:133" ht="12" customHeight="1" x14ac:dyDescent="0.2">
      <c r="A427" t="s">
        <v>2937</v>
      </c>
      <c r="B427" t="s">
        <v>2946</v>
      </c>
      <c r="C427" t="str">
        <f t="shared" si="20"/>
        <v>Full</v>
      </c>
      <c r="E427" s="65">
        <v>5682</v>
      </c>
      <c r="F427" t="s">
        <v>2048</v>
      </c>
      <c r="G427" s="71" t="s">
        <v>3945</v>
      </c>
      <c r="H427" s="67">
        <v>9.9999997764825804E-3</v>
      </c>
      <c r="I427" s="65">
        <v>528537</v>
      </c>
      <c r="J427" s="65">
        <v>175740</v>
      </c>
      <c r="L427" s="65" t="s">
        <v>815</v>
      </c>
      <c r="M427" s="65" t="s">
        <v>27</v>
      </c>
      <c r="N427" s="69">
        <v>42493</v>
      </c>
      <c r="O427" s="69">
        <v>42549</v>
      </c>
      <c r="R427" s="65" t="s">
        <v>28</v>
      </c>
      <c r="U427" t="s">
        <v>816</v>
      </c>
      <c r="V427" t="s">
        <v>3392</v>
      </c>
      <c r="W427" s="65" t="s">
        <v>34</v>
      </c>
      <c r="X427" s="65" t="s">
        <v>29</v>
      </c>
      <c r="Y427" s="65" t="s">
        <v>69</v>
      </c>
      <c r="AD427" s="65" t="s">
        <v>23</v>
      </c>
      <c r="AE427" s="65" t="s">
        <v>24</v>
      </c>
      <c r="AJ427" s="73">
        <v>120</v>
      </c>
      <c r="AO427" s="73">
        <v>120</v>
      </c>
      <c r="AZ427" s="73">
        <v>146</v>
      </c>
      <c r="BE427" s="73">
        <v>146</v>
      </c>
      <c r="BO427" s="185" t="s">
        <v>126</v>
      </c>
      <c r="BP427" s="185" t="s">
        <v>3794</v>
      </c>
      <c r="BQ427" s="185" t="s">
        <v>3794</v>
      </c>
      <c r="BR427" s="73">
        <v>-26</v>
      </c>
      <c r="BW427" s="73">
        <v>-26</v>
      </c>
      <c r="BY427" s="185" t="s">
        <v>3794</v>
      </c>
      <c r="CJ427" t="s">
        <v>31</v>
      </c>
      <c r="CK427" t="s">
        <v>25</v>
      </c>
      <c r="CL427" t="s">
        <v>25</v>
      </c>
      <c r="CM427" t="s">
        <v>25</v>
      </c>
      <c r="CN427" t="s">
        <v>25</v>
      </c>
      <c r="CO427" t="s">
        <v>25</v>
      </c>
      <c r="CP427" t="s">
        <v>25</v>
      </c>
      <c r="CQ427" t="s">
        <v>25</v>
      </c>
      <c r="CR427" t="s">
        <v>25</v>
      </c>
      <c r="CS427" t="s">
        <v>25</v>
      </c>
      <c r="CT427" t="s">
        <v>25</v>
      </c>
      <c r="CU427" t="s">
        <v>25</v>
      </c>
      <c r="CV427" t="s">
        <v>25</v>
      </c>
      <c r="CW427" t="s">
        <v>31</v>
      </c>
      <c r="CX427" t="s">
        <v>25</v>
      </c>
      <c r="CY427" t="s">
        <v>25</v>
      </c>
      <c r="CZ427" t="s">
        <v>25</v>
      </c>
      <c r="DA427" t="s">
        <v>25</v>
      </c>
      <c r="DB427" t="s">
        <v>25</v>
      </c>
      <c r="DC427" t="s">
        <v>25</v>
      </c>
      <c r="DD427" t="s">
        <v>25</v>
      </c>
      <c r="DE427" t="s">
        <v>25</v>
      </c>
      <c r="DF427" t="s">
        <v>25</v>
      </c>
      <c r="DG427" t="s">
        <v>25</v>
      </c>
      <c r="DH427" t="s">
        <v>25</v>
      </c>
      <c r="DI427" t="s">
        <v>25</v>
      </c>
      <c r="DJ427" s="76">
        <v>5.9999995864927699E-3</v>
      </c>
      <c r="DK427" s="73">
        <v>120</v>
      </c>
      <c r="DL427" s="73">
        <v>146</v>
      </c>
      <c r="DM427" s="73">
        <v>-26</v>
      </c>
      <c r="DU427"/>
      <c r="DX427" s="65" t="s">
        <v>126</v>
      </c>
      <c r="DY427" t="s">
        <v>2908</v>
      </c>
      <c r="DZ427" s="73">
        <v>80</v>
      </c>
      <c r="EA427" s="73">
        <v>0</v>
      </c>
      <c r="EB427" s="73">
        <v>80</v>
      </c>
      <c r="EC427" s="65" t="s">
        <v>126</v>
      </c>
    </row>
    <row r="428" spans="1:133" ht="12" customHeight="1" x14ac:dyDescent="0.2">
      <c r="A428" t="s">
        <v>2936</v>
      </c>
      <c r="B428" t="s">
        <v>2946</v>
      </c>
      <c r="C428" t="str">
        <f t="shared" si="20"/>
        <v>Full</v>
      </c>
      <c r="D428" t="s">
        <v>2943</v>
      </c>
      <c r="E428" s="65">
        <v>5687</v>
      </c>
      <c r="F428" t="s">
        <v>2049</v>
      </c>
      <c r="G428" s="71" t="s">
        <v>3944</v>
      </c>
      <c r="H428" s="67">
        <v>1.30000002682209E-2</v>
      </c>
      <c r="I428" s="65">
        <v>525944</v>
      </c>
      <c r="J428" s="65">
        <v>174996</v>
      </c>
      <c r="L428" s="65" t="s">
        <v>867</v>
      </c>
      <c r="M428" s="65" t="s">
        <v>27</v>
      </c>
      <c r="N428" s="69">
        <v>42507</v>
      </c>
      <c r="O428" s="69">
        <v>42657</v>
      </c>
      <c r="R428" s="65" t="s">
        <v>28</v>
      </c>
      <c r="U428" t="s">
        <v>2050</v>
      </c>
      <c r="V428" t="s">
        <v>3393</v>
      </c>
      <c r="W428" s="65" t="s">
        <v>34</v>
      </c>
      <c r="X428" s="65" t="s">
        <v>29</v>
      </c>
      <c r="Y428" s="65" t="s">
        <v>35</v>
      </c>
      <c r="AA428" s="69">
        <v>42343</v>
      </c>
      <c r="AB428" s="69">
        <v>42921</v>
      </c>
      <c r="AC428" s="69">
        <v>42921</v>
      </c>
      <c r="AD428" s="65" t="s">
        <v>23</v>
      </c>
      <c r="AE428" s="65" t="s">
        <v>24</v>
      </c>
      <c r="AH428" s="69">
        <f t="shared" si="18"/>
        <v>42343</v>
      </c>
      <c r="AI428" s="69">
        <f t="shared" si="19"/>
        <v>42921</v>
      </c>
      <c r="AP428" s="73">
        <v>46</v>
      </c>
      <c r="AS428" s="73">
        <v>46</v>
      </c>
      <c r="AV428" s="73">
        <v>46</v>
      </c>
      <c r="BF428" s="73">
        <v>151</v>
      </c>
      <c r="BK428" s="73">
        <v>151</v>
      </c>
      <c r="BO428" s="185" t="s">
        <v>3794</v>
      </c>
      <c r="BP428" s="185" t="s">
        <v>126</v>
      </c>
      <c r="BQ428" s="185" t="s">
        <v>3794</v>
      </c>
      <c r="BW428" s="73"/>
      <c r="BX428" s="73">
        <v>-105</v>
      </c>
      <c r="BY428" s="185" t="s">
        <v>126</v>
      </c>
      <c r="CD428" s="73">
        <v>-105</v>
      </c>
      <c r="CE428" s="65" t="s">
        <v>126</v>
      </c>
      <c r="CJ428" t="s">
        <v>25</v>
      </c>
      <c r="CK428" t="s">
        <v>25</v>
      </c>
      <c r="CL428" t="s">
        <v>25</v>
      </c>
      <c r="CM428" t="s">
        <v>25</v>
      </c>
      <c r="CN428" t="s">
        <v>25</v>
      </c>
      <c r="CO428" t="s">
        <v>72</v>
      </c>
      <c r="CP428" t="s">
        <v>25</v>
      </c>
      <c r="CQ428" t="s">
        <v>25</v>
      </c>
      <c r="CR428" t="s">
        <v>25</v>
      </c>
      <c r="CS428" t="s">
        <v>25</v>
      </c>
      <c r="CT428" t="s">
        <v>25</v>
      </c>
      <c r="CU428" t="s">
        <v>25</v>
      </c>
      <c r="CV428" t="s">
        <v>25</v>
      </c>
      <c r="CW428" t="s">
        <v>25</v>
      </c>
      <c r="CX428" t="s">
        <v>25</v>
      </c>
      <c r="CY428" t="s">
        <v>25</v>
      </c>
      <c r="CZ428" t="s">
        <v>25</v>
      </c>
      <c r="DA428" t="s">
        <v>25</v>
      </c>
      <c r="DB428" t="s">
        <v>72</v>
      </c>
      <c r="DC428" t="s">
        <v>25</v>
      </c>
      <c r="DD428" t="s">
        <v>25</v>
      </c>
      <c r="DE428" t="s">
        <v>25</v>
      </c>
      <c r="DF428" t="s">
        <v>25</v>
      </c>
      <c r="DG428" t="s">
        <v>25</v>
      </c>
      <c r="DH428" t="s">
        <v>25</v>
      </c>
      <c r="DI428" t="s">
        <v>25</v>
      </c>
      <c r="DJ428" s="76">
        <v>4.0000006556510891E-3</v>
      </c>
      <c r="DK428" s="73">
        <v>46</v>
      </c>
      <c r="DL428" s="73">
        <v>151</v>
      </c>
      <c r="DM428" s="73">
        <v>-105</v>
      </c>
      <c r="DU428"/>
      <c r="DZ428" s="73">
        <v>314</v>
      </c>
      <c r="EA428" s="73">
        <v>110</v>
      </c>
      <c r="EB428" s="73">
        <v>204</v>
      </c>
      <c r="EC428" s="65" t="s">
        <v>126</v>
      </c>
    </row>
    <row r="429" spans="1:133" ht="12" customHeight="1" x14ac:dyDescent="0.2">
      <c r="A429" t="s">
        <v>2936</v>
      </c>
      <c r="B429" t="s">
        <v>2946</v>
      </c>
      <c r="C429" t="str">
        <f t="shared" si="20"/>
        <v>Full</v>
      </c>
      <c r="D429" t="s">
        <v>2942</v>
      </c>
      <c r="E429" s="65">
        <v>5699</v>
      </c>
      <c r="F429" t="s">
        <v>2051</v>
      </c>
      <c r="G429" s="71" t="s">
        <v>3949</v>
      </c>
      <c r="H429" s="67">
        <v>1.4999999664723899E-2</v>
      </c>
      <c r="I429" s="65">
        <v>523902</v>
      </c>
      <c r="J429" s="65">
        <v>174030</v>
      </c>
      <c r="L429" s="65" t="s">
        <v>374</v>
      </c>
      <c r="M429" s="65" t="s">
        <v>27</v>
      </c>
      <c r="N429" s="69">
        <v>41857</v>
      </c>
      <c r="O429" s="69">
        <v>41956</v>
      </c>
      <c r="R429" s="65" t="s">
        <v>28</v>
      </c>
      <c r="U429" t="s">
        <v>375</v>
      </c>
      <c r="V429" t="s">
        <v>3394</v>
      </c>
      <c r="W429" s="65" t="s">
        <v>29</v>
      </c>
      <c r="X429" s="65" t="s">
        <v>29</v>
      </c>
      <c r="Y429" s="65" t="s">
        <v>22</v>
      </c>
      <c r="AA429" s="69">
        <v>42826</v>
      </c>
      <c r="AB429" s="69">
        <v>43190</v>
      </c>
      <c r="AD429" s="65" t="s">
        <v>23</v>
      </c>
      <c r="AE429" s="65" t="s">
        <v>24</v>
      </c>
      <c r="AH429" s="69">
        <f t="shared" si="18"/>
        <v>42826</v>
      </c>
      <c r="AI429" s="69">
        <f t="shared" si="19"/>
        <v>43190</v>
      </c>
      <c r="BO429" s="185" t="s">
        <v>3794</v>
      </c>
      <c r="BP429" s="185" t="s">
        <v>3794</v>
      </c>
      <c r="BQ429" s="185" t="s">
        <v>3794</v>
      </c>
      <c r="BW429" s="73"/>
      <c r="BY429" s="185" t="s">
        <v>3794</v>
      </c>
      <c r="CJ429" t="s">
        <v>25</v>
      </c>
      <c r="CK429" t="s">
        <v>25</v>
      </c>
      <c r="CL429" t="s">
        <v>25</v>
      </c>
      <c r="CM429" t="s">
        <v>25</v>
      </c>
      <c r="CN429" t="s">
        <v>25</v>
      </c>
      <c r="CO429" t="s">
        <v>25</v>
      </c>
      <c r="CP429" t="s">
        <v>25</v>
      </c>
      <c r="CQ429" t="s">
        <v>25</v>
      </c>
      <c r="CR429" t="s">
        <v>25</v>
      </c>
      <c r="CS429" t="s">
        <v>25</v>
      </c>
      <c r="CT429" t="s">
        <v>25</v>
      </c>
      <c r="CU429" t="s">
        <v>25</v>
      </c>
      <c r="CV429" t="s">
        <v>25</v>
      </c>
      <c r="CW429" t="s">
        <v>25</v>
      </c>
      <c r="CX429" t="s">
        <v>25</v>
      </c>
      <c r="CY429" t="s">
        <v>25</v>
      </c>
      <c r="CZ429" t="s">
        <v>25</v>
      </c>
      <c r="DA429" t="s">
        <v>25</v>
      </c>
      <c r="DB429" t="s">
        <v>25</v>
      </c>
      <c r="DC429" t="s">
        <v>25</v>
      </c>
      <c r="DD429" t="s">
        <v>25</v>
      </c>
      <c r="DE429" t="s">
        <v>25</v>
      </c>
      <c r="DF429" t="s">
        <v>25</v>
      </c>
      <c r="DG429" t="s">
        <v>25</v>
      </c>
      <c r="DH429" t="s">
        <v>25</v>
      </c>
      <c r="DI429" t="s">
        <v>25</v>
      </c>
      <c r="DJ429" s="76">
        <v>0</v>
      </c>
      <c r="DK429" s="73">
        <v>0</v>
      </c>
      <c r="DL429" s="73">
        <v>45</v>
      </c>
      <c r="DM429" s="73">
        <v>-45</v>
      </c>
      <c r="DU429"/>
      <c r="DZ429" s="73">
        <v>138</v>
      </c>
      <c r="EA429" s="73">
        <v>0</v>
      </c>
      <c r="EB429" s="73">
        <v>138</v>
      </c>
      <c r="EC429" s="65" t="s">
        <v>126</v>
      </c>
    </row>
    <row r="430" spans="1:133" ht="12" customHeight="1" x14ac:dyDescent="0.2">
      <c r="A430" t="s">
        <v>2935</v>
      </c>
      <c r="B430" t="s">
        <v>2946</v>
      </c>
      <c r="C430" t="str">
        <f t="shared" si="20"/>
        <v>Full</v>
      </c>
      <c r="E430" s="65">
        <v>5701</v>
      </c>
      <c r="F430" t="s">
        <v>2052</v>
      </c>
      <c r="G430" s="71" t="s">
        <v>3945</v>
      </c>
      <c r="H430" s="67">
        <v>8.9999996125698107E-3</v>
      </c>
      <c r="I430" s="65">
        <v>528325</v>
      </c>
      <c r="J430" s="65">
        <v>175700</v>
      </c>
      <c r="L430" s="65" t="s">
        <v>364</v>
      </c>
      <c r="M430" s="65" t="s">
        <v>27</v>
      </c>
      <c r="N430" s="69">
        <v>41855</v>
      </c>
      <c r="O430" s="69">
        <v>41968</v>
      </c>
      <c r="R430" s="65" t="s">
        <v>28</v>
      </c>
      <c r="U430" t="s">
        <v>704</v>
      </c>
      <c r="V430" t="s">
        <v>3395</v>
      </c>
      <c r="W430" s="65" t="s">
        <v>34</v>
      </c>
      <c r="X430" s="65" t="s">
        <v>29</v>
      </c>
      <c r="Y430" s="65" t="s">
        <v>30</v>
      </c>
      <c r="AA430" s="69">
        <v>42878</v>
      </c>
      <c r="AD430" s="65" t="s">
        <v>23</v>
      </c>
      <c r="AE430" s="65" t="s">
        <v>24</v>
      </c>
      <c r="AH430" s="69">
        <f t="shared" si="18"/>
        <v>42878</v>
      </c>
      <c r="AJ430" s="73">
        <v>70</v>
      </c>
      <c r="AO430" s="73">
        <v>70</v>
      </c>
      <c r="AZ430" s="73">
        <v>99</v>
      </c>
      <c r="BE430" s="73">
        <v>99</v>
      </c>
      <c r="BO430" s="185" t="s">
        <v>126</v>
      </c>
      <c r="BP430" s="185" t="s">
        <v>3794</v>
      </c>
      <c r="BQ430" s="185" t="s">
        <v>3794</v>
      </c>
      <c r="BR430" s="73">
        <v>-29</v>
      </c>
      <c r="BW430" s="73">
        <v>-29</v>
      </c>
      <c r="BY430" s="185" t="s">
        <v>3794</v>
      </c>
      <c r="CJ430" t="s">
        <v>25</v>
      </c>
      <c r="CK430" t="s">
        <v>25</v>
      </c>
      <c r="CL430" t="s">
        <v>25</v>
      </c>
      <c r="CM430" t="s">
        <v>25</v>
      </c>
      <c r="CN430" t="s">
        <v>25</v>
      </c>
      <c r="CO430" t="s">
        <v>25</v>
      </c>
      <c r="CP430" t="s">
        <v>25</v>
      </c>
      <c r="CQ430" t="s">
        <v>25</v>
      </c>
      <c r="CR430" t="s">
        <v>25</v>
      </c>
      <c r="CS430" t="s">
        <v>25</v>
      </c>
      <c r="CT430" t="s">
        <v>25</v>
      </c>
      <c r="CU430" t="s">
        <v>25</v>
      </c>
      <c r="CV430" t="s">
        <v>25</v>
      </c>
      <c r="CW430" t="s">
        <v>31</v>
      </c>
      <c r="CX430" t="s">
        <v>25</v>
      </c>
      <c r="CY430" t="s">
        <v>25</v>
      </c>
      <c r="CZ430" t="s">
        <v>25</v>
      </c>
      <c r="DA430" t="s">
        <v>25</v>
      </c>
      <c r="DB430" t="s">
        <v>25</v>
      </c>
      <c r="DC430" t="s">
        <v>25</v>
      </c>
      <c r="DD430" t="s">
        <v>25</v>
      </c>
      <c r="DE430" t="s">
        <v>25</v>
      </c>
      <c r="DF430" t="s">
        <v>25</v>
      </c>
      <c r="DG430" t="s">
        <v>25</v>
      </c>
      <c r="DH430" t="s">
        <v>25</v>
      </c>
      <c r="DI430" t="s">
        <v>25</v>
      </c>
      <c r="DJ430" s="76">
        <v>2.9999995604157509E-3</v>
      </c>
      <c r="DK430" s="73">
        <v>70</v>
      </c>
      <c r="DL430" s="73">
        <v>99</v>
      </c>
      <c r="DM430" s="73">
        <v>-29</v>
      </c>
      <c r="DU430"/>
      <c r="DX430" s="65" t="s">
        <v>126</v>
      </c>
      <c r="DY430" t="s">
        <v>2908</v>
      </c>
      <c r="DZ430" s="73">
        <v>183</v>
      </c>
      <c r="EA430" s="73">
        <v>107</v>
      </c>
      <c r="EB430" s="73">
        <v>76</v>
      </c>
      <c r="EC430" s="65" t="s">
        <v>126</v>
      </c>
    </row>
    <row r="431" spans="1:133" ht="12" customHeight="1" x14ac:dyDescent="0.2">
      <c r="A431" t="s">
        <v>2936</v>
      </c>
      <c r="B431" t="s">
        <v>2946</v>
      </c>
      <c r="C431" t="str">
        <f t="shared" si="20"/>
        <v>Full</v>
      </c>
      <c r="D431" t="s">
        <v>2943</v>
      </c>
      <c r="E431" s="65">
        <v>5702</v>
      </c>
      <c r="F431" t="s">
        <v>2053</v>
      </c>
      <c r="G431" s="71" t="s">
        <v>3943</v>
      </c>
      <c r="H431" s="67">
        <v>8.0000003799796104E-3</v>
      </c>
      <c r="I431" s="65">
        <v>527034</v>
      </c>
      <c r="J431" s="65">
        <v>176160</v>
      </c>
      <c r="L431" s="65" t="s">
        <v>819</v>
      </c>
      <c r="M431" s="65" t="s">
        <v>27</v>
      </c>
      <c r="N431" s="69">
        <v>42465</v>
      </c>
      <c r="O431" s="69">
        <v>42521</v>
      </c>
      <c r="R431" s="65" t="s">
        <v>28</v>
      </c>
      <c r="U431" t="s">
        <v>820</v>
      </c>
      <c r="V431" t="s">
        <v>3396</v>
      </c>
      <c r="W431" s="65" t="s">
        <v>21</v>
      </c>
      <c r="X431" s="65" t="s">
        <v>21</v>
      </c>
      <c r="Y431" s="65" t="s">
        <v>35</v>
      </c>
      <c r="AA431" s="69">
        <v>42521</v>
      </c>
      <c r="AB431" s="69">
        <v>42917</v>
      </c>
      <c r="AC431" s="69">
        <v>42917</v>
      </c>
      <c r="AD431" s="65" t="s">
        <v>23</v>
      </c>
      <c r="AE431" s="65" t="s">
        <v>24</v>
      </c>
      <c r="AH431" s="69">
        <f t="shared" si="18"/>
        <v>42521</v>
      </c>
      <c r="AI431" s="69">
        <f t="shared" si="19"/>
        <v>42917</v>
      </c>
      <c r="AL431" s="73">
        <v>28</v>
      </c>
      <c r="AO431" s="73">
        <v>28</v>
      </c>
      <c r="BO431" s="185" t="s">
        <v>126</v>
      </c>
      <c r="BP431" s="185" t="s">
        <v>3794</v>
      </c>
      <c r="BQ431" s="185" t="s">
        <v>3794</v>
      </c>
      <c r="BT431" s="73">
        <v>28</v>
      </c>
      <c r="BW431" s="73">
        <v>28</v>
      </c>
      <c r="BY431" s="185" t="s">
        <v>3794</v>
      </c>
      <c r="CJ431" t="s">
        <v>25</v>
      </c>
      <c r="CK431" t="s">
        <v>25</v>
      </c>
      <c r="CL431" t="s">
        <v>50</v>
      </c>
      <c r="CM431" t="s">
        <v>25</v>
      </c>
      <c r="CN431" t="s">
        <v>25</v>
      </c>
      <c r="CO431" t="s">
        <v>25</v>
      </c>
      <c r="CP431" t="s">
        <v>25</v>
      </c>
      <c r="CQ431" t="s">
        <v>25</v>
      </c>
      <c r="CR431" t="s">
        <v>25</v>
      </c>
      <c r="CS431" t="s">
        <v>25</v>
      </c>
      <c r="CT431" t="s">
        <v>25</v>
      </c>
      <c r="CU431" t="s">
        <v>25</v>
      </c>
      <c r="CV431" t="s">
        <v>25</v>
      </c>
      <c r="CW431" t="s">
        <v>25</v>
      </c>
      <c r="CX431" t="s">
        <v>25</v>
      </c>
      <c r="CY431" t="s">
        <v>25</v>
      </c>
      <c r="CZ431" t="s">
        <v>25</v>
      </c>
      <c r="DA431" t="s">
        <v>25</v>
      </c>
      <c r="DB431" t="s">
        <v>25</v>
      </c>
      <c r="DC431" t="s">
        <v>25</v>
      </c>
      <c r="DD431" t="s">
        <v>25</v>
      </c>
      <c r="DE431" t="s">
        <v>25</v>
      </c>
      <c r="DF431" t="s">
        <v>25</v>
      </c>
      <c r="DG431" t="s">
        <v>25</v>
      </c>
      <c r="DH431" t="s">
        <v>25</v>
      </c>
      <c r="DI431" t="s">
        <v>25</v>
      </c>
      <c r="DJ431" s="76">
        <v>8.0000003799796104E-3</v>
      </c>
      <c r="DK431" s="73">
        <v>38</v>
      </c>
      <c r="DL431" s="73">
        <v>38</v>
      </c>
      <c r="DM431" s="73">
        <v>0</v>
      </c>
      <c r="DU431"/>
      <c r="DZ431" s="73">
        <v>0</v>
      </c>
      <c r="EA431" s="73">
        <v>0</v>
      </c>
      <c r="EB431" s="73">
        <v>0</v>
      </c>
    </row>
    <row r="432" spans="1:133" ht="12" customHeight="1" x14ac:dyDescent="0.2">
      <c r="A432" t="s">
        <v>2936</v>
      </c>
      <c r="B432" t="s">
        <v>2946</v>
      </c>
      <c r="C432" t="str">
        <f t="shared" si="20"/>
        <v>Full</v>
      </c>
      <c r="D432" t="s">
        <v>2943</v>
      </c>
      <c r="E432" s="65">
        <v>5710</v>
      </c>
      <c r="F432" t="s">
        <v>2054</v>
      </c>
      <c r="G432" s="71" t="s">
        <v>3944</v>
      </c>
      <c r="I432" s="65">
        <v>525372</v>
      </c>
      <c r="J432" s="65">
        <v>175000</v>
      </c>
      <c r="L432" s="65" t="s">
        <v>379</v>
      </c>
      <c r="M432" s="65" t="s">
        <v>27</v>
      </c>
      <c r="N432" s="69">
        <v>41863</v>
      </c>
      <c r="O432" s="69">
        <v>42016</v>
      </c>
      <c r="R432" s="65" t="s">
        <v>28</v>
      </c>
      <c r="U432" t="s">
        <v>710</v>
      </c>
      <c r="V432" t="s">
        <v>3397</v>
      </c>
      <c r="W432" s="65" t="s">
        <v>21</v>
      </c>
      <c r="X432" s="65" t="s">
        <v>21</v>
      </c>
      <c r="Y432" s="65" t="s">
        <v>35</v>
      </c>
      <c r="AA432" s="69">
        <v>42094</v>
      </c>
      <c r="AB432" s="69">
        <v>42878</v>
      </c>
      <c r="AC432" s="69">
        <v>42878</v>
      </c>
      <c r="AD432" s="65" t="s">
        <v>23</v>
      </c>
      <c r="AE432" s="65" t="s">
        <v>24</v>
      </c>
      <c r="AH432" s="69">
        <f t="shared" si="18"/>
        <v>42094</v>
      </c>
      <c r="AI432" s="69">
        <f t="shared" si="19"/>
        <v>42878</v>
      </c>
      <c r="BJ432" s="73">
        <v>42</v>
      </c>
      <c r="BK432" s="73">
        <v>42</v>
      </c>
      <c r="BO432" s="185" t="s">
        <v>3794</v>
      </c>
      <c r="BP432" s="185" t="s">
        <v>126</v>
      </c>
      <c r="BQ432" s="185" t="s">
        <v>3794</v>
      </c>
      <c r="BW432" s="73"/>
      <c r="BY432" s="185" t="s">
        <v>3794</v>
      </c>
      <c r="CC432" s="73">
        <v>-42</v>
      </c>
      <c r="CD432" s="73">
        <v>-42</v>
      </c>
      <c r="CE432" s="65" t="s">
        <v>126</v>
      </c>
      <c r="CJ432" t="s">
        <v>25</v>
      </c>
      <c r="CK432" t="s">
        <v>25</v>
      </c>
      <c r="CL432" t="s">
        <v>25</v>
      </c>
      <c r="CM432" t="s">
        <v>25</v>
      </c>
      <c r="CN432" t="s">
        <v>25</v>
      </c>
      <c r="CO432" t="s">
        <v>25</v>
      </c>
      <c r="CP432" t="s">
        <v>25</v>
      </c>
      <c r="CQ432" t="s">
        <v>25</v>
      </c>
      <c r="CR432" t="s">
        <v>25</v>
      </c>
      <c r="CS432" t="s">
        <v>25</v>
      </c>
      <c r="CT432" t="s">
        <v>25</v>
      </c>
      <c r="CU432" t="s">
        <v>25</v>
      </c>
      <c r="CV432" t="s">
        <v>25</v>
      </c>
      <c r="CW432" t="s">
        <v>25</v>
      </c>
      <c r="CX432" t="s">
        <v>25</v>
      </c>
      <c r="CY432" t="s">
        <v>25</v>
      </c>
      <c r="CZ432" t="s">
        <v>25</v>
      </c>
      <c r="DA432" t="s">
        <v>25</v>
      </c>
      <c r="DB432" t="s">
        <v>25</v>
      </c>
      <c r="DC432" t="s">
        <v>25</v>
      </c>
      <c r="DD432" t="s">
        <v>25</v>
      </c>
      <c r="DE432" t="s">
        <v>25</v>
      </c>
      <c r="DF432" t="s">
        <v>53</v>
      </c>
      <c r="DG432" t="s">
        <v>25</v>
      </c>
      <c r="DH432" t="s">
        <v>25</v>
      </c>
      <c r="DI432" t="s">
        <v>25</v>
      </c>
      <c r="DJ432" s="76">
        <v>0</v>
      </c>
      <c r="DK432" s="73">
        <v>105</v>
      </c>
      <c r="DL432" s="73">
        <v>42</v>
      </c>
      <c r="DM432" s="73">
        <v>63</v>
      </c>
      <c r="DQ432" s="65" t="s">
        <v>126</v>
      </c>
      <c r="DR432" t="s">
        <v>2916</v>
      </c>
      <c r="DU432"/>
      <c r="DZ432" s="73">
        <v>0</v>
      </c>
      <c r="EA432" s="73">
        <v>0</v>
      </c>
      <c r="EB432" s="73">
        <v>0</v>
      </c>
    </row>
    <row r="433" spans="1:133" ht="12" customHeight="1" x14ac:dyDescent="0.2">
      <c r="A433" t="s">
        <v>2935</v>
      </c>
      <c r="B433" t="s">
        <v>2946</v>
      </c>
      <c r="C433" t="str">
        <f t="shared" si="20"/>
        <v>Full</v>
      </c>
      <c r="E433" s="65">
        <v>5717</v>
      </c>
      <c r="F433" t="s">
        <v>2055</v>
      </c>
      <c r="G433" s="71" t="s">
        <v>3952</v>
      </c>
      <c r="H433" s="67">
        <v>3.0000000260770299E-3</v>
      </c>
      <c r="I433" s="65">
        <v>529218</v>
      </c>
      <c r="J433" s="65">
        <v>172611</v>
      </c>
      <c r="L433" s="65" t="s">
        <v>296</v>
      </c>
      <c r="M433" s="65" t="s">
        <v>27</v>
      </c>
      <c r="N433" s="69">
        <v>41990</v>
      </c>
      <c r="O433" s="69">
        <v>42048</v>
      </c>
      <c r="R433" s="65" t="s">
        <v>28</v>
      </c>
      <c r="U433" t="s">
        <v>297</v>
      </c>
      <c r="V433" t="s">
        <v>3398</v>
      </c>
      <c r="W433" s="65" t="s">
        <v>29</v>
      </c>
      <c r="X433" s="65" t="s">
        <v>29</v>
      </c>
      <c r="Y433" s="65" t="s">
        <v>30</v>
      </c>
      <c r="Z433" s="69">
        <v>42825</v>
      </c>
      <c r="AA433" s="69">
        <v>42826</v>
      </c>
      <c r="AD433" s="65" t="s">
        <v>23</v>
      </c>
      <c r="AE433" s="65" t="s">
        <v>24</v>
      </c>
      <c r="AH433" s="69">
        <f t="shared" si="18"/>
        <v>42826</v>
      </c>
      <c r="BO433" s="185" t="s">
        <v>3794</v>
      </c>
      <c r="BP433" s="185" t="s">
        <v>3794</v>
      </c>
      <c r="BQ433" s="185" t="s">
        <v>3794</v>
      </c>
      <c r="BW433" s="73"/>
      <c r="BY433" s="185" t="s">
        <v>3794</v>
      </c>
      <c r="CJ433" t="s">
        <v>25</v>
      </c>
      <c r="CK433" t="s">
        <v>25</v>
      </c>
      <c r="CL433" t="s">
        <v>25</v>
      </c>
      <c r="CM433" t="s">
        <v>25</v>
      </c>
      <c r="CN433" t="s">
        <v>25</v>
      </c>
      <c r="CO433" t="s">
        <v>25</v>
      </c>
      <c r="CP433" t="s">
        <v>25</v>
      </c>
      <c r="CQ433" t="s">
        <v>25</v>
      </c>
      <c r="CR433" t="s">
        <v>25</v>
      </c>
      <c r="CS433" t="s">
        <v>25</v>
      </c>
      <c r="CT433" t="s">
        <v>25</v>
      </c>
      <c r="CU433" t="s">
        <v>25</v>
      </c>
      <c r="CV433" t="s">
        <v>25</v>
      </c>
      <c r="CW433" t="s">
        <v>25</v>
      </c>
      <c r="CX433" t="s">
        <v>25</v>
      </c>
      <c r="CY433" t="s">
        <v>25</v>
      </c>
      <c r="CZ433" t="s">
        <v>25</v>
      </c>
      <c r="DA433" t="s">
        <v>25</v>
      </c>
      <c r="DB433" t="s">
        <v>25</v>
      </c>
      <c r="DC433" t="s">
        <v>25</v>
      </c>
      <c r="DD433" t="s">
        <v>25</v>
      </c>
      <c r="DE433" t="s">
        <v>25</v>
      </c>
      <c r="DF433" t="s">
        <v>25</v>
      </c>
      <c r="DG433" t="s">
        <v>25</v>
      </c>
      <c r="DH433" t="s">
        <v>25</v>
      </c>
      <c r="DI433" t="s">
        <v>25</v>
      </c>
      <c r="DJ433" s="76">
        <v>0</v>
      </c>
      <c r="DK433" s="73">
        <v>0</v>
      </c>
      <c r="DL433" s="73">
        <v>59</v>
      </c>
      <c r="DM433" s="73">
        <v>-59</v>
      </c>
      <c r="DU433"/>
      <c r="DZ433" s="73">
        <v>80</v>
      </c>
      <c r="EA433" s="73">
        <v>0</v>
      </c>
      <c r="EB433" s="73">
        <v>80</v>
      </c>
      <c r="EC433" s="65" t="s">
        <v>126</v>
      </c>
    </row>
    <row r="434" spans="1:133" ht="12" customHeight="1" x14ac:dyDescent="0.2">
      <c r="A434" t="s">
        <v>2937</v>
      </c>
      <c r="B434" t="s">
        <v>2946</v>
      </c>
      <c r="C434" t="str">
        <f t="shared" si="20"/>
        <v>Full</v>
      </c>
      <c r="E434" s="65">
        <v>5738</v>
      </c>
      <c r="F434" t="s">
        <v>2056</v>
      </c>
      <c r="G434" s="71" t="s">
        <v>3943</v>
      </c>
      <c r="H434" s="67">
        <v>4.9999998882412902E-3</v>
      </c>
      <c r="I434" s="65">
        <v>526685</v>
      </c>
      <c r="J434" s="65">
        <v>176524</v>
      </c>
      <c r="L434" s="65" t="s">
        <v>331</v>
      </c>
      <c r="M434" s="65" t="s">
        <v>27</v>
      </c>
      <c r="N434" s="69">
        <v>41921</v>
      </c>
      <c r="O434" s="69">
        <v>42185</v>
      </c>
      <c r="R434" s="65" t="s">
        <v>28</v>
      </c>
      <c r="U434" t="s">
        <v>332</v>
      </c>
      <c r="V434" t="s">
        <v>3399</v>
      </c>
      <c r="W434" s="65" t="s">
        <v>29</v>
      </c>
      <c r="X434" s="65" t="s">
        <v>29</v>
      </c>
      <c r="Y434" s="65" t="s">
        <v>69</v>
      </c>
      <c r="AD434" s="65" t="s">
        <v>23</v>
      </c>
      <c r="AE434" s="65" t="s">
        <v>24</v>
      </c>
      <c r="BO434" s="185" t="s">
        <v>3794</v>
      </c>
      <c r="BP434" s="185" t="s">
        <v>3794</v>
      </c>
      <c r="BQ434" s="185" t="s">
        <v>3794</v>
      </c>
      <c r="BW434" s="73"/>
      <c r="BY434" s="185" t="s">
        <v>3794</v>
      </c>
      <c r="CJ434" t="s">
        <v>25</v>
      </c>
      <c r="CK434" t="s">
        <v>25</v>
      </c>
      <c r="CL434" t="s">
        <v>25</v>
      </c>
      <c r="CM434" t="s">
        <v>25</v>
      </c>
      <c r="CN434" t="s">
        <v>25</v>
      </c>
      <c r="CO434" t="s">
        <v>25</v>
      </c>
      <c r="CP434" t="s">
        <v>25</v>
      </c>
      <c r="CQ434" t="s">
        <v>25</v>
      </c>
      <c r="CR434" t="s">
        <v>25</v>
      </c>
      <c r="CS434" t="s">
        <v>25</v>
      </c>
      <c r="CT434" t="s">
        <v>25</v>
      </c>
      <c r="CU434" t="s">
        <v>25</v>
      </c>
      <c r="CV434" t="s">
        <v>25</v>
      </c>
      <c r="CW434" t="s">
        <v>25</v>
      </c>
      <c r="CX434" t="s">
        <v>25</v>
      </c>
      <c r="CY434" t="s">
        <v>25</v>
      </c>
      <c r="CZ434" t="s">
        <v>25</v>
      </c>
      <c r="DA434" t="s">
        <v>25</v>
      </c>
      <c r="DB434" t="s">
        <v>25</v>
      </c>
      <c r="DC434" t="s">
        <v>25</v>
      </c>
      <c r="DD434" t="s">
        <v>25</v>
      </c>
      <c r="DE434" t="s">
        <v>25</v>
      </c>
      <c r="DF434" t="s">
        <v>25</v>
      </c>
      <c r="DG434" t="s">
        <v>25</v>
      </c>
      <c r="DH434" t="s">
        <v>25</v>
      </c>
      <c r="DI434" t="s">
        <v>25</v>
      </c>
      <c r="DJ434" s="76">
        <v>4.9999998882412902E-3</v>
      </c>
      <c r="DK434" s="73">
        <v>60</v>
      </c>
      <c r="DL434" s="73">
        <v>0</v>
      </c>
      <c r="DM434" s="73">
        <v>60</v>
      </c>
      <c r="DN434" s="65" t="s">
        <v>126</v>
      </c>
      <c r="DU434"/>
      <c r="DZ434" s="73">
        <v>0</v>
      </c>
      <c r="EA434" s="73">
        <v>0</v>
      </c>
      <c r="EB434" s="73">
        <v>0</v>
      </c>
    </row>
    <row r="435" spans="1:133" ht="12" customHeight="1" x14ac:dyDescent="0.2">
      <c r="A435" t="s">
        <v>2936</v>
      </c>
      <c r="B435" t="s">
        <v>2946</v>
      </c>
      <c r="C435" t="str">
        <f t="shared" si="20"/>
        <v>Full</v>
      </c>
      <c r="D435" t="s">
        <v>2943</v>
      </c>
      <c r="E435" s="65">
        <v>5746</v>
      </c>
      <c r="F435" t="s">
        <v>2057</v>
      </c>
      <c r="G435" s="71" t="s">
        <v>3941</v>
      </c>
      <c r="H435" s="67">
        <v>1.7000000923872001E-2</v>
      </c>
      <c r="I435" s="65">
        <v>528552</v>
      </c>
      <c r="J435" s="65">
        <v>173138</v>
      </c>
      <c r="L435" s="65" t="s">
        <v>329</v>
      </c>
      <c r="M435" s="65" t="s">
        <v>27</v>
      </c>
      <c r="N435" s="69">
        <v>41922</v>
      </c>
      <c r="O435" s="69">
        <v>42114</v>
      </c>
      <c r="R435" s="65" t="s">
        <v>28</v>
      </c>
      <c r="U435" t="s">
        <v>330</v>
      </c>
      <c r="V435" t="s">
        <v>3400</v>
      </c>
      <c r="W435" s="65" t="s">
        <v>29</v>
      </c>
      <c r="X435" s="65" t="s">
        <v>29</v>
      </c>
      <c r="Y435" s="65" t="s">
        <v>35</v>
      </c>
      <c r="AA435" s="69">
        <v>42423</v>
      </c>
      <c r="AB435" s="69">
        <v>43045</v>
      </c>
      <c r="AC435" s="69">
        <v>43045</v>
      </c>
      <c r="AD435" s="65" t="s">
        <v>23</v>
      </c>
      <c r="AE435" s="65" t="s">
        <v>24</v>
      </c>
      <c r="AH435" s="69">
        <f t="shared" si="18"/>
        <v>42423</v>
      </c>
      <c r="AI435" s="69">
        <f t="shared" si="19"/>
        <v>43045</v>
      </c>
      <c r="BF435" s="73">
        <v>159</v>
      </c>
      <c r="BK435" s="73">
        <v>159</v>
      </c>
      <c r="BO435" s="185" t="s">
        <v>3794</v>
      </c>
      <c r="BP435" s="185" t="s">
        <v>126</v>
      </c>
      <c r="BQ435" s="185" t="s">
        <v>3794</v>
      </c>
      <c r="BW435" s="73"/>
      <c r="BX435" s="73">
        <v>-159</v>
      </c>
      <c r="BY435" s="185" t="s">
        <v>126</v>
      </c>
      <c r="CD435" s="73">
        <v>-159</v>
      </c>
      <c r="CE435" s="65" t="s">
        <v>126</v>
      </c>
      <c r="CJ435" t="s">
        <v>25</v>
      </c>
      <c r="CK435" t="s">
        <v>25</v>
      </c>
      <c r="CL435" t="s">
        <v>25</v>
      </c>
      <c r="CM435" t="s">
        <v>25</v>
      </c>
      <c r="CN435" t="s">
        <v>25</v>
      </c>
      <c r="CO435" t="s">
        <v>25</v>
      </c>
      <c r="CP435" t="s">
        <v>25</v>
      </c>
      <c r="CQ435" t="s">
        <v>25</v>
      </c>
      <c r="CR435" t="s">
        <v>25</v>
      </c>
      <c r="CS435" t="s">
        <v>25</v>
      </c>
      <c r="CT435" t="s">
        <v>25</v>
      </c>
      <c r="CU435" t="s">
        <v>25</v>
      </c>
      <c r="CV435" t="s">
        <v>25</v>
      </c>
      <c r="CW435" t="s">
        <v>25</v>
      </c>
      <c r="CX435" t="s">
        <v>25</v>
      </c>
      <c r="CY435" t="s">
        <v>25</v>
      </c>
      <c r="CZ435" t="s">
        <v>25</v>
      </c>
      <c r="DA435" t="s">
        <v>25</v>
      </c>
      <c r="DB435" t="s">
        <v>31</v>
      </c>
      <c r="DC435" t="s">
        <v>25</v>
      </c>
      <c r="DD435" t="s">
        <v>25</v>
      </c>
      <c r="DE435" t="s">
        <v>25</v>
      </c>
      <c r="DF435" t="s">
        <v>25</v>
      </c>
      <c r="DG435" t="s">
        <v>25</v>
      </c>
      <c r="DH435" t="s">
        <v>25</v>
      </c>
      <c r="DI435" t="s">
        <v>25</v>
      </c>
      <c r="DJ435" s="76">
        <v>0</v>
      </c>
      <c r="DK435" s="73">
        <v>0</v>
      </c>
      <c r="DL435" s="73">
        <v>159</v>
      </c>
      <c r="DM435" s="73">
        <v>-159</v>
      </c>
      <c r="DU435"/>
      <c r="DZ435" s="73">
        <v>170</v>
      </c>
      <c r="EA435" s="73">
        <v>0</v>
      </c>
      <c r="EB435" s="73">
        <v>170</v>
      </c>
      <c r="EC435" s="65" t="s">
        <v>126</v>
      </c>
    </row>
    <row r="436" spans="1:133" ht="12" customHeight="1" x14ac:dyDescent="0.2">
      <c r="A436" t="s">
        <v>2937</v>
      </c>
      <c r="B436" t="s">
        <v>2948</v>
      </c>
      <c r="C436" t="str">
        <f t="shared" si="20"/>
        <v>Prior Approval</v>
      </c>
      <c r="E436" s="65">
        <v>5749</v>
      </c>
      <c r="F436" t="s">
        <v>2058</v>
      </c>
      <c r="G436" s="71" t="s">
        <v>3946</v>
      </c>
      <c r="H436" s="67">
        <v>4.9999998882412902E-3</v>
      </c>
      <c r="I436" s="65">
        <v>523192</v>
      </c>
      <c r="J436" s="65">
        <v>175813</v>
      </c>
      <c r="L436" s="65" t="s">
        <v>337</v>
      </c>
      <c r="M436" s="65" t="s">
        <v>244</v>
      </c>
      <c r="N436" s="69">
        <v>41921</v>
      </c>
      <c r="O436" s="69">
        <v>41977</v>
      </c>
      <c r="R436" s="65" t="s">
        <v>28</v>
      </c>
      <c r="U436" t="s">
        <v>338</v>
      </c>
      <c r="V436" t="s">
        <v>3401</v>
      </c>
      <c r="W436" s="65" t="s">
        <v>21</v>
      </c>
      <c r="X436" s="65" t="s">
        <v>21</v>
      </c>
      <c r="Y436" s="65" t="s">
        <v>69</v>
      </c>
      <c r="AD436" s="65" t="s">
        <v>23</v>
      </c>
      <c r="AE436" s="65" t="s">
        <v>24</v>
      </c>
      <c r="BF436" s="73">
        <v>110</v>
      </c>
      <c r="BK436" s="73">
        <v>110</v>
      </c>
      <c r="BO436" s="185" t="s">
        <v>3794</v>
      </c>
      <c r="BP436" s="185" t="s">
        <v>126</v>
      </c>
      <c r="BQ436" s="185" t="s">
        <v>3794</v>
      </c>
      <c r="BW436" s="73"/>
      <c r="BX436" s="73">
        <v>-110</v>
      </c>
      <c r="BY436" s="185" t="s">
        <v>126</v>
      </c>
      <c r="CD436" s="73">
        <v>-110</v>
      </c>
      <c r="CE436" s="65" t="s">
        <v>126</v>
      </c>
      <c r="CJ436" t="s">
        <v>25</v>
      </c>
      <c r="CK436" t="s">
        <v>25</v>
      </c>
      <c r="CL436" t="s">
        <v>25</v>
      </c>
      <c r="CM436" t="s">
        <v>25</v>
      </c>
      <c r="CN436" t="s">
        <v>25</v>
      </c>
      <c r="CO436" t="s">
        <v>25</v>
      </c>
      <c r="CP436" t="s">
        <v>25</v>
      </c>
      <c r="CQ436" t="s">
        <v>25</v>
      </c>
      <c r="CR436" t="s">
        <v>25</v>
      </c>
      <c r="CS436" t="s">
        <v>25</v>
      </c>
      <c r="CT436" t="s">
        <v>25</v>
      </c>
      <c r="CU436" t="s">
        <v>25</v>
      </c>
      <c r="CV436" t="s">
        <v>25</v>
      </c>
      <c r="CW436" t="s">
        <v>25</v>
      </c>
      <c r="CX436" t="s">
        <v>25</v>
      </c>
      <c r="CY436" t="s">
        <v>25</v>
      </c>
      <c r="CZ436" t="s">
        <v>25</v>
      </c>
      <c r="DA436" t="s">
        <v>25</v>
      </c>
      <c r="DB436" t="s">
        <v>31</v>
      </c>
      <c r="DC436" t="s">
        <v>25</v>
      </c>
      <c r="DD436" t="s">
        <v>25</v>
      </c>
      <c r="DE436" t="s">
        <v>25</v>
      </c>
      <c r="DF436" t="s">
        <v>25</v>
      </c>
      <c r="DG436" t="s">
        <v>25</v>
      </c>
      <c r="DH436" t="s">
        <v>25</v>
      </c>
      <c r="DI436" t="s">
        <v>25</v>
      </c>
      <c r="DJ436" s="76">
        <v>0</v>
      </c>
      <c r="DK436" s="73">
        <v>0</v>
      </c>
      <c r="DL436" s="73">
        <v>110</v>
      </c>
      <c r="DM436" s="73">
        <v>-110</v>
      </c>
      <c r="DU436"/>
      <c r="DZ436" s="73">
        <v>130</v>
      </c>
      <c r="EA436" s="73">
        <v>0</v>
      </c>
      <c r="EB436" s="73">
        <v>130</v>
      </c>
      <c r="EC436" s="65" t="s">
        <v>126</v>
      </c>
    </row>
    <row r="437" spans="1:133" ht="12" customHeight="1" x14ac:dyDescent="0.2">
      <c r="A437" t="s">
        <v>2936</v>
      </c>
      <c r="B437" t="s">
        <v>2946</v>
      </c>
      <c r="C437" t="str">
        <f t="shared" si="20"/>
        <v>Full</v>
      </c>
      <c r="D437" t="s">
        <v>2943</v>
      </c>
      <c r="E437" s="65">
        <v>5752</v>
      </c>
      <c r="F437" t="s">
        <v>2059</v>
      </c>
      <c r="G437" s="71" t="s">
        <v>3949</v>
      </c>
      <c r="H437" s="67">
        <v>9.0999998152255998E-2</v>
      </c>
      <c r="I437" s="65">
        <v>524731</v>
      </c>
      <c r="J437" s="65">
        <v>174845</v>
      </c>
      <c r="L437" s="65" t="s">
        <v>534</v>
      </c>
      <c r="M437" s="65" t="s">
        <v>27</v>
      </c>
      <c r="N437" s="69">
        <v>42255</v>
      </c>
      <c r="O437" s="69">
        <v>42339</v>
      </c>
      <c r="R437" s="65" t="s">
        <v>28</v>
      </c>
      <c r="U437" t="s">
        <v>766</v>
      </c>
      <c r="V437" t="s">
        <v>3402</v>
      </c>
      <c r="W437" s="65" t="s">
        <v>34</v>
      </c>
      <c r="X437" s="65" t="s">
        <v>29</v>
      </c>
      <c r="Y437" s="65" t="s">
        <v>35</v>
      </c>
      <c r="AA437" s="69">
        <v>42826</v>
      </c>
      <c r="AB437" s="69">
        <v>43190</v>
      </c>
      <c r="AC437" s="69">
        <v>43190</v>
      </c>
      <c r="AD437" s="65" t="s">
        <v>23</v>
      </c>
      <c r="AE437" s="65" t="s">
        <v>24</v>
      </c>
      <c r="AH437" s="69">
        <f t="shared" si="18"/>
        <v>42826</v>
      </c>
      <c r="AI437" s="69">
        <f t="shared" si="19"/>
        <v>43190</v>
      </c>
      <c r="BJ437" s="73">
        <v>52</v>
      </c>
      <c r="BK437" s="73">
        <v>52</v>
      </c>
      <c r="BO437" s="185" t="s">
        <v>3794</v>
      </c>
      <c r="BP437" s="185" t="s">
        <v>126</v>
      </c>
      <c r="BQ437" s="185" t="s">
        <v>3794</v>
      </c>
      <c r="BW437" s="73"/>
      <c r="BY437" s="185" t="s">
        <v>3794</v>
      </c>
      <c r="CC437" s="73">
        <v>-52</v>
      </c>
      <c r="CD437" s="73">
        <v>-52</v>
      </c>
      <c r="CE437" s="65" t="s">
        <v>126</v>
      </c>
      <c r="CJ437" t="s">
        <v>25</v>
      </c>
      <c r="CK437" t="s">
        <v>25</v>
      </c>
      <c r="CL437" t="s">
        <v>25</v>
      </c>
      <c r="CM437" t="s">
        <v>25</v>
      </c>
      <c r="CN437" t="s">
        <v>25</v>
      </c>
      <c r="CO437" t="s">
        <v>25</v>
      </c>
      <c r="CP437" t="s">
        <v>25</v>
      </c>
      <c r="CQ437" t="s">
        <v>25</v>
      </c>
      <c r="CR437" t="s">
        <v>25</v>
      </c>
      <c r="CS437" t="s">
        <v>25</v>
      </c>
      <c r="CT437" t="s">
        <v>25</v>
      </c>
      <c r="CU437" t="s">
        <v>25</v>
      </c>
      <c r="CV437" t="s">
        <v>25</v>
      </c>
      <c r="CW437" t="s">
        <v>25</v>
      </c>
      <c r="CX437" t="s">
        <v>25</v>
      </c>
      <c r="CY437" t="s">
        <v>25</v>
      </c>
      <c r="CZ437" t="s">
        <v>25</v>
      </c>
      <c r="DA437" t="s">
        <v>25</v>
      </c>
      <c r="DB437" t="s">
        <v>25</v>
      </c>
      <c r="DC437" t="s">
        <v>25</v>
      </c>
      <c r="DD437" t="s">
        <v>25</v>
      </c>
      <c r="DE437" t="s">
        <v>25</v>
      </c>
      <c r="DF437" t="s">
        <v>232</v>
      </c>
      <c r="DG437" t="s">
        <v>25</v>
      </c>
      <c r="DH437" t="s">
        <v>25</v>
      </c>
      <c r="DI437" t="s">
        <v>25</v>
      </c>
      <c r="DJ437" s="76">
        <v>8.4999998100101934E-2</v>
      </c>
      <c r="DK437" s="73">
        <v>0</v>
      </c>
      <c r="DL437" s="73">
        <v>60</v>
      </c>
      <c r="DM437" s="73">
        <v>-60</v>
      </c>
      <c r="DU437"/>
      <c r="DZ437" s="73">
        <v>60</v>
      </c>
      <c r="EA437" s="73">
        <v>0</v>
      </c>
      <c r="EB437" s="73">
        <v>60</v>
      </c>
      <c r="EC437" s="65" t="s">
        <v>126</v>
      </c>
    </row>
    <row r="438" spans="1:133" ht="12" customHeight="1" x14ac:dyDescent="0.2">
      <c r="A438" t="s">
        <v>2937</v>
      </c>
      <c r="B438" t="s">
        <v>2946</v>
      </c>
      <c r="C438" t="str">
        <f t="shared" si="20"/>
        <v>Full</v>
      </c>
      <c r="E438" s="65">
        <v>5753</v>
      </c>
      <c r="F438" t="s">
        <v>2060</v>
      </c>
      <c r="G438" s="71" t="s">
        <v>3950</v>
      </c>
      <c r="H438" s="67">
        <v>6.0000000521540598E-3</v>
      </c>
      <c r="I438" s="65">
        <v>529298</v>
      </c>
      <c r="J438" s="65">
        <v>171088</v>
      </c>
      <c r="L438" s="65" t="s">
        <v>339</v>
      </c>
      <c r="M438" s="65" t="s">
        <v>27</v>
      </c>
      <c r="N438" s="69">
        <v>41926</v>
      </c>
      <c r="O438" s="69">
        <v>41982</v>
      </c>
      <c r="R438" s="65" t="s">
        <v>28</v>
      </c>
      <c r="U438" t="s">
        <v>340</v>
      </c>
      <c r="V438" t="s">
        <v>3403</v>
      </c>
      <c r="W438" s="65" t="s">
        <v>21</v>
      </c>
      <c r="X438" s="65" t="s">
        <v>21</v>
      </c>
      <c r="Y438" s="65" t="s">
        <v>69</v>
      </c>
      <c r="AD438" s="65" t="s">
        <v>23</v>
      </c>
      <c r="AE438" s="65" t="s">
        <v>24</v>
      </c>
      <c r="AZ438" s="73">
        <v>51</v>
      </c>
      <c r="BE438" s="73">
        <v>51</v>
      </c>
      <c r="BO438" s="185" t="s">
        <v>126</v>
      </c>
      <c r="BP438" s="185" t="s">
        <v>3794</v>
      </c>
      <c r="BQ438" s="185" t="s">
        <v>3794</v>
      </c>
      <c r="BR438" s="73">
        <v>-51</v>
      </c>
      <c r="BW438" s="73">
        <v>-51</v>
      </c>
      <c r="BY438" s="185" t="s">
        <v>3794</v>
      </c>
      <c r="CJ438" t="s">
        <v>25</v>
      </c>
      <c r="CK438" t="s">
        <v>25</v>
      </c>
      <c r="CL438" t="s">
        <v>25</v>
      </c>
      <c r="CM438" t="s">
        <v>25</v>
      </c>
      <c r="CN438" t="s">
        <v>25</v>
      </c>
      <c r="CO438" t="s">
        <v>25</v>
      </c>
      <c r="CP438" t="s">
        <v>25</v>
      </c>
      <c r="CQ438" t="s">
        <v>25</v>
      </c>
      <c r="CR438" t="s">
        <v>25</v>
      </c>
      <c r="CS438" t="s">
        <v>25</v>
      </c>
      <c r="CT438" t="s">
        <v>25</v>
      </c>
      <c r="CU438" t="s">
        <v>25</v>
      </c>
      <c r="CV438" t="s">
        <v>25</v>
      </c>
      <c r="CW438" t="s">
        <v>31</v>
      </c>
      <c r="CX438" t="s">
        <v>25</v>
      </c>
      <c r="CY438" t="s">
        <v>25</v>
      </c>
      <c r="CZ438" t="s">
        <v>25</v>
      </c>
      <c r="DA438" t="s">
        <v>25</v>
      </c>
      <c r="DB438" t="s">
        <v>25</v>
      </c>
      <c r="DC438" t="s">
        <v>25</v>
      </c>
      <c r="DD438" t="s">
        <v>25</v>
      </c>
      <c r="DE438" t="s">
        <v>25</v>
      </c>
      <c r="DF438" t="s">
        <v>25</v>
      </c>
      <c r="DG438" t="s">
        <v>25</v>
      </c>
      <c r="DH438" t="s">
        <v>25</v>
      </c>
      <c r="DI438" t="s">
        <v>25</v>
      </c>
      <c r="DJ438" s="76">
        <v>6.0000000521540598E-3</v>
      </c>
      <c r="DK438" s="73">
        <v>51</v>
      </c>
      <c r="DL438" s="73">
        <v>51</v>
      </c>
      <c r="DM438" s="73">
        <v>0</v>
      </c>
      <c r="DU438"/>
      <c r="DX438" s="65" t="s">
        <v>126</v>
      </c>
      <c r="DY438" t="s">
        <v>183</v>
      </c>
      <c r="DZ438" s="73">
        <v>0</v>
      </c>
      <c r="EA438" s="73">
        <v>0</v>
      </c>
      <c r="EB438" s="73">
        <v>0</v>
      </c>
    </row>
    <row r="439" spans="1:133" ht="12" customHeight="1" x14ac:dyDescent="0.2">
      <c r="A439" t="s">
        <v>2937</v>
      </c>
      <c r="B439" t="s">
        <v>2948</v>
      </c>
      <c r="C439" t="str">
        <f t="shared" si="20"/>
        <v>Prior Approval</v>
      </c>
      <c r="E439" s="65">
        <v>5758</v>
      </c>
      <c r="F439" t="s">
        <v>2061</v>
      </c>
      <c r="G439" s="71" t="s">
        <v>3946</v>
      </c>
      <c r="H439" s="67">
        <v>3.9000000804662698E-2</v>
      </c>
      <c r="I439" s="65">
        <v>524187</v>
      </c>
      <c r="J439" s="65">
        <v>175554</v>
      </c>
      <c r="L439" s="65" t="s">
        <v>282</v>
      </c>
      <c r="M439" s="65" t="s">
        <v>243</v>
      </c>
      <c r="N439" s="69">
        <v>41984</v>
      </c>
      <c r="O439" s="69">
        <v>42040</v>
      </c>
      <c r="R439" s="65" t="s">
        <v>28</v>
      </c>
      <c r="U439" t="s">
        <v>283</v>
      </c>
      <c r="V439" t="s">
        <v>3404</v>
      </c>
      <c r="W439" s="65" t="s">
        <v>21</v>
      </c>
      <c r="X439" s="65" t="s">
        <v>21</v>
      </c>
      <c r="Y439" s="65" t="s">
        <v>69</v>
      </c>
      <c r="AD439" s="65" t="s">
        <v>23</v>
      </c>
      <c r="AE439" s="65" t="s">
        <v>24</v>
      </c>
      <c r="BF439" s="73">
        <v>762</v>
      </c>
      <c r="BK439" s="73">
        <v>762</v>
      </c>
      <c r="BO439" s="185" t="s">
        <v>3794</v>
      </c>
      <c r="BP439" s="185" t="s">
        <v>126</v>
      </c>
      <c r="BQ439" s="185" t="s">
        <v>3794</v>
      </c>
      <c r="BW439" s="73"/>
      <c r="BX439" s="73">
        <v>-762</v>
      </c>
      <c r="BY439" s="185" t="s">
        <v>126</v>
      </c>
      <c r="CD439" s="73">
        <v>-762</v>
      </c>
      <c r="CE439" s="65" t="s">
        <v>126</v>
      </c>
      <c r="CJ439" t="s">
        <v>25</v>
      </c>
      <c r="CK439" t="s">
        <v>25</v>
      </c>
      <c r="CL439" t="s">
        <v>25</v>
      </c>
      <c r="CM439" t="s">
        <v>25</v>
      </c>
      <c r="CN439" t="s">
        <v>25</v>
      </c>
      <c r="CO439" t="s">
        <v>25</v>
      </c>
      <c r="CP439" t="s">
        <v>25</v>
      </c>
      <c r="CQ439" t="s">
        <v>25</v>
      </c>
      <c r="CR439" t="s">
        <v>25</v>
      </c>
      <c r="CS439" t="s">
        <v>25</v>
      </c>
      <c r="CT439" t="s">
        <v>25</v>
      </c>
      <c r="CU439" t="s">
        <v>25</v>
      </c>
      <c r="CV439" t="s">
        <v>25</v>
      </c>
      <c r="CW439" t="s">
        <v>25</v>
      </c>
      <c r="CX439" t="s">
        <v>25</v>
      </c>
      <c r="CY439" t="s">
        <v>25</v>
      </c>
      <c r="CZ439" t="s">
        <v>25</v>
      </c>
      <c r="DA439" t="s">
        <v>25</v>
      </c>
      <c r="DB439" t="s">
        <v>31</v>
      </c>
      <c r="DC439" t="s">
        <v>25</v>
      </c>
      <c r="DD439" t="s">
        <v>25</v>
      </c>
      <c r="DE439" t="s">
        <v>25</v>
      </c>
      <c r="DF439" t="s">
        <v>25</v>
      </c>
      <c r="DG439" t="s">
        <v>25</v>
      </c>
      <c r="DH439" t="s">
        <v>25</v>
      </c>
      <c r="DI439" t="s">
        <v>25</v>
      </c>
      <c r="DJ439" s="76">
        <v>0</v>
      </c>
      <c r="DK439" s="73">
        <v>0</v>
      </c>
      <c r="DL439" s="73">
        <v>762</v>
      </c>
      <c r="DM439" s="73">
        <v>-762</v>
      </c>
      <c r="DN439" s="65" t="s">
        <v>126</v>
      </c>
      <c r="DU439"/>
      <c r="DV439" s="65" t="s">
        <v>126</v>
      </c>
      <c r="DW439" t="s">
        <v>131</v>
      </c>
      <c r="DZ439" s="73">
        <v>762</v>
      </c>
      <c r="EA439" s="73">
        <v>0</v>
      </c>
      <c r="EB439" s="73">
        <v>762</v>
      </c>
      <c r="EC439" s="65" t="s">
        <v>126</v>
      </c>
    </row>
    <row r="440" spans="1:133" ht="12" customHeight="1" x14ac:dyDescent="0.2">
      <c r="A440" t="s">
        <v>2935</v>
      </c>
      <c r="B440" t="s">
        <v>2946</v>
      </c>
      <c r="C440" t="str">
        <f t="shared" si="20"/>
        <v>Full</v>
      </c>
      <c r="E440" s="65">
        <v>5767</v>
      </c>
      <c r="F440" t="s">
        <v>2062</v>
      </c>
      <c r="G440" s="71" t="s">
        <v>3943</v>
      </c>
      <c r="H440" s="67">
        <v>2.70000007003546E-2</v>
      </c>
      <c r="I440" s="65">
        <v>526797</v>
      </c>
      <c r="J440" s="65">
        <v>176325</v>
      </c>
      <c r="L440" s="65" t="s">
        <v>326</v>
      </c>
      <c r="M440" s="65" t="s">
        <v>33</v>
      </c>
      <c r="N440" s="69">
        <v>41898</v>
      </c>
      <c r="O440" s="69">
        <v>42376</v>
      </c>
      <c r="Q440" s="69">
        <v>42053</v>
      </c>
      <c r="R440" s="65" t="s">
        <v>28</v>
      </c>
      <c r="U440" t="s">
        <v>713</v>
      </c>
      <c r="V440" t="s">
        <v>3405</v>
      </c>
      <c r="W440" s="65" t="s">
        <v>34</v>
      </c>
      <c r="X440" s="65" t="s">
        <v>29</v>
      </c>
      <c r="Y440" s="65" t="s">
        <v>30</v>
      </c>
      <c r="AA440" s="69">
        <v>42937</v>
      </c>
      <c r="AD440" s="65" t="s">
        <v>23</v>
      </c>
      <c r="AE440" s="65" t="s">
        <v>24</v>
      </c>
      <c r="AH440" s="69">
        <f t="shared" si="18"/>
        <v>42937</v>
      </c>
      <c r="AJ440" s="73">
        <v>318</v>
      </c>
      <c r="AO440" s="73">
        <v>318</v>
      </c>
      <c r="AP440" s="73">
        <v>170</v>
      </c>
      <c r="AS440" s="73">
        <v>170</v>
      </c>
      <c r="AV440" s="73">
        <v>170</v>
      </c>
      <c r="BO440" s="185" t="s">
        <v>126</v>
      </c>
      <c r="BP440" s="185" t="s">
        <v>126</v>
      </c>
      <c r="BQ440" s="185" t="s">
        <v>3794</v>
      </c>
      <c r="BR440" s="73">
        <v>318</v>
      </c>
      <c r="BW440" s="73">
        <v>318</v>
      </c>
      <c r="BX440" s="73">
        <v>170</v>
      </c>
      <c r="BY440" s="185" t="s">
        <v>3794</v>
      </c>
      <c r="CD440" s="73">
        <v>170</v>
      </c>
      <c r="CJ440" t="s">
        <v>31</v>
      </c>
      <c r="CK440" t="s">
        <v>25</v>
      </c>
      <c r="CL440" t="s">
        <v>25</v>
      </c>
      <c r="CM440" t="s">
        <v>25</v>
      </c>
      <c r="CN440" t="s">
        <v>25</v>
      </c>
      <c r="CO440" t="s">
        <v>31</v>
      </c>
      <c r="CP440" t="s">
        <v>25</v>
      </c>
      <c r="CQ440" t="s">
        <v>25</v>
      </c>
      <c r="CR440" t="s">
        <v>25</v>
      </c>
      <c r="CS440" t="s">
        <v>25</v>
      </c>
      <c r="CT440" t="s">
        <v>25</v>
      </c>
      <c r="CU440" t="s">
        <v>25</v>
      </c>
      <c r="CV440" t="s">
        <v>25</v>
      </c>
      <c r="CW440" t="s">
        <v>25</v>
      </c>
      <c r="CX440" t="s">
        <v>25</v>
      </c>
      <c r="CY440" t="s">
        <v>25</v>
      </c>
      <c r="CZ440" t="s">
        <v>25</v>
      </c>
      <c r="DA440" t="s">
        <v>25</v>
      </c>
      <c r="DB440" t="s">
        <v>25</v>
      </c>
      <c r="DC440" t="s">
        <v>25</v>
      </c>
      <c r="DD440" t="s">
        <v>25</v>
      </c>
      <c r="DE440" t="s">
        <v>25</v>
      </c>
      <c r="DF440" t="s">
        <v>25</v>
      </c>
      <c r="DG440" t="s">
        <v>25</v>
      </c>
      <c r="DH440" t="s">
        <v>25</v>
      </c>
      <c r="DI440" t="s">
        <v>25</v>
      </c>
      <c r="DJ440" s="76">
        <v>5.0000008195639004E-3</v>
      </c>
      <c r="DK440" s="73">
        <v>488</v>
      </c>
      <c r="DL440" s="73">
        <v>485</v>
      </c>
      <c r="DM440" s="73">
        <v>3</v>
      </c>
      <c r="DS440" s="65" t="s">
        <v>126</v>
      </c>
      <c r="DT440" t="s">
        <v>174</v>
      </c>
      <c r="DU440"/>
      <c r="DZ440" s="73">
        <v>2556</v>
      </c>
      <c r="EA440" s="73">
        <v>0</v>
      </c>
      <c r="EB440" s="73">
        <v>2556</v>
      </c>
      <c r="EC440" s="65" t="s">
        <v>126</v>
      </c>
    </row>
    <row r="441" spans="1:133" ht="12" customHeight="1" x14ac:dyDescent="0.2">
      <c r="A441" t="s">
        <v>2937</v>
      </c>
      <c r="B441" t="s">
        <v>2946</v>
      </c>
      <c r="C441" t="str">
        <f t="shared" si="20"/>
        <v>Full</v>
      </c>
      <c r="E441" s="65">
        <v>5770</v>
      </c>
      <c r="F441" t="s">
        <v>2063</v>
      </c>
      <c r="G441" s="71" t="s">
        <v>3946</v>
      </c>
      <c r="H441" s="67">
        <v>1.4000000432133701E-2</v>
      </c>
      <c r="I441" s="65">
        <v>524319</v>
      </c>
      <c r="J441" s="65">
        <v>174957</v>
      </c>
      <c r="L441" s="65" t="s">
        <v>453</v>
      </c>
      <c r="M441" s="65" t="s">
        <v>27</v>
      </c>
      <c r="N441" s="69">
        <v>42144</v>
      </c>
      <c r="O441" s="69">
        <v>42236</v>
      </c>
      <c r="R441" s="65" t="s">
        <v>28</v>
      </c>
      <c r="U441" t="s">
        <v>739</v>
      </c>
      <c r="V441" t="s">
        <v>3406</v>
      </c>
      <c r="W441" s="65" t="s">
        <v>34</v>
      </c>
      <c r="X441" s="65" t="s">
        <v>29</v>
      </c>
      <c r="Y441" s="65" t="s">
        <v>69</v>
      </c>
      <c r="AD441" s="65" t="s">
        <v>23</v>
      </c>
      <c r="AE441" s="65" t="s">
        <v>24</v>
      </c>
      <c r="AJ441" s="73">
        <v>138</v>
      </c>
      <c r="AO441" s="73">
        <v>138</v>
      </c>
      <c r="AZ441" s="73">
        <v>130</v>
      </c>
      <c r="BE441" s="73">
        <v>130</v>
      </c>
      <c r="BO441" s="185" t="s">
        <v>126</v>
      </c>
      <c r="BP441" s="185" t="s">
        <v>3794</v>
      </c>
      <c r="BQ441" s="185" t="s">
        <v>3794</v>
      </c>
      <c r="BR441" s="73">
        <v>8</v>
      </c>
      <c r="BW441" s="73">
        <v>8</v>
      </c>
      <c r="BY441" s="185" t="s">
        <v>3794</v>
      </c>
      <c r="CJ441" t="s">
        <v>46</v>
      </c>
      <c r="CK441" t="s">
        <v>25</v>
      </c>
      <c r="CL441" t="s">
        <v>25</v>
      </c>
      <c r="CM441" t="s">
        <v>25</v>
      </c>
      <c r="CN441" t="s">
        <v>25</v>
      </c>
      <c r="CO441" t="s">
        <v>25</v>
      </c>
      <c r="CP441" t="s">
        <v>25</v>
      </c>
      <c r="CQ441" t="s">
        <v>25</v>
      </c>
      <c r="CR441" t="s">
        <v>25</v>
      </c>
      <c r="CS441" t="s">
        <v>25</v>
      </c>
      <c r="CT441" t="s">
        <v>25</v>
      </c>
      <c r="CU441" t="s">
        <v>25</v>
      </c>
      <c r="CV441" t="s">
        <v>25</v>
      </c>
      <c r="CW441" t="s">
        <v>46</v>
      </c>
      <c r="CX441" t="s">
        <v>25</v>
      </c>
      <c r="CY441" t="s">
        <v>25</v>
      </c>
      <c r="CZ441" t="s">
        <v>25</v>
      </c>
      <c r="DA441" t="s">
        <v>25</v>
      </c>
      <c r="DB441" t="s">
        <v>25</v>
      </c>
      <c r="DC441" t="s">
        <v>25</v>
      </c>
      <c r="DD441" t="s">
        <v>25</v>
      </c>
      <c r="DE441" t="s">
        <v>25</v>
      </c>
      <c r="DF441" t="s">
        <v>25</v>
      </c>
      <c r="DG441" t="s">
        <v>25</v>
      </c>
      <c r="DH441" t="s">
        <v>25</v>
      </c>
      <c r="DI441" t="s">
        <v>25</v>
      </c>
      <c r="DJ441" s="76">
        <v>7.0000002160668607E-3</v>
      </c>
      <c r="DK441" s="73">
        <v>138</v>
      </c>
      <c r="DL441" s="73">
        <v>130</v>
      </c>
      <c r="DM441" s="73">
        <v>8</v>
      </c>
      <c r="DU441"/>
      <c r="DV441" s="65" t="s">
        <v>126</v>
      </c>
      <c r="DW441" t="s">
        <v>131</v>
      </c>
      <c r="DZ441" s="73">
        <v>138</v>
      </c>
      <c r="EA441" s="73">
        <v>0</v>
      </c>
      <c r="EB441" s="73">
        <v>138</v>
      </c>
      <c r="EC441" s="65" t="s">
        <v>126</v>
      </c>
    </row>
    <row r="442" spans="1:133" ht="12" customHeight="1" x14ac:dyDescent="0.2">
      <c r="A442" t="s">
        <v>2937</v>
      </c>
      <c r="B442" t="s">
        <v>2946</v>
      </c>
      <c r="C442" t="str">
        <f t="shared" si="20"/>
        <v>Full</v>
      </c>
      <c r="E442" s="65">
        <v>5774</v>
      </c>
      <c r="F442" t="s">
        <v>2064</v>
      </c>
      <c r="G442" s="71" t="s">
        <v>3948</v>
      </c>
      <c r="H442" s="67">
        <v>8.0000003799796104E-3</v>
      </c>
      <c r="I442" s="65">
        <v>527884</v>
      </c>
      <c r="J442" s="65">
        <v>176593</v>
      </c>
      <c r="L442" s="65" t="s">
        <v>668</v>
      </c>
      <c r="M442" s="65" t="s">
        <v>27</v>
      </c>
      <c r="N442" s="69">
        <v>42600</v>
      </c>
      <c r="O442" s="69">
        <v>42723</v>
      </c>
      <c r="R442" s="65" t="s">
        <v>28</v>
      </c>
      <c r="U442" t="s">
        <v>669</v>
      </c>
      <c r="V442" t="s">
        <v>3407</v>
      </c>
      <c r="W442" s="65" t="s">
        <v>34</v>
      </c>
      <c r="X442" s="65" t="s">
        <v>29</v>
      </c>
      <c r="Y442" s="65" t="s">
        <v>69</v>
      </c>
      <c r="AD442" s="65" t="s">
        <v>23</v>
      </c>
      <c r="AE442" s="65" t="s">
        <v>24</v>
      </c>
      <c r="AN442" s="73">
        <v>83</v>
      </c>
      <c r="AO442" s="73">
        <v>83</v>
      </c>
      <c r="BD442" s="73">
        <v>97</v>
      </c>
      <c r="BE442" s="73">
        <v>97</v>
      </c>
      <c r="BO442" s="185" t="s">
        <v>126</v>
      </c>
      <c r="BP442" s="185" t="s">
        <v>3794</v>
      </c>
      <c r="BQ442" s="185" t="s">
        <v>3794</v>
      </c>
      <c r="BV442" s="73">
        <v>-14</v>
      </c>
      <c r="BW442" s="73">
        <v>-14</v>
      </c>
      <c r="BY442" s="185" t="s">
        <v>3794</v>
      </c>
      <c r="CJ442" t="s">
        <v>25</v>
      </c>
      <c r="CK442" t="s">
        <v>25</v>
      </c>
      <c r="CL442" t="s">
        <v>25</v>
      </c>
      <c r="CM442" t="s">
        <v>25</v>
      </c>
      <c r="CN442" t="s">
        <v>65</v>
      </c>
      <c r="CO442" t="s">
        <v>25</v>
      </c>
      <c r="CP442" t="s">
        <v>25</v>
      </c>
      <c r="CQ442" t="s">
        <v>25</v>
      </c>
      <c r="CR442" t="s">
        <v>25</v>
      </c>
      <c r="CS442" t="s">
        <v>25</v>
      </c>
      <c r="CT442" t="s">
        <v>25</v>
      </c>
      <c r="CU442" t="s">
        <v>25</v>
      </c>
      <c r="CV442" t="s">
        <v>25</v>
      </c>
      <c r="CW442" t="s">
        <v>25</v>
      </c>
      <c r="CX442" t="s">
        <v>25</v>
      </c>
      <c r="CY442" t="s">
        <v>25</v>
      </c>
      <c r="CZ442" t="s">
        <v>25</v>
      </c>
      <c r="DA442" t="s">
        <v>65</v>
      </c>
      <c r="DB442" t="s">
        <v>25</v>
      </c>
      <c r="DC442" t="s">
        <v>25</v>
      </c>
      <c r="DD442" t="s">
        <v>25</v>
      </c>
      <c r="DE442" t="s">
        <v>25</v>
      </c>
      <c r="DF442" t="s">
        <v>25</v>
      </c>
      <c r="DG442" t="s">
        <v>25</v>
      </c>
      <c r="DH442" t="s">
        <v>25</v>
      </c>
      <c r="DI442" t="s">
        <v>25</v>
      </c>
      <c r="DJ442" s="76">
        <v>2.0000003278255506E-3</v>
      </c>
      <c r="DK442" s="73">
        <v>83</v>
      </c>
      <c r="DL442" s="73">
        <v>97</v>
      </c>
      <c r="DM442" s="73">
        <v>-14</v>
      </c>
      <c r="DU442"/>
      <c r="DZ442" s="73">
        <v>202</v>
      </c>
      <c r="EA442" s="73">
        <v>120</v>
      </c>
      <c r="EB442" s="73">
        <v>82</v>
      </c>
      <c r="EC442" s="65" t="s">
        <v>126</v>
      </c>
    </row>
    <row r="443" spans="1:133" ht="12" customHeight="1" x14ac:dyDescent="0.2">
      <c r="A443" t="s">
        <v>2935</v>
      </c>
      <c r="B443" t="s">
        <v>2946</v>
      </c>
      <c r="C443" t="str">
        <f t="shared" si="20"/>
        <v>Full</v>
      </c>
      <c r="E443" s="65">
        <v>5775</v>
      </c>
      <c r="F443" t="s">
        <v>2065</v>
      </c>
      <c r="G443" s="71" t="s">
        <v>3942</v>
      </c>
      <c r="H443" s="67">
        <v>2.8999999165535001E-2</v>
      </c>
      <c r="I443" s="65">
        <v>527719</v>
      </c>
      <c r="J443" s="65">
        <v>174043</v>
      </c>
      <c r="L443" s="65" t="s">
        <v>341</v>
      </c>
      <c r="M443" s="65" t="s">
        <v>27</v>
      </c>
      <c r="N443" s="69">
        <v>41949</v>
      </c>
      <c r="O443" s="69">
        <v>42062</v>
      </c>
      <c r="R443" s="65" t="s">
        <v>28</v>
      </c>
      <c r="U443" t="s">
        <v>342</v>
      </c>
      <c r="V443" t="s">
        <v>3408</v>
      </c>
      <c r="W443" s="65" t="s">
        <v>29</v>
      </c>
      <c r="X443" s="65" t="s">
        <v>29</v>
      </c>
      <c r="Y443" s="65" t="s">
        <v>30</v>
      </c>
      <c r="AA443" s="69">
        <v>42411</v>
      </c>
      <c r="AD443" s="65" t="s">
        <v>23</v>
      </c>
      <c r="AE443" s="65" t="s">
        <v>24</v>
      </c>
      <c r="AH443" s="69">
        <f t="shared" ref="AH443:AH505" si="21">AA443</f>
        <v>42411</v>
      </c>
      <c r="BO443" s="185" t="s">
        <v>3794</v>
      </c>
      <c r="BP443" s="185" t="s">
        <v>3794</v>
      </c>
      <c r="BQ443" s="185" t="s">
        <v>3794</v>
      </c>
      <c r="BW443" s="73"/>
      <c r="BY443" s="185" t="s">
        <v>3794</v>
      </c>
      <c r="CJ443" t="s">
        <v>25</v>
      </c>
      <c r="CK443" t="s">
        <v>25</v>
      </c>
      <c r="CL443" t="s">
        <v>25</v>
      </c>
      <c r="CM443" t="s">
        <v>25</v>
      </c>
      <c r="CN443" t="s">
        <v>25</v>
      </c>
      <c r="CO443" t="s">
        <v>25</v>
      </c>
      <c r="CP443" t="s">
        <v>25</v>
      </c>
      <c r="CQ443" t="s">
        <v>25</v>
      </c>
      <c r="CR443" t="s">
        <v>25</v>
      </c>
      <c r="CS443" t="s">
        <v>25</v>
      </c>
      <c r="CT443" t="s">
        <v>25</v>
      </c>
      <c r="CU443" t="s">
        <v>25</v>
      </c>
      <c r="CV443" t="s">
        <v>25</v>
      </c>
      <c r="CW443" t="s">
        <v>25</v>
      </c>
      <c r="CX443" t="s">
        <v>25</v>
      </c>
      <c r="CY443" t="s">
        <v>25</v>
      </c>
      <c r="CZ443" t="s">
        <v>25</v>
      </c>
      <c r="DA443" t="s">
        <v>25</v>
      </c>
      <c r="DB443" t="s">
        <v>25</v>
      </c>
      <c r="DC443" t="s">
        <v>25</v>
      </c>
      <c r="DD443" t="s">
        <v>25</v>
      </c>
      <c r="DE443" t="s">
        <v>25</v>
      </c>
      <c r="DF443" t="s">
        <v>25</v>
      </c>
      <c r="DG443" t="s">
        <v>25</v>
      </c>
      <c r="DH443" t="s">
        <v>25</v>
      </c>
      <c r="DI443" t="s">
        <v>25</v>
      </c>
      <c r="DJ443" s="76">
        <v>1.9999999552965192E-2</v>
      </c>
      <c r="DK443" s="73">
        <v>0</v>
      </c>
      <c r="DL443" s="73">
        <v>38</v>
      </c>
      <c r="DM443" s="73">
        <v>-38</v>
      </c>
      <c r="DU443"/>
      <c r="DZ443" s="73">
        <v>86</v>
      </c>
      <c r="EA443" s="73">
        <v>0</v>
      </c>
      <c r="EB443" s="73">
        <v>86</v>
      </c>
      <c r="EC443" s="65" t="s">
        <v>126</v>
      </c>
    </row>
    <row r="444" spans="1:133" ht="12" customHeight="1" x14ac:dyDescent="0.2">
      <c r="A444" t="s">
        <v>2935</v>
      </c>
      <c r="B444" t="s">
        <v>2946</v>
      </c>
      <c r="C444" t="str">
        <f t="shared" si="20"/>
        <v>Full</v>
      </c>
      <c r="E444" s="65">
        <v>5777</v>
      </c>
      <c r="F444" t="s">
        <v>2066</v>
      </c>
      <c r="G444" s="71" t="s">
        <v>3947</v>
      </c>
      <c r="H444" s="67">
        <v>0.13400000333786</v>
      </c>
      <c r="I444" s="65">
        <v>529591</v>
      </c>
      <c r="J444" s="65">
        <v>176818</v>
      </c>
      <c r="L444" s="65" t="s">
        <v>347</v>
      </c>
      <c r="M444" s="65" t="s">
        <v>27</v>
      </c>
      <c r="N444" s="69">
        <v>41970</v>
      </c>
      <c r="O444" s="69">
        <v>42031</v>
      </c>
      <c r="R444" s="65" t="s">
        <v>28</v>
      </c>
      <c r="U444" t="s">
        <v>716</v>
      </c>
      <c r="V444" t="s">
        <v>3409</v>
      </c>
      <c r="W444" s="65" t="s">
        <v>29</v>
      </c>
      <c r="X444" s="65" t="s">
        <v>29</v>
      </c>
      <c r="Y444" s="65" t="s">
        <v>30</v>
      </c>
      <c r="Z444" s="69">
        <v>42094</v>
      </c>
      <c r="AA444" s="69">
        <v>42094</v>
      </c>
      <c r="AD444" s="65" t="s">
        <v>23</v>
      </c>
      <c r="AE444" s="65" t="s">
        <v>24</v>
      </c>
      <c r="AH444" s="69">
        <f t="shared" si="21"/>
        <v>42094</v>
      </c>
      <c r="BO444" s="185" t="s">
        <v>3794</v>
      </c>
      <c r="BP444" s="185" t="s">
        <v>3794</v>
      </c>
      <c r="BQ444" s="185" t="s">
        <v>3794</v>
      </c>
      <c r="BW444" s="73"/>
      <c r="BY444" s="185" t="s">
        <v>3794</v>
      </c>
      <c r="CJ444" t="s">
        <v>25</v>
      </c>
      <c r="CK444" t="s">
        <v>25</v>
      </c>
      <c r="CL444" t="s">
        <v>25</v>
      </c>
      <c r="CM444" t="s">
        <v>25</v>
      </c>
      <c r="CN444" t="s">
        <v>25</v>
      </c>
      <c r="CO444" t="s">
        <v>25</v>
      </c>
      <c r="CP444" t="s">
        <v>25</v>
      </c>
      <c r="CQ444" t="s">
        <v>25</v>
      </c>
      <c r="CR444" t="s">
        <v>25</v>
      </c>
      <c r="CS444" t="s">
        <v>25</v>
      </c>
      <c r="CT444" t="s">
        <v>25</v>
      </c>
      <c r="CU444" t="s">
        <v>25</v>
      </c>
      <c r="CV444" t="s">
        <v>25</v>
      </c>
      <c r="CW444" t="s">
        <v>25</v>
      </c>
      <c r="CX444" t="s">
        <v>25</v>
      </c>
      <c r="CY444" t="s">
        <v>25</v>
      </c>
      <c r="CZ444" t="s">
        <v>25</v>
      </c>
      <c r="DA444" t="s">
        <v>25</v>
      </c>
      <c r="DB444" t="s">
        <v>25</v>
      </c>
      <c r="DC444" t="s">
        <v>25</v>
      </c>
      <c r="DD444" t="s">
        <v>25</v>
      </c>
      <c r="DE444" t="s">
        <v>25</v>
      </c>
      <c r="DF444" t="s">
        <v>25</v>
      </c>
      <c r="DG444" t="s">
        <v>25</v>
      </c>
      <c r="DH444" t="s">
        <v>25</v>
      </c>
      <c r="DI444" t="s">
        <v>25</v>
      </c>
      <c r="DJ444" s="76">
        <v>0</v>
      </c>
      <c r="DK444" s="73">
        <v>0</v>
      </c>
      <c r="DL444" s="73">
        <v>433</v>
      </c>
      <c r="DM444" s="73">
        <v>-433</v>
      </c>
      <c r="DU444" s="65" t="s">
        <v>126</v>
      </c>
      <c r="DZ444" s="73">
        <v>2179</v>
      </c>
      <c r="EA444" s="73">
        <v>0</v>
      </c>
      <c r="EB444" s="73">
        <v>2179</v>
      </c>
      <c r="EC444" s="65" t="s">
        <v>126</v>
      </c>
    </row>
    <row r="445" spans="1:133" ht="12" customHeight="1" x14ac:dyDescent="0.2">
      <c r="A445" t="s">
        <v>2937</v>
      </c>
      <c r="B445" t="s">
        <v>2946</v>
      </c>
      <c r="C445" t="str">
        <f t="shared" si="20"/>
        <v>Full</v>
      </c>
      <c r="E445" s="65">
        <v>5778</v>
      </c>
      <c r="F445" t="s">
        <v>2067</v>
      </c>
      <c r="G445" s="71" t="s">
        <v>3952</v>
      </c>
      <c r="H445" s="67">
        <v>4.39999997615814E-2</v>
      </c>
      <c r="I445" s="65">
        <v>528208</v>
      </c>
      <c r="J445" s="65">
        <v>172542</v>
      </c>
      <c r="L445" s="65" t="s">
        <v>393</v>
      </c>
      <c r="M445" s="65" t="s">
        <v>27</v>
      </c>
      <c r="N445" s="69">
        <v>41733</v>
      </c>
      <c r="O445" s="69">
        <v>41934</v>
      </c>
      <c r="R445" s="65" t="s">
        <v>28</v>
      </c>
      <c r="U445" t="s">
        <v>394</v>
      </c>
      <c r="V445" t="s">
        <v>3410</v>
      </c>
      <c r="W445" s="65" t="s">
        <v>21</v>
      </c>
      <c r="X445" s="65" t="s">
        <v>21</v>
      </c>
      <c r="Y445" s="65" t="s">
        <v>69</v>
      </c>
      <c r="AD445" s="65" t="s">
        <v>23</v>
      </c>
      <c r="AE445" s="65" t="s">
        <v>24</v>
      </c>
      <c r="AL445" s="73">
        <v>87</v>
      </c>
      <c r="AO445" s="73">
        <v>87</v>
      </c>
      <c r="AZ445" s="73">
        <v>87</v>
      </c>
      <c r="BE445" s="73">
        <v>87</v>
      </c>
      <c r="BO445" s="185" t="s">
        <v>126</v>
      </c>
      <c r="BP445" s="185" t="s">
        <v>3794</v>
      </c>
      <c r="BQ445" s="185" t="s">
        <v>3794</v>
      </c>
      <c r="BR445" s="73">
        <v>-87</v>
      </c>
      <c r="BT445" s="73">
        <v>87</v>
      </c>
      <c r="BW445" s="73"/>
      <c r="BY445" s="185" t="s">
        <v>3794</v>
      </c>
      <c r="CJ445" t="s">
        <v>25</v>
      </c>
      <c r="CK445" t="s">
        <v>25</v>
      </c>
      <c r="CL445" t="s">
        <v>38</v>
      </c>
      <c r="CM445" t="s">
        <v>25</v>
      </c>
      <c r="CN445" t="s">
        <v>25</v>
      </c>
      <c r="CO445" t="s">
        <v>25</v>
      </c>
      <c r="CP445" t="s">
        <v>25</v>
      </c>
      <c r="CQ445" t="s">
        <v>25</v>
      </c>
      <c r="CR445" t="s">
        <v>25</v>
      </c>
      <c r="CS445" t="s">
        <v>25</v>
      </c>
      <c r="CT445" t="s">
        <v>25</v>
      </c>
      <c r="CU445" t="s">
        <v>25</v>
      </c>
      <c r="CV445" t="s">
        <v>25</v>
      </c>
      <c r="CW445" t="s">
        <v>31</v>
      </c>
      <c r="CX445" t="s">
        <v>25</v>
      </c>
      <c r="CY445" t="s">
        <v>25</v>
      </c>
      <c r="CZ445" t="s">
        <v>25</v>
      </c>
      <c r="DA445" t="s">
        <v>25</v>
      </c>
      <c r="DB445" t="s">
        <v>25</v>
      </c>
      <c r="DC445" t="s">
        <v>25</v>
      </c>
      <c r="DD445" t="s">
        <v>25</v>
      </c>
      <c r="DE445" t="s">
        <v>25</v>
      </c>
      <c r="DF445" t="s">
        <v>25</v>
      </c>
      <c r="DG445" t="s">
        <v>25</v>
      </c>
      <c r="DH445" t="s">
        <v>25</v>
      </c>
      <c r="DI445" t="s">
        <v>25</v>
      </c>
      <c r="DJ445" s="76">
        <v>4.39999997615814E-2</v>
      </c>
      <c r="DK445" s="73">
        <v>87</v>
      </c>
      <c r="DL445" s="73">
        <v>87</v>
      </c>
      <c r="DM445" s="73">
        <v>0</v>
      </c>
      <c r="DU445"/>
      <c r="DZ445" s="73">
        <v>0</v>
      </c>
      <c r="EA445" s="73">
        <v>0</v>
      </c>
      <c r="EB445" s="73">
        <v>0</v>
      </c>
    </row>
    <row r="446" spans="1:133" ht="12" customHeight="1" x14ac:dyDescent="0.2">
      <c r="A446" t="s">
        <v>2937</v>
      </c>
      <c r="B446" t="s">
        <v>2946</v>
      </c>
      <c r="C446" t="str">
        <f t="shared" si="20"/>
        <v>Full</v>
      </c>
      <c r="E446" s="65">
        <v>5781</v>
      </c>
      <c r="F446" t="s">
        <v>2068</v>
      </c>
      <c r="G446" s="71" t="s">
        <v>3943</v>
      </c>
      <c r="H446" s="67">
        <v>0.19499999284744299</v>
      </c>
      <c r="I446" s="65">
        <v>526418</v>
      </c>
      <c r="J446" s="65">
        <v>175586</v>
      </c>
      <c r="K446" s="65" t="s">
        <v>2069</v>
      </c>
      <c r="L446" s="65" t="s">
        <v>370</v>
      </c>
      <c r="M446" s="65" t="s">
        <v>33</v>
      </c>
      <c r="N446" s="69">
        <v>41855</v>
      </c>
      <c r="O446" s="69">
        <v>42740</v>
      </c>
      <c r="Q446" s="69">
        <v>42081</v>
      </c>
      <c r="R446" s="65" t="s">
        <v>28</v>
      </c>
      <c r="U446" t="s">
        <v>707</v>
      </c>
      <c r="V446" t="s">
        <v>3411</v>
      </c>
      <c r="W446" s="65" t="s">
        <v>29</v>
      </c>
      <c r="X446" s="65" t="s">
        <v>29</v>
      </c>
      <c r="Y446" s="65" t="s">
        <v>69</v>
      </c>
      <c r="AD446" s="65" t="s">
        <v>23</v>
      </c>
      <c r="AE446" s="65" t="s">
        <v>24</v>
      </c>
      <c r="BO446" s="185" t="s">
        <v>3794</v>
      </c>
      <c r="BP446" s="185" t="s">
        <v>3794</v>
      </c>
      <c r="BQ446" s="185" t="s">
        <v>3794</v>
      </c>
      <c r="BW446" s="73"/>
      <c r="BY446" s="185" t="s">
        <v>3794</v>
      </c>
      <c r="CJ446" t="s">
        <v>25</v>
      </c>
      <c r="CK446" t="s">
        <v>25</v>
      </c>
      <c r="CL446" t="s">
        <v>25</v>
      </c>
      <c r="CM446" t="s">
        <v>25</v>
      </c>
      <c r="CN446" t="s">
        <v>25</v>
      </c>
      <c r="CO446" t="s">
        <v>25</v>
      </c>
      <c r="CP446" t="s">
        <v>25</v>
      </c>
      <c r="CQ446" t="s">
        <v>25</v>
      </c>
      <c r="CR446" t="s">
        <v>25</v>
      </c>
      <c r="CS446" t="s">
        <v>25</v>
      </c>
      <c r="CT446" t="s">
        <v>25</v>
      </c>
      <c r="CU446" t="s">
        <v>25</v>
      </c>
      <c r="CV446" t="s">
        <v>25</v>
      </c>
      <c r="CW446" t="s">
        <v>25</v>
      </c>
      <c r="CX446" t="s">
        <v>25</v>
      </c>
      <c r="CY446" t="s">
        <v>25</v>
      </c>
      <c r="CZ446" t="s">
        <v>25</v>
      </c>
      <c r="DA446" t="s">
        <v>25</v>
      </c>
      <c r="DB446" t="s">
        <v>25</v>
      </c>
      <c r="DC446" t="s">
        <v>25</v>
      </c>
      <c r="DD446" t="s">
        <v>25</v>
      </c>
      <c r="DE446" t="s">
        <v>25</v>
      </c>
      <c r="DF446" t="s">
        <v>25</v>
      </c>
      <c r="DG446" t="s">
        <v>25</v>
      </c>
      <c r="DH446" t="s">
        <v>25</v>
      </c>
      <c r="DI446" t="s">
        <v>25</v>
      </c>
      <c r="DJ446" s="76">
        <v>0.1639999933540825</v>
      </c>
      <c r="DK446" s="73">
        <v>8569</v>
      </c>
      <c r="DL446" s="73">
        <v>1505</v>
      </c>
      <c r="DM446" s="73">
        <v>7064</v>
      </c>
      <c r="DN446" s="65" t="s">
        <v>126</v>
      </c>
      <c r="DS446" s="65" t="s">
        <v>126</v>
      </c>
      <c r="DT446" t="s">
        <v>2910</v>
      </c>
      <c r="DU446"/>
      <c r="DZ446" s="73">
        <v>1633</v>
      </c>
      <c r="EA446" s="73">
        <v>0</v>
      </c>
      <c r="EB446" s="73">
        <v>1633</v>
      </c>
      <c r="EC446" s="65" t="s">
        <v>126</v>
      </c>
    </row>
    <row r="447" spans="1:133" ht="12" customHeight="1" x14ac:dyDescent="0.2">
      <c r="A447" t="s">
        <v>2935</v>
      </c>
      <c r="B447" t="s">
        <v>2946</v>
      </c>
      <c r="C447" t="str">
        <f t="shared" si="20"/>
        <v>Full</v>
      </c>
      <c r="E447" s="65">
        <v>5782</v>
      </c>
      <c r="F447" t="s">
        <v>2070</v>
      </c>
      <c r="G447" s="71" t="s">
        <v>3947</v>
      </c>
      <c r="H447" s="67">
        <v>1.8370000123977701</v>
      </c>
      <c r="I447" s="65">
        <v>528822</v>
      </c>
      <c r="J447" s="65">
        <v>176878</v>
      </c>
      <c r="K447" s="65" t="s">
        <v>2071</v>
      </c>
      <c r="L447" s="65" t="s">
        <v>380</v>
      </c>
      <c r="M447" s="65" t="s">
        <v>33</v>
      </c>
      <c r="N447" s="69">
        <v>41855</v>
      </c>
      <c r="O447" s="69">
        <v>42075</v>
      </c>
      <c r="Q447" s="69">
        <v>41989</v>
      </c>
      <c r="R447" s="65" t="s">
        <v>28</v>
      </c>
      <c r="U447" t="s">
        <v>711</v>
      </c>
      <c r="V447" t="s">
        <v>3412</v>
      </c>
      <c r="W447" s="65" t="s">
        <v>34</v>
      </c>
      <c r="X447" s="65" t="s">
        <v>29</v>
      </c>
      <c r="Y447" s="65" t="s">
        <v>30</v>
      </c>
      <c r="AA447" s="69">
        <v>42261</v>
      </c>
      <c r="AD447" s="65" t="s">
        <v>23</v>
      </c>
      <c r="AE447" s="65" t="s">
        <v>24</v>
      </c>
      <c r="AH447" s="69">
        <f t="shared" si="21"/>
        <v>42261</v>
      </c>
      <c r="AJ447" s="73">
        <v>300</v>
      </c>
      <c r="AK447" s="73">
        <v>844</v>
      </c>
      <c r="AL447" s="73">
        <v>844</v>
      </c>
      <c r="AO447" s="73">
        <v>1988</v>
      </c>
      <c r="AR447" s="73">
        <v>844</v>
      </c>
      <c r="AS447" s="73">
        <v>844</v>
      </c>
      <c r="AV447" s="73">
        <v>844</v>
      </c>
      <c r="AW447" s="73">
        <v>4160</v>
      </c>
      <c r="AY447" s="73">
        <v>4160</v>
      </c>
      <c r="BH447" s="73">
        <v>4085</v>
      </c>
      <c r="BK447" s="73">
        <v>4085</v>
      </c>
      <c r="BL447" s="73">
        <v>1780</v>
      </c>
      <c r="BN447" s="73">
        <v>1780</v>
      </c>
      <c r="BO447" s="185" t="s">
        <v>126</v>
      </c>
      <c r="BP447" s="185" t="s">
        <v>126</v>
      </c>
      <c r="BQ447" s="185" t="s">
        <v>126</v>
      </c>
      <c r="BR447" s="73">
        <v>300</v>
      </c>
      <c r="BS447" s="73">
        <v>844</v>
      </c>
      <c r="BT447" s="73">
        <v>844</v>
      </c>
      <c r="BW447" s="73">
        <v>1988</v>
      </c>
      <c r="BY447" s="185" t="s">
        <v>3794</v>
      </c>
      <c r="CA447" s="73">
        <v>-3241</v>
      </c>
      <c r="CD447" s="73">
        <v>-3241</v>
      </c>
      <c r="CE447" s="65" t="s">
        <v>126</v>
      </c>
      <c r="CG447" s="73">
        <v>2380</v>
      </c>
      <c r="CI447" s="73">
        <v>2380</v>
      </c>
      <c r="CJ447" t="s">
        <v>31</v>
      </c>
      <c r="CK447" t="s">
        <v>31</v>
      </c>
      <c r="CL447" t="s">
        <v>31</v>
      </c>
      <c r="CM447" t="s">
        <v>25</v>
      </c>
      <c r="CN447" t="s">
        <v>25</v>
      </c>
      <c r="CO447" t="s">
        <v>25</v>
      </c>
      <c r="CP447" t="s">
        <v>25</v>
      </c>
      <c r="CQ447" t="s">
        <v>51</v>
      </c>
      <c r="CR447" t="s">
        <v>25</v>
      </c>
      <c r="CS447" t="s">
        <v>25</v>
      </c>
      <c r="CT447" t="s">
        <v>25</v>
      </c>
      <c r="CU447" t="s">
        <v>60</v>
      </c>
      <c r="CV447" t="s">
        <v>25</v>
      </c>
      <c r="CW447" t="s">
        <v>25</v>
      </c>
      <c r="CX447" t="s">
        <v>25</v>
      </c>
      <c r="CY447" t="s">
        <v>25</v>
      </c>
      <c r="CZ447" t="s">
        <v>25</v>
      </c>
      <c r="DA447" t="s">
        <v>25</v>
      </c>
      <c r="DB447" t="s">
        <v>25</v>
      </c>
      <c r="DC447" t="s">
        <v>25</v>
      </c>
      <c r="DD447" t="s">
        <v>51</v>
      </c>
      <c r="DE447" t="s">
        <v>25</v>
      </c>
      <c r="DF447" t="s">
        <v>25</v>
      </c>
      <c r="DG447" t="s">
        <v>25</v>
      </c>
      <c r="DH447" t="s">
        <v>60</v>
      </c>
      <c r="DI447" t="s">
        <v>25</v>
      </c>
      <c r="DJ447" s="76">
        <v>0.2219999879598642</v>
      </c>
      <c r="DK447" s="73">
        <v>6992</v>
      </c>
      <c r="DL447" s="73">
        <v>5865</v>
      </c>
      <c r="DM447" s="73">
        <v>1127</v>
      </c>
      <c r="DU447" s="65" t="s">
        <v>126</v>
      </c>
      <c r="DZ447" s="73">
        <v>32191</v>
      </c>
      <c r="EA447" s="73">
        <v>234</v>
      </c>
      <c r="EB447" s="73">
        <v>31957</v>
      </c>
      <c r="EC447" s="65" t="s">
        <v>126</v>
      </c>
    </row>
    <row r="448" spans="1:133" ht="12" customHeight="1" x14ac:dyDescent="0.2">
      <c r="A448" t="s">
        <v>2937</v>
      </c>
      <c r="B448" t="s">
        <v>2946</v>
      </c>
      <c r="C448" t="str">
        <f t="shared" si="20"/>
        <v>Full</v>
      </c>
      <c r="E448" s="65">
        <v>5790</v>
      </c>
      <c r="F448" t="s">
        <v>2072</v>
      </c>
      <c r="G448" s="71" t="s">
        <v>3951</v>
      </c>
      <c r="H448" s="67">
        <v>0.178000003099442</v>
      </c>
      <c r="I448" s="65">
        <v>527359</v>
      </c>
      <c r="J448" s="65">
        <v>171269</v>
      </c>
      <c r="L448" s="65" t="s">
        <v>1056</v>
      </c>
      <c r="M448" s="65" t="s">
        <v>33</v>
      </c>
      <c r="N448" s="69">
        <v>42661</v>
      </c>
      <c r="O448" s="69">
        <v>42824</v>
      </c>
      <c r="Q448" s="69">
        <v>42789</v>
      </c>
      <c r="R448" s="65" t="s">
        <v>28</v>
      </c>
      <c r="U448" t="s">
        <v>1057</v>
      </c>
      <c r="V448" t="s">
        <v>3413</v>
      </c>
      <c r="W448" s="65" t="s">
        <v>29</v>
      </c>
      <c r="X448" s="65" t="s">
        <v>29</v>
      </c>
      <c r="Y448" s="65" t="s">
        <v>59</v>
      </c>
      <c r="AD448" s="65" t="s">
        <v>23</v>
      </c>
      <c r="AE448" s="65" t="s">
        <v>24</v>
      </c>
      <c r="AP448" s="73">
        <v>161</v>
      </c>
      <c r="AS448" s="73">
        <v>161</v>
      </c>
      <c r="AV448" s="73">
        <v>161</v>
      </c>
      <c r="AX448" s="73">
        <v>893</v>
      </c>
      <c r="AY448" s="73">
        <v>893</v>
      </c>
      <c r="BM448" s="73">
        <v>1157</v>
      </c>
      <c r="BN448" s="73">
        <v>1157</v>
      </c>
      <c r="BO448" s="185" t="s">
        <v>3794</v>
      </c>
      <c r="BP448" s="185" t="s">
        <v>126</v>
      </c>
      <c r="BQ448" s="185" t="s">
        <v>126</v>
      </c>
      <c r="BW448" s="73"/>
      <c r="BX448" s="73">
        <v>161</v>
      </c>
      <c r="BY448" s="185" t="s">
        <v>3794</v>
      </c>
      <c r="CD448" s="73">
        <v>161</v>
      </c>
      <c r="CH448" s="73">
        <v>-264</v>
      </c>
      <c r="CI448" s="73">
        <v>-264</v>
      </c>
      <c r="CJ448" t="s">
        <v>25</v>
      </c>
      <c r="CK448" t="s">
        <v>25</v>
      </c>
      <c r="CL448" t="s">
        <v>25</v>
      </c>
      <c r="CM448" t="s">
        <v>25</v>
      </c>
      <c r="CN448" t="s">
        <v>25</v>
      </c>
      <c r="CO448" t="s">
        <v>25</v>
      </c>
      <c r="CP448" t="s">
        <v>25</v>
      </c>
      <c r="CQ448" t="s">
        <v>25</v>
      </c>
      <c r="CR448" t="s">
        <v>25</v>
      </c>
      <c r="CS448" t="s">
        <v>25</v>
      </c>
      <c r="CT448" t="s">
        <v>25</v>
      </c>
      <c r="CU448" t="s">
        <v>25</v>
      </c>
      <c r="CV448" t="s">
        <v>49</v>
      </c>
      <c r="CW448" t="s">
        <v>25</v>
      </c>
      <c r="CX448" t="s">
        <v>25</v>
      </c>
      <c r="CY448" t="s">
        <v>25</v>
      </c>
      <c r="CZ448" t="s">
        <v>25</v>
      </c>
      <c r="DA448" t="s">
        <v>25</v>
      </c>
      <c r="DB448" t="s">
        <v>25</v>
      </c>
      <c r="DC448" t="s">
        <v>25</v>
      </c>
      <c r="DD448" t="s">
        <v>25</v>
      </c>
      <c r="DE448" t="s">
        <v>25</v>
      </c>
      <c r="DF448" t="s">
        <v>25</v>
      </c>
      <c r="DG448" t="s">
        <v>25</v>
      </c>
      <c r="DH448" t="s">
        <v>25</v>
      </c>
      <c r="DI448" t="s">
        <v>47</v>
      </c>
      <c r="DJ448" s="76">
        <v>7.2000004351139998E-2</v>
      </c>
      <c r="DK448" s="73">
        <v>1054</v>
      </c>
      <c r="DL448" s="73">
        <v>1157</v>
      </c>
      <c r="DM448" s="73">
        <v>-103</v>
      </c>
      <c r="DU448"/>
      <c r="DZ448" s="73">
        <v>3911</v>
      </c>
      <c r="EA448" s="73">
        <v>0</v>
      </c>
      <c r="EB448" s="73">
        <v>3911</v>
      </c>
      <c r="EC448" s="65" t="s">
        <v>126</v>
      </c>
    </row>
    <row r="449" spans="1:133" ht="12" customHeight="1" x14ac:dyDescent="0.2">
      <c r="A449" t="s">
        <v>2937</v>
      </c>
      <c r="B449" t="s">
        <v>2946</v>
      </c>
      <c r="C449" t="str">
        <f t="shared" si="20"/>
        <v>Full</v>
      </c>
      <c r="E449" s="65">
        <v>5791</v>
      </c>
      <c r="F449" t="s">
        <v>2073</v>
      </c>
      <c r="G449" s="71" t="s">
        <v>3947</v>
      </c>
      <c r="H449" s="67">
        <v>1.2000000104308101E-2</v>
      </c>
      <c r="I449" s="65">
        <v>528356</v>
      </c>
      <c r="J449" s="65">
        <v>176657</v>
      </c>
      <c r="K449" s="65" t="s">
        <v>2074</v>
      </c>
      <c r="L449" s="65" t="s">
        <v>345</v>
      </c>
      <c r="M449" s="65" t="s">
        <v>27</v>
      </c>
      <c r="N449" s="69">
        <v>41976</v>
      </c>
      <c r="O449" s="69">
        <v>42032</v>
      </c>
      <c r="R449" s="65" t="s">
        <v>28</v>
      </c>
      <c r="U449" t="s">
        <v>346</v>
      </c>
      <c r="V449" t="s">
        <v>3414</v>
      </c>
      <c r="W449" s="65" t="s">
        <v>21</v>
      </c>
      <c r="X449" s="65" t="s">
        <v>21</v>
      </c>
      <c r="Y449" s="65" t="s">
        <v>69</v>
      </c>
      <c r="AD449" s="65" t="s">
        <v>23</v>
      </c>
      <c r="AE449" s="65" t="s">
        <v>24</v>
      </c>
      <c r="AZ449" s="73">
        <v>60</v>
      </c>
      <c r="BE449" s="73">
        <v>60</v>
      </c>
      <c r="BO449" s="185" t="s">
        <v>126</v>
      </c>
      <c r="BP449" s="185" t="s">
        <v>3794</v>
      </c>
      <c r="BQ449" s="185" t="s">
        <v>3794</v>
      </c>
      <c r="BR449" s="73">
        <v>-60</v>
      </c>
      <c r="BW449" s="73">
        <v>-60</v>
      </c>
      <c r="BY449" s="185" t="s">
        <v>3794</v>
      </c>
      <c r="CJ449" t="s">
        <v>25</v>
      </c>
      <c r="CK449" t="s">
        <v>25</v>
      </c>
      <c r="CL449" t="s">
        <v>25</v>
      </c>
      <c r="CM449" t="s">
        <v>25</v>
      </c>
      <c r="CN449" t="s">
        <v>25</v>
      </c>
      <c r="CO449" t="s">
        <v>25</v>
      </c>
      <c r="CP449" t="s">
        <v>25</v>
      </c>
      <c r="CQ449" t="s">
        <v>25</v>
      </c>
      <c r="CR449" t="s">
        <v>25</v>
      </c>
      <c r="CS449" t="s">
        <v>25</v>
      </c>
      <c r="CT449" t="s">
        <v>25</v>
      </c>
      <c r="CU449" t="s">
        <v>25</v>
      </c>
      <c r="CV449" t="s">
        <v>25</v>
      </c>
      <c r="CW449" t="s">
        <v>49</v>
      </c>
      <c r="CX449" t="s">
        <v>25</v>
      </c>
      <c r="CY449" t="s">
        <v>25</v>
      </c>
      <c r="CZ449" t="s">
        <v>25</v>
      </c>
      <c r="DA449" t="s">
        <v>25</v>
      </c>
      <c r="DB449" t="s">
        <v>25</v>
      </c>
      <c r="DC449" t="s">
        <v>25</v>
      </c>
      <c r="DD449" t="s">
        <v>25</v>
      </c>
      <c r="DE449" t="s">
        <v>25</v>
      </c>
      <c r="DF449" t="s">
        <v>25</v>
      </c>
      <c r="DG449" t="s">
        <v>25</v>
      </c>
      <c r="DH449" t="s">
        <v>25</v>
      </c>
      <c r="DI449" t="s">
        <v>25</v>
      </c>
      <c r="DJ449" s="76">
        <v>1.2000000104308101E-2</v>
      </c>
      <c r="DK449" s="73">
        <v>60</v>
      </c>
      <c r="DL449" s="73">
        <v>60</v>
      </c>
      <c r="DM449" s="73">
        <v>0</v>
      </c>
      <c r="DU449"/>
      <c r="DZ449" s="73">
        <v>0</v>
      </c>
      <c r="EA449" s="73">
        <v>0</v>
      </c>
      <c r="EB449" s="73">
        <v>0</v>
      </c>
    </row>
    <row r="450" spans="1:133" ht="12" customHeight="1" x14ac:dyDescent="0.2">
      <c r="A450" t="s">
        <v>2935</v>
      </c>
      <c r="B450" t="s">
        <v>2946</v>
      </c>
      <c r="C450" t="str">
        <f t="shared" si="20"/>
        <v>Full</v>
      </c>
      <c r="E450" s="65">
        <v>5793</v>
      </c>
      <c r="F450" t="s">
        <v>2075</v>
      </c>
      <c r="G450" s="71" t="s">
        <v>3946</v>
      </c>
      <c r="H450" s="67">
        <v>0.29600000381469699</v>
      </c>
      <c r="I450" s="65">
        <v>525347</v>
      </c>
      <c r="J450" s="65">
        <v>175071</v>
      </c>
      <c r="L450" s="65" t="s">
        <v>279</v>
      </c>
      <c r="M450" s="65" t="s">
        <v>33</v>
      </c>
      <c r="N450" s="69">
        <v>41969</v>
      </c>
      <c r="O450" s="69">
        <v>42264</v>
      </c>
      <c r="Q450" s="69">
        <v>42081</v>
      </c>
      <c r="R450" s="65" t="s">
        <v>28</v>
      </c>
      <c r="U450" t="s">
        <v>720</v>
      </c>
      <c r="V450" t="s">
        <v>3415</v>
      </c>
      <c r="W450" s="65" t="s">
        <v>29</v>
      </c>
      <c r="X450" s="65" t="s">
        <v>29</v>
      </c>
      <c r="Y450" s="65" t="s">
        <v>30</v>
      </c>
      <c r="AA450" s="69">
        <v>42825</v>
      </c>
      <c r="AD450" s="65" t="s">
        <v>23</v>
      </c>
      <c r="AE450" s="65" t="s">
        <v>24</v>
      </c>
      <c r="AH450" s="69">
        <f t="shared" si="21"/>
        <v>42825</v>
      </c>
      <c r="AJ450" s="73">
        <v>138</v>
      </c>
      <c r="AK450" s="73">
        <v>110</v>
      </c>
      <c r="AL450" s="73">
        <v>105</v>
      </c>
      <c r="AO450" s="73">
        <v>353</v>
      </c>
      <c r="AP450" s="73">
        <v>117</v>
      </c>
      <c r="AS450" s="73">
        <v>117</v>
      </c>
      <c r="AV450" s="73">
        <v>117</v>
      </c>
      <c r="BO450" s="185" t="s">
        <v>126</v>
      </c>
      <c r="BP450" s="185" t="s">
        <v>126</v>
      </c>
      <c r="BQ450" s="185" t="s">
        <v>3794</v>
      </c>
      <c r="BR450" s="73">
        <v>138</v>
      </c>
      <c r="BS450" s="73">
        <v>110</v>
      </c>
      <c r="BT450" s="73">
        <v>105</v>
      </c>
      <c r="BW450" s="73">
        <v>353</v>
      </c>
      <c r="BX450" s="73">
        <v>117</v>
      </c>
      <c r="BY450" s="185" t="s">
        <v>3794</v>
      </c>
      <c r="CD450" s="73">
        <v>117</v>
      </c>
      <c r="CJ450" t="s">
        <v>31</v>
      </c>
      <c r="CK450" t="s">
        <v>31</v>
      </c>
      <c r="CL450" t="s">
        <v>31</v>
      </c>
      <c r="CM450" t="s">
        <v>25</v>
      </c>
      <c r="CN450" t="s">
        <v>25</v>
      </c>
      <c r="CO450" t="s">
        <v>31</v>
      </c>
      <c r="CP450" t="s">
        <v>25</v>
      </c>
      <c r="CQ450" t="s">
        <v>25</v>
      </c>
      <c r="CR450" t="s">
        <v>25</v>
      </c>
      <c r="CS450" t="s">
        <v>25</v>
      </c>
      <c r="CT450" t="s">
        <v>25</v>
      </c>
      <c r="CU450" t="s">
        <v>25</v>
      </c>
      <c r="CV450" t="s">
        <v>25</v>
      </c>
      <c r="CW450" t="s">
        <v>25</v>
      </c>
      <c r="CX450" t="s">
        <v>25</v>
      </c>
      <c r="CY450" t="s">
        <v>25</v>
      </c>
      <c r="CZ450" t="s">
        <v>25</v>
      </c>
      <c r="DA450" t="s">
        <v>25</v>
      </c>
      <c r="DB450" t="s">
        <v>25</v>
      </c>
      <c r="DC450" t="s">
        <v>25</v>
      </c>
      <c r="DD450" t="s">
        <v>25</v>
      </c>
      <c r="DE450" t="s">
        <v>25</v>
      </c>
      <c r="DF450" t="s">
        <v>25</v>
      </c>
      <c r="DG450" t="s">
        <v>25</v>
      </c>
      <c r="DH450" t="s">
        <v>25</v>
      </c>
      <c r="DI450" t="s">
        <v>25</v>
      </c>
      <c r="DJ450" s="76">
        <v>4.9000000581144593E-2</v>
      </c>
      <c r="DK450" s="73">
        <v>1389</v>
      </c>
      <c r="DL450" s="73">
        <v>470</v>
      </c>
      <c r="DM450" s="73">
        <v>919</v>
      </c>
      <c r="DN450" s="65" t="s">
        <v>126</v>
      </c>
      <c r="DS450" s="65" t="s">
        <v>126</v>
      </c>
      <c r="DT450" t="s">
        <v>61</v>
      </c>
      <c r="DU450"/>
      <c r="DZ450" s="73">
        <v>5708</v>
      </c>
      <c r="EA450" s="73">
        <v>0</v>
      </c>
      <c r="EB450" s="73">
        <v>5708</v>
      </c>
      <c r="EC450" s="65" t="s">
        <v>126</v>
      </c>
    </row>
    <row r="451" spans="1:133" ht="12" customHeight="1" x14ac:dyDescent="0.2">
      <c r="A451" t="s">
        <v>2935</v>
      </c>
      <c r="B451" t="s">
        <v>2946</v>
      </c>
      <c r="C451" t="str">
        <f t="shared" ref="C451:C514" si="22">RIGHT(B451,LEN(B451)-3)</f>
        <v>Full</v>
      </c>
      <c r="E451" s="65">
        <v>5794</v>
      </c>
      <c r="F451" t="s">
        <v>2076</v>
      </c>
      <c r="G451" s="71" t="s">
        <v>150</v>
      </c>
      <c r="H451" s="67">
        <v>8.9999996125698107E-3</v>
      </c>
      <c r="I451" s="65">
        <v>526672</v>
      </c>
      <c r="J451" s="65">
        <v>171644</v>
      </c>
      <c r="L451" s="65" t="s">
        <v>2077</v>
      </c>
      <c r="M451" s="65" t="s">
        <v>27</v>
      </c>
      <c r="N451" s="69">
        <v>42905</v>
      </c>
      <c r="O451" s="69">
        <v>42961</v>
      </c>
      <c r="P451" s="65" t="s">
        <v>126</v>
      </c>
      <c r="R451" s="65" t="s">
        <v>28</v>
      </c>
      <c r="U451" t="s">
        <v>2078</v>
      </c>
      <c r="V451" t="s">
        <v>3416</v>
      </c>
      <c r="W451" s="65" t="s">
        <v>34</v>
      </c>
      <c r="X451" s="65" t="s">
        <v>29</v>
      </c>
      <c r="Y451" s="65" t="s">
        <v>30</v>
      </c>
      <c r="AA451" s="69">
        <v>43190</v>
      </c>
      <c r="AD451" s="65" t="s">
        <v>23</v>
      </c>
      <c r="AE451" s="65" t="s">
        <v>24</v>
      </c>
      <c r="AH451" s="69">
        <f t="shared" si="21"/>
        <v>43190</v>
      </c>
      <c r="BF451" s="73">
        <v>29</v>
      </c>
      <c r="BK451" s="73">
        <v>29</v>
      </c>
      <c r="BO451" s="185" t="s">
        <v>3794</v>
      </c>
      <c r="BP451" s="185" t="s">
        <v>126</v>
      </c>
      <c r="BQ451" s="185" t="s">
        <v>3794</v>
      </c>
      <c r="BW451" s="73"/>
      <c r="BX451" s="73">
        <v>-29</v>
      </c>
      <c r="BY451" s="185" t="s">
        <v>126</v>
      </c>
      <c r="CD451" s="73">
        <v>-29</v>
      </c>
      <c r="CE451" s="65" t="s">
        <v>126</v>
      </c>
      <c r="CJ451" t="s">
        <v>25</v>
      </c>
      <c r="CK451" t="s">
        <v>25</v>
      </c>
      <c r="CL451" t="s">
        <v>25</v>
      </c>
      <c r="CM451" t="s">
        <v>25</v>
      </c>
      <c r="CN451" t="s">
        <v>25</v>
      </c>
      <c r="CO451" t="s">
        <v>25</v>
      </c>
      <c r="CP451" t="s">
        <v>25</v>
      </c>
      <c r="CQ451" t="s">
        <v>25</v>
      </c>
      <c r="CR451" t="s">
        <v>25</v>
      </c>
      <c r="CS451" t="s">
        <v>25</v>
      </c>
      <c r="CT451" t="s">
        <v>25</v>
      </c>
      <c r="CU451" t="s">
        <v>25</v>
      </c>
      <c r="CV451" t="s">
        <v>25</v>
      </c>
      <c r="CW451" t="s">
        <v>25</v>
      </c>
      <c r="CX451" t="s">
        <v>25</v>
      </c>
      <c r="CY451" t="s">
        <v>25</v>
      </c>
      <c r="CZ451" t="s">
        <v>25</v>
      </c>
      <c r="DA451" t="s">
        <v>25</v>
      </c>
      <c r="DB451" t="s">
        <v>47</v>
      </c>
      <c r="DC451" t="s">
        <v>25</v>
      </c>
      <c r="DD451" t="s">
        <v>25</v>
      </c>
      <c r="DE451" t="s">
        <v>25</v>
      </c>
      <c r="DF451" t="s">
        <v>25</v>
      </c>
      <c r="DG451" t="s">
        <v>25</v>
      </c>
      <c r="DH451" t="s">
        <v>25</v>
      </c>
      <c r="DI451" t="s">
        <v>25</v>
      </c>
      <c r="DJ451" s="76">
        <v>3.9999997243285205E-3</v>
      </c>
      <c r="DK451" s="73">
        <v>0</v>
      </c>
      <c r="DL451" s="73">
        <v>29</v>
      </c>
      <c r="DM451" s="73">
        <v>-29</v>
      </c>
      <c r="DU451"/>
      <c r="DZ451" s="73">
        <v>49</v>
      </c>
      <c r="EA451" s="73">
        <v>0</v>
      </c>
      <c r="EB451" s="73">
        <v>49</v>
      </c>
      <c r="EC451" s="65" t="s">
        <v>126</v>
      </c>
    </row>
    <row r="452" spans="1:133" ht="12" customHeight="1" x14ac:dyDescent="0.2">
      <c r="A452" t="s">
        <v>2936</v>
      </c>
      <c r="B452" t="s">
        <v>2948</v>
      </c>
      <c r="C452" t="str">
        <f t="shared" si="22"/>
        <v>Prior Approval</v>
      </c>
      <c r="D452" t="s">
        <v>2943</v>
      </c>
      <c r="E452" s="65">
        <v>5796</v>
      </c>
      <c r="F452" t="s">
        <v>2079</v>
      </c>
      <c r="G452" s="71" t="s">
        <v>150</v>
      </c>
      <c r="H452" s="67">
        <v>3.70000004768372E-2</v>
      </c>
      <c r="I452" s="65">
        <v>527522</v>
      </c>
      <c r="J452" s="65">
        <v>171673</v>
      </c>
      <c r="L452" s="65" t="s">
        <v>288</v>
      </c>
      <c r="M452" s="65" t="s">
        <v>244</v>
      </c>
      <c r="N452" s="69">
        <v>41985</v>
      </c>
      <c r="O452" s="69">
        <v>42041</v>
      </c>
      <c r="R452" s="65" t="s">
        <v>28</v>
      </c>
      <c r="U452" t="s">
        <v>289</v>
      </c>
      <c r="V452" t="s">
        <v>3417</v>
      </c>
      <c r="W452" s="65" t="s">
        <v>21</v>
      </c>
      <c r="X452" s="65" t="s">
        <v>21</v>
      </c>
      <c r="Y452" s="65" t="s">
        <v>35</v>
      </c>
      <c r="AA452" s="69">
        <v>43033</v>
      </c>
      <c r="AB452" s="69">
        <v>43059</v>
      </c>
      <c r="AC452" s="69">
        <v>43059</v>
      </c>
      <c r="AD452" s="65" t="s">
        <v>23</v>
      </c>
      <c r="AE452" s="65" t="s">
        <v>24</v>
      </c>
      <c r="AH452" s="69">
        <f t="shared" si="21"/>
        <v>43033</v>
      </c>
      <c r="AI452" s="69">
        <f t="shared" ref="AI452:AI504" si="23">AB452</f>
        <v>43059</v>
      </c>
      <c r="BF452" s="73">
        <v>322</v>
      </c>
      <c r="BK452" s="73">
        <v>322</v>
      </c>
      <c r="BO452" s="185" t="s">
        <v>3794</v>
      </c>
      <c r="BP452" s="185" t="s">
        <v>126</v>
      </c>
      <c r="BQ452" s="185" t="s">
        <v>3794</v>
      </c>
      <c r="BW452" s="73"/>
      <c r="BX452" s="73">
        <v>-322</v>
      </c>
      <c r="BY452" s="185" t="s">
        <v>126</v>
      </c>
      <c r="CD452" s="73">
        <v>-322</v>
      </c>
      <c r="CE452" s="65" t="s">
        <v>126</v>
      </c>
      <c r="CJ452" t="s">
        <v>25</v>
      </c>
      <c r="CK452" t="s">
        <v>25</v>
      </c>
      <c r="CL452" t="s">
        <v>25</v>
      </c>
      <c r="CM452" t="s">
        <v>25</v>
      </c>
      <c r="CN452" t="s">
        <v>25</v>
      </c>
      <c r="CO452" t="s">
        <v>25</v>
      </c>
      <c r="CP452" t="s">
        <v>25</v>
      </c>
      <c r="CQ452" t="s">
        <v>25</v>
      </c>
      <c r="CR452" t="s">
        <v>25</v>
      </c>
      <c r="CS452" t="s">
        <v>25</v>
      </c>
      <c r="CT452" t="s">
        <v>25</v>
      </c>
      <c r="CU452" t="s">
        <v>25</v>
      </c>
      <c r="CV452" t="s">
        <v>25</v>
      </c>
      <c r="CW452" t="s">
        <v>25</v>
      </c>
      <c r="CX452" t="s">
        <v>25</v>
      </c>
      <c r="CY452" t="s">
        <v>25</v>
      </c>
      <c r="CZ452" t="s">
        <v>25</v>
      </c>
      <c r="DA452" t="s">
        <v>25</v>
      </c>
      <c r="DB452" t="s">
        <v>31</v>
      </c>
      <c r="DC452" t="s">
        <v>25</v>
      </c>
      <c r="DD452" t="s">
        <v>25</v>
      </c>
      <c r="DE452" t="s">
        <v>25</v>
      </c>
      <c r="DF452" t="s">
        <v>25</v>
      </c>
      <c r="DG452" t="s">
        <v>25</v>
      </c>
      <c r="DH452" t="s">
        <v>25</v>
      </c>
      <c r="DI452" t="s">
        <v>25</v>
      </c>
      <c r="DJ452" s="76">
        <v>1.2000000104308201E-2</v>
      </c>
      <c r="DK452" s="73">
        <v>0</v>
      </c>
      <c r="DL452" s="73">
        <v>322</v>
      </c>
      <c r="DM452" s="73">
        <v>-322</v>
      </c>
      <c r="DU452"/>
      <c r="DV452" s="65" t="s">
        <v>126</v>
      </c>
      <c r="DW452" t="s">
        <v>150</v>
      </c>
      <c r="DZ452" s="73">
        <v>322</v>
      </c>
      <c r="EA452" s="73">
        <v>0</v>
      </c>
      <c r="EB452" s="73">
        <v>322</v>
      </c>
      <c r="EC452" s="65" t="s">
        <v>126</v>
      </c>
    </row>
    <row r="453" spans="1:133" ht="12" customHeight="1" x14ac:dyDescent="0.2">
      <c r="A453" t="s">
        <v>2937</v>
      </c>
      <c r="B453" t="s">
        <v>2948</v>
      </c>
      <c r="C453" t="str">
        <f t="shared" si="22"/>
        <v>Prior Approval</v>
      </c>
      <c r="E453" s="65">
        <v>5801</v>
      </c>
      <c r="F453" t="s">
        <v>2080</v>
      </c>
      <c r="G453" s="71" t="s">
        <v>3943</v>
      </c>
      <c r="H453" s="67">
        <v>1.4000000432133701E-2</v>
      </c>
      <c r="I453" s="65">
        <v>526534</v>
      </c>
      <c r="J453" s="65">
        <v>175822</v>
      </c>
      <c r="K453" s="65" t="s">
        <v>1342</v>
      </c>
      <c r="L453" s="65" t="s">
        <v>939</v>
      </c>
      <c r="M453" s="65" t="s">
        <v>243</v>
      </c>
      <c r="N453" s="69">
        <v>42548</v>
      </c>
      <c r="O453" s="69">
        <v>42604</v>
      </c>
      <c r="R453" s="65" t="s">
        <v>28</v>
      </c>
      <c r="U453" t="s">
        <v>940</v>
      </c>
      <c r="V453" t="s">
        <v>3418</v>
      </c>
      <c r="W453" s="65" t="s">
        <v>21</v>
      </c>
      <c r="X453" s="65" t="s">
        <v>21</v>
      </c>
      <c r="Y453" s="65" t="s">
        <v>59</v>
      </c>
      <c r="AD453" s="65" t="s">
        <v>23</v>
      </c>
      <c r="AE453" s="65" t="s">
        <v>24</v>
      </c>
      <c r="BF453" s="73">
        <v>48</v>
      </c>
      <c r="BK453" s="73">
        <v>48</v>
      </c>
      <c r="BO453" s="185" t="s">
        <v>3794</v>
      </c>
      <c r="BP453" s="185" t="s">
        <v>126</v>
      </c>
      <c r="BQ453" s="185" t="s">
        <v>3794</v>
      </c>
      <c r="BW453" s="73"/>
      <c r="BX453" s="73">
        <v>-48</v>
      </c>
      <c r="BY453" s="185" t="s">
        <v>126</v>
      </c>
      <c r="CD453" s="73">
        <v>-48</v>
      </c>
      <c r="CE453" s="65" t="s">
        <v>126</v>
      </c>
      <c r="CJ453" t="s">
        <v>25</v>
      </c>
      <c r="CK453" t="s">
        <v>25</v>
      </c>
      <c r="CL453" t="s">
        <v>25</v>
      </c>
      <c r="CM453" t="s">
        <v>25</v>
      </c>
      <c r="CN453" t="s">
        <v>25</v>
      </c>
      <c r="CO453" t="s">
        <v>25</v>
      </c>
      <c r="CP453" t="s">
        <v>25</v>
      </c>
      <c r="CQ453" t="s">
        <v>25</v>
      </c>
      <c r="CR453" t="s">
        <v>25</v>
      </c>
      <c r="CS453" t="s">
        <v>25</v>
      </c>
      <c r="CT453" t="s">
        <v>25</v>
      </c>
      <c r="CU453" t="s">
        <v>25</v>
      </c>
      <c r="CV453" t="s">
        <v>25</v>
      </c>
      <c r="CW453" t="s">
        <v>25</v>
      </c>
      <c r="CX453" t="s">
        <v>25</v>
      </c>
      <c r="CY453" t="s">
        <v>25</v>
      </c>
      <c r="CZ453" t="s">
        <v>25</v>
      </c>
      <c r="DA453" t="s">
        <v>25</v>
      </c>
      <c r="DB453" t="s">
        <v>31</v>
      </c>
      <c r="DC453" t="s">
        <v>25</v>
      </c>
      <c r="DD453" t="s">
        <v>25</v>
      </c>
      <c r="DE453" t="s">
        <v>25</v>
      </c>
      <c r="DF453" t="s">
        <v>25</v>
      </c>
      <c r="DG453" t="s">
        <v>25</v>
      </c>
      <c r="DH453" t="s">
        <v>25</v>
      </c>
      <c r="DI453" t="s">
        <v>25</v>
      </c>
      <c r="DJ453" s="76">
        <v>9.0000005438924113E-3</v>
      </c>
      <c r="DK453" s="73">
        <v>0</v>
      </c>
      <c r="DL453" s="73">
        <v>48</v>
      </c>
      <c r="DM453" s="73">
        <v>-48</v>
      </c>
      <c r="DN453" s="65" t="s">
        <v>126</v>
      </c>
      <c r="DU453"/>
      <c r="DZ453" s="73">
        <v>48</v>
      </c>
      <c r="EA453" s="73">
        <v>0</v>
      </c>
      <c r="EB453" s="73">
        <v>48</v>
      </c>
      <c r="EC453" s="65" t="s">
        <v>126</v>
      </c>
    </row>
    <row r="454" spans="1:133" ht="12" customHeight="1" x14ac:dyDescent="0.2">
      <c r="A454" t="s">
        <v>2937</v>
      </c>
      <c r="B454" t="s">
        <v>2948</v>
      </c>
      <c r="C454" t="str">
        <f t="shared" si="22"/>
        <v>Prior Approval</v>
      </c>
      <c r="E454" s="65">
        <v>5803</v>
      </c>
      <c r="F454" t="s">
        <v>2081</v>
      </c>
      <c r="G454" s="71" t="s">
        <v>3943</v>
      </c>
      <c r="H454" s="67">
        <v>1.4000000432133701E-2</v>
      </c>
      <c r="I454" s="65">
        <v>526534</v>
      </c>
      <c r="J454" s="65">
        <v>175822</v>
      </c>
      <c r="K454" s="65" t="s">
        <v>1342</v>
      </c>
      <c r="L454" s="65" t="s">
        <v>847</v>
      </c>
      <c r="M454" s="65" t="s">
        <v>243</v>
      </c>
      <c r="N454" s="69">
        <v>42488</v>
      </c>
      <c r="O454" s="69">
        <v>42544</v>
      </c>
      <c r="R454" s="65" t="s">
        <v>28</v>
      </c>
      <c r="U454" t="s">
        <v>848</v>
      </c>
      <c r="V454" t="s">
        <v>3419</v>
      </c>
      <c r="W454" s="65" t="s">
        <v>21</v>
      </c>
      <c r="X454" s="65" t="s">
        <v>21</v>
      </c>
      <c r="Y454" s="65" t="s">
        <v>59</v>
      </c>
      <c r="AD454" s="65" t="s">
        <v>23</v>
      </c>
      <c r="AE454" s="65" t="s">
        <v>24</v>
      </c>
      <c r="BF454" s="73">
        <v>287</v>
      </c>
      <c r="BK454" s="73">
        <v>287</v>
      </c>
      <c r="BO454" s="185" t="s">
        <v>3794</v>
      </c>
      <c r="BP454" s="185" t="s">
        <v>126</v>
      </c>
      <c r="BQ454" s="185" t="s">
        <v>3794</v>
      </c>
      <c r="BW454" s="73"/>
      <c r="BX454" s="73">
        <v>-287</v>
      </c>
      <c r="BY454" s="185" t="s">
        <v>126</v>
      </c>
      <c r="CD454" s="73">
        <v>-287</v>
      </c>
      <c r="CE454" s="65" t="s">
        <v>126</v>
      </c>
      <c r="CJ454" t="s">
        <v>25</v>
      </c>
      <c r="CK454" t="s">
        <v>25</v>
      </c>
      <c r="CL454" t="s">
        <v>25</v>
      </c>
      <c r="CM454" t="s">
        <v>25</v>
      </c>
      <c r="CN454" t="s">
        <v>25</v>
      </c>
      <c r="CO454" t="s">
        <v>25</v>
      </c>
      <c r="CP454" t="s">
        <v>25</v>
      </c>
      <c r="CQ454" t="s">
        <v>25</v>
      </c>
      <c r="CR454" t="s">
        <v>25</v>
      </c>
      <c r="CS454" t="s">
        <v>25</v>
      </c>
      <c r="CT454" t="s">
        <v>25</v>
      </c>
      <c r="CU454" t="s">
        <v>25</v>
      </c>
      <c r="CV454" t="s">
        <v>25</v>
      </c>
      <c r="CW454" t="s">
        <v>25</v>
      </c>
      <c r="CX454" t="s">
        <v>25</v>
      </c>
      <c r="CY454" t="s">
        <v>25</v>
      </c>
      <c r="CZ454" t="s">
        <v>25</v>
      </c>
      <c r="DA454" t="s">
        <v>25</v>
      </c>
      <c r="DB454" t="s">
        <v>31</v>
      </c>
      <c r="DC454" t="s">
        <v>25</v>
      </c>
      <c r="DD454" t="s">
        <v>25</v>
      </c>
      <c r="DE454" t="s">
        <v>25</v>
      </c>
      <c r="DF454" t="s">
        <v>25</v>
      </c>
      <c r="DG454" t="s">
        <v>25</v>
      </c>
      <c r="DH454" t="s">
        <v>25</v>
      </c>
      <c r="DI454" t="s">
        <v>25</v>
      </c>
      <c r="DJ454" s="76">
        <v>6.0000000521540902E-3</v>
      </c>
      <c r="DK454" s="73">
        <v>0</v>
      </c>
      <c r="DL454" s="73">
        <v>287</v>
      </c>
      <c r="DM454" s="73">
        <v>-287</v>
      </c>
      <c r="DN454" s="65" t="s">
        <v>126</v>
      </c>
      <c r="DU454"/>
      <c r="DZ454" s="73">
        <v>287</v>
      </c>
      <c r="EA454" s="73">
        <v>0</v>
      </c>
      <c r="EB454" s="73">
        <v>287</v>
      </c>
      <c r="EC454" s="65" t="s">
        <v>126</v>
      </c>
    </row>
    <row r="455" spans="1:133" ht="12" customHeight="1" x14ac:dyDescent="0.2">
      <c r="A455" t="s">
        <v>2937</v>
      </c>
      <c r="B455" t="s">
        <v>2948</v>
      </c>
      <c r="C455" t="str">
        <f t="shared" si="22"/>
        <v>Prior Approval</v>
      </c>
      <c r="E455" s="65">
        <v>5804</v>
      </c>
      <c r="F455" t="s">
        <v>2082</v>
      </c>
      <c r="G455" s="71" t="s">
        <v>3943</v>
      </c>
      <c r="H455" s="67">
        <v>3.5999998450279201E-2</v>
      </c>
      <c r="I455" s="65">
        <v>526485</v>
      </c>
      <c r="J455" s="65">
        <v>175743</v>
      </c>
      <c r="K455" s="65" t="s">
        <v>1342</v>
      </c>
      <c r="L455" s="65" t="s">
        <v>959</v>
      </c>
      <c r="M455" s="65" t="s">
        <v>243</v>
      </c>
      <c r="N455" s="69">
        <v>42538</v>
      </c>
      <c r="O455" s="69">
        <v>42594</v>
      </c>
      <c r="R455" s="65" t="s">
        <v>28</v>
      </c>
      <c r="U455" t="s">
        <v>960</v>
      </c>
      <c r="V455" t="s">
        <v>3420</v>
      </c>
      <c r="W455" s="65" t="s">
        <v>21</v>
      </c>
      <c r="X455" s="65" t="s">
        <v>21</v>
      </c>
      <c r="Y455" s="65" t="s">
        <v>69</v>
      </c>
      <c r="AD455" s="65" t="s">
        <v>23</v>
      </c>
      <c r="AE455" s="65" t="s">
        <v>24</v>
      </c>
      <c r="BF455" s="73">
        <v>510</v>
      </c>
      <c r="BK455" s="73">
        <v>510</v>
      </c>
      <c r="BO455" s="185" t="s">
        <v>3794</v>
      </c>
      <c r="BP455" s="185" t="s">
        <v>126</v>
      </c>
      <c r="BQ455" s="185" t="s">
        <v>3794</v>
      </c>
      <c r="BW455" s="73"/>
      <c r="BX455" s="73">
        <v>-510</v>
      </c>
      <c r="BY455" s="185" t="s">
        <v>126</v>
      </c>
      <c r="CD455" s="73">
        <v>-510</v>
      </c>
      <c r="CE455" s="65" t="s">
        <v>126</v>
      </c>
      <c r="CJ455" t="s">
        <v>25</v>
      </c>
      <c r="CK455" t="s">
        <v>25</v>
      </c>
      <c r="CL455" t="s">
        <v>25</v>
      </c>
      <c r="CM455" t="s">
        <v>25</v>
      </c>
      <c r="CN455" t="s">
        <v>25</v>
      </c>
      <c r="CO455" t="s">
        <v>25</v>
      </c>
      <c r="CP455" t="s">
        <v>25</v>
      </c>
      <c r="CQ455" t="s">
        <v>25</v>
      </c>
      <c r="CR455" t="s">
        <v>25</v>
      </c>
      <c r="CS455" t="s">
        <v>25</v>
      </c>
      <c r="CT455" t="s">
        <v>25</v>
      </c>
      <c r="CU455" t="s">
        <v>25</v>
      </c>
      <c r="CV455" t="s">
        <v>25</v>
      </c>
      <c r="CW455" t="s">
        <v>25</v>
      </c>
      <c r="CX455" t="s">
        <v>25</v>
      </c>
      <c r="CY455" t="s">
        <v>25</v>
      </c>
      <c r="CZ455" t="s">
        <v>25</v>
      </c>
      <c r="DA455" t="s">
        <v>25</v>
      </c>
      <c r="DB455" t="s">
        <v>47</v>
      </c>
      <c r="DC455" t="s">
        <v>25</v>
      </c>
      <c r="DD455" t="s">
        <v>25</v>
      </c>
      <c r="DE455" t="s">
        <v>25</v>
      </c>
      <c r="DF455" t="s">
        <v>25</v>
      </c>
      <c r="DG455" t="s">
        <v>25</v>
      </c>
      <c r="DH455" t="s">
        <v>25</v>
      </c>
      <c r="DI455" t="s">
        <v>25</v>
      </c>
      <c r="DJ455" s="76">
        <v>0</v>
      </c>
      <c r="DK455" s="73">
        <v>0</v>
      </c>
      <c r="DL455" s="73">
        <v>510</v>
      </c>
      <c r="DM455" s="73">
        <v>-510</v>
      </c>
      <c r="DN455" s="65" t="s">
        <v>126</v>
      </c>
      <c r="DU455"/>
      <c r="DZ455" s="73">
        <v>510</v>
      </c>
      <c r="EA455" s="73">
        <v>0</v>
      </c>
      <c r="EB455" s="73">
        <v>510</v>
      </c>
      <c r="EC455" s="65" t="s">
        <v>126</v>
      </c>
    </row>
    <row r="456" spans="1:133" ht="12" customHeight="1" x14ac:dyDescent="0.2">
      <c r="A456" t="s">
        <v>2937</v>
      </c>
      <c r="B456" t="s">
        <v>2948</v>
      </c>
      <c r="C456" t="str">
        <f t="shared" si="22"/>
        <v>Prior Approval</v>
      </c>
      <c r="E456" s="65">
        <v>5805</v>
      </c>
      <c r="F456" t="s">
        <v>2083</v>
      </c>
      <c r="G456" s="71" t="s">
        <v>3943</v>
      </c>
      <c r="H456" s="67">
        <v>2.5000000372528999E-2</v>
      </c>
      <c r="I456" s="65">
        <v>526469</v>
      </c>
      <c r="J456" s="65">
        <v>175725</v>
      </c>
      <c r="K456" s="65" t="s">
        <v>1342</v>
      </c>
      <c r="L456" s="65" t="s">
        <v>855</v>
      </c>
      <c r="M456" s="65" t="s">
        <v>243</v>
      </c>
      <c r="N456" s="69">
        <v>42487</v>
      </c>
      <c r="O456" s="69">
        <v>42543</v>
      </c>
      <c r="R456" s="65" t="s">
        <v>28</v>
      </c>
      <c r="U456" t="s">
        <v>856</v>
      </c>
      <c r="V456" t="s">
        <v>3421</v>
      </c>
      <c r="W456" s="65" t="s">
        <v>21</v>
      </c>
      <c r="X456" s="65" t="s">
        <v>21</v>
      </c>
      <c r="Y456" s="65" t="s">
        <v>69</v>
      </c>
      <c r="AD456" s="65" t="s">
        <v>23</v>
      </c>
      <c r="AE456" s="65" t="s">
        <v>24</v>
      </c>
      <c r="BF456" s="73">
        <v>389</v>
      </c>
      <c r="BK456" s="73">
        <v>389</v>
      </c>
      <c r="BO456" s="185" t="s">
        <v>3794</v>
      </c>
      <c r="BP456" s="185" t="s">
        <v>126</v>
      </c>
      <c r="BQ456" s="185" t="s">
        <v>3794</v>
      </c>
      <c r="BW456" s="73"/>
      <c r="BX456" s="73">
        <v>-389</v>
      </c>
      <c r="BY456" s="185" t="s">
        <v>126</v>
      </c>
      <c r="CD456" s="73">
        <v>-389</v>
      </c>
      <c r="CE456" s="65" t="s">
        <v>126</v>
      </c>
      <c r="CJ456" t="s">
        <v>25</v>
      </c>
      <c r="CK456" t="s">
        <v>25</v>
      </c>
      <c r="CL456" t="s">
        <v>25</v>
      </c>
      <c r="CM456" t="s">
        <v>25</v>
      </c>
      <c r="CN456" t="s">
        <v>25</v>
      </c>
      <c r="CO456" t="s">
        <v>25</v>
      </c>
      <c r="CP456" t="s">
        <v>25</v>
      </c>
      <c r="CQ456" t="s">
        <v>25</v>
      </c>
      <c r="CR456" t="s">
        <v>25</v>
      </c>
      <c r="CS456" t="s">
        <v>25</v>
      </c>
      <c r="CT456" t="s">
        <v>25</v>
      </c>
      <c r="CU456" t="s">
        <v>25</v>
      </c>
      <c r="CV456" t="s">
        <v>25</v>
      </c>
      <c r="CW456" t="s">
        <v>25</v>
      </c>
      <c r="CX456" t="s">
        <v>25</v>
      </c>
      <c r="CY456" t="s">
        <v>25</v>
      </c>
      <c r="CZ456" t="s">
        <v>25</v>
      </c>
      <c r="DA456" t="s">
        <v>25</v>
      </c>
      <c r="DB456" t="s">
        <v>31</v>
      </c>
      <c r="DC456" t="s">
        <v>25</v>
      </c>
      <c r="DD456" t="s">
        <v>25</v>
      </c>
      <c r="DE456" t="s">
        <v>25</v>
      </c>
      <c r="DF456" t="s">
        <v>25</v>
      </c>
      <c r="DG456" t="s">
        <v>25</v>
      </c>
      <c r="DH456" t="s">
        <v>25</v>
      </c>
      <c r="DI456" t="s">
        <v>25</v>
      </c>
      <c r="DJ456" s="76">
        <v>6.0000009834765972E-3</v>
      </c>
      <c r="DK456" s="73">
        <v>0</v>
      </c>
      <c r="DL456" s="73">
        <v>389</v>
      </c>
      <c r="DM456" s="73">
        <v>-389</v>
      </c>
      <c r="DN456" s="65" t="s">
        <v>126</v>
      </c>
      <c r="DU456"/>
      <c r="DZ456" s="73">
        <v>389</v>
      </c>
      <c r="EA456" s="73">
        <v>0</v>
      </c>
      <c r="EB456" s="73">
        <v>389</v>
      </c>
      <c r="EC456" s="65" t="s">
        <v>126</v>
      </c>
    </row>
    <row r="457" spans="1:133" ht="12" customHeight="1" x14ac:dyDescent="0.2">
      <c r="A457" t="s">
        <v>2935</v>
      </c>
      <c r="B457" t="s">
        <v>2946</v>
      </c>
      <c r="C457" t="str">
        <f t="shared" si="22"/>
        <v>Full</v>
      </c>
      <c r="E457" s="65">
        <v>5812</v>
      </c>
      <c r="F457" t="s">
        <v>2084</v>
      </c>
      <c r="G457" s="71" t="s">
        <v>3947</v>
      </c>
      <c r="H457" s="67">
        <v>0.78399997949600198</v>
      </c>
      <c r="I457" s="65">
        <v>529628</v>
      </c>
      <c r="J457" s="65">
        <v>177338</v>
      </c>
      <c r="K457" s="65" t="s">
        <v>2085</v>
      </c>
      <c r="L457" s="65" t="s">
        <v>515</v>
      </c>
      <c r="M457" s="65" t="s">
        <v>33</v>
      </c>
      <c r="N457" s="69">
        <v>42234</v>
      </c>
      <c r="O457" s="69">
        <v>42647</v>
      </c>
      <c r="Q457" s="69">
        <v>42452</v>
      </c>
      <c r="R457" s="65" t="s">
        <v>28</v>
      </c>
      <c r="U457" t="s">
        <v>758</v>
      </c>
      <c r="V457" t="s">
        <v>3422</v>
      </c>
      <c r="W457" s="65" t="s">
        <v>29</v>
      </c>
      <c r="X457" s="65" t="s">
        <v>29</v>
      </c>
      <c r="Y457" s="65" t="s">
        <v>30</v>
      </c>
      <c r="AA457" s="69">
        <v>42793</v>
      </c>
      <c r="AD457" s="65" t="s">
        <v>23</v>
      </c>
      <c r="AE457" s="65" t="s">
        <v>24</v>
      </c>
      <c r="AH457" s="69">
        <f t="shared" si="21"/>
        <v>42793</v>
      </c>
      <c r="AJ457" s="73">
        <v>123</v>
      </c>
      <c r="AK457" s="73">
        <v>123</v>
      </c>
      <c r="AL457" s="73">
        <v>123</v>
      </c>
      <c r="AO457" s="73">
        <v>369</v>
      </c>
      <c r="AP457" s="73">
        <v>123</v>
      </c>
      <c r="AS457" s="73">
        <v>123</v>
      </c>
      <c r="AV457" s="73">
        <v>123</v>
      </c>
      <c r="AW457" s="73">
        <v>123</v>
      </c>
      <c r="AX457" s="73">
        <v>310</v>
      </c>
      <c r="AY457" s="73">
        <v>433</v>
      </c>
      <c r="BJ457" s="73">
        <v>6534</v>
      </c>
      <c r="BK457" s="73">
        <v>6534</v>
      </c>
      <c r="BO457" s="185" t="s">
        <v>126</v>
      </c>
      <c r="BP457" s="185" t="s">
        <v>126</v>
      </c>
      <c r="BQ457" s="185" t="s">
        <v>126</v>
      </c>
      <c r="BR457" s="73">
        <v>123</v>
      </c>
      <c r="BS457" s="73">
        <v>123</v>
      </c>
      <c r="BT457" s="73">
        <v>123</v>
      </c>
      <c r="BW457" s="73">
        <v>369</v>
      </c>
      <c r="BX457" s="73">
        <v>123</v>
      </c>
      <c r="BY457" s="185" t="s">
        <v>3794</v>
      </c>
      <c r="CC457" s="73">
        <v>-6534</v>
      </c>
      <c r="CD457" s="73">
        <v>-6411</v>
      </c>
      <c r="CE457" s="65" t="s">
        <v>126</v>
      </c>
      <c r="CG457" s="73">
        <v>123</v>
      </c>
      <c r="CH457" s="73">
        <v>310</v>
      </c>
      <c r="CI457" s="73">
        <v>433</v>
      </c>
      <c r="CJ457" t="s">
        <v>31</v>
      </c>
      <c r="CK457" t="s">
        <v>31</v>
      </c>
      <c r="CL457" t="s">
        <v>31</v>
      </c>
      <c r="CM457" t="s">
        <v>25</v>
      </c>
      <c r="CN457" t="s">
        <v>25</v>
      </c>
      <c r="CO457" t="s">
        <v>31</v>
      </c>
      <c r="CP457" t="s">
        <v>25</v>
      </c>
      <c r="CQ457" t="s">
        <v>25</v>
      </c>
      <c r="CR457" t="s">
        <v>25</v>
      </c>
      <c r="CS457" t="s">
        <v>25</v>
      </c>
      <c r="CT457" t="s">
        <v>25</v>
      </c>
      <c r="CU457" t="s">
        <v>31</v>
      </c>
      <c r="CV457" t="s">
        <v>31</v>
      </c>
      <c r="CW457" t="s">
        <v>25</v>
      </c>
      <c r="CX457" t="s">
        <v>25</v>
      </c>
      <c r="CY457" t="s">
        <v>25</v>
      </c>
      <c r="CZ457" t="s">
        <v>25</v>
      </c>
      <c r="DA457" t="s">
        <v>25</v>
      </c>
      <c r="DB457" t="s">
        <v>25</v>
      </c>
      <c r="DC457" t="s">
        <v>25</v>
      </c>
      <c r="DD457" t="s">
        <v>25</v>
      </c>
      <c r="DE457" t="s">
        <v>25</v>
      </c>
      <c r="DF457" t="s">
        <v>47</v>
      </c>
      <c r="DG457" t="s">
        <v>25</v>
      </c>
      <c r="DH457" t="s">
        <v>25</v>
      </c>
      <c r="DI457" t="s">
        <v>25</v>
      </c>
      <c r="DJ457" s="76">
        <v>0.18999997526407253</v>
      </c>
      <c r="DK457" s="73">
        <v>925</v>
      </c>
      <c r="DL457" s="73">
        <v>6534</v>
      </c>
      <c r="DM457" s="73">
        <v>-5609</v>
      </c>
      <c r="DU457" s="65" t="s">
        <v>126</v>
      </c>
      <c r="DZ457" s="73">
        <v>24835</v>
      </c>
      <c r="EA457" s="73">
        <v>0</v>
      </c>
      <c r="EB457" s="73">
        <v>24835</v>
      </c>
      <c r="EC457" s="65" t="s">
        <v>126</v>
      </c>
    </row>
    <row r="458" spans="1:133" ht="12" customHeight="1" x14ac:dyDescent="0.2">
      <c r="A458" t="s">
        <v>2936</v>
      </c>
      <c r="B458" t="s">
        <v>2946</v>
      </c>
      <c r="C458" t="str">
        <f t="shared" si="22"/>
        <v>Full</v>
      </c>
      <c r="D458" t="s">
        <v>2943</v>
      </c>
      <c r="E458" s="65">
        <v>5813</v>
      </c>
      <c r="F458" t="s">
        <v>2086</v>
      </c>
      <c r="G458" s="71" t="s">
        <v>3945</v>
      </c>
      <c r="H458" s="67">
        <v>1.09999999403954E-2</v>
      </c>
      <c r="I458" s="65">
        <v>527658</v>
      </c>
      <c r="J458" s="65">
        <v>175538</v>
      </c>
      <c r="L458" s="65" t="s">
        <v>284</v>
      </c>
      <c r="M458" s="65" t="s">
        <v>27</v>
      </c>
      <c r="N458" s="69">
        <v>41988</v>
      </c>
      <c r="O458" s="69">
        <v>42044</v>
      </c>
      <c r="R458" s="65" t="s">
        <v>28</v>
      </c>
      <c r="U458" t="s">
        <v>285</v>
      </c>
      <c r="V458" t="s">
        <v>3423</v>
      </c>
      <c r="W458" s="65" t="s">
        <v>34</v>
      </c>
      <c r="X458" s="65" t="s">
        <v>29</v>
      </c>
      <c r="Y458" s="65" t="s">
        <v>35</v>
      </c>
      <c r="AA458" s="69">
        <v>42354</v>
      </c>
      <c r="AB458" s="69">
        <v>42859</v>
      </c>
      <c r="AC458" s="69">
        <v>42859</v>
      </c>
      <c r="AD458" s="65" t="s">
        <v>23</v>
      </c>
      <c r="AE458" s="65" t="s">
        <v>24</v>
      </c>
      <c r="AH458" s="69">
        <f t="shared" si="21"/>
        <v>42354</v>
      </c>
      <c r="AI458" s="69">
        <f t="shared" si="23"/>
        <v>42859</v>
      </c>
      <c r="AK458" s="73">
        <v>72</v>
      </c>
      <c r="AO458" s="73">
        <v>72</v>
      </c>
      <c r="BA458" s="73">
        <v>128</v>
      </c>
      <c r="BE458" s="73">
        <v>128</v>
      </c>
      <c r="BO458" s="185" t="s">
        <v>126</v>
      </c>
      <c r="BP458" s="185" t="s">
        <v>3794</v>
      </c>
      <c r="BQ458" s="185" t="s">
        <v>3794</v>
      </c>
      <c r="BS458" s="73">
        <v>-56</v>
      </c>
      <c r="BW458" s="73">
        <v>-56</v>
      </c>
      <c r="BY458" s="185" t="s">
        <v>3794</v>
      </c>
      <c r="CJ458" t="s">
        <v>25</v>
      </c>
      <c r="CK458" t="s">
        <v>286</v>
      </c>
      <c r="CL458" t="s">
        <v>25</v>
      </c>
      <c r="CM458" t="s">
        <v>25</v>
      </c>
      <c r="CN458" t="s">
        <v>25</v>
      </c>
      <c r="CO458" t="s">
        <v>25</v>
      </c>
      <c r="CP458" t="s">
        <v>25</v>
      </c>
      <c r="CQ458" t="s">
        <v>25</v>
      </c>
      <c r="CR458" t="s">
        <v>25</v>
      </c>
      <c r="CS458" t="s">
        <v>25</v>
      </c>
      <c r="CT458" t="s">
        <v>25</v>
      </c>
      <c r="CU458" t="s">
        <v>25</v>
      </c>
      <c r="CV458" t="s">
        <v>25</v>
      </c>
      <c r="CW458" t="s">
        <v>25</v>
      </c>
      <c r="CX458" t="s">
        <v>286</v>
      </c>
      <c r="CY458" t="s">
        <v>25</v>
      </c>
      <c r="CZ458" t="s">
        <v>25</v>
      </c>
      <c r="DA458" t="s">
        <v>25</v>
      </c>
      <c r="DB458" t="s">
        <v>25</v>
      </c>
      <c r="DC458" t="s">
        <v>25</v>
      </c>
      <c r="DD458" t="s">
        <v>25</v>
      </c>
      <c r="DE458" t="s">
        <v>25</v>
      </c>
      <c r="DF458" t="s">
        <v>25</v>
      </c>
      <c r="DG458" t="s">
        <v>25</v>
      </c>
      <c r="DH458" t="s">
        <v>25</v>
      </c>
      <c r="DI458" t="s">
        <v>25</v>
      </c>
      <c r="DJ458" s="76">
        <v>4.9999998882413405E-3</v>
      </c>
      <c r="DK458" s="73">
        <v>72</v>
      </c>
      <c r="DL458" s="73">
        <v>128</v>
      </c>
      <c r="DM458" s="73">
        <v>-56</v>
      </c>
      <c r="DU458"/>
      <c r="DV458" s="65" t="s">
        <v>126</v>
      </c>
      <c r="DW458" t="s">
        <v>132</v>
      </c>
      <c r="DZ458" s="73">
        <v>132</v>
      </c>
      <c r="EA458" s="73">
        <v>0</v>
      </c>
      <c r="EB458" s="73">
        <v>132</v>
      </c>
      <c r="EC458" s="65" t="s">
        <v>126</v>
      </c>
    </row>
    <row r="459" spans="1:133" ht="12" customHeight="1" x14ac:dyDescent="0.2">
      <c r="A459" t="s">
        <v>2935</v>
      </c>
      <c r="B459" t="s">
        <v>2946</v>
      </c>
      <c r="C459" t="str">
        <f t="shared" si="22"/>
        <v>Full</v>
      </c>
      <c r="E459" s="65">
        <v>5816</v>
      </c>
      <c r="F459" t="s">
        <v>2087</v>
      </c>
      <c r="G459" s="71" t="s">
        <v>2907</v>
      </c>
      <c r="H459" s="67">
        <v>4.80000004172325E-2</v>
      </c>
      <c r="I459" s="65">
        <v>525646</v>
      </c>
      <c r="J459" s="65">
        <v>174310</v>
      </c>
      <c r="L459" s="65" t="s">
        <v>556</v>
      </c>
      <c r="M459" s="65" t="s">
        <v>33</v>
      </c>
      <c r="N459" s="69">
        <v>42293</v>
      </c>
      <c r="O459" s="69">
        <v>42445</v>
      </c>
      <c r="Q459" s="69">
        <v>42353</v>
      </c>
      <c r="R459" s="65" t="s">
        <v>28</v>
      </c>
      <c r="U459" t="s">
        <v>774</v>
      </c>
      <c r="V459" t="s">
        <v>3424</v>
      </c>
      <c r="W459" s="65" t="s">
        <v>29</v>
      </c>
      <c r="X459" s="65" t="s">
        <v>29</v>
      </c>
      <c r="Y459" s="65" t="s">
        <v>30</v>
      </c>
      <c r="AA459" s="69">
        <v>42825</v>
      </c>
      <c r="AD459" s="65" t="s">
        <v>23</v>
      </c>
      <c r="AE459" s="65" t="s">
        <v>24</v>
      </c>
      <c r="AH459" s="69">
        <f t="shared" si="21"/>
        <v>42825</v>
      </c>
      <c r="BO459" s="185" t="s">
        <v>3794</v>
      </c>
      <c r="BP459" s="185" t="s">
        <v>3794</v>
      </c>
      <c r="BQ459" s="185" t="s">
        <v>3794</v>
      </c>
      <c r="BW459" s="73"/>
      <c r="BY459" s="185" t="s">
        <v>3794</v>
      </c>
      <c r="CJ459" t="s">
        <v>25</v>
      </c>
      <c r="CK459" t="s">
        <v>25</v>
      </c>
      <c r="CL459" t="s">
        <v>25</v>
      </c>
      <c r="CM459" t="s">
        <v>25</v>
      </c>
      <c r="CN459" t="s">
        <v>25</v>
      </c>
      <c r="CO459" t="s">
        <v>25</v>
      </c>
      <c r="CP459" t="s">
        <v>25</v>
      </c>
      <c r="CQ459" t="s">
        <v>25</v>
      </c>
      <c r="CR459" t="s">
        <v>25</v>
      </c>
      <c r="CS459" t="s">
        <v>25</v>
      </c>
      <c r="CT459" t="s">
        <v>25</v>
      </c>
      <c r="CU459" t="s">
        <v>25</v>
      </c>
      <c r="CV459" t="s">
        <v>25</v>
      </c>
      <c r="CW459" t="s">
        <v>25</v>
      </c>
      <c r="CX459" t="s">
        <v>25</v>
      </c>
      <c r="CY459" t="s">
        <v>25</v>
      </c>
      <c r="CZ459" t="s">
        <v>25</v>
      </c>
      <c r="DA459" t="s">
        <v>25</v>
      </c>
      <c r="DB459" t="s">
        <v>25</v>
      </c>
      <c r="DC459" t="s">
        <v>25</v>
      </c>
      <c r="DD459" t="s">
        <v>25</v>
      </c>
      <c r="DE459" t="s">
        <v>25</v>
      </c>
      <c r="DF459" t="s">
        <v>25</v>
      </c>
      <c r="DG459" t="s">
        <v>25</v>
      </c>
      <c r="DH459" t="s">
        <v>25</v>
      </c>
      <c r="DI459" t="s">
        <v>25</v>
      </c>
      <c r="DJ459" s="76">
        <v>0</v>
      </c>
      <c r="DK459" s="73">
        <v>0</v>
      </c>
      <c r="DL459" s="73">
        <v>423</v>
      </c>
      <c r="DM459" s="73">
        <v>-423</v>
      </c>
      <c r="DU459"/>
      <c r="DV459" s="65" t="s">
        <v>126</v>
      </c>
      <c r="DW459" t="s">
        <v>151</v>
      </c>
      <c r="DZ459" s="73">
        <v>7300</v>
      </c>
      <c r="EA459" s="73">
        <v>0</v>
      </c>
      <c r="EB459" s="73">
        <v>7300</v>
      </c>
      <c r="EC459" s="65" t="s">
        <v>126</v>
      </c>
    </row>
    <row r="460" spans="1:133" ht="12" customHeight="1" x14ac:dyDescent="0.2">
      <c r="A460" t="s">
        <v>2936</v>
      </c>
      <c r="B460" t="s">
        <v>2946</v>
      </c>
      <c r="C460" t="str">
        <f t="shared" si="22"/>
        <v>Full</v>
      </c>
      <c r="D460" t="s">
        <v>2943</v>
      </c>
      <c r="E460" s="65">
        <v>5817</v>
      </c>
      <c r="F460" t="s">
        <v>2088</v>
      </c>
      <c r="G460" s="71" t="s">
        <v>2904</v>
      </c>
      <c r="H460" s="67">
        <v>9.9999997764825804E-3</v>
      </c>
      <c r="I460" s="65">
        <v>525896</v>
      </c>
      <c r="J460" s="65">
        <v>173915</v>
      </c>
      <c r="L460" s="65" t="s">
        <v>907</v>
      </c>
      <c r="M460" s="65" t="s">
        <v>27</v>
      </c>
      <c r="N460" s="69">
        <v>42534</v>
      </c>
      <c r="O460" s="69">
        <v>42587</v>
      </c>
      <c r="R460" s="65" t="s">
        <v>28</v>
      </c>
      <c r="U460" t="s">
        <v>908</v>
      </c>
      <c r="V460" t="s">
        <v>3425</v>
      </c>
      <c r="W460" s="65" t="s">
        <v>34</v>
      </c>
      <c r="X460" s="65" t="s">
        <v>29</v>
      </c>
      <c r="Y460" s="65" t="s">
        <v>35</v>
      </c>
      <c r="AA460" s="69">
        <v>42614</v>
      </c>
      <c r="AB460" s="69">
        <v>42856</v>
      </c>
      <c r="AC460" s="69">
        <v>42856</v>
      </c>
      <c r="AD460" s="65" t="s">
        <v>23</v>
      </c>
      <c r="AE460" s="65" t="s">
        <v>24</v>
      </c>
      <c r="AH460" s="69">
        <f t="shared" si="21"/>
        <v>42614</v>
      </c>
      <c r="AI460" s="69">
        <f t="shared" si="23"/>
        <v>42856</v>
      </c>
      <c r="AJ460" s="73">
        <v>45</v>
      </c>
      <c r="AO460" s="73">
        <v>45</v>
      </c>
      <c r="BL460" s="73">
        <v>86</v>
      </c>
      <c r="BN460" s="73">
        <v>86</v>
      </c>
      <c r="BO460" s="185" t="s">
        <v>126</v>
      </c>
      <c r="BP460" s="185" t="s">
        <v>3794</v>
      </c>
      <c r="BQ460" s="185" t="s">
        <v>126</v>
      </c>
      <c r="BR460" s="73">
        <v>45</v>
      </c>
      <c r="BW460" s="73">
        <v>45</v>
      </c>
      <c r="BY460" s="185" t="s">
        <v>3794</v>
      </c>
      <c r="CG460" s="73">
        <v>-86</v>
      </c>
      <c r="CI460" s="73">
        <v>-86</v>
      </c>
      <c r="CJ460" t="s">
        <v>31</v>
      </c>
      <c r="CK460" t="s">
        <v>25</v>
      </c>
      <c r="CL460" t="s">
        <v>25</v>
      </c>
      <c r="CM460" t="s">
        <v>25</v>
      </c>
      <c r="CN460" t="s">
        <v>25</v>
      </c>
      <c r="CO460" t="s">
        <v>25</v>
      </c>
      <c r="CP460" t="s">
        <v>25</v>
      </c>
      <c r="CQ460" t="s">
        <v>25</v>
      </c>
      <c r="CR460" t="s">
        <v>25</v>
      </c>
      <c r="CS460" t="s">
        <v>25</v>
      </c>
      <c r="CT460" t="s">
        <v>25</v>
      </c>
      <c r="CU460" t="s">
        <v>25</v>
      </c>
      <c r="CV460" t="s">
        <v>25</v>
      </c>
      <c r="CW460" t="s">
        <v>25</v>
      </c>
      <c r="CX460" t="s">
        <v>25</v>
      </c>
      <c r="CY460" t="s">
        <v>25</v>
      </c>
      <c r="CZ460" t="s">
        <v>25</v>
      </c>
      <c r="DA460" t="s">
        <v>25</v>
      </c>
      <c r="DB460" t="s">
        <v>25</v>
      </c>
      <c r="DC460" t="s">
        <v>25</v>
      </c>
      <c r="DD460" t="s">
        <v>25</v>
      </c>
      <c r="DE460" t="s">
        <v>25</v>
      </c>
      <c r="DF460" t="s">
        <v>25</v>
      </c>
      <c r="DG460" t="s">
        <v>25</v>
      </c>
      <c r="DH460" t="s">
        <v>47</v>
      </c>
      <c r="DI460" t="s">
        <v>25</v>
      </c>
      <c r="DJ460" s="76">
        <v>3.9999997243285205E-3</v>
      </c>
      <c r="DK460" s="73">
        <v>45</v>
      </c>
      <c r="DL460" s="73">
        <v>86</v>
      </c>
      <c r="DM460" s="73">
        <v>-41</v>
      </c>
      <c r="DU460"/>
      <c r="DZ460" s="73">
        <v>51</v>
      </c>
      <c r="EA460" s="73">
        <v>17</v>
      </c>
      <c r="EB460" s="73">
        <v>34</v>
      </c>
      <c r="EC460" s="65" t="s">
        <v>126</v>
      </c>
    </row>
    <row r="461" spans="1:133" ht="12" customHeight="1" x14ac:dyDescent="0.2">
      <c r="A461" t="s">
        <v>2935</v>
      </c>
      <c r="B461" t="s">
        <v>2946</v>
      </c>
      <c r="C461" t="str">
        <f t="shared" si="22"/>
        <v>Full</v>
      </c>
      <c r="E461" s="65">
        <v>5818</v>
      </c>
      <c r="F461" t="s">
        <v>2089</v>
      </c>
      <c r="G461" s="71" t="s">
        <v>3948</v>
      </c>
      <c r="H461" s="67">
        <v>9.00000035762787E-2</v>
      </c>
      <c r="I461" s="65">
        <v>527340</v>
      </c>
      <c r="J461" s="65">
        <v>176146</v>
      </c>
      <c r="L461" s="65" t="s">
        <v>300</v>
      </c>
      <c r="M461" s="65" t="s">
        <v>33</v>
      </c>
      <c r="N461" s="69">
        <v>42004</v>
      </c>
      <c r="O461" s="69">
        <v>42214</v>
      </c>
      <c r="Q461" s="69">
        <v>42173</v>
      </c>
      <c r="R461" s="65" t="s">
        <v>28</v>
      </c>
      <c r="U461" t="s">
        <v>726</v>
      </c>
      <c r="V461" t="s">
        <v>3426</v>
      </c>
      <c r="W461" s="65" t="s">
        <v>34</v>
      </c>
      <c r="X461" s="65" t="s">
        <v>29</v>
      </c>
      <c r="Y461" s="65" t="s">
        <v>30</v>
      </c>
      <c r="Z461" s="69">
        <v>42304</v>
      </c>
      <c r="AA461" s="69">
        <v>42304</v>
      </c>
      <c r="AD461" s="65" t="s">
        <v>23</v>
      </c>
      <c r="AE461" s="65" t="s">
        <v>24</v>
      </c>
      <c r="AH461" s="69">
        <f t="shared" si="21"/>
        <v>42304</v>
      </c>
      <c r="BF461" s="73">
        <v>110</v>
      </c>
      <c r="BH461" s="73">
        <v>570</v>
      </c>
      <c r="BK461" s="73">
        <v>680</v>
      </c>
      <c r="BO461" s="185" t="s">
        <v>3794</v>
      </c>
      <c r="BP461" s="185" t="s">
        <v>126</v>
      </c>
      <c r="BQ461" s="185" t="s">
        <v>3794</v>
      </c>
      <c r="BW461" s="73"/>
      <c r="BX461" s="73">
        <v>-110</v>
      </c>
      <c r="BY461" s="185" t="s">
        <v>126</v>
      </c>
      <c r="CA461" s="73">
        <v>-570</v>
      </c>
      <c r="CD461" s="73">
        <v>-680</v>
      </c>
      <c r="CE461" s="65" t="s">
        <v>126</v>
      </c>
      <c r="CJ461" t="s">
        <v>25</v>
      </c>
      <c r="CK461" t="s">
        <v>25</v>
      </c>
      <c r="CL461" t="s">
        <v>25</v>
      </c>
      <c r="CM461" t="s">
        <v>25</v>
      </c>
      <c r="CN461" t="s">
        <v>25</v>
      </c>
      <c r="CO461" t="s">
        <v>25</v>
      </c>
      <c r="CP461" t="s">
        <v>25</v>
      </c>
      <c r="CQ461" t="s">
        <v>25</v>
      </c>
      <c r="CR461" t="s">
        <v>25</v>
      </c>
      <c r="CS461" t="s">
        <v>25</v>
      </c>
      <c r="CT461" t="s">
        <v>25</v>
      </c>
      <c r="CU461" t="s">
        <v>25</v>
      </c>
      <c r="CV461" t="s">
        <v>25</v>
      </c>
      <c r="CW461" t="s">
        <v>25</v>
      </c>
      <c r="CX461" t="s">
        <v>25</v>
      </c>
      <c r="CY461" t="s">
        <v>25</v>
      </c>
      <c r="CZ461" t="s">
        <v>25</v>
      </c>
      <c r="DA461" t="s">
        <v>25</v>
      </c>
      <c r="DB461" t="s">
        <v>31</v>
      </c>
      <c r="DC461" t="s">
        <v>25</v>
      </c>
      <c r="DD461" t="s">
        <v>51</v>
      </c>
      <c r="DE461" t="s">
        <v>25</v>
      </c>
      <c r="DF461" t="s">
        <v>25</v>
      </c>
      <c r="DG461" t="s">
        <v>25</v>
      </c>
      <c r="DH461" t="s">
        <v>25</v>
      </c>
      <c r="DI461" t="s">
        <v>25</v>
      </c>
      <c r="DJ461" s="76">
        <v>1.8626452047421083E-9</v>
      </c>
      <c r="DK461" s="73">
        <v>0</v>
      </c>
      <c r="DL461" s="73">
        <v>680</v>
      </c>
      <c r="DM461" s="73">
        <v>-680</v>
      </c>
      <c r="DU461"/>
      <c r="DZ461" s="73">
        <v>2695</v>
      </c>
      <c r="EA461" s="73">
        <v>252</v>
      </c>
      <c r="EB461" s="73">
        <v>2443</v>
      </c>
      <c r="EC461" s="65" t="s">
        <v>126</v>
      </c>
    </row>
    <row r="462" spans="1:133" ht="12" customHeight="1" x14ac:dyDescent="0.2">
      <c r="A462" t="s">
        <v>2935</v>
      </c>
      <c r="B462" t="s">
        <v>2946</v>
      </c>
      <c r="C462" t="str">
        <f t="shared" si="22"/>
        <v>Full</v>
      </c>
      <c r="E462" s="65">
        <v>5821</v>
      </c>
      <c r="F462" t="s">
        <v>2090</v>
      </c>
      <c r="G462" s="71" t="s">
        <v>3948</v>
      </c>
      <c r="H462" s="67">
        <v>4.80000004172325E-2</v>
      </c>
      <c r="I462" s="65">
        <v>528080</v>
      </c>
      <c r="J462" s="65">
        <v>176610</v>
      </c>
      <c r="L462" s="65" t="s">
        <v>594</v>
      </c>
      <c r="M462" s="65" t="s">
        <v>27</v>
      </c>
      <c r="N462" s="69">
        <v>42373</v>
      </c>
      <c r="O462" s="69">
        <v>42552</v>
      </c>
      <c r="Q462" s="69">
        <v>42509</v>
      </c>
      <c r="R462" s="65" t="s">
        <v>28</v>
      </c>
      <c r="U462" t="s">
        <v>797</v>
      </c>
      <c r="V462" t="s">
        <v>3427</v>
      </c>
      <c r="W462" s="65" t="s">
        <v>29</v>
      </c>
      <c r="X462" s="65" t="s">
        <v>29</v>
      </c>
      <c r="Y462" s="65" t="s">
        <v>30</v>
      </c>
      <c r="AA462" s="69">
        <v>42769</v>
      </c>
      <c r="AD462" s="65" t="s">
        <v>23</v>
      </c>
      <c r="AE462" s="65" t="s">
        <v>24</v>
      </c>
      <c r="AH462" s="69">
        <f t="shared" si="21"/>
        <v>42769</v>
      </c>
      <c r="AJ462" s="73">
        <v>351</v>
      </c>
      <c r="AO462" s="73">
        <v>351</v>
      </c>
      <c r="AZ462" s="73">
        <v>163</v>
      </c>
      <c r="BE462" s="73">
        <v>163</v>
      </c>
      <c r="BF462" s="73">
        <v>408</v>
      </c>
      <c r="BH462" s="73">
        <v>288</v>
      </c>
      <c r="BK462" s="73">
        <v>696</v>
      </c>
      <c r="BO462" s="185" t="s">
        <v>126</v>
      </c>
      <c r="BP462" s="185" t="s">
        <v>126</v>
      </c>
      <c r="BQ462" s="185" t="s">
        <v>3794</v>
      </c>
      <c r="BR462" s="73">
        <v>188</v>
      </c>
      <c r="BW462" s="73">
        <v>188</v>
      </c>
      <c r="BX462" s="73">
        <v>-408</v>
      </c>
      <c r="BY462" s="185" t="s">
        <v>126</v>
      </c>
      <c r="CA462" s="73">
        <v>-288</v>
      </c>
      <c r="CD462" s="73">
        <v>-696</v>
      </c>
      <c r="CE462" s="65" t="s">
        <v>126</v>
      </c>
      <c r="CJ462" t="s">
        <v>31</v>
      </c>
      <c r="CK462" t="s">
        <v>25</v>
      </c>
      <c r="CL462" t="s">
        <v>25</v>
      </c>
      <c r="CM462" t="s">
        <v>25</v>
      </c>
      <c r="CN462" t="s">
        <v>25</v>
      </c>
      <c r="CO462" t="s">
        <v>25</v>
      </c>
      <c r="CP462" t="s">
        <v>25</v>
      </c>
      <c r="CQ462" t="s">
        <v>25</v>
      </c>
      <c r="CR462" t="s">
        <v>25</v>
      </c>
      <c r="CS462" t="s">
        <v>25</v>
      </c>
      <c r="CT462" t="s">
        <v>25</v>
      </c>
      <c r="CU462" t="s">
        <v>25</v>
      </c>
      <c r="CV462" t="s">
        <v>25</v>
      </c>
      <c r="CW462" t="s">
        <v>31</v>
      </c>
      <c r="CX462" t="s">
        <v>25</v>
      </c>
      <c r="CY462" t="s">
        <v>25</v>
      </c>
      <c r="CZ462" t="s">
        <v>25</v>
      </c>
      <c r="DA462" t="s">
        <v>25</v>
      </c>
      <c r="DB462" t="s">
        <v>31</v>
      </c>
      <c r="DC462" t="s">
        <v>25</v>
      </c>
      <c r="DD462" t="s">
        <v>31</v>
      </c>
      <c r="DE462" t="s">
        <v>25</v>
      </c>
      <c r="DF462" t="s">
        <v>25</v>
      </c>
      <c r="DG462" t="s">
        <v>25</v>
      </c>
      <c r="DH462" t="s">
        <v>25</v>
      </c>
      <c r="DI462" t="s">
        <v>25</v>
      </c>
      <c r="DJ462" s="76">
        <v>0</v>
      </c>
      <c r="DK462" s="73">
        <v>351</v>
      </c>
      <c r="DL462" s="73">
        <v>859</v>
      </c>
      <c r="DM462" s="73">
        <v>-508</v>
      </c>
      <c r="DU462"/>
      <c r="DZ462" s="73">
        <v>1100</v>
      </c>
      <c r="EA462" s="73">
        <v>0</v>
      </c>
      <c r="EB462" s="73">
        <v>1100</v>
      </c>
      <c r="EC462" s="65" t="s">
        <v>126</v>
      </c>
    </row>
    <row r="463" spans="1:133" ht="12" customHeight="1" x14ac:dyDescent="0.2">
      <c r="A463" t="s">
        <v>2936</v>
      </c>
      <c r="B463" t="s">
        <v>2946</v>
      </c>
      <c r="C463" t="str">
        <f t="shared" si="22"/>
        <v>Full</v>
      </c>
      <c r="D463" t="s">
        <v>2943</v>
      </c>
      <c r="E463" s="65">
        <v>5824</v>
      </c>
      <c r="F463" t="s">
        <v>2091</v>
      </c>
      <c r="G463" s="71" t="s">
        <v>150</v>
      </c>
      <c r="H463" s="67">
        <v>7.0000002160668399E-3</v>
      </c>
      <c r="I463" s="65">
        <v>527513</v>
      </c>
      <c r="J463" s="65">
        <v>171624</v>
      </c>
      <c r="L463" s="65" t="s">
        <v>293</v>
      </c>
      <c r="M463" s="65" t="s">
        <v>27</v>
      </c>
      <c r="N463" s="69">
        <v>41985</v>
      </c>
      <c r="O463" s="69">
        <v>42041</v>
      </c>
      <c r="R463" s="65" t="s">
        <v>28</v>
      </c>
      <c r="U463" t="s">
        <v>294</v>
      </c>
      <c r="V463" t="s">
        <v>3428</v>
      </c>
      <c r="W463" s="65" t="s">
        <v>29</v>
      </c>
      <c r="X463" s="65" t="s">
        <v>29</v>
      </c>
      <c r="Y463" s="65" t="s">
        <v>35</v>
      </c>
      <c r="AA463" s="69">
        <v>42826</v>
      </c>
      <c r="AB463" s="69">
        <v>43190</v>
      </c>
      <c r="AC463" s="69">
        <v>43190</v>
      </c>
      <c r="AD463" s="65" t="s">
        <v>23</v>
      </c>
      <c r="AE463" s="65" t="s">
        <v>24</v>
      </c>
      <c r="AH463" s="69">
        <f t="shared" si="21"/>
        <v>42826</v>
      </c>
      <c r="AI463" s="69">
        <f t="shared" si="23"/>
        <v>43190</v>
      </c>
      <c r="BJ463" s="73">
        <v>42</v>
      </c>
      <c r="BK463" s="73">
        <v>42</v>
      </c>
      <c r="BO463" s="185" t="s">
        <v>3794</v>
      </c>
      <c r="BP463" s="185" t="s">
        <v>126</v>
      </c>
      <c r="BQ463" s="185" t="s">
        <v>3794</v>
      </c>
      <c r="BW463" s="73"/>
      <c r="BY463" s="185" t="s">
        <v>3794</v>
      </c>
      <c r="CC463" s="73">
        <v>-42</v>
      </c>
      <c r="CD463" s="73">
        <v>-42</v>
      </c>
      <c r="CE463" s="65" t="s">
        <v>126</v>
      </c>
      <c r="CJ463" t="s">
        <v>25</v>
      </c>
      <c r="CK463" t="s">
        <v>25</v>
      </c>
      <c r="CL463" t="s">
        <v>25</v>
      </c>
      <c r="CM463" t="s">
        <v>25</v>
      </c>
      <c r="CN463" t="s">
        <v>25</v>
      </c>
      <c r="CO463" t="s">
        <v>25</v>
      </c>
      <c r="CP463" t="s">
        <v>25</v>
      </c>
      <c r="CQ463" t="s">
        <v>25</v>
      </c>
      <c r="CR463" t="s">
        <v>25</v>
      </c>
      <c r="CS463" t="s">
        <v>25</v>
      </c>
      <c r="CT463" t="s">
        <v>25</v>
      </c>
      <c r="CU463" t="s">
        <v>25</v>
      </c>
      <c r="CV463" t="s">
        <v>25</v>
      </c>
      <c r="CW463" t="s">
        <v>25</v>
      </c>
      <c r="CX463" t="s">
        <v>25</v>
      </c>
      <c r="CY463" t="s">
        <v>25</v>
      </c>
      <c r="CZ463" t="s">
        <v>25</v>
      </c>
      <c r="DA463" t="s">
        <v>25</v>
      </c>
      <c r="DB463" t="s">
        <v>25</v>
      </c>
      <c r="DC463" t="s">
        <v>25</v>
      </c>
      <c r="DD463" t="s">
        <v>25</v>
      </c>
      <c r="DE463" t="s">
        <v>25</v>
      </c>
      <c r="DF463" t="s">
        <v>171</v>
      </c>
      <c r="DG463" t="s">
        <v>25</v>
      </c>
      <c r="DH463" t="s">
        <v>25</v>
      </c>
      <c r="DI463" t="s">
        <v>25</v>
      </c>
      <c r="DJ463" s="76">
        <v>3.0000000260770295E-3</v>
      </c>
      <c r="DK463" s="73">
        <v>0</v>
      </c>
      <c r="DL463" s="73">
        <v>42</v>
      </c>
      <c r="DM463" s="73">
        <v>-42</v>
      </c>
      <c r="DU463"/>
      <c r="DV463" s="65" t="s">
        <v>126</v>
      </c>
      <c r="DW463" t="s">
        <v>150</v>
      </c>
      <c r="DZ463" s="73">
        <v>66</v>
      </c>
      <c r="EA463" s="73">
        <v>0</v>
      </c>
      <c r="EB463" s="73">
        <v>66</v>
      </c>
      <c r="EC463" s="65" t="s">
        <v>126</v>
      </c>
    </row>
    <row r="464" spans="1:133" ht="12" customHeight="1" x14ac:dyDescent="0.2">
      <c r="A464" t="s">
        <v>2937</v>
      </c>
      <c r="B464" t="s">
        <v>2946</v>
      </c>
      <c r="C464" t="str">
        <f t="shared" si="22"/>
        <v>Full</v>
      </c>
      <c r="E464" s="65">
        <v>5832</v>
      </c>
      <c r="F464" t="s">
        <v>2092</v>
      </c>
      <c r="G464" s="71" t="s">
        <v>3945</v>
      </c>
      <c r="H464" s="67">
        <v>8.0000003799796104E-3</v>
      </c>
      <c r="I464" s="65">
        <v>527798</v>
      </c>
      <c r="J464" s="65">
        <v>175779</v>
      </c>
      <c r="L464" s="65" t="s">
        <v>301</v>
      </c>
      <c r="M464" s="65" t="s">
        <v>27</v>
      </c>
      <c r="N464" s="69">
        <v>41992</v>
      </c>
      <c r="O464" s="69">
        <v>42164</v>
      </c>
      <c r="R464" s="65" t="s">
        <v>28</v>
      </c>
      <c r="U464" t="s">
        <v>302</v>
      </c>
      <c r="V464" t="s">
        <v>3429</v>
      </c>
      <c r="W464" s="65" t="s">
        <v>29</v>
      </c>
      <c r="X464" s="65" t="s">
        <v>29</v>
      </c>
      <c r="Y464" s="65" t="s">
        <v>69</v>
      </c>
      <c r="AD464" s="65" t="s">
        <v>23</v>
      </c>
      <c r="AE464" s="65" t="s">
        <v>24</v>
      </c>
      <c r="BO464" s="185" t="s">
        <v>3794</v>
      </c>
      <c r="BP464" s="185" t="s">
        <v>3794</v>
      </c>
      <c r="BQ464" s="185" t="s">
        <v>3794</v>
      </c>
      <c r="BW464" s="73"/>
      <c r="BY464" s="185" t="s">
        <v>3794</v>
      </c>
      <c r="CJ464" t="s">
        <v>25</v>
      </c>
      <c r="CK464" t="s">
        <v>25</v>
      </c>
      <c r="CL464" t="s">
        <v>25</v>
      </c>
      <c r="CM464" t="s">
        <v>25</v>
      </c>
      <c r="CN464" t="s">
        <v>25</v>
      </c>
      <c r="CO464" t="s">
        <v>25</v>
      </c>
      <c r="CP464" t="s">
        <v>25</v>
      </c>
      <c r="CQ464" t="s">
        <v>25</v>
      </c>
      <c r="CR464" t="s">
        <v>25</v>
      </c>
      <c r="CS464" t="s">
        <v>25</v>
      </c>
      <c r="CT464" t="s">
        <v>25</v>
      </c>
      <c r="CU464" t="s">
        <v>25</v>
      </c>
      <c r="CV464" t="s">
        <v>25</v>
      </c>
      <c r="CW464" t="s">
        <v>25</v>
      </c>
      <c r="CX464" t="s">
        <v>25</v>
      </c>
      <c r="CY464" t="s">
        <v>25</v>
      </c>
      <c r="CZ464" t="s">
        <v>25</v>
      </c>
      <c r="DA464" t="s">
        <v>25</v>
      </c>
      <c r="DB464" t="s">
        <v>25</v>
      </c>
      <c r="DC464" t="s">
        <v>25</v>
      </c>
      <c r="DD464" t="s">
        <v>25</v>
      </c>
      <c r="DE464" t="s">
        <v>25</v>
      </c>
      <c r="DF464" t="s">
        <v>25</v>
      </c>
      <c r="DG464" t="s">
        <v>25</v>
      </c>
      <c r="DH464" t="s">
        <v>25</v>
      </c>
      <c r="DI464" t="s">
        <v>25</v>
      </c>
      <c r="DJ464" s="76">
        <v>0</v>
      </c>
      <c r="DK464" s="73">
        <v>0</v>
      </c>
      <c r="DL464" s="73">
        <v>92</v>
      </c>
      <c r="DM464" s="73">
        <v>-92</v>
      </c>
      <c r="DU464"/>
      <c r="DZ464" s="73">
        <v>136</v>
      </c>
      <c r="EA464" s="73">
        <v>0</v>
      </c>
      <c r="EB464" s="73">
        <v>136</v>
      </c>
      <c r="EC464" s="65" t="s">
        <v>126</v>
      </c>
    </row>
    <row r="465" spans="1:133" ht="12" customHeight="1" x14ac:dyDescent="0.2">
      <c r="A465" t="s">
        <v>2937</v>
      </c>
      <c r="B465" t="s">
        <v>2946</v>
      </c>
      <c r="C465" t="str">
        <f t="shared" si="22"/>
        <v>Full</v>
      </c>
      <c r="E465" s="65">
        <v>5833</v>
      </c>
      <c r="F465" t="s">
        <v>2093</v>
      </c>
      <c r="G465" s="71" t="s">
        <v>3945</v>
      </c>
      <c r="H465" s="67">
        <v>1.09999999403954E-2</v>
      </c>
      <c r="I465" s="65">
        <v>528459</v>
      </c>
      <c r="J465" s="65">
        <v>175776</v>
      </c>
      <c r="L465" s="65" t="s">
        <v>500</v>
      </c>
      <c r="M465" s="65" t="s">
        <v>27</v>
      </c>
      <c r="N465" s="69">
        <v>42221</v>
      </c>
      <c r="O465" s="69">
        <v>42277</v>
      </c>
      <c r="R465" s="65" t="s">
        <v>28</v>
      </c>
      <c r="U465" t="s">
        <v>501</v>
      </c>
      <c r="V465" t="s">
        <v>3430</v>
      </c>
      <c r="W465" s="65" t="s">
        <v>34</v>
      </c>
      <c r="X465" s="65" t="s">
        <v>29</v>
      </c>
      <c r="Y465" s="65" t="s">
        <v>69</v>
      </c>
      <c r="AD465" s="65" t="s">
        <v>23</v>
      </c>
      <c r="AE465" s="65" t="s">
        <v>24</v>
      </c>
      <c r="AJ465" s="73">
        <v>60</v>
      </c>
      <c r="AO465" s="73">
        <v>60</v>
      </c>
      <c r="AZ465" s="73">
        <v>67</v>
      </c>
      <c r="BE465" s="73">
        <v>67</v>
      </c>
      <c r="BO465" s="185" t="s">
        <v>126</v>
      </c>
      <c r="BP465" s="185" t="s">
        <v>3794</v>
      </c>
      <c r="BQ465" s="185" t="s">
        <v>3794</v>
      </c>
      <c r="BR465" s="73">
        <v>-7</v>
      </c>
      <c r="BW465" s="73">
        <v>-7</v>
      </c>
      <c r="BY465" s="185" t="s">
        <v>3794</v>
      </c>
      <c r="CJ465" t="s">
        <v>31</v>
      </c>
      <c r="CK465" t="s">
        <v>25</v>
      </c>
      <c r="CL465" t="s">
        <v>25</v>
      </c>
      <c r="CM465" t="s">
        <v>25</v>
      </c>
      <c r="CN465" t="s">
        <v>25</v>
      </c>
      <c r="CO465" t="s">
        <v>25</v>
      </c>
      <c r="CP465" t="s">
        <v>25</v>
      </c>
      <c r="CQ465" t="s">
        <v>25</v>
      </c>
      <c r="CR465" t="s">
        <v>25</v>
      </c>
      <c r="CS465" t="s">
        <v>25</v>
      </c>
      <c r="CT465" t="s">
        <v>25</v>
      </c>
      <c r="CU465" t="s">
        <v>25</v>
      </c>
      <c r="CV465" t="s">
        <v>25</v>
      </c>
      <c r="CW465" t="s">
        <v>31</v>
      </c>
      <c r="CX465" t="s">
        <v>25</v>
      </c>
      <c r="CY465" t="s">
        <v>25</v>
      </c>
      <c r="CZ465" t="s">
        <v>25</v>
      </c>
      <c r="DA465" t="s">
        <v>25</v>
      </c>
      <c r="DB465" t="s">
        <v>25</v>
      </c>
      <c r="DC465" t="s">
        <v>25</v>
      </c>
      <c r="DD465" t="s">
        <v>25</v>
      </c>
      <c r="DE465" t="s">
        <v>25</v>
      </c>
      <c r="DF465" t="s">
        <v>25</v>
      </c>
      <c r="DG465" t="s">
        <v>25</v>
      </c>
      <c r="DH465" t="s">
        <v>25</v>
      </c>
      <c r="DI465" t="s">
        <v>25</v>
      </c>
      <c r="DJ465" s="76">
        <v>5.99999981932347E-3</v>
      </c>
      <c r="DK465" s="73">
        <v>60</v>
      </c>
      <c r="DL465" s="73">
        <v>67</v>
      </c>
      <c r="DM465" s="73">
        <v>-7</v>
      </c>
      <c r="DU465"/>
      <c r="DX465" s="65" t="s">
        <v>126</v>
      </c>
      <c r="DY465" t="s">
        <v>2908</v>
      </c>
      <c r="DZ465" s="73">
        <v>101</v>
      </c>
      <c r="EA465" s="73">
        <v>0</v>
      </c>
      <c r="EB465" s="73">
        <v>101</v>
      </c>
      <c r="EC465" s="65" t="s">
        <v>126</v>
      </c>
    </row>
    <row r="466" spans="1:133" ht="12" customHeight="1" x14ac:dyDescent="0.2">
      <c r="A466" t="s">
        <v>2935</v>
      </c>
      <c r="B466" t="s">
        <v>2948</v>
      </c>
      <c r="C466" t="str">
        <f t="shared" si="22"/>
        <v>Prior Approval</v>
      </c>
      <c r="E466" s="65">
        <v>5835</v>
      </c>
      <c r="F466" t="s">
        <v>2094</v>
      </c>
      <c r="G466" s="71" t="s">
        <v>2907</v>
      </c>
      <c r="H466" s="67">
        <v>1.4000000432133701E-2</v>
      </c>
      <c r="I466" s="65">
        <v>525002</v>
      </c>
      <c r="J466" s="65">
        <v>173362</v>
      </c>
      <c r="L466" s="65" t="s">
        <v>309</v>
      </c>
      <c r="M466" s="65" t="s">
        <v>244</v>
      </c>
      <c r="N466" s="69">
        <v>42010</v>
      </c>
      <c r="O466" s="69">
        <v>42066</v>
      </c>
      <c r="R466" s="65" t="s">
        <v>28</v>
      </c>
      <c r="U466" t="s">
        <v>310</v>
      </c>
      <c r="V466" t="s">
        <v>3431</v>
      </c>
      <c r="W466" s="65" t="s">
        <v>21</v>
      </c>
      <c r="X466" s="65" t="s">
        <v>21</v>
      </c>
      <c r="Y466" s="65" t="s">
        <v>30</v>
      </c>
      <c r="AA466" s="69">
        <v>42460</v>
      </c>
      <c r="AD466" s="65" t="s">
        <v>23</v>
      </c>
      <c r="AE466" s="65" t="s">
        <v>24</v>
      </c>
      <c r="AH466" s="69">
        <f t="shared" si="21"/>
        <v>42460</v>
      </c>
      <c r="AJ466" s="73">
        <v>18</v>
      </c>
      <c r="AO466" s="73">
        <v>18</v>
      </c>
      <c r="AZ466" s="73">
        <v>60</v>
      </c>
      <c r="BE466" s="73">
        <v>60</v>
      </c>
      <c r="BO466" s="185" t="s">
        <v>126</v>
      </c>
      <c r="BP466" s="185" t="s">
        <v>3794</v>
      </c>
      <c r="BQ466" s="185" t="s">
        <v>3794</v>
      </c>
      <c r="BR466" s="73">
        <v>-42</v>
      </c>
      <c r="BW466" s="73">
        <v>-42</v>
      </c>
      <c r="BY466" s="185" t="s">
        <v>3794</v>
      </c>
      <c r="CJ466" t="s">
        <v>46</v>
      </c>
      <c r="CK466" t="s">
        <v>25</v>
      </c>
      <c r="CL466" t="s">
        <v>25</v>
      </c>
      <c r="CM466" t="s">
        <v>25</v>
      </c>
      <c r="CN466" t="s">
        <v>25</v>
      </c>
      <c r="CO466" t="s">
        <v>25</v>
      </c>
      <c r="CP466" t="s">
        <v>25</v>
      </c>
      <c r="CQ466" t="s">
        <v>25</v>
      </c>
      <c r="CR466" t="s">
        <v>25</v>
      </c>
      <c r="CS466" t="s">
        <v>25</v>
      </c>
      <c r="CT466" t="s">
        <v>25</v>
      </c>
      <c r="CU466" t="s">
        <v>25</v>
      </c>
      <c r="CV466" t="s">
        <v>25</v>
      </c>
      <c r="CW466" t="s">
        <v>46</v>
      </c>
      <c r="CX466" t="s">
        <v>25</v>
      </c>
      <c r="CY466" t="s">
        <v>25</v>
      </c>
      <c r="CZ466" t="s">
        <v>25</v>
      </c>
      <c r="DA466" t="s">
        <v>25</v>
      </c>
      <c r="DB466" t="s">
        <v>25</v>
      </c>
      <c r="DC466" t="s">
        <v>25</v>
      </c>
      <c r="DD466" t="s">
        <v>25</v>
      </c>
      <c r="DE466" t="s">
        <v>25</v>
      </c>
      <c r="DF466" t="s">
        <v>25</v>
      </c>
      <c r="DG466" t="s">
        <v>25</v>
      </c>
      <c r="DH466" t="s">
        <v>25</v>
      </c>
      <c r="DI466" t="s">
        <v>25</v>
      </c>
      <c r="DJ466" s="76">
        <v>1.000000024214389E-2</v>
      </c>
      <c r="DK466" s="73">
        <v>18</v>
      </c>
      <c r="DL466" s="73">
        <v>60</v>
      </c>
      <c r="DM466" s="73">
        <v>-42</v>
      </c>
      <c r="DU466"/>
      <c r="DZ466" s="73">
        <v>42</v>
      </c>
      <c r="EA466" s="73">
        <v>0</v>
      </c>
      <c r="EB466" s="73">
        <v>42</v>
      </c>
      <c r="EC466" s="65" t="s">
        <v>126</v>
      </c>
    </row>
    <row r="467" spans="1:133" ht="12" customHeight="1" x14ac:dyDescent="0.2">
      <c r="A467" t="s">
        <v>2936</v>
      </c>
      <c r="B467" t="s">
        <v>2948</v>
      </c>
      <c r="C467" t="str">
        <f t="shared" si="22"/>
        <v>Prior Approval</v>
      </c>
      <c r="D467" t="s">
        <v>2943</v>
      </c>
      <c r="E467" s="65">
        <v>5839</v>
      </c>
      <c r="F467" t="s">
        <v>2095</v>
      </c>
      <c r="G467" s="71" t="s">
        <v>149</v>
      </c>
      <c r="H467" s="67">
        <v>2.0000000949949E-3</v>
      </c>
      <c r="I467" s="65">
        <v>528757</v>
      </c>
      <c r="J467" s="65">
        <v>173681</v>
      </c>
      <c r="L467" s="65" t="s">
        <v>298</v>
      </c>
      <c r="M467" s="65" t="s">
        <v>243</v>
      </c>
      <c r="N467" s="69">
        <v>41988</v>
      </c>
      <c r="O467" s="69">
        <v>42044</v>
      </c>
      <c r="R467" s="65" t="s">
        <v>28</v>
      </c>
      <c r="U467" t="s">
        <v>299</v>
      </c>
      <c r="V467" t="s">
        <v>3432</v>
      </c>
      <c r="W467" s="65" t="s">
        <v>21</v>
      </c>
      <c r="X467" s="65" t="s">
        <v>21</v>
      </c>
      <c r="Y467" s="65" t="s">
        <v>35</v>
      </c>
      <c r="AA467" s="69">
        <v>42522</v>
      </c>
      <c r="AB467" s="69">
        <v>42885</v>
      </c>
      <c r="AC467" s="69">
        <v>42885</v>
      </c>
      <c r="AD467" s="65" t="s">
        <v>23</v>
      </c>
      <c r="AE467" s="65" t="s">
        <v>24</v>
      </c>
      <c r="AH467" s="69">
        <f t="shared" si="21"/>
        <v>42522</v>
      </c>
      <c r="AI467" s="69">
        <f t="shared" si="23"/>
        <v>42885</v>
      </c>
      <c r="AZ467" s="73">
        <v>45</v>
      </c>
      <c r="BE467" s="73">
        <v>45</v>
      </c>
      <c r="BO467" s="185" t="s">
        <v>126</v>
      </c>
      <c r="BP467" s="185" t="s">
        <v>3794</v>
      </c>
      <c r="BQ467" s="185" t="s">
        <v>3794</v>
      </c>
      <c r="BR467" s="73">
        <v>-45</v>
      </c>
      <c r="BW467" s="73">
        <v>-45</v>
      </c>
      <c r="BY467" s="185" t="s">
        <v>3794</v>
      </c>
      <c r="CJ467" t="s">
        <v>25</v>
      </c>
      <c r="CK467" t="s">
        <v>25</v>
      </c>
      <c r="CL467" t="s">
        <v>25</v>
      </c>
      <c r="CM467" t="s">
        <v>25</v>
      </c>
      <c r="CN467" t="s">
        <v>25</v>
      </c>
      <c r="CO467" t="s">
        <v>25</v>
      </c>
      <c r="CP467" t="s">
        <v>25</v>
      </c>
      <c r="CQ467" t="s">
        <v>25</v>
      </c>
      <c r="CR467" t="s">
        <v>25</v>
      </c>
      <c r="CS467" t="s">
        <v>25</v>
      </c>
      <c r="CT467" t="s">
        <v>25</v>
      </c>
      <c r="CU467" t="s">
        <v>25</v>
      </c>
      <c r="CV467" t="s">
        <v>25</v>
      </c>
      <c r="CW467" t="s">
        <v>31</v>
      </c>
      <c r="CX467" t="s">
        <v>25</v>
      </c>
      <c r="CY467" t="s">
        <v>25</v>
      </c>
      <c r="CZ467" t="s">
        <v>25</v>
      </c>
      <c r="DA467" t="s">
        <v>25</v>
      </c>
      <c r="DB467" t="s">
        <v>25</v>
      </c>
      <c r="DC467" t="s">
        <v>25</v>
      </c>
      <c r="DD467" t="s">
        <v>25</v>
      </c>
      <c r="DE467" t="s">
        <v>25</v>
      </c>
      <c r="DF467" t="s">
        <v>25</v>
      </c>
      <c r="DG467" t="s">
        <v>25</v>
      </c>
      <c r="DH467" t="s">
        <v>25</v>
      </c>
      <c r="DI467" t="s">
        <v>25</v>
      </c>
      <c r="DJ467" s="76">
        <v>1.00000004749745E-3</v>
      </c>
      <c r="DK467" s="73">
        <v>0</v>
      </c>
      <c r="DL467" s="73">
        <v>45</v>
      </c>
      <c r="DM467" s="73">
        <v>-45</v>
      </c>
      <c r="DU467"/>
      <c r="DV467" s="65" t="s">
        <v>126</v>
      </c>
      <c r="DW467" t="s">
        <v>149</v>
      </c>
      <c r="DZ467" s="73">
        <v>45</v>
      </c>
      <c r="EA467" s="73">
        <v>0</v>
      </c>
      <c r="EB467" s="73">
        <v>45</v>
      </c>
      <c r="EC467" s="65" t="s">
        <v>126</v>
      </c>
    </row>
    <row r="468" spans="1:133" ht="12" customHeight="1" x14ac:dyDescent="0.2">
      <c r="A468" t="s">
        <v>2936</v>
      </c>
      <c r="B468" t="s">
        <v>2946</v>
      </c>
      <c r="C468" t="str">
        <f t="shared" si="22"/>
        <v>Full</v>
      </c>
      <c r="D468" t="s">
        <v>2943</v>
      </c>
      <c r="E468" s="65">
        <v>5848</v>
      </c>
      <c r="F468" t="s">
        <v>2096</v>
      </c>
      <c r="G468" s="71" t="s">
        <v>2907</v>
      </c>
      <c r="H468" s="67">
        <v>6.1000000685453401E-2</v>
      </c>
      <c r="I468" s="65">
        <v>525374</v>
      </c>
      <c r="J468" s="65">
        <v>172805</v>
      </c>
      <c r="L468" s="65" t="s">
        <v>305</v>
      </c>
      <c r="M468" s="65" t="s">
        <v>27</v>
      </c>
      <c r="N468" s="69">
        <v>42010</v>
      </c>
      <c r="O468" s="69">
        <v>42116</v>
      </c>
      <c r="R468" s="65" t="s">
        <v>28</v>
      </c>
      <c r="U468" t="s">
        <v>306</v>
      </c>
      <c r="V468" t="s">
        <v>3433</v>
      </c>
      <c r="W468" s="65" t="s">
        <v>29</v>
      </c>
      <c r="X468" s="65" t="s">
        <v>29</v>
      </c>
      <c r="Y468" s="65" t="s">
        <v>35</v>
      </c>
      <c r="Z468" s="69">
        <v>42283</v>
      </c>
      <c r="AA468" s="69">
        <v>42283</v>
      </c>
      <c r="AB468" s="69">
        <v>43159</v>
      </c>
      <c r="AC468" s="69">
        <v>43159</v>
      </c>
      <c r="AD468" s="65" t="s">
        <v>23</v>
      </c>
      <c r="AE468" s="65" t="s">
        <v>24</v>
      </c>
      <c r="AH468" s="69">
        <f t="shared" si="21"/>
        <v>42283</v>
      </c>
      <c r="AI468" s="69">
        <f t="shared" si="23"/>
        <v>43159</v>
      </c>
      <c r="BJ468" s="73">
        <v>302</v>
      </c>
      <c r="BK468" s="73">
        <v>302</v>
      </c>
      <c r="BO468" s="185" t="s">
        <v>3794</v>
      </c>
      <c r="BP468" s="185" t="s">
        <v>126</v>
      </c>
      <c r="BQ468" s="185" t="s">
        <v>3794</v>
      </c>
      <c r="BW468" s="73"/>
      <c r="BY468" s="185" t="s">
        <v>3794</v>
      </c>
      <c r="CC468" s="73">
        <v>-302</v>
      </c>
      <c r="CD468" s="73">
        <v>-302</v>
      </c>
      <c r="CE468" s="65" t="s">
        <v>126</v>
      </c>
      <c r="CJ468" t="s">
        <v>25</v>
      </c>
      <c r="CK468" t="s">
        <v>25</v>
      </c>
      <c r="CL468" t="s">
        <v>25</v>
      </c>
      <c r="CM468" t="s">
        <v>25</v>
      </c>
      <c r="CN468" t="s">
        <v>25</v>
      </c>
      <c r="CO468" t="s">
        <v>25</v>
      </c>
      <c r="CP468" t="s">
        <v>25</v>
      </c>
      <c r="CQ468" t="s">
        <v>25</v>
      </c>
      <c r="CR468" t="s">
        <v>25</v>
      </c>
      <c r="CS468" t="s">
        <v>25</v>
      </c>
      <c r="CT468" t="s">
        <v>25</v>
      </c>
      <c r="CU468" t="s">
        <v>25</v>
      </c>
      <c r="CV468" t="s">
        <v>25</v>
      </c>
      <c r="CW468" t="s">
        <v>25</v>
      </c>
      <c r="CX468" t="s">
        <v>25</v>
      </c>
      <c r="CY468" t="s">
        <v>25</v>
      </c>
      <c r="CZ468" t="s">
        <v>25</v>
      </c>
      <c r="DA468" t="s">
        <v>25</v>
      </c>
      <c r="DB468" t="s">
        <v>25</v>
      </c>
      <c r="DC468" t="s">
        <v>25</v>
      </c>
      <c r="DD468" t="s">
        <v>25</v>
      </c>
      <c r="DE468" t="s">
        <v>25</v>
      </c>
      <c r="DF468" t="s">
        <v>49</v>
      </c>
      <c r="DG468" t="s">
        <v>25</v>
      </c>
      <c r="DH468" t="s">
        <v>25</v>
      </c>
      <c r="DI468" t="s">
        <v>25</v>
      </c>
      <c r="DJ468" s="76">
        <v>0</v>
      </c>
      <c r="DK468" s="73">
        <v>0</v>
      </c>
      <c r="DL468" s="73">
        <v>302</v>
      </c>
      <c r="DM468" s="73">
        <v>-302</v>
      </c>
      <c r="DU468"/>
      <c r="DZ468" s="73">
        <v>1055</v>
      </c>
      <c r="EA468" s="73">
        <v>0</v>
      </c>
      <c r="EB468" s="73">
        <v>1055</v>
      </c>
      <c r="EC468" s="65" t="s">
        <v>126</v>
      </c>
    </row>
    <row r="469" spans="1:133" ht="12" customHeight="1" x14ac:dyDescent="0.2">
      <c r="A469" t="s">
        <v>2935</v>
      </c>
      <c r="B469" t="s">
        <v>2946</v>
      </c>
      <c r="C469" t="str">
        <f t="shared" si="22"/>
        <v>Full</v>
      </c>
      <c r="E469" s="65">
        <v>5849</v>
      </c>
      <c r="F469" t="s">
        <v>2097</v>
      </c>
      <c r="G469" s="71" t="s">
        <v>150</v>
      </c>
      <c r="H469" s="67">
        <v>1.60000007599592E-2</v>
      </c>
      <c r="I469" s="65">
        <v>527082</v>
      </c>
      <c r="J469" s="65">
        <v>170938</v>
      </c>
      <c r="L469" s="65" t="s">
        <v>270</v>
      </c>
      <c r="M469" s="65" t="s">
        <v>27</v>
      </c>
      <c r="N469" s="69">
        <v>42075</v>
      </c>
      <c r="O469" s="69">
        <v>42256</v>
      </c>
      <c r="R469" s="65" t="s">
        <v>28</v>
      </c>
      <c r="U469" t="s">
        <v>737</v>
      </c>
      <c r="V469" t="s">
        <v>3434</v>
      </c>
      <c r="W469" s="65" t="s">
        <v>34</v>
      </c>
      <c r="X469" s="65" t="s">
        <v>29</v>
      </c>
      <c r="Y469" s="65" t="s">
        <v>30</v>
      </c>
      <c r="AA469" s="69">
        <v>43020</v>
      </c>
      <c r="AD469" s="65" t="s">
        <v>23</v>
      </c>
      <c r="AE469" s="65" t="s">
        <v>24</v>
      </c>
      <c r="AH469" s="69">
        <f t="shared" si="21"/>
        <v>43020</v>
      </c>
      <c r="AZ469" s="73">
        <v>96</v>
      </c>
      <c r="BE469" s="73">
        <v>96</v>
      </c>
      <c r="BH469" s="73">
        <v>116</v>
      </c>
      <c r="BK469" s="73">
        <v>116</v>
      </c>
      <c r="BO469" s="185" t="s">
        <v>126</v>
      </c>
      <c r="BP469" s="185" t="s">
        <v>126</v>
      </c>
      <c r="BQ469" s="185" t="s">
        <v>3794</v>
      </c>
      <c r="BR469" s="73">
        <v>-96</v>
      </c>
      <c r="BW469" s="73">
        <v>-96</v>
      </c>
      <c r="BY469" s="185" t="s">
        <v>3794</v>
      </c>
      <c r="CA469" s="73">
        <v>-116</v>
      </c>
      <c r="CD469" s="73">
        <v>-116</v>
      </c>
      <c r="CE469" s="65" t="s">
        <v>126</v>
      </c>
      <c r="CJ469" t="s">
        <v>25</v>
      </c>
      <c r="CK469" t="s">
        <v>25</v>
      </c>
      <c r="CL469" t="s">
        <v>25</v>
      </c>
      <c r="CM469" t="s">
        <v>25</v>
      </c>
      <c r="CN469" t="s">
        <v>25</v>
      </c>
      <c r="CO469" t="s">
        <v>25</v>
      </c>
      <c r="CP469" t="s">
        <v>25</v>
      </c>
      <c r="CQ469" t="s">
        <v>25</v>
      </c>
      <c r="CR469" t="s">
        <v>25</v>
      </c>
      <c r="CS469" t="s">
        <v>25</v>
      </c>
      <c r="CT469" t="s">
        <v>25</v>
      </c>
      <c r="CU469" t="s">
        <v>25</v>
      </c>
      <c r="CV469" t="s">
        <v>25</v>
      </c>
      <c r="CW469" t="s">
        <v>31</v>
      </c>
      <c r="CX469" t="s">
        <v>25</v>
      </c>
      <c r="CY469" t="s">
        <v>25</v>
      </c>
      <c r="CZ469" t="s">
        <v>25</v>
      </c>
      <c r="DA469" t="s">
        <v>25</v>
      </c>
      <c r="DB469" t="s">
        <v>25</v>
      </c>
      <c r="DC469" t="s">
        <v>25</v>
      </c>
      <c r="DD469" t="s">
        <v>51</v>
      </c>
      <c r="DE469" t="s">
        <v>25</v>
      </c>
      <c r="DF469" t="s">
        <v>25</v>
      </c>
      <c r="DG469" t="s">
        <v>25</v>
      </c>
      <c r="DH469" t="s">
        <v>25</v>
      </c>
      <c r="DI469" t="s">
        <v>25</v>
      </c>
      <c r="DJ469" s="76">
        <v>4.6566130118552707E-10</v>
      </c>
      <c r="DK469" s="73">
        <v>0</v>
      </c>
      <c r="DL469" s="73">
        <v>212</v>
      </c>
      <c r="DM469" s="73">
        <v>-212</v>
      </c>
      <c r="DU469"/>
      <c r="DZ469" s="73">
        <v>275</v>
      </c>
      <c r="EA469" s="73">
        <v>92</v>
      </c>
      <c r="EB469" s="73">
        <v>183</v>
      </c>
      <c r="EC469" s="65" t="s">
        <v>126</v>
      </c>
    </row>
    <row r="470" spans="1:133" ht="12" customHeight="1" x14ac:dyDescent="0.2">
      <c r="A470" t="s">
        <v>2937</v>
      </c>
      <c r="B470" t="s">
        <v>2946</v>
      </c>
      <c r="C470" t="str">
        <f t="shared" si="22"/>
        <v>Full</v>
      </c>
      <c r="E470" s="65">
        <v>5855</v>
      </c>
      <c r="F470" t="s">
        <v>2098</v>
      </c>
      <c r="G470" s="71" t="s">
        <v>3951</v>
      </c>
      <c r="H470" s="67">
        <v>8.0000003799796104E-3</v>
      </c>
      <c r="I470" s="65">
        <v>527771</v>
      </c>
      <c r="J470" s="65">
        <v>171157</v>
      </c>
      <c r="L470" s="65" t="s">
        <v>2099</v>
      </c>
      <c r="M470" s="65" t="s">
        <v>27</v>
      </c>
      <c r="N470" s="69">
        <v>42836</v>
      </c>
      <c r="O470" s="69">
        <v>42892</v>
      </c>
      <c r="P470" s="65" t="s">
        <v>126</v>
      </c>
      <c r="R470" s="65" t="s">
        <v>28</v>
      </c>
      <c r="U470" t="s">
        <v>2100</v>
      </c>
      <c r="V470" t="s">
        <v>3435</v>
      </c>
      <c r="W470" s="65" t="s">
        <v>34</v>
      </c>
      <c r="X470" s="65" t="s">
        <v>29</v>
      </c>
      <c r="Y470" s="65" t="s">
        <v>69</v>
      </c>
      <c r="AD470" s="65" t="s">
        <v>23</v>
      </c>
      <c r="AE470" s="65" t="s">
        <v>24</v>
      </c>
      <c r="BF470" s="73">
        <v>40</v>
      </c>
      <c r="BK470" s="73">
        <v>40</v>
      </c>
      <c r="BO470" s="185" t="s">
        <v>3794</v>
      </c>
      <c r="BP470" s="185" t="s">
        <v>126</v>
      </c>
      <c r="BQ470" s="185" t="s">
        <v>3794</v>
      </c>
      <c r="BW470" s="73"/>
      <c r="BX470" s="73">
        <v>-40</v>
      </c>
      <c r="BY470" s="185" t="s">
        <v>126</v>
      </c>
      <c r="CD470" s="73">
        <v>-40</v>
      </c>
      <c r="CE470" s="65" t="s">
        <v>126</v>
      </c>
      <c r="CJ470" t="s">
        <v>25</v>
      </c>
      <c r="CK470" t="s">
        <v>25</v>
      </c>
      <c r="CL470" t="s">
        <v>25</v>
      </c>
      <c r="CM470" t="s">
        <v>25</v>
      </c>
      <c r="CN470" t="s">
        <v>25</v>
      </c>
      <c r="CO470" t="s">
        <v>25</v>
      </c>
      <c r="CP470" t="s">
        <v>25</v>
      </c>
      <c r="CQ470" t="s">
        <v>25</v>
      </c>
      <c r="CR470" t="s">
        <v>25</v>
      </c>
      <c r="CS470" t="s">
        <v>25</v>
      </c>
      <c r="CT470" t="s">
        <v>25</v>
      </c>
      <c r="CU470" t="s">
        <v>25</v>
      </c>
      <c r="CV470" t="s">
        <v>25</v>
      </c>
      <c r="CW470" t="s">
        <v>25</v>
      </c>
      <c r="CX470" t="s">
        <v>25</v>
      </c>
      <c r="CY470" t="s">
        <v>25</v>
      </c>
      <c r="CZ470" t="s">
        <v>25</v>
      </c>
      <c r="DA470" t="s">
        <v>25</v>
      </c>
      <c r="DB470" t="s">
        <v>49</v>
      </c>
      <c r="DC470" t="s">
        <v>25</v>
      </c>
      <c r="DD470" t="s">
        <v>25</v>
      </c>
      <c r="DE470" t="s">
        <v>25</v>
      </c>
      <c r="DF470" t="s">
        <v>25</v>
      </c>
      <c r="DG470" t="s">
        <v>25</v>
      </c>
      <c r="DH470" t="s">
        <v>25</v>
      </c>
      <c r="DI470" t="s">
        <v>25</v>
      </c>
      <c r="DJ470" s="76">
        <v>0</v>
      </c>
      <c r="DK470" s="73">
        <v>0</v>
      </c>
      <c r="DL470" s="73">
        <v>40</v>
      </c>
      <c r="DM470" s="73">
        <v>-40</v>
      </c>
      <c r="DU470"/>
      <c r="DV470" s="65" t="s">
        <v>126</v>
      </c>
      <c r="DW470" t="s">
        <v>150</v>
      </c>
      <c r="DZ470" s="73">
        <v>62</v>
      </c>
      <c r="EA470" s="73">
        <v>0</v>
      </c>
      <c r="EB470" s="73">
        <v>62</v>
      </c>
      <c r="EC470" s="65" t="s">
        <v>126</v>
      </c>
    </row>
    <row r="471" spans="1:133" ht="12" customHeight="1" x14ac:dyDescent="0.2">
      <c r="A471" t="s">
        <v>2935</v>
      </c>
      <c r="B471" t="s">
        <v>2946</v>
      </c>
      <c r="C471" t="str">
        <f t="shared" si="22"/>
        <v>Full</v>
      </c>
      <c r="E471" s="65">
        <v>5858</v>
      </c>
      <c r="F471" t="s">
        <v>2101</v>
      </c>
      <c r="G471" s="71" t="s">
        <v>3945</v>
      </c>
      <c r="H471" s="67">
        <v>9.3999996781349196E-2</v>
      </c>
      <c r="I471" s="65">
        <v>528141</v>
      </c>
      <c r="J471" s="65">
        <v>175625</v>
      </c>
      <c r="L471" s="65" t="s">
        <v>312</v>
      </c>
      <c r="M471" s="65" t="s">
        <v>27</v>
      </c>
      <c r="N471" s="69">
        <v>42023</v>
      </c>
      <c r="O471" s="69">
        <v>42116</v>
      </c>
      <c r="R471" s="65" t="s">
        <v>28</v>
      </c>
      <c r="U471" t="s">
        <v>313</v>
      </c>
      <c r="V471" t="s">
        <v>3436</v>
      </c>
      <c r="W471" s="65" t="s">
        <v>29</v>
      </c>
      <c r="X471" s="65" t="s">
        <v>29</v>
      </c>
      <c r="Y471" s="65" t="s">
        <v>30</v>
      </c>
      <c r="Z471" s="69">
        <v>42192</v>
      </c>
      <c r="AA471" s="69">
        <v>42578</v>
      </c>
      <c r="AD471" s="65" t="s">
        <v>23</v>
      </c>
      <c r="AE471" s="65" t="s">
        <v>24</v>
      </c>
      <c r="AH471" s="69">
        <f t="shared" si="21"/>
        <v>42578</v>
      </c>
      <c r="BI471" s="73">
        <v>904</v>
      </c>
      <c r="BK471" s="73">
        <v>904</v>
      </c>
      <c r="BO471" s="185" t="s">
        <v>3794</v>
      </c>
      <c r="BP471" s="185" t="s">
        <v>126</v>
      </c>
      <c r="BQ471" s="185" t="s">
        <v>3794</v>
      </c>
      <c r="BW471" s="73"/>
      <c r="BY471" s="185" t="s">
        <v>3794</v>
      </c>
      <c r="CB471" s="73">
        <v>-904</v>
      </c>
      <c r="CD471" s="73">
        <v>-904</v>
      </c>
      <c r="CE471" s="65" t="s">
        <v>126</v>
      </c>
      <c r="CJ471" t="s">
        <v>25</v>
      </c>
      <c r="CK471" t="s">
        <v>25</v>
      </c>
      <c r="CL471" t="s">
        <v>25</v>
      </c>
      <c r="CM471" t="s">
        <v>25</v>
      </c>
      <c r="CN471" t="s">
        <v>25</v>
      </c>
      <c r="CO471" t="s">
        <v>25</v>
      </c>
      <c r="CP471" t="s">
        <v>25</v>
      </c>
      <c r="CQ471" t="s">
        <v>25</v>
      </c>
      <c r="CR471" t="s">
        <v>25</v>
      </c>
      <c r="CS471" t="s">
        <v>25</v>
      </c>
      <c r="CT471" t="s">
        <v>25</v>
      </c>
      <c r="CU471" t="s">
        <v>25</v>
      </c>
      <c r="CV471" t="s">
        <v>25</v>
      </c>
      <c r="CW471" t="s">
        <v>25</v>
      </c>
      <c r="CX471" t="s">
        <v>25</v>
      </c>
      <c r="CY471" t="s">
        <v>25</v>
      </c>
      <c r="CZ471" t="s">
        <v>25</v>
      </c>
      <c r="DA471" t="s">
        <v>25</v>
      </c>
      <c r="DB471" t="s">
        <v>25</v>
      </c>
      <c r="DC471" t="s">
        <v>25</v>
      </c>
      <c r="DD471" t="s">
        <v>25</v>
      </c>
      <c r="DE471" t="s">
        <v>32</v>
      </c>
      <c r="DF471" t="s">
        <v>25</v>
      </c>
      <c r="DG471" t="s">
        <v>25</v>
      </c>
      <c r="DH471" t="s">
        <v>25</v>
      </c>
      <c r="DI471" t="s">
        <v>25</v>
      </c>
      <c r="DJ471" s="76">
        <v>0</v>
      </c>
      <c r="DK471" s="73">
        <v>0</v>
      </c>
      <c r="DL471" s="73">
        <v>904</v>
      </c>
      <c r="DM471" s="73">
        <v>-904</v>
      </c>
      <c r="DU471"/>
      <c r="DZ471" s="73">
        <v>1602</v>
      </c>
      <c r="EA471" s="73">
        <v>0</v>
      </c>
      <c r="EB471" s="73">
        <v>1602</v>
      </c>
      <c r="EC471" s="65" t="s">
        <v>126</v>
      </c>
    </row>
    <row r="472" spans="1:133" ht="12" customHeight="1" x14ac:dyDescent="0.2">
      <c r="A472" t="s">
        <v>2937</v>
      </c>
      <c r="B472" t="s">
        <v>2946</v>
      </c>
      <c r="C472" t="str">
        <f t="shared" si="22"/>
        <v>Full</v>
      </c>
      <c r="E472" s="65">
        <v>5860</v>
      </c>
      <c r="F472" t="s">
        <v>2102</v>
      </c>
      <c r="G472" s="71" t="s">
        <v>2907</v>
      </c>
      <c r="H472" s="67">
        <v>1.30000002682209E-2</v>
      </c>
      <c r="I472" s="65">
        <v>524899</v>
      </c>
      <c r="J472" s="65">
        <v>173289</v>
      </c>
      <c r="L472" s="65" t="s">
        <v>902</v>
      </c>
      <c r="M472" s="65" t="s">
        <v>27</v>
      </c>
      <c r="N472" s="69">
        <v>42541</v>
      </c>
      <c r="O472" s="69">
        <v>42597</v>
      </c>
      <c r="R472" s="65" t="s">
        <v>28</v>
      </c>
      <c r="U472" t="s">
        <v>903</v>
      </c>
      <c r="V472" t="s">
        <v>3437</v>
      </c>
      <c r="W472" s="65" t="s">
        <v>29</v>
      </c>
      <c r="X472" s="65" t="s">
        <v>29</v>
      </c>
      <c r="Y472" s="65" t="s">
        <v>69</v>
      </c>
      <c r="AD472" s="65" t="s">
        <v>23</v>
      </c>
      <c r="AE472" s="65" t="s">
        <v>24</v>
      </c>
      <c r="AL472" s="73">
        <v>23</v>
      </c>
      <c r="AO472" s="73">
        <v>23</v>
      </c>
      <c r="BO472" s="185" t="s">
        <v>126</v>
      </c>
      <c r="BP472" s="185" t="s">
        <v>3794</v>
      </c>
      <c r="BQ472" s="185" t="s">
        <v>3794</v>
      </c>
      <c r="BT472" s="73">
        <v>23</v>
      </c>
      <c r="BW472" s="73">
        <v>23</v>
      </c>
      <c r="BY472" s="185" t="s">
        <v>3794</v>
      </c>
      <c r="CJ472" t="s">
        <v>25</v>
      </c>
      <c r="CK472" t="s">
        <v>25</v>
      </c>
      <c r="CL472" t="s">
        <v>25</v>
      </c>
      <c r="CM472" t="s">
        <v>25</v>
      </c>
      <c r="CN472" t="s">
        <v>25</v>
      </c>
      <c r="CO472" t="s">
        <v>25</v>
      </c>
      <c r="CP472" t="s">
        <v>25</v>
      </c>
      <c r="CQ472" t="s">
        <v>25</v>
      </c>
      <c r="CR472" t="s">
        <v>25</v>
      </c>
      <c r="CS472" t="s">
        <v>25</v>
      </c>
      <c r="CT472" t="s">
        <v>25</v>
      </c>
      <c r="CU472" t="s">
        <v>25</v>
      </c>
      <c r="CV472" t="s">
        <v>25</v>
      </c>
      <c r="CW472" t="s">
        <v>25</v>
      </c>
      <c r="CX472" t="s">
        <v>25</v>
      </c>
      <c r="CY472" t="s">
        <v>25</v>
      </c>
      <c r="CZ472" t="s">
        <v>25</v>
      </c>
      <c r="DA472" t="s">
        <v>25</v>
      </c>
      <c r="DB472" t="s">
        <v>25</v>
      </c>
      <c r="DC472" t="s">
        <v>25</v>
      </c>
      <c r="DD472" t="s">
        <v>25</v>
      </c>
      <c r="DE472" t="s">
        <v>25</v>
      </c>
      <c r="DF472" t="s">
        <v>25</v>
      </c>
      <c r="DG472" t="s">
        <v>25</v>
      </c>
      <c r="DH472" t="s">
        <v>25</v>
      </c>
      <c r="DI472" t="s">
        <v>25</v>
      </c>
      <c r="DJ472" s="76">
        <v>1.30000002682209E-2</v>
      </c>
      <c r="DK472" s="73">
        <v>23</v>
      </c>
      <c r="DL472" s="73">
        <v>0</v>
      </c>
      <c r="DM472" s="73">
        <v>23</v>
      </c>
      <c r="DU472"/>
      <c r="DX472" s="65" t="s">
        <v>126</v>
      </c>
      <c r="DY472" t="s">
        <v>2907</v>
      </c>
      <c r="DZ472" s="73">
        <v>0</v>
      </c>
      <c r="EA472" s="73">
        <v>0</v>
      </c>
      <c r="EB472" s="73">
        <v>0</v>
      </c>
    </row>
    <row r="473" spans="1:133" ht="12" customHeight="1" x14ac:dyDescent="0.2">
      <c r="A473" t="s">
        <v>2935</v>
      </c>
      <c r="B473" t="s">
        <v>2946</v>
      </c>
      <c r="C473" t="str">
        <f t="shared" si="22"/>
        <v>Full</v>
      </c>
      <c r="E473" s="65">
        <v>5862</v>
      </c>
      <c r="F473" t="s">
        <v>2103</v>
      </c>
      <c r="G473" s="71" t="s">
        <v>3946</v>
      </c>
      <c r="H473" s="67">
        <v>2.4000000208616298E-2</v>
      </c>
      <c r="I473" s="65">
        <v>524068</v>
      </c>
      <c r="J473" s="65">
        <v>175336</v>
      </c>
      <c r="L473" s="65" t="s">
        <v>316</v>
      </c>
      <c r="M473" s="65" t="s">
        <v>27</v>
      </c>
      <c r="N473" s="69">
        <v>42026</v>
      </c>
      <c r="O473" s="69">
        <v>42125</v>
      </c>
      <c r="R473" s="65" t="s">
        <v>28</v>
      </c>
      <c r="U473" t="s">
        <v>731</v>
      </c>
      <c r="V473" t="s">
        <v>3438</v>
      </c>
      <c r="W473" s="65" t="s">
        <v>34</v>
      </c>
      <c r="X473" s="65" t="s">
        <v>29</v>
      </c>
      <c r="Y473" s="65" t="s">
        <v>30</v>
      </c>
      <c r="AA473" s="69">
        <v>43190</v>
      </c>
      <c r="AD473" s="65" t="s">
        <v>23</v>
      </c>
      <c r="AE473" s="65" t="s">
        <v>24</v>
      </c>
      <c r="AH473" s="69">
        <f t="shared" si="21"/>
        <v>43190</v>
      </c>
      <c r="AJ473" s="73">
        <v>112</v>
      </c>
      <c r="AO473" s="73">
        <v>112</v>
      </c>
      <c r="AZ473" s="73">
        <v>215</v>
      </c>
      <c r="BE473" s="73">
        <v>215</v>
      </c>
      <c r="BO473" s="185" t="s">
        <v>126</v>
      </c>
      <c r="BP473" s="185" t="s">
        <v>3794</v>
      </c>
      <c r="BQ473" s="185" t="s">
        <v>3794</v>
      </c>
      <c r="BR473" s="73">
        <v>-103</v>
      </c>
      <c r="BW473" s="570">
        <v>-103</v>
      </c>
      <c r="BY473" s="185" t="s">
        <v>3794</v>
      </c>
      <c r="CJ473" t="s">
        <v>31</v>
      </c>
      <c r="CK473" t="s">
        <v>25</v>
      </c>
      <c r="CL473" t="s">
        <v>25</v>
      </c>
      <c r="CM473" t="s">
        <v>25</v>
      </c>
      <c r="CN473" t="s">
        <v>25</v>
      </c>
      <c r="CO473" t="s">
        <v>25</v>
      </c>
      <c r="CP473" t="s">
        <v>25</v>
      </c>
      <c r="CQ473" t="s">
        <v>25</v>
      </c>
      <c r="CR473" t="s">
        <v>25</v>
      </c>
      <c r="CS473" t="s">
        <v>25</v>
      </c>
      <c r="CT473" t="s">
        <v>25</v>
      </c>
      <c r="CU473" t="s">
        <v>25</v>
      </c>
      <c r="CV473" t="s">
        <v>25</v>
      </c>
      <c r="CW473" t="s">
        <v>31</v>
      </c>
      <c r="CX473" t="s">
        <v>25</v>
      </c>
      <c r="CY473" t="s">
        <v>25</v>
      </c>
      <c r="CZ473" t="s">
        <v>25</v>
      </c>
      <c r="DA473" t="s">
        <v>25</v>
      </c>
      <c r="DB473" t="s">
        <v>25</v>
      </c>
      <c r="DC473" t="s">
        <v>25</v>
      </c>
      <c r="DD473" t="s">
        <v>25</v>
      </c>
      <c r="DE473" t="s">
        <v>25</v>
      </c>
      <c r="DF473" t="s">
        <v>25</v>
      </c>
      <c r="DG473" t="s">
        <v>25</v>
      </c>
      <c r="DH473" t="s">
        <v>25</v>
      </c>
      <c r="DI473" t="s">
        <v>25</v>
      </c>
      <c r="DJ473" s="76">
        <v>6.0000009834766978E-3</v>
      </c>
      <c r="DK473" s="73">
        <v>112</v>
      </c>
      <c r="DL473" s="73">
        <v>215</v>
      </c>
      <c r="DM473" s="73">
        <v>-103</v>
      </c>
      <c r="DU473"/>
      <c r="DV473" s="65" t="s">
        <v>126</v>
      </c>
      <c r="DW473" t="s">
        <v>131</v>
      </c>
      <c r="DZ473" s="73">
        <v>303</v>
      </c>
      <c r="EA473" s="73">
        <v>143</v>
      </c>
      <c r="EB473" s="73">
        <v>160</v>
      </c>
      <c r="EC473" s="65" t="s">
        <v>126</v>
      </c>
    </row>
    <row r="474" spans="1:133" ht="12" customHeight="1" x14ac:dyDescent="0.2">
      <c r="A474" t="s">
        <v>2937</v>
      </c>
      <c r="B474" t="s">
        <v>2946</v>
      </c>
      <c r="C474" t="str">
        <f t="shared" si="22"/>
        <v>Full</v>
      </c>
      <c r="E474" s="65">
        <v>5882</v>
      </c>
      <c r="F474" t="s">
        <v>2104</v>
      </c>
      <c r="G474" s="71" t="s">
        <v>3942</v>
      </c>
      <c r="H474" s="67">
        <v>4.39999997615814E-2</v>
      </c>
      <c r="I474" s="65">
        <v>527560</v>
      </c>
      <c r="J474" s="65">
        <v>175472</v>
      </c>
      <c r="L474" s="65" t="s">
        <v>1122</v>
      </c>
      <c r="M474" s="65" t="s">
        <v>27</v>
      </c>
      <c r="N474" s="69">
        <v>42704</v>
      </c>
      <c r="O474" s="69">
        <v>42793</v>
      </c>
      <c r="R474" s="65" t="s">
        <v>28</v>
      </c>
      <c r="U474" t="s">
        <v>1123</v>
      </c>
      <c r="V474" t="s">
        <v>3439</v>
      </c>
      <c r="W474" s="65" t="s">
        <v>21</v>
      </c>
      <c r="X474" s="65" t="s">
        <v>21</v>
      </c>
      <c r="Y474" s="65" t="s">
        <v>59</v>
      </c>
      <c r="AD474" s="65" t="s">
        <v>23</v>
      </c>
      <c r="AE474" s="65" t="s">
        <v>24</v>
      </c>
      <c r="AJ474" s="73">
        <v>116</v>
      </c>
      <c r="AL474" s="73">
        <v>116</v>
      </c>
      <c r="AO474" s="73">
        <v>232</v>
      </c>
      <c r="BB474" s="73">
        <v>232</v>
      </c>
      <c r="BE474" s="73">
        <v>232</v>
      </c>
      <c r="BO474" s="185" t="s">
        <v>126</v>
      </c>
      <c r="BP474" s="185" t="s">
        <v>3794</v>
      </c>
      <c r="BQ474" s="185" t="s">
        <v>3794</v>
      </c>
      <c r="BR474" s="73">
        <v>116</v>
      </c>
      <c r="BT474" s="73">
        <v>-116</v>
      </c>
      <c r="BW474" s="73"/>
      <c r="BY474" s="185" t="s">
        <v>3794</v>
      </c>
      <c r="CJ474" t="s">
        <v>49</v>
      </c>
      <c r="CK474" t="s">
        <v>25</v>
      </c>
      <c r="CL474" t="s">
        <v>38</v>
      </c>
      <c r="CM474" t="s">
        <v>25</v>
      </c>
      <c r="CN474" t="s">
        <v>25</v>
      </c>
      <c r="CO474" t="s">
        <v>25</v>
      </c>
      <c r="CP474" t="s">
        <v>25</v>
      </c>
      <c r="CQ474" t="s">
        <v>25</v>
      </c>
      <c r="CR474" t="s">
        <v>25</v>
      </c>
      <c r="CS474" t="s">
        <v>25</v>
      </c>
      <c r="CT474" t="s">
        <v>25</v>
      </c>
      <c r="CU474" t="s">
        <v>25</v>
      </c>
      <c r="CV474" t="s">
        <v>25</v>
      </c>
      <c r="CW474" t="s">
        <v>25</v>
      </c>
      <c r="CX474" t="s">
        <v>25</v>
      </c>
      <c r="CY474" t="s">
        <v>38</v>
      </c>
      <c r="CZ474" t="s">
        <v>25</v>
      </c>
      <c r="DA474" t="s">
        <v>25</v>
      </c>
      <c r="DB474" t="s">
        <v>25</v>
      </c>
      <c r="DC474" t="s">
        <v>25</v>
      </c>
      <c r="DD474" t="s">
        <v>25</v>
      </c>
      <c r="DE474" t="s">
        <v>25</v>
      </c>
      <c r="DF474" t="s">
        <v>25</v>
      </c>
      <c r="DG474" t="s">
        <v>25</v>
      </c>
      <c r="DH474" t="s">
        <v>25</v>
      </c>
      <c r="DI474" t="s">
        <v>25</v>
      </c>
      <c r="DJ474" s="76">
        <v>4.39999997615814E-2</v>
      </c>
      <c r="DK474" s="73">
        <v>232</v>
      </c>
      <c r="DL474" s="73">
        <v>232</v>
      </c>
      <c r="DM474" s="73">
        <v>0</v>
      </c>
      <c r="DU474"/>
      <c r="DV474" s="65" t="s">
        <v>126</v>
      </c>
      <c r="DW474" t="s">
        <v>132</v>
      </c>
      <c r="DZ474" s="73">
        <v>0</v>
      </c>
      <c r="EA474" s="73">
        <v>0</v>
      </c>
      <c r="EB474" s="73">
        <v>0</v>
      </c>
    </row>
    <row r="475" spans="1:133" ht="12" customHeight="1" x14ac:dyDescent="0.2">
      <c r="A475" t="s">
        <v>2937</v>
      </c>
      <c r="B475" t="s">
        <v>2946</v>
      </c>
      <c r="C475" t="str">
        <f t="shared" si="22"/>
        <v>Full</v>
      </c>
      <c r="E475" s="65">
        <v>5887</v>
      </c>
      <c r="F475" t="s">
        <v>2105</v>
      </c>
      <c r="G475" s="71" t="s">
        <v>149</v>
      </c>
      <c r="H475" s="67">
        <v>1.4999999664723899E-2</v>
      </c>
      <c r="I475" s="65">
        <v>528584</v>
      </c>
      <c r="J475" s="65">
        <v>173489</v>
      </c>
      <c r="L475" s="65" t="s">
        <v>512</v>
      </c>
      <c r="M475" s="65" t="s">
        <v>27</v>
      </c>
      <c r="N475" s="69">
        <v>42219</v>
      </c>
      <c r="O475" s="69">
        <v>42419</v>
      </c>
      <c r="R475" s="65" t="s">
        <v>28</v>
      </c>
      <c r="U475" t="s">
        <v>513</v>
      </c>
      <c r="V475" t="s">
        <v>3440</v>
      </c>
      <c r="W475" s="65" t="s">
        <v>29</v>
      </c>
      <c r="X475" s="65" t="s">
        <v>29</v>
      </c>
      <c r="Y475" s="65" t="s">
        <v>59</v>
      </c>
      <c r="AD475" s="65" t="s">
        <v>23</v>
      </c>
      <c r="AE475" s="65" t="s">
        <v>24</v>
      </c>
      <c r="BO475" s="185" t="s">
        <v>3794</v>
      </c>
      <c r="BP475" s="185" t="s">
        <v>3794</v>
      </c>
      <c r="BQ475" s="185" t="s">
        <v>3794</v>
      </c>
      <c r="BW475" s="73"/>
      <c r="BY475" s="185" t="s">
        <v>3794</v>
      </c>
      <c r="CJ475" t="s">
        <v>25</v>
      </c>
      <c r="CK475" t="s">
        <v>25</v>
      </c>
      <c r="CL475" t="s">
        <v>25</v>
      </c>
      <c r="CM475" t="s">
        <v>25</v>
      </c>
      <c r="CN475" t="s">
        <v>25</v>
      </c>
      <c r="CO475" t="s">
        <v>25</v>
      </c>
      <c r="CP475" t="s">
        <v>25</v>
      </c>
      <c r="CQ475" t="s">
        <v>25</v>
      </c>
      <c r="CR475" t="s">
        <v>25</v>
      </c>
      <c r="CS475" t="s">
        <v>25</v>
      </c>
      <c r="CT475" t="s">
        <v>25</v>
      </c>
      <c r="CU475" t="s">
        <v>25</v>
      </c>
      <c r="CV475" t="s">
        <v>25</v>
      </c>
      <c r="CW475" t="s">
        <v>25</v>
      </c>
      <c r="CX475" t="s">
        <v>25</v>
      </c>
      <c r="CY475" t="s">
        <v>25</v>
      </c>
      <c r="CZ475" t="s">
        <v>25</v>
      </c>
      <c r="DA475" t="s">
        <v>25</v>
      </c>
      <c r="DB475" t="s">
        <v>25</v>
      </c>
      <c r="DC475" t="s">
        <v>25</v>
      </c>
      <c r="DD475" t="s">
        <v>25</v>
      </c>
      <c r="DE475" t="s">
        <v>25</v>
      </c>
      <c r="DF475" t="s">
        <v>25</v>
      </c>
      <c r="DG475" t="s">
        <v>25</v>
      </c>
      <c r="DH475" t="s">
        <v>25</v>
      </c>
      <c r="DI475" t="s">
        <v>25</v>
      </c>
      <c r="DJ475" s="76">
        <v>0</v>
      </c>
      <c r="DK475" s="73">
        <v>0</v>
      </c>
      <c r="DL475" s="73">
        <v>105</v>
      </c>
      <c r="DM475" s="73">
        <v>-105</v>
      </c>
      <c r="DU475"/>
      <c r="DZ475" s="73">
        <v>111</v>
      </c>
      <c r="EA475" s="73">
        <v>0</v>
      </c>
      <c r="EB475" s="73">
        <v>111</v>
      </c>
      <c r="EC475" s="65" t="s">
        <v>126</v>
      </c>
    </row>
    <row r="476" spans="1:133" ht="12" customHeight="1" x14ac:dyDescent="0.2">
      <c r="A476" t="s">
        <v>2937</v>
      </c>
      <c r="B476" t="s">
        <v>2946</v>
      </c>
      <c r="C476" t="str">
        <f t="shared" si="22"/>
        <v>Full</v>
      </c>
      <c r="E476" s="65">
        <v>5890</v>
      </c>
      <c r="F476" t="s">
        <v>2106</v>
      </c>
      <c r="G476" s="71" t="s">
        <v>3949</v>
      </c>
      <c r="H476" s="67">
        <v>8.6999997496604906E-2</v>
      </c>
      <c r="I476" s="65">
        <v>524758</v>
      </c>
      <c r="J476" s="65">
        <v>174759</v>
      </c>
      <c r="L476" s="65" t="s">
        <v>263</v>
      </c>
      <c r="M476" s="65" t="s">
        <v>27</v>
      </c>
      <c r="N476" s="69">
        <v>42069</v>
      </c>
      <c r="O476" s="69">
        <v>42125</v>
      </c>
      <c r="R476" s="65" t="s">
        <v>28</v>
      </c>
      <c r="U476" t="s">
        <v>264</v>
      </c>
      <c r="V476" t="s">
        <v>3441</v>
      </c>
      <c r="W476" s="65" t="s">
        <v>29</v>
      </c>
      <c r="X476" s="65" t="s">
        <v>29</v>
      </c>
      <c r="Y476" s="65" t="s">
        <v>69</v>
      </c>
      <c r="AD476" s="65" t="s">
        <v>23</v>
      </c>
      <c r="AE476" s="65" t="s">
        <v>24</v>
      </c>
      <c r="BO476" s="185" t="s">
        <v>3794</v>
      </c>
      <c r="BP476" s="185" t="s">
        <v>3794</v>
      </c>
      <c r="BQ476" s="185" t="s">
        <v>3794</v>
      </c>
      <c r="BW476" s="73"/>
      <c r="BY476" s="185" t="s">
        <v>3794</v>
      </c>
      <c r="CJ476" t="s">
        <v>25</v>
      </c>
      <c r="CK476" t="s">
        <v>25</v>
      </c>
      <c r="CL476" t="s">
        <v>25</v>
      </c>
      <c r="CM476" t="s">
        <v>25</v>
      </c>
      <c r="CN476" t="s">
        <v>25</v>
      </c>
      <c r="CO476" t="s">
        <v>25</v>
      </c>
      <c r="CP476" t="s">
        <v>25</v>
      </c>
      <c r="CQ476" t="s">
        <v>25</v>
      </c>
      <c r="CR476" t="s">
        <v>25</v>
      </c>
      <c r="CS476" t="s">
        <v>25</v>
      </c>
      <c r="CT476" t="s">
        <v>25</v>
      </c>
      <c r="CU476" t="s">
        <v>25</v>
      </c>
      <c r="CV476" t="s">
        <v>25</v>
      </c>
      <c r="CW476" t="s">
        <v>25</v>
      </c>
      <c r="CX476" t="s">
        <v>25</v>
      </c>
      <c r="CY476" t="s">
        <v>25</v>
      </c>
      <c r="CZ476" t="s">
        <v>25</v>
      </c>
      <c r="DA476" t="s">
        <v>25</v>
      </c>
      <c r="DB476" t="s">
        <v>25</v>
      </c>
      <c r="DC476" t="s">
        <v>25</v>
      </c>
      <c r="DD476" t="s">
        <v>25</v>
      </c>
      <c r="DE476" t="s">
        <v>25</v>
      </c>
      <c r="DF476" t="s">
        <v>25</v>
      </c>
      <c r="DG476" t="s">
        <v>25</v>
      </c>
      <c r="DH476" t="s">
        <v>25</v>
      </c>
      <c r="DI476" t="s">
        <v>25</v>
      </c>
      <c r="DJ476" s="76">
        <v>6.7999998107552501E-2</v>
      </c>
      <c r="DK476" s="73">
        <v>0</v>
      </c>
      <c r="DL476" s="73">
        <v>112</v>
      </c>
      <c r="DM476" s="73">
        <v>-112</v>
      </c>
      <c r="DU476"/>
      <c r="DZ476" s="73">
        <v>186</v>
      </c>
      <c r="EA476" s="73">
        <v>0</v>
      </c>
      <c r="EB476" s="73">
        <v>186</v>
      </c>
      <c r="EC476" s="65" t="s">
        <v>126</v>
      </c>
    </row>
    <row r="477" spans="1:133" ht="12" customHeight="1" x14ac:dyDescent="0.2">
      <c r="A477" t="s">
        <v>2937</v>
      </c>
      <c r="B477" t="s">
        <v>2946</v>
      </c>
      <c r="C477" t="str">
        <f t="shared" si="22"/>
        <v>Full</v>
      </c>
      <c r="E477" s="65">
        <v>5892</v>
      </c>
      <c r="F477" t="s">
        <v>2107</v>
      </c>
      <c r="G477" s="71" t="s">
        <v>3942</v>
      </c>
      <c r="H477" s="67">
        <v>1.09999999403954E-2</v>
      </c>
      <c r="I477" s="65">
        <v>527620</v>
      </c>
      <c r="J477" s="65">
        <v>174551</v>
      </c>
      <c r="L477" s="65" t="s">
        <v>318</v>
      </c>
      <c r="M477" s="65" t="s">
        <v>27</v>
      </c>
      <c r="N477" s="69">
        <v>42067</v>
      </c>
      <c r="O477" s="69">
        <v>42123</v>
      </c>
      <c r="R477" s="65" t="s">
        <v>28</v>
      </c>
      <c r="U477" t="s">
        <v>319</v>
      </c>
      <c r="V477" t="s">
        <v>3442</v>
      </c>
      <c r="W477" s="65" t="s">
        <v>21</v>
      </c>
      <c r="X477" s="65" t="s">
        <v>21</v>
      </c>
      <c r="Y477" s="65" t="s">
        <v>69</v>
      </c>
      <c r="AD477" s="65" t="s">
        <v>23</v>
      </c>
      <c r="AE477" s="65" t="s">
        <v>24</v>
      </c>
      <c r="BF477" s="73">
        <v>62</v>
      </c>
      <c r="BK477" s="73">
        <v>62</v>
      </c>
      <c r="BO477" s="185" t="s">
        <v>3794</v>
      </c>
      <c r="BP477" s="185" t="s">
        <v>126</v>
      </c>
      <c r="BQ477" s="185" t="s">
        <v>3794</v>
      </c>
      <c r="BW477" s="73"/>
      <c r="BX477" s="73">
        <v>-62</v>
      </c>
      <c r="BY477" s="185" t="s">
        <v>126</v>
      </c>
      <c r="CD477" s="73">
        <v>-62</v>
      </c>
      <c r="CE477" s="65" t="s">
        <v>126</v>
      </c>
      <c r="CJ477" t="s">
        <v>25</v>
      </c>
      <c r="CK477" t="s">
        <v>25</v>
      </c>
      <c r="CL477" t="s">
        <v>25</v>
      </c>
      <c r="CM477" t="s">
        <v>25</v>
      </c>
      <c r="CN477" t="s">
        <v>25</v>
      </c>
      <c r="CO477" t="s">
        <v>25</v>
      </c>
      <c r="CP477" t="s">
        <v>25</v>
      </c>
      <c r="CQ477" t="s">
        <v>25</v>
      </c>
      <c r="CR477" t="s">
        <v>25</v>
      </c>
      <c r="CS477" t="s">
        <v>25</v>
      </c>
      <c r="CT477" t="s">
        <v>25</v>
      </c>
      <c r="CU477" t="s">
        <v>25</v>
      </c>
      <c r="CV477" t="s">
        <v>25</v>
      </c>
      <c r="CW477" t="s">
        <v>25</v>
      </c>
      <c r="CX477" t="s">
        <v>25</v>
      </c>
      <c r="CY477" t="s">
        <v>25</v>
      </c>
      <c r="CZ477" t="s">
        <v>25</v>
      </c>
      <c r="DA477" t="s">
        <v>25</v>
      </c>
      <c r="DB477" t="s">
        <v>31</v>
      </c>
      <c r="DC477" t="s">
        <v>25</v>
      </c>
      <c r="DD477" t="s">
        <v>25</v>
      </c>
      <c r="DE477" t="s">
        <v>25</v>
      </c>
      <c r="DF477" t="s">
        <v>25</v>
      </c>
      <c r="DG477" t="s">
        <v>25</v>
      </c>
      <c r="DH477" t="s">
        <v>25</v>
      </c>
      <c r="DI477" t="s">
        <v>25</v>
      </c>
      <c r="DJ477" s="76">
        <v>0</v>
      </c>
      <c r="DK477" s="73">
        <v>0</v>
      </c>
      <c r="DL477" s="73">
        <v>62</v>
      </c>
      <c r="DM477" s="73">
        <v>-62</v>
      </c>
      <c r="DU477"/>
      <c r="DZ477" s="73">
        <v>71</v>
      </c>
      <c r="EA477" s="73">
        <v>0</v>
      </c>
      <c r="EB477" s="73">
        <v>71</v>
      </c>
      <c r="EC477" s="65" t="s">
        <v>126</v>
      </c>
    </row>
    <row r="478" spans="1:133" ht="12" customHeight="1" x14ac:dyDescent="0.2">
      <c r="A478" t="s">
        <v>2937</v>
      </c>
      <c r="B478" t="s">
        <v>2946</v>
      </c>
      <c r="C478" t="str">
        <f t="shared" si="22"/>
        <v>Full</v>
      </c>
      <c r="E478" s="65">
        <v>5894</v>
      </c>
      <c r="F478" t="s">
        <v>2108</v>
      </c>
      <c r="G478" s="71" t="s">
        <v>3943</v>
      </c>
      <c r="H478" s="67">
        <v>4.5000001788139302E-2</v>
      </c>
      <c r="I478" s="65">
        <v>526821</v>
      </c>
      <c r="J478" s="65">
        <v>176772</v>
      </c>
      <c r="L478" s="65" t="s">
        <v>541</v>
      </c>
      <c r="M478" s="65" t="s">
        <v>27</v>
      </c>
      <c r="N478" s="69">
        <v>42265</v>
      </c>
      <c r="O478" s="69">
        <v>42394</v>
      </c>
      <c r="R478" s="65" t="s">
        <v>28</v>
      </c>
      <c r="U478" t="s">
        <v>542</v>
      </c>
      <c r="V478" t="s">
        <v>3443</v>
      </c>
      <c r="W478" s="65" t="s">
        <v>39</v>
      </c>
      <c r="X478" s="65" t="s">
        <v>39</v>
      </c>
      <c r="Y478" s="65" t="s">
        <v>69</v>
      </c>
      <c r="AD478" s="65" t="s">
        <v>23</v>
      </c>
      <c r="AE478" s="65" t="s">
        <v>24</v>
      </c>
      <c r="BO478" s="185" t="s">
        <v>3794</v>
      </c>
      <c r="BP478" s="185" t="s">
        <v>3794</v>
      </c>
      <c r="BQ478" s="185" t="s">
        <v>3794</v>
      </c>
      <c r="BW478" s="73"/>
      <c r="BY478" s="185" t="s">
        <v>3794</v>
      </c>
      <c r="CJ478" t="s">
        <v>25</v>
      </c>
      <c r="CK478" t="s">
        <v>25</v>
      </c>
      <c r="CL478" t="s">
        <v>25</v>
      </c>
      <c r="CM478" t="s">
        <v>25</v>
      </c>
      <c r="CN478" t="s">
        <v>25</v>
      </c>
      <c r="CO478" t="s">
        <v>25</v>
      </c>
      <c r="CP478" t="s">
        <v>25</v>
      </c>
      <c r="CQ478" t="s">
        <v>25</v>
      </c>
      <c r="CR478" t="s">
        <v>25</v>
      </c>
      <c r="CS478" t="s">
        <v>25</v>
      </c>
      <c r="CT478" t="s">
        <v>25</v>
      </c>
      <c r="CU478" t="s">
        <v>25</v>
      </c>
      <c r="CV478" t="s">
        <v>25</v>
      </c>
      <c r="CW478" t="s">
        <v>25</v>
      </c>
      <c r="CX478" t="s">
        <v>25</v>
      </c>
      <c r="CY478" t="s">
        <v>25</v>
      </c>
      <c r="CZ478" t="s">
        <v>25</v>
      </c>
      <c r="DA478" t="s">
        <v>25</v>
      </c>
      <c r="DB478" t="s">
        <v>25</v>
      </c>
      <c r="DC478" t="s">
        <v>25</v>
      </c>
      <c r="DD478" t="s">
        <v>25</v>
      </c>
      <c r="DE478" t="s">
        <v>25</v>
      </c>
      <c r="DF478" t="s">
        <v>25</v>
      </c>
      <c r="DG478" t="s">
        <v>25</v>
      </c>
      <c r="DH478" t="s">
        <v>25</v>
      </c>
      <c r="DI478" t="s">
        <v>25</v>
      </c>
      <c r="DJ478" s="76">
        <v>3.500000201165672E-2</v>
      </c>
      <c r="DK478" s="73">
        <v>0</v>
      </c>
      <c r="DL478" s="73">
        <v>20</v>
      </c>
      <c r="DM478" s="73">
        <v>-20</v>
      </c>
      <c r="DU478"/>
      <c r="DZ478" s="73">
        <v>99</v>
      </c>
      <c r="EA478" s="73">
        <v>0</v>
      </c>
      <c r="EB478" s="73">
        <v>99</v>
      </c>
      <c r="EC478" s="65" t="s">
        <v>126</v>
      </c>
    </row>
    <row r="479" spans="1:133" ht="12" customHeight="1" x14ac:dyDescent="0.2">
      <c r="A479" t="s">
        <v>2935</v>
      </c>
      <c r="B479" t="s">
        <v>2946</v>
      </c>
      <c r="C479" t="str">
        <f t="shared" si="22"/>
        <v>Full</v>
      </c>
      <c r="E479" s="65">
        <v>5909</v>
      </c>
      <c r="F479" t="s">
        <v>2109</v>
      </c>
      <c r="G479" s="71" t="s">
        <v>3941</v>
      </c>
      <c r="H479" s="67">
        <v>1.7000000923872001E-2</v>
      </c>
      <c r="I479" s="65">
        <v>527564</v>
      </c>
      <c r="J479" s="65">
        <v>173450</v>
      </c>
      <c r="L479" s="65" t="s">
        <v>269</v>
      </c>
      <c r="M479" s="65" t="s">
        <v>27</v>
      </c>
      <c r="N479" s="69">
        <v>42072</v>
      </c>
      <c r="O479" s="69">
        <v>42206</v>
      </c>
      <c r="R479" s="65" t="s">
        <v>28</v>
      </c>
      <c r="U479" t="s">
        <v>736</v>
      </c>
      <c r="V479" t="s">
        <v>3444</v>
      </c>
      <c r="W479" s="65" t="s">
        <v>34</v>
      </c>
      <c r="X479" s="65" t="s">
        <v>29</v>
      </c>
      <c r="Y479" s="65" t="s">
        <v>30</v>
      </c>
      <c r="AA479" s="69">
        <v>43190</v>
      </c>
      <c r="AD479" s="65" t="s">
        <v>23</v>
      </c>
      <c r="AE479" s="65" t="s">
        <v>24</v>
      </c>
      <c r="AH479" s="69">
        <f t="shared" si="21"/>
        <v>43190</v>
      </c>
      <c r="AJ479" s="73">
        <v>52</v>
      </c>
      <c r="AO479" s="73">
        <v>52</v>
      </c>
      <c r="AZ479" s="73">
        <v>62</v>
      </c>
      <c r="BE479" s="73">
        <v>62</v>
      </c>
      <c r="BO479" s="185" t="s">
        <v>126</v>
      </c>
      <c r="BP479" s="185" t="s">
        <v>3794</v>
      </c>
      <c r="BQ479" s="185" t="s">
        <v>3794</v>
      </c>
      <c r="BR479" s="73">
        <v>-10</v>
      </c>
      <c r="BW479" s="73">
        <v>-10</v>
      </c>
      <c r="BY479" s="185" t="s">
        <v>3794</v>
      </c>
      <c r="CJ479" t="s">
        <v>31</v>
      </c>
      <c r="CK479" t="s">
        <v>25</v>
      </c>
      <c r="CL479" t="s">
        <v>25</v>
      </c>
      <c r="CM479" t="s">
        <v>25</v>
      </c>
      <c r="CN479" t="s">
        <v>25</v>
      </c>
      <c r="CO479" t="s">
        <v>25</v>
      </c>
      <c r="CP479" t="s">
        <v>25</v>
      </c>
      <c r="CQ479" t="s">
        <v>25</v>
      </c>
      <c r="CR479" t="s">
        <v>25</v>
      </c>
      <c r="CS479" t="s">
        <v>25</v>
      </c>
      <c r="CT479" t="s">
        <v>25</v>
      </c>
      <c r="CU479" t="s">
        <v>25</v>
      </c>
      <c r="CV479" t="s">
        <v>25</v>
      </c>
      <c r="CW479" t="s">
        <v>31</v>
      </c>
      <c r="CX479" t="s">
        <v>25</v>
      </c>
      <c r="CY479" t="s">
        <v>25</v>
      </c>
      <c r="CZ479" t="s">
        <v>25</v>
      </c>
      <c r="DA479" t="s">
        <v>25</v>
      </c>
      <c r="DB479" t="s">
        <v>25</v>
      </c>
      <c r="DC479" t="s">
        <v>25</v>
      </c>
      <c r="DD479" t="s">
        <v>25</v>
      </c>
      <c r="DE479" t="s">
        <v>25</v>
      </c>
      <c r="DF479" t="s">
        <v>25</v>
      </c>
      <c r="DG479" t="s">
        <v>25</v>
      </c>
      <c r="DH479" t="s">
        <v>25</v>
      </c>
      <c r="DI479" t="s">
        <v>25</v>
      </c>
      <c r="DJ479" s="76">
        <v>6.0000009834766006E-3</v>
      </c>
      <c r="DK479" s="73">
        <v>52</v>
      </c>
      <c r="DL479" s="73">
        <v>62</v>
      </c>
      <c r="DM479" s="73">
        <v>-10</v>
      </c>
      <c r="DU479"/>
      <c r="DX479" s="65" t="s">
        <v>126</v>
      </c>
      <c r="DY479" t="s">
        <v>255</v>
      </c>
      <c r="DZ479" s="73">
        <v>188</v>
      </c>
      <c r="EA479" s="73">
        <v>92</v>
      </c>
      <c r="EB479" s="73">
        <v>96</v>
      </c>
      <c r="EC479" s="65" t="s">
        <v>126</v>
      </c>
    </row>
    <row r="480" spans="1:133" ht="12" customHeight="1" x14ac:dyDescent="0.2">
      <c r="A480" t="s">
        <v>2937</v>
      </c>
      <c r="B480" t="s">
        <v>2946</v>
      </c>
      <c r="C480" t="str">
        <f t="shared" si="22"/>
        <v>Full</v>
      </c>
      <c r="E480" s="65">
        <v>5918</v>
      </c>
      <c r="F480" t="s">
        <v>2110</v>
      </c>
      <c r="G480" s="71" t="s">
        <v>3946</v>
      </c>
      <c r="H480" s="67">
        <v>7.0000002160668399E-3</v>
      </c>
      <c r="I480" s="65">
        <v>523322</v>
      </c>
      <c r="J480" s="65">
        <v>175861</v>
      </c>
      <c r="L480" s="65" t="s">
        <v>275</v>
      </c>
      <c r="M480" s="65" t="s">
        <v>27</v>
      </c>
      <c r="N480" s="69">
        <v>42086</v>
      </c>
      <c r="O480" s="69">
        <v>42146</v>
      </c>
      <c r="R480" s="65" t="s">
        <v>28</v>
      </c>
      <c r="U480" t="s">
        <v>276</v>
      </c>
      <c r="V480" t="s">
        <v>3445</v>
      </c>
      <c r="W480" s="65" t="s">
        <v>34</v>
      </c>
      <c r="X480" s="65" t="s">
        <v>29</v>
      </c>
      <c r="Y480" s="65" t="s">
        <v>69</v>
      </c>
      <c r="AD480" s="65" t="s">
        <v>23</v>
      </c>
      <c r="AE480" s="65" t="s">
        <v>24</v>
      </c>
      <c r="AJ480" s="73">
        <v>26</v>
      </c>
      <c r="AK480" s="73">
        <v>30</v>
      </c>
      <c r="AO480" s="73">
        <v>56</v>
      </c>
      <c r="BB480" s="73">
        <v>136</v>
      </c>
      <c r="BE480" s="73">
        <v>136</v>
      </c>
      <c r="BO480" s="185" t="s">
        <v>126</v>
      </c>
      <c r="BP480" s="185" t="s">
        <v>3794</v>
      </c>
      <c r="BQ480" s="185" t="s">
        <v>3794</v>
      </c>
      <c r="BR480" s="73">
        <v>26</v>
      </c>
      <c r="BS480" s="73">
        <v>30</v>
      </c>
      <c r="BT480" s="73">
        <v>-136</v>
      </c>
      <c r="BW480" s="73">
        <v>-80</v>
      </c>
      <c r="BY480" s="185" t="s">
        <v>3794</v>
      </c>
      <c r="CJ480" t="s">
        <v>31</v>
      </c>
      <c r="CK480" t="s">
        <v>31</v>
      </c>
      <c r="CL480" t="s">
        <v>25</v>
      </c>
      <c r="CM480" t="s">
        <v>25</v>
      </c>
      <c r="CN480" t="s">
        <v>25</v>
      </c>
      <c r="CO480" t="s">
        <v>25</v>
      </c>
      <c r="CP480" t="s">
        <v>25</v>
      </c>
      <c r="CQ480" t="s">
        <v>25</v>
      </c>
      <c r="CR480" t="s">
        <v>25</v>
      </c>
      <c r="CS480" t="s">
        <v>25</v>
      </c>
      <c r="CT480" t="s">
        <v>25</v>
      </c>
      <c r="CU480" t="s">
        <v>25</v>
      </c>
      <c r="CV480" t="s">
        <v>25</v>
      </c>
      <c r="CW480" t="s">
        <v>25</v>
      </c>
      <c r="CX480" t="s">
        <v>25</v>
      </c>
      <c r="CY480" t="s">
        <v>38</v>
      </c>
      <c r="CZ480" t="s">
        <v>25</v>
      </c>
      <c r="DA480" t="s">
        <v>25</v>
      </c>
      <c r="DB480" t="s">
        <v>25</v>
      </c>
      <c r="DC480" t="s">
        <v>25</v>
      </c>
      <c r="DD480" t="s">
        <v>25</v>
      </c>
      <c r="DE480" t="s">
        <v>25</v>
      </c>
      <c r="DF480" t="s">
        <v>25</v>
      </c>
      <c r="DG480" t="s">
        <v>25</v>
      </c>
      <c r="DH480" t="s">
        <v>25</v>
      </c>
      <c r="DI480" t="s">
        <v>25</v>
      </c>
      <c r="DJ480" s="76">
        <v>2.0000003278255497E-3</v>
      </c>
      <c r="DK480" s="73">
        <v>56</v>
      </c>
      <c r="DL480" s="73">
        <v>136</v>
      </c>
      <c r="DM480" s="73">
        <v>-80</v>
      </c>
      <c r="DU480"/>
      <c r="DZ480" s="73">
        <v>62</v>
      </c>
      <c r="EA480" s="73">
        <v>0</v>
      </c>
      <c r="EB480" s="73">
        <v>62</v>
      </c>
      <c r="EC480" s="65" t="s">
        <v>126</v>
      </c>
    </row>
    <row r="481" spans="1:133" ht="12" customHeight="1" x14ac:dyDescent="0.2">
      <c r="A481" t="s">
        <v>2937</v>
      </c>
      <c r="B481" t="s">
        <v>2948</v>
      </c>
      <c r="C481" t="str">
        <f t="shared" si="22"/>
        <v>Prior Approval</v>
      </c>
      <c r="E481" s="65">
        <v>5920</v>
      </c>
      <c r="F481" t="s">
        <v>2111</v>
      </c>
      <c r="G481" s="71" t="s">
        <v>3949</v>
      </c>
      <c r="H481" s="67">
        <v>6.0000000521540598E-3</v>
      </c>
      <c r="I481" s="65">
        <v>524021</v>
      </c>
      <c r="J481" s="65">
        <v>175002</v>
      </c>
      <c r="L481" s="65" t="s">
        <v>446</v>
      </c>
      <c r="M481" s="65" t="s">
        <v>244</v>
      </c>
      <c r="N481" s="69">
        <v>42117</v>
      </c>
      <c r="O481" s="69">
        <v>42177</v>
      </c>
      <c r="R481" s="65" t="s">
        <v>28</v>
      </c>
      <c r="U481" t="s">
        <v>447</v>
      </c>
      <c r="V481" t="s">
        <v>3214</v>
      </c>
      <c r="W481" s="65" t="s">
        <v>21</v>
      </c>
      <c r="X481" s="65" t="s">
        <v>21</v>
      </c>
      <c r="Y481" s="65" t="s">
        <v>69</v>
      </c>
      <c r="AD481" s="65" t="s">
        <v>23</v>
      </c>
      <c r="AE481" s="65" t="s">
        <v>24</v>
      </c>
      <c r="BF481" s="73">
        <v>167</v>
      </c>
      <c r="BK481" s="73">
        <v>167</v>
      </c>
      <c r="BO481" s="185" t="s">
        <v>3794</v>
      </c>
      <c r="BP481" s="185" t="s">
        <v>126</v>
      </c>
      <c r="BQ481" s="185" t="s">
        <v>3794</v>
      </c>
      <c r="BW481" s="73"/>
      <c r="BX481" s="73">
        <v>-167</v>
      </c>
      <c r="BY481" s="185" t="s">
        <v>126</v>
      </c>
      <c r="CD481" s="73">
        <v>-167</v>
      </c>
      <c r="CE481" s="65" t="s">
        <v>126</v>
      </c>
      <c r="CJ481" t="s">
        <v>25</v>
      </c>
      <c r="CK481" t="s">
        <v>25</v>
      </c>
      <c r="CL481" t="s">
        <v>25</v>
      </c>
      <c r="CM481" t="s">
        <v>25</v>
      </c>
      <c r="CN481" t="s">
        <v>25</v>
      </c>
      <c r="CO481" t="s">
        <v>25</v>
      </c>
      <c r="CP481" t="s">
        <v>25</v>
      </c>
      <c r="CQ481" t="s">
        <v>25</v>
      </c>
      <c r="CR481" t="s">
        <v>25</v>
      </c>
      <c r="CS481" t="s">
        <v>25</v>
      </c>
      <c r="CT481" t="s">
        <v>25</v>
      </c>
      <c r="CU481" t="s">
        <v>25</v>
      </c>
      <c r="CV481" t="s">
        <v>25</v>
      </c>
      <c r="CW481" t="s">
        <v>25</v>
      </c>
      <c r="CX481" t="s">
        <v>25</v>
      </c>
      <c r="CY481" t="s">
        <v>25</v>
      </c>
      <c r="CZ481" t="s">
        <v>25</v>
      </c>
      <c r="DA481" t="s">
        <v>25</v>
      </c>
      <c r="DB481" t="s">
        <v>31</v>
      </c>
      <c r="DC481" t="s">
        <v>25</v>
      </c>
      <c r="DD481" t="s">
        <v>25</v>
      </c>
      <c r="DE481" t="s">
        <v>25</v>
      </c>
      <c r="DF481" t="s">
        <v>25</v>
      </c>
      <c r="DG481" t="s">
        <v>25</v>
      </c>
      <c r="DH481" t="s">
        <v>25</v>
      </c>
      <c r="DI481" t="s">
        <v>25</v>
      </c>
      <c r="DJ481" s="76">
        <v>0</v>
      </c>
      <c r="DK481" s="73">
        <v>0</v>
      </c>
      <c r="DL481" s="73">
        <v>167</v>
      </c>
      <c r="DM481" s="73">
        <v>-167</v>
      </c>
      <c r="DU481"/>
      <c r="DV481" s="65" t="s">
        <v>126</v>
      </c>
      <c r="DW481" t="s">
        <v>131</v>
      </c>
      <c r="DZ481" s="73">
        <v>167</v>
      </c>
      <c r="EA481" s="73">
        <v>0</v>
      </c>
      <c r="EB481" s="73">
        <v>167</v>
      </c>
      <c r="EC481" s="65" t="s">
        <v>126</v>
      </c>
    </row>
    <row r="482" spans="1:133" ht="12" customHeight="1" x14ac:dyDescent="0.2">
      <c r="A482" t="s">
        <v>2935</v>
      </c>
      <c r="B482" t="s">
        <v>2948</v>
      </c>
      <c r="C482" t="str">
        <f t="shared" si="22"/>
        <v>Prior Approval</v>
      </c>
      <c r="E482" s="65">
        <v>5924</v>
      </c>
      <c r="F482" t="s">
        <v>2112</v>
      </c>
      <c r="G482" s="71" t="s">
        <v>149</v>
      </c>
      <c r="H482" s="67">
        <v>1.4999999664723899E-2</v>
      </c>
      <c r="I482" s="65">
        <v>528796</v>
      </c>
      <c r="J482" s="65">
        <v>173797</v>
      </c>
      <c r="L482" s="65" t="s">
        <v>459</v>
      </c>
      <c r="M482" s="65" t="s">
        <v>244</v>
      </c>
      <c r="N482" s="69">
        <v>42122</v>
      </c>
      <c r="O482" s="69">
        <v>42178</v>
      </c>
      <c r="R482" s="65" t="s">
        <v>28</v>
      </c>
      <c r="U482" t="s">
        <v>460</v>
      </c>
      <c r="V482" t="s">
        <v>3446</v>
      </c>
      <c r="W482" s="65" t="s">
        <v>21</v>
      </c>
      <c r="X482" s="65" t="s">
        <v>21</v>
      </c>
      <c r="Y482" s="65" t="s">
        <v>30</v>
      </c>
      <c r="AA482" s="69">
        <v>43190</v>
      </c>
      <c r="AD482" s="65" t="s">
        <v>23</v>
      </c>
      <c r="AE482" s="65" t="s">
        <v>24</v>
      </c>
      <c r="AH482" s="69">
        <f t="shared" si="21"/>
        <v>43190</v>
      </c>
      <c r="BF482" s="73">
        <v>130</v>
      </c>
      <c r="BK482" s="73">
        <v>130</v>
      </c>
      <c r="BO482" s="185" t="s">
        <v>3794</v>
      </c>
      <c r="BP482" s="185" t="s">
        <v>126</v>
      </c>
      <c r="BQ482" s="185" t="s">
        <v>3794</v>
      </c>
      <c r="BW482" s="73"/>
      <c r="BX482" s="73">
        <v>-130</v>
      </c>
      <c r="BY482" s="185" t="s">
        <v>126</v>
      </c>
      <c r="CD482" s="73">
        <v>-130</v>
      </c>
      <c r="CE482" s="65" t="s">
        <v>126</v>
      </c>
      <c r="CJ482" t="s">
        <v>25</v>
      </c>
      <c r="CK482" t="s">
        <v>25</v>
      </c>
      <c r="CL482" t="s">
        <v>25</v>
      </c>
      <c r="CM482" t="s">
        <v>25</v>
      </c>
      <c r="CN482" t="s">
        <v>25</v>
      </c>
      <c r="CO482" t="s">
        <v>25</v>
      </c>
      <c r="CP482" t="s">
        <v>25</v>
      </c>
      <c r="CQ482" t="s">
        <v>25</v>
      </c>
      <c r="CR482" t="s">
        <v>25</v>
      </c>
      <c r="CS482" t="s">
        <v>25</v>
      </c>
      <c r="CT482" t="s">
        <v>25</v>
      </c>
      <c r="CU482" t="s">
        <v>25</v>
      </c>
      <c r="CV482" t="s">
        <v>25</v>
      </c>
      <c r="CW482" t="s">
        <v>25</v>
      </c>
      <c r="CX482" t="s">
        <v>25</v>
      </c>
      <c r="CY482" t="s">
        <v>25</v>
      </c>
      <c r="CZ482" t="s">
        <v>25</v>
      </c>
      <c r="DA482" t="s">
        <v>25</v>
      </c>
      <c r="DB482" t="s">
        <v>49</v>
      </c>
      <c r="DC482" t="s">
        <v>25</v>
      </c>
      <c r="DD482" t="s">
        <v>25</v>
      </c>
      <c r="DE482" t="s">
        <v>25</v>
      </c>
      <c r="DF482" t="s">
        <v>25</v>
      </c>
      <c r="DG482" t="s">
        <v>25</v>
      </c>
      <c r="DH482" t="s">
        <v>25</v>
      </c>
      <c r="DI482" t="s">
        <v>25</v>
      </c>
      <c r="DJ482" s="76">
        <v>9.9999997764826098E-3</v>
      </c>
      <c r="DK482" s="73">
        <v>0</v>
      </c>
      <c r="DL482" s="73">
        <v>130</v>
      </c>
      <c r="DM482" s="73">
        <v>-130</v>
      </c>
      <c r="DU482"/>
      <c r="DZ482" s="73">
        <v>130</v>
      </c>
      <c r="EA482" s="73">
        <v>0</v>
      </c>
      <c r="EB482" s="73">
        <v>130</v>
      </c>
      <c r="EC482" s="65" t="s">
        <v>126</v>
      </c>
    </row>
    <row r="483" spans="1:133" ht="12" customHeight="1" x14ac:dyDescent="0.2">
      <c r="A483" t="s">
        <v>2935</v>
      </c>
      <c r="B483" t="s">
        <v>2946</v>
      </c>
      <c r="C483" t="str">
        <f t="shared" si="22"/>
        <v>Full</v>
      </c>
      <c r="E483" s="65">
        <v>5924</v>
      </c>
      <c r="F483" t="s">
        <v>2112</v>
      </c>
      <c r="G483" s="71" t="s">
        <v>149</v>
      </c>
      <c r="H483" s="67">
        <v>1.4999999664723899E-2</v>
      </c>
      <c r="I483" s="65">
        <v>528796</v>
      </c>
      <c r="J483" s="65">
        <v>173797</v>
      </c>
      <c r="L483" s="65" t="s">
        <v>748</v>
      </c>
      <c r="M483" s="65" t="s">
        <v>27</v>
      </c>
      <c r="N483" s="69">
        <v>42151</v>
      </c>
      <c r="O483" s="69">
        <v>42207</v>
      </c>
      <c r="R483" s="65" t="s">
        <v>28</v>
      </c>
      <c r="U483" t="s">
        <v>749</v>
      </c>
      <c r="V483" t="s">
        <v>3447</v>
      </c>
      <c r="W483" s="65" t="s">
        <v>39</v>
      </c>
      <c r="X483" s="65" t="s">
        <v>39</v>
      </c>
      <c r="Y483" s="65" t="s">
        <v>30</v>
      </c>
      <c r="AA483" s="69">
        <v>43190</v>
      </c>
      <c r="AD483" s="65" t="s">
        <v>23</v>
      </c>
      <c r="AE483" s="65" t="s">
        <v>24</v>
      </c>
      <c r="AH483" s="69">
        <f t="shared" si="21"/>
        <v>43190</v>
      </c>
      <c r="AP483" s="73">
        <v>101</v>
      </c>
      <c r="AS483" s="73">
        <v>101</v>
      </c>
      <c r="AV483" s="73">
        <v>101</v>
      </c>
      <c r="BO483" s="185" t="s">
        <v>3794</v>
      </c>
      <c r="BP483" s="185" t="s">
        <v>126</v>
      </c>
      <c r="BQ483" s="185" t="s">
        <v>3794</v>
      </c>
      <c r="BW483" s="73"/>
      <c r="BX483" s="73">
        <v>101</v>
      </c>
      <c r="BY483" s="185" t="s">
        <v>3794</v>
      </c>
      <c r="CD483" s="73">
        <v>101</v>
      </c>
      <c r="CJ483" t="s">
        <v>25</v>
      </c>
      <c r="CK483" t="s">
        <v>25</v>
      </c>
      <c r="CL483" t="s">
        <v>25</v>
      </c>
      <c r="CM483" t="s">
        <v>25</v>
      </c>
      <c r="CN483" t="s">
        <v>25</v>
      </c>
      <c r="CO483" t="s">
        <v>31</v>
      </c>
      <c r="CP483" t="s">
        <v>25</v>
      </c>
      <c r="CQ483" t="s">
        <v>25</v>
      </c>
      <c r="CR483" t="s">
        <v>25</v>
      </c>
      <c r="CS483" t="s">
        <v>25</v>
      </c>
      <c r="CT483" t="s">
        <v>25</v>
      </c>
      <c r="CU483" t="s">
        <v>25</v>
      </c>
      <c r="CV483" t="s">
        <v>25</v>
      </c>
      <c r="CW483" t="s">
        <v>25</v>
      </c>
      <c r="CX483" t="s">
        <v>25</v>
      </c>
      <c r="CY483" t="s">
        <v>25</v>
      </c>
      <c r="CZ483" t="s">
        <v>25</v>
      </c>
      <c r="DA483" t="s">
        <v>25</v>
      </c>
      <c r="DB483" t="s">
        <v>25</v>
      </c>
      <c r="DC483" t="s">
        <v>25</v>
      </c>
      <c r="DD483" t="s">
        <v>25</v>
      </c>
      <c r="DE483" t="s">
        <v>25</v>
      </c>
      <c r="DF483" t="s">
        <v>25</v>
      </c>
      <c r="DG483" t="s">
        <v>25</v>
      </c>
      <c r="DH483" t="s">
        <v>25</v>
      </c>
      <c r="DI483" t="s">
        <v>25</v>
      </c>
      <c r="DJ483" s="76">
        <v>1.4999999664723899E-2</v>
      </c>
      <c r="DK483" s="73">
        <v>101</v>
      </c>
      <c r="DL483" s="73">
        <v>0</v>
      </c>
      <c r="DM483" s="73">
        <v>101</v>
      </c>
      <c r="DU483"/>
      <c r="DZ483" s="73">
        <v>0</v>
      </c>
      <c r="EA483" s="73">
        <v>0</v>
      </c>
      <c r="EB483" s="73">
        <v>0</v>
      </c>
    </row>
    <row r="484" spans="1:133" ht="12" customHeight="1" x14ac:dyDescent="0.2">
      <c r="A484" t="s">
        <v>2936</v>
      </c>
      <c r="B484" t="s">
        <v>2946</v>
      </c>
      <c r="C484" t="str">
        <f t="shared" si="22"/>
        <v>Full</v>
      </c>
      <c r="D484" t="s">
        <v>2943</v>
      </c>
      <c r="E484" s="65">
        <v>5930</v>
      </c>
      <c r="F484" t="s">
        <v>2113</v>
      </c>
      <c r="G484" s="71" t="s">
        <v>2904</v>
      </c>
      <c r="H484" s="67">
        <v>2.70000007003546E-2</v>
      </c>
      <c r="I484" s="65">
        <v>526145</v>
      </c>
      <c r="J484" s="65">
        <v>172581</v>
      </c>
      <c r="L484" s="65" t="s">
        <v>437</v>
      </c>
      <c r="M484" s="65" t="s">
        <v>27</v>
      </c>
      <c r="N484" s="69">
        <v>42135</v>
      </c>
      <c r="O484" s="69">
        <v>42187</v>
      </c>
      <c r="R484" s="65" t="s">
        <v>28</v>
      </c>
      <c r="U484" t="s">
        <v>732</v>
      </c>
      <c r="V484" t="s">
        <v>3448</v>
      </c>
      <c r="W484" s="65" t="s">
        <v>34</v>
      </c>
      <c r="X484" s="65" t="s">
        <v>29</v>
      </c>
      <c r="Y484" s="65" t="s">
        <v>35</v>
      </c>
      <c r="AA484" s="69">
        <v>42326</v>
      </c>
      <c r="AB484" s="69">
        <v>43189</v>
      </c>
      <c r="AC484" s="69">
        <v>43189</v>
      </c>
      <c r="AD484" s="65" t="s">
        <v>23</v>
      </c>
      <c r="AE484" s="65" t="s">
        <v>24</v>
      </c>
      <c r="AH484" s="69">
        <f t="shared" si="21"/>
        <v>42326</v>
      </c>
      <c r="AI484" s="69">
        <f t="shared" si="23"/>
        <v>43189</v>
      </c>
      <c r="AJ484" s="73">
        <v>75</v>
      </c>
      <c r="AO484" s="73">
        <v>75</v>
      </c>
      <c r="AZ484" s="73">
        <v>141</v>
      </c>
      <c r="BE484" s="73">
        <v>141</v>
      </c>
      <c r="BO484" s="185" t="s">
        <v>126</v>
      </c>
      <c r="BP484" s="185" t="s">
        <v>3794</v>
      </c>
      <c r="BQ484" s="185" t="s">
        <v>3794</v>
      </c>
      <c r="BR484" s="73">
        <v>-66</v>
      </c>
      <c r="BW484" s="73">
        <v>-66</v>
      </c>
      <c r="BY484" s="185" t="s">
        <v>3794</v>
      </c>
      <c r="CJ484" t="s">
        <v>40</v>
      </c>
      <c r="CK484" t="s">
        <v>25</v>
      </c>
      <c r="CL484" t="s">
        <v>25</v>
      </c>
      <c r="CM484" t="s">
        <v>25</v>
      </c>
      <c r="CN484" t="s">
        <v>25</v>
      </c>
      <c r="CO484" t="s">
        <v>25</v>
      </c>
      <c r="CP484" t="s">
        <v>25</v>
      </c>
      <c r="CQ484" t="s">
        <v>25</v>
      </c>
      <c r="CR484" t="s">
        <v>25</v>
      </c>
      <c r="CS484" t="s">
        <v>25</v>
      </c>
      <c r="CT484" t="s">
        <v>25</v>
      </c>
      <c r="CU484" t="s">
        <v>25</v>
      </c>
      <c r="CV484" t="s">
        <v>25</v>
      </c>
      <c r="CW484" t="s">
        <v>40</v>
      </c>
      <c r="CX484" t="s">
        <v>25</v>
      </c>
      <c r="CY484" t="s">
        <v>25</v>
      </c>
      <c r="CZ484" t="s">
        <v>25</v>
      </c>
      <c r="DA484" t="s">
        <v>25</v>
      </c>
      <c r="DB484" t="s">
        <v>25</v>
      </c>
      <c r="DC484" t="s">
        <v>25</v>
      </c>
      <c r="DD484" t="s">
        <v>25</v>
      </c>
      <c r="DE484" t="s">
        <v>25</v>
      </c>
      <c r="DF484" t="s">
        <v>25</v>
      </c>
      <c r="DG484" t="s">
        <v>25</v>
      </c>
      <c r="DH484" t="s">
        <v>25</v>
      </c>
      <c r="DI484" t="s">
        <v>25</v>
      </c>
      <c r="DJ484" s="76">
        <v>4.0000006556510995E-3</v>
      </c>
      <c r="DK484" s="73">
        <v>75</v>
      </c>
      <c r="DL484" s="73">
        <v>141</v>
      </c>
      <c r="DM484" s="73">
        <v>-66</v>
      </c>
      <c r="DU484"/>
      <c r="DZ484" s="73">
        <v>237</v>
      </c>
      <c r="EA484" s="73">
        <v>0</v>
      </c>
      <c r="EB484" s="73">
        <v>237</v>
      </c>
      <c r="EC484" s="65" t="s">
        <v>126</v>
      </c>
    </row>
    <row r="485" spans="1:133" ht="12" customHeight="1" x14ac:dyDescent="0.2">
      <c r="A485" t="s">
        <v>2936</v>
      </c>
      <c r="B485" t="s">
        <v>2946</v>
      </c>
      <c r="C485" t="str">
        <f t="shared" si="22"/>
        <v>Full</v>
      </c>
      <c r="D485" t="s">
        <v>2942</v>
      </c>
      <c r="E485" s="65">
        <v>5931</v>
      </c>
      <c r="F485" t="s">
        <v>2114</v>
      </c>
      <c r="G485" s="71" t="s">
        <v>3950</v>
      </c>
      <c r="H485" s="67">
        <v>0.12600000202655801</v>
      </c>
      <c r="I485" s="65">
        <v>529306</v>
      </c>
      <c r="J485" s="65">
        <v>171047</v>
      </c>
      <c r="L485" s="65" t="s">
        <v>449</v>
      </c>
      <c r="M485" s="65" t="s">
        <v>27</v>
      </c>
      <c r="N485" s="69">
        <v>42109</v>
      </c>
      <c r="O485" s="69">
        <v>42230</v>
      </c>
      <c r="R485" s="65" t="s">
        <v>28</v>
      </c>
      <c r="U485" t="s">
        <v>450</v>
      </c>
      <c r="V485" t="s">
        <v>3449</v>
      </c>
      <c r="W485" s="65" t="s">
        <v>29</v>
      </c>
      <c r="X485" s="65" t="s">
        <v>29</v>
      </c>
      <c r="Y485" s="65" t="s">
        <v>22</v>
      </c>
      <c r="AA485" s="69">
        <v>42825</v>
      </c>
      <c r="AB485" s="69">
        <v>43190</v>
      </c>
      <c r="AD485" s="65" t="s">
        <v>23</v>
      </c>
      <c r="AE485" s="65" t="s">
        <v>24</v>
      </c>
      <c r="AH485" s="69">
        <f t="shared" si="21"/>
        <v>42825</v>
      </c>
      <c r="AI485" s="69">
        <f t="shared" si="23"/>
        <v>43190</v>
      </c>
      <c r="BF485" s="73">
        <v>601</v>
      </c>
      <c r="BK485" s="73">
        <v>601</v>
      </c>
      <c r="BO485" s="185" t="s">
        <v>3794</v>
      </c>
      <c r="BP485" s="185" t="s">
        <v>126</v>
      </c>
      <c r="BQ485" s="185" t="s">
        <v>3794</v>
      </c>
      <c r="BW485" s="73"/>
      <c r="BX485" s="73">
        <v>-601</v>
      </c>
      <c r="BY485" s="185" t="s">
        <v>126</v>
      </c>
      <c r="CD485" s="73">
        <v>-601</v>
      </c>
      <c r="CE485" s="65" t="s">
        <v>126</v>
      </c>
      <c r="CJ485" t="s">
        <v>25</v>
      </c>
      <c r="CK485" t="s">
        <v>25</v>
      </c>
      <c r="CL485" t="s">
        <v>25</v>
      </c>
      <c r="CM485" t="s">
        <v>25</v>
      </c>
      <c r="CN485" t="s">
        <v>25</v>
      </c>
      <c r="CO485" t="s">
        <v>25</v>
      </c>
      <c r="CP485" t="s">
        <v>25</v>
      </c>
      <c r="CQ485" t="s">
        <v>25</v>
      </c>
      <c r="CR485" t="s">
        <v>25</v>
      </c>
      <c r="CS485" t="s">
        <v>25</v>
      </c>
      <c r="CT485" t="s">
        <v>25</v>
      </c>
      <c r="CU485" t="s">
        <v>25</v>
      </c>
      <c r="CV485" t="s">
        <v>25</v>
      </c>
      <c r="CW485" t="s">
        <v>25</v>
      </c>
      <c r="CX485" t="s">
        <v>25</v>
      </c>
      <c r="CY485" t="s">
        <v>25</v>
      </c>
      <c r="CZ485" t="s">
        <v>25</v>
      </c>
      <c r="DA485" t="s">
        <v>25</v>
      </c>
      <c r="DB485" t="s">
        <v>49</v>
      </c>
      <c r="DC485" t="s">
        <v>25</v>
      </c>
      <c r="DD485" t="s">
        <v>25</v>
      </c>
      <c r="DE485" t="s">
        <v>25</v>
      </c>
      <c r="DF485" t="s">
        <v>25</v>
      </c>
      <c r="DG485" t="s">
        <v>25</v>
      </c>
      <c r="DH485" t="s">
        <v>25</v>
      </c>
      <c r="DI485" t="s">
        <v>25</v>
      </c>
      <c r="DJ485" s="76">
        <v>0</v>
      </c>
      <c r="DK485" s="73">
        <v>0</v>
      </c>
      <c r="DL485" s="73">
        <v>601</v>
      </c>
      <c r="DM485" s="73">
        <v>-601</v>
      </c>
      <c r="DU485"/>
      <c r="DZ485" s="73">
        <v>965</v>
      </c>
      <c r="EA485" s="73">
        <v>0</v>
      </c>
      <c r="EB485" s="73">
        <v>965</v>
      </c>
      <c r="EC485" s="65" t="s">
        <v>126</v>
      </c>
    </row>
    <row r="486" spans="1:133" ht="12" customHeight="1" x14ac:dyDescent="0.2">
      <c r="A486" t="s">
        <v>2936</v>
      </c>
      <c r="B486" t="s">
        <v>2948</v>
      </c>
      <c r="C486" t="str">
        <f t="shared" si="22"/>
        <v>Prior Approval</v>
      </c>
      <c r="D486" t="s">
        <v>2943</v>
      </c>
      <c r="E486" s="65">
        <v>5933</v>
      </c>
      <c r="F486" t="s">
        <v>2115</v>
      </c>
      <c r="G486" s="71" t="s">
        <v>3942</v>
      </c>
      <c r="H486" s="67">
        <v>1.4999999664723899E-2</v>
      </c>
      <c r="I486" s="65">
        <v>527226</v>
      </c>
      <c r="J486" s="65">
        <v>175356</v>
      </c>
      <c r="L486" s="65" t="s">
        <v>457</v>
      </c>
      <c r="M486" s="65" t="s">
        <v>244</v>
      </c>
      <c r="N486" s="69">
        <v>42117</v>
      </c>
      <c r="O486" s="69">
        <v>42173</v>
      </c>
      <c r="R486" s="65" t="s">
        <v>28</v>
      </c>
      <c r="U486" t="s">
        <v>458</v>
      </c>
      <c r="V486" t="s">
        <v>3450</v>
      </c>
      <c r="W486" s="65" t="s">
        <v>21</v>
      </c>
      <c r="X486" s="65" t="s">
        <v>21</v>
      </c>
      <c r="Y486" s="65" t="s">
        <v>35</v>
      </c>
      <c r="AA486" s="69">
        <v>42254</v>
      </c>
      <c r="AB486" s="69">
        <v>42844</v>
      </c>
      <c r="AC486" s="69">
        <v>42844</v>
      </c>
      <c r="AD486" s="65" t="s">
        <v>23</v>
      </c>
      <c r="AE486" s="65" t="s">
        <v>24</v>
      </c>
      <c r="AH486" s="69">
        <f t="shared" si="21"/>
        <v>42254</v>
      </c>
      <c r="AI486" s="69">
        <f t="shared" si="23"/>
        <v>42844</v>
      </c>
      <c r="BF486" s="73">
        <v>49</v>
      </c>
      <c r="BK486" s="73">
        <v>49</v>
      </c>
      <c r="BO486" s="185" t="s">
        <v>3794</v>
      </c>
      <c r="BP486" s="185" t="s">
        <v>126</v>
      </c>
      <c r="BQ486" s="185" t="s">
        <v>3794</v>
      </c>
      <c r="BW486" s="73"/>
      <c r="BX486" s="73">
        <v>-49</v>
      </c>
      <c r="BY486" s="185" t="s">
        <v>126</v>
      </c>
      <c r="CD486" s="73">
        <v>-49</v>
      </c>
      <c r="CE486" s="65" t="s">
        <v>126</v>
      </c>
      <c r="CJ486" t="s">
        <v>25</v>
      </c>
      <c r="CK486" t="s">
        <v>25</v>
      </c>
      <c r="CL486" t="s">
        <v>25</v>
      </c>
      <c r="CM486" t="s">
        <v>25</v>
      </c>
      <c r="CN486" t="s">
        <v>25</v>
      </c>
      <c r="CO486" t="s">
        <v>25</v>
      </c>
      <c r="CP486" t="s">
        <v>25</v>
      </c>
      <c r="CQ486" t="s">
        <v>25</v>
      </c>
      <c r="CR486" t="s">
        <v>25</v>
      </c>
      <c r="CS486" t="s">
        <v>25</v>
      </c>
      <c r="CT486" t="s">
        <v>25</v>
      </c>
      <c r="CU486" t="s">
        <v>25</v>
      </c>
      <c r="CV486" t="s">
        <v>25</v>
      </c>
      <c r="CW486" t="s">
        <v>25</v>
      </c>
      <c r="CX486" t="s">
        <v>25</v>
      </c>
      <c r="CY486" t="s">
        <v>25</v>
      </c>
      <c r="CZ486" t="s">
        <v>25</v>
      </c>
      <c r="DA486" t="s">
        <v>25</v>
      </c>
      <c r="DB486" t="s">
        <v>31</v>
      </c>
      <c r="DC486" t="s">
        <v>25</v>
      </c>
      <c r="DD486" t="s">
        <v>25</v>
      </c>
      <c r="DE486" t="s">
        <v>25</v>
      </c>
      <c r="DF486" t="s">
        <v>25</v>
      </c>
      <c r="DG486" t="s">
        <v>25</v>
      </c>
      <c r="DH486" t="s">
        <v>25</v>
      </c>
      <c r="DI486" t="s">
        <v>25</v>
      </c>
      <c r="DJ486" s="76">
        <v>9.9999997764826098E-3</v>
      </c>
      <c r="DK486" s="73">
        <v>0</v>
      </c>
      <c r="DL486" s="73">
        <v>49</v>
      </c>
      <c r="DM486" s="73">
        <v>-49</v>
      </c>
      <c r="DU486"/>
      <c r="DV486" s="65" t="s">
        <v>126</v>
      </c>
      <c r="DW486" t="s">
        <v>132</v>
      </c>
      <c r="DZ486" s="73">
        <v>49</v>
      </c>
      <c r="EA486" s="73">
        <v>0</v>
      </c>
      <c r="EB486" s="73">
        <v>49</v>
      </c>
      <c r="EC486" s="65" t="s">
        <v>126</v>
      </c>
    </row>
    <row r="487" spans="1:133" ht="12" customHeight="1" x14ac:dyDescent="0.2">
      <c r="A487" t="s">
        <v>2936</v>
      </c>
      <c r="B487" t="s">
        <v>2946</v>
      </c>
      <c r="C487" t="str">
        <f t="shared" si="22"/>
        <v>Full</v>
      </c>
      <c r="D487" t="s">
        <v>2943</v>
      </c>
      <c r="E487" s="65">
        <v>5933</v>
      </c>
      <c r="F487" t="s">
        <v>2115</v>
      </c>
      <c r="G487" s="71" t="s">
        <v>3942</v>
      </c>
      <c r="H487" s="67">
        <v>1.4999999664723899E-2</v>
      </c>
      <c r="I487" s="65">
        <v>527226</v>
      </c>
      <c r="J487" s="65">
        <v>175356</v>
      </c>
      <c r="L487" s="65" t="s">
        <v>813</v>
      </c>
      <c r="M487" s="65" t="s">
        <v>27</v>
      </c>
      <c r="N487" s="69">
        <v>42473</v>
      </c>
      <c r="O487" s="69">
        <v>42529</v>
      </c>
      <c r="R487" s="65" t="s">
        <v>28</v>
      </c>
      <c r="U487" t="s">
        <v>814</v>
      </c>
      <c r="V487" t="s">
        <v>3451</v>
      </c>
      <c r="W487" s="65" t="s">
        <v>34</v>
      </c>
      <c r="X487" s="65" t="s">
        <v>29</v>
      </c>
      <c r="Y487" s="65" t="s">
        <v>35</v>
      </c>
      <c r="AA487" s="69">
        <v>42254</v>
      </c>
      <c r="AB487" s="69">
        <v>42844</v>
      </c>
      <c r="AC487" s="69">
        <v>43190</v>
      </c>
      <c r="AD487" s="65" t="s">
        <v>23</v>
      </c>
      <c r="AE487" s="65" t="s">
        <v>24</v>
      </c>
      <c r="AH487" s="69">
        <f t="shared" si="21"/>
        <v>42254</v>
      </c>
      <c r="AI487" s="69">
        <f t="shared" si="23"/>
        <v>42844</v>
      </c>
      <c r="AJ487" s="73">
        <v>86</v>
      </c>
      <c r="AO487" s="73">
        <v>86</v>
      </c>
      <c r="AZ487" s="73">
        <v>118</v>
      </c>
      <c r="BE487" s="73">
        <v>118</v>
      </c>
      <c r="BO487" s="185" t="s">
        <v>126</v>
      </c>
      <c r="BP487" s="185" t="s">
        <v>3794</v>
      </c>
      <c r="BQ487" s="185" t="s">
        <v>3794</v>
      </c>
      <c r="BR487" s="73">
        <v>-32</v>
      </c>
      <c r="BW487" s="73">
        <v>-32</v>
      </c>
      <c r="BY487" s="185" t="s">
        <v>3794</v>
      </c>
      <c r="CJ487" t="s">
        <v>31</v>
      </c>
      <c r="CK487" t="s">
        <v>25</v>
      </c>
      <c r="CL487" t="s">
        <v>25</v>
      </c>
      <c r="CM487" t="s">
        <v>25</v>
      </c>
      <c r="CN487" t="s">
        <v>25</v>
      </c>
      <c r="CO487" t="s">
        <v>25</v>
      </c>
      <c r="CP487" t="s">
        <v>25</v>
      </c>
      <c r="CQ487" t="s">
        <v>25</v>
      </c>
      <c r="CR487" t="s">
        <v>25</v>
      </c>
      <c r="CS487" t="s">
        <v>25</v>
      </c>
      <c r="CT487" t="s">
        <v>25</v>
      </c>
      <c r="CU487" t="s">
        <v>25</v>
      </c>
      <c r="CV487" t="s">
        <v>25</v>
      </c>
      <c r="CW487" t="s">
        <v>47</v>
      </c>
      <c r="CX487" t="s">
        <v>25</v>
      </c>
      <c r="CY487" t="s">
        <v>25</v>
      </c>
      <c r="CZ487" t="s">
        <v>25</v>
      </c>
      <c r="DA487" t="s">
        <v>25</v>
      </c>
      <c r="DB487" t="s">
        <v>25</v>
      </c>
      <c r="DC487" t="s">
        <v>25</v>
      </c>
      <c r="DD487" t="s">
        <v>25</v>
      </c>
      <c r="DE487" t="s">
        <v>25</v>
      </c>
      <c r="DF487" t="s">
        <v>25</v>
      </c>
      <c r="DG487" t="s">
        <v>25</v>
      </c>
      <c r="DH487" t="s">
        <v>25</v>
      </c>
      <c r="DI487" t="s">
        <v>25</v>
      </c>
      <c r="DJ487" s="76">
        <v>4.9999998882413188E-3</v>
      </c>
      <c r="DK487" s="73">
        <v>86</v>
      </c>
      <c r="DL487" s="73">
        <v>118</v>
      </c>
      <c r="DM487" s="73">
        <v>-32</v>
      </c>
      <c r="DU487"/>
      <c r="DV487" s="65" t="s">
        <v>126</v>
      </c>
      <c r="DW487" t="s">
        <v>132</v>
      </c>
      <c r="DZ487" s="73">
        <v>82</v>
      </c>
      <c r="EA487" s="73">
        <v>0</v>
      </c>
      <c r="EB487" s="73">
        <v>82</v>
      </c>
      <c r="EC487" s="65" t="s">
        <v>126</v>
      </c>
    </row>
    <row r="488" spans="1:133" ht="12" customHeight="1" x14ac:dyDescent="0.2">
      <c r="A488" t="s">
        <v>2937</v>
      </c>
      <c r="B488" t="s">
        <v>2948</v>
      </c>
      <c r="C488" t="str">
        <f t="shared" si="22"/>
        <v>Prior Approval</v>
      </c>
      <c r="E488" s="65">
        <v>5935</v>
      </c>
      <c r="F488" t="s">
        <v>2116</v>
      </c>
      <c r="G488" s="71" t="s">
        <v>3946</v>
      </c>
      <c r="H488" s="67">
        <v>7.0000002160668399E-3</v>
      </c>
      <c r="I488" s="65">
        <v>523208</v>
      </c>
      <c r="J488" s="65">
        <v>175814</v>
      </c>
      <c r="L488" s="65" t="s">
        <v>461</v>
      </c>
      <c r="M488" s="65" t="s">
        <v>244</v>
      </c>
      <c r="N488" s="69">
        <v>42121</v>
      </c>
      <c r="O488" s="69">
        <v>42177</v>
      </c>
      <c r="R488" s="65" t="s">
        <v>28</v>
      </c>
      <c r="U488" t="s">
        <v>456</v>
      </c>
      <c r="V488" t="s">
        <v>3452</v>
      </c>
      <c r="W488" s="65" t="s">
        <v>21</v>
      </c>
      <c r="X488" s="65" t="s">
        <v>21</v>
      </c>
      <c r="Y488" s="65" t="s">
        <v>69</v>
      </c>
      <c r="AD488" s="65" t="s">
        <v>23</v>
      </c>
      <c r="AE488" s="65" t="s">
        <v>24</v>
      </c>
      <c r="BF488" s="73">
        <v>75</v>
      </c>
      <c r="BK488" s="73">
        <v>75</v>
      </c>
      <c r="BO488" s="185" t="s">
        <v>3794</v>
      </c>
      <c r="BP488" s="185" t="s">
        <v>126</v>
      </c>
      <c r="BQ488" s="185" t="s">
        <v>3794</v>
      </c>
      <c r="BW488" s="73"/>
      <c r="BX488" s="73">
        <v>-75</v>
      </c>
      <c r="BY488" s="185" t="s">
        <v>126</v>
      </c>
      <c r="CD488" s="73">
        <v>-75</v>
      </c>
      <c r="CE488" s="65" t="s">
        <v>126</v>
      </c>
      <c r="CJ488" t="s">
        <v>25</v>
      </c>
      <c r="CK488" t="s">
        <v>25</v>
      </c>
      <c r="CL488" t="s">
        <v>25</v>
      </c>
      <c r="CM488" t="s">
        <v>25</v>
      </c>
      <c r="CN488" t="s">
        <v>25</v>
      </c>
      <c r="CO488" t="s">
        <v>25</v>
      </c>
      <c r="CP488" t="s">
        <v>25</v>
      </c>
      <c r="CQ488" t="s">
        <v>25</v>
      </c>
      <c r="CR488" t="s">
        <v>25</v>
      </c>
      <c r="CS488" t="s">
        <v>25</v>
      </c>
      <c r="CT488" t="s">
        <v>25</v>
      </c>
      <c r="CU488" t="s">
        <v>25</v>
      </c>
      <c r="CV488" t="s">
        <v>25</v>
      </c>
      <c r="CW488" t="s">
        <v>25</v>
      </c>
      <c r="CX488" t="s">
        <v>25</v>
      </c>
      <c r="CY488" t="s">
        <v>25</v>
      </c>
      <c r="CZ488" t="s">
        <v>25</v>
      </c>
      <c r="DA488" t="s">
        <v>25</v>
      </c>
      <c r="DB488" t="s">
        <v>31</v>
      </c>
      <c r="DC488" t="s">
        <v>25</v>
      </c>
      <c r="DD488" t="s">
        <v>25</v>
      </c>
      <c r="DE488" t="s">
        <v>25</v>
      </c>
      <c r="DF488" t="s">
        <v>25</v>
      </c>
      <c r="DG488" t="s">
        <v>25</v>
      </c>
      <c r="DH488" t="s">
        <v>25</v>
      </c>
      <c r="DI488" t="s">
        <v>25</v>
      </c>
      <c r="DJ488" s="76">
        <v>0</v>
      </c>
      <c r="DK488" s="73">
        <v>0</v>
      </c>
      <c r="DL488" s="73">
        <v>75</v>
      </c>
      <c r="DM488" s="73">
        <v>-75</v>
      </c>
      <c r="DU488"/>
      <c r="DZ488" s="73">
        <v>75</v>
      </c>
      <c r="EA488" s="73">
        <v>0</v>
      </c>
      <c r="EB488" s="73">
        <v>75</v>
      </c>
      <c r="EC488" s="65" t="s">
        <v>126</v>
      </c>
    </row>
    <row r="489" spans="1:133" x14ac:dyDescent="0.2">
      <c r="A489" t="s">
        <v>2935</v>
      </c>
      <c r="B489" t="s">
        <v>2948</v>
      </c>
      <c r="C489" t="str">
        <f t="shared" si="22"/>
        <v>Prior Approval</v>
      </c>
      <c r="E489" s="65">
        <v>5938</v>
      </c>
      <c r="F489" t="s">
        <v>2117</v>
      </c>
      <c r="G489" s="71" t="s">
        <v>2907</v>
      </c>
      <c r="H489" s="67">
        <v>2.0999999716877899E-2</v>
      </c>
      <c r="I489" s="65">
        <v>524894</v>
      </c>
      <c r="J489" s="65">
        <v>173570</v>
      </c>
      <c r="L489" s="65" t="s">
        <v>473</v>
      </c>
      <c r="M489" s="65" t="s">
        <v>435</v>
      </c>
      <c r="N489" s="69">
        <v>42132</v>
      </c>
      <c r="O489" s="69">
        <v>42178</v>
      </c>
      <c r="R489" s="65" t="s">
        <v>20</v>
      </c>
      <c r="S489" s="69">
        <v>42213</v>
      </c>
      <c r="T489" s="69">
        <v>42396</v>
      </c>
      <c r="U489" t="s">
        <v>369</v>
      </c>
      <c r="V489" t="s">
        <v>3453</v>
      </c>
      <c r="W489" s="65" t="s">
        <v>21</v>
      </c>
      <c r="X489" s="65" t="s">
        <v>21</v>
      </c>
      <c r="Y489" s="65" t="s">
        <v>30</v>
      </c>
      <c r="AA489" s="69">
        <v>43190</v>
      </c>
      <c r="AD489" s="65" t="s">
        <v>23</v>
      </c>
      <c r="AE489" s="65" t="s">
        <v>24</v>
      </c>
      <c r="AH489" s="69">
        <f t="shared" si="21"/>
        <v>43190</v>
      </c>
      <c r="AZ489" s="73">
        <v>42</v>
      </c>
      <c r="BE489" s="73">
        <v>42</v>
      </c>
      <c r="BO489" s="185" t="s">
        <v>126</v>
      </c>
      <c r="BP489" s="185" t="s">
        <v>3794</v>
      </c>
      <c r="BQ489" s="185" t="s">
        <v>3794</v>
      </c>
      <c r="BR489" s="73">
        <v>-42</v>
      </c>
      <c r="BW489" s="73">
        <v>-42</v>
      </c>
      <c r="BY489" s="185" t="s">
        <v>3794</v>
      </c>
      <c r="CJ489" t="s">
        <v>25</v>
      </c>
      <c r="CK489" t="s">
        <v>25</v>
      </c>
      <c r="CL489" t="s">
        <v>25</v>
      </c>
      <c r="CM489" t="s">
        <v>25</v>
      </c>
      <c r="CN489" t="s">
        <v>25</v>
      </c>
      <c r="CO489" t="s">
        <v>25</v>
      </c>
      <c r="CP489" t="s">
        <v>25</v>
      </c>
      <c r="CQ489" t="s">
        <v>25</v>
      </c>
      <c r="CR489" t="s">
        <v>25</v>
      </c>
      <c r="CS489" t="s">
        <v>25</v>
      </c>
      <c r="CT489" t="s">
        <v>25</v>
      </c>
      <c r="CU489" t="s">
        <v>25</v>
      </c>
      <c r="CV489" t="s">
        <v>25</v>
      </c>
      <c r="CW489" t="s">
        <v>31</v>
      </c>
      <c r="CX489" t="s">
        <v>25</v>
      </c>
      <c r="CY489" t="s">
        <v>25</v>
      </c>
      <c r="CZ489" t="s">
        <v>25</v>
      </c>
      <c r="DA489" t="s">
        <v>25</v>
      </c>
      <c r="DB489" t="s">
        <v>25</v>
      </c>
      <c r="DC489" t="s">
        <v>25</v>
      </c>
      <c r="DD489" t="s">
        <v>25</v>
      </c>
      <c r="DE489" t="s">
        <v>25</v>
      </c>
      <c r="DF489" t="s">
        <v>25</v>
      </c>
      <c r="DG489" t="s">
        <v>25</v>
      </c>
      <c r="DH489" t="s">
        <v>25</v>
      </c>
      <c r="DI489" t="s">
        <v>25</v>
      </c>
      <c r="DJ489" s="76">
        <v>0</v>
      </c>
      <c r="DK489" s="73">
        <v>0</v>
      </c>
      <c r="DL489" s="73">
        <v>42</v>
      </c>
      <c r="DM489" s="73">
        <v>-42</v>
      </c>
      <c r="DU489"/>
      <c r="DZ489" s="73">
        <v>42</v>
      </c>
      <c r="EA489" s="73">
        <v>0</v>
      </c>
      <c r="EB489" s="73">
        <v>42</v>
      </c>
      <c r="EC489" s="65" t="s">
        <v>126</v>
      </c>
    </row>
    <row r="490" spans="1:133" ht="12" customHeight="1" x14ac:dyDescent="0.2">
      <c r="A490" t="s">
        <v>2935</v>
      </c>
      <c r="B490" t="s">
        <v>2946</v>
      </c>
      <c r="C490" t="str">
        <f t="shared" si="22"/>
        <v>Full</v>
      </c>
      <c r="E490" s="65">
        <v>5942</v>
      </c>
      <c r="F490" t="s">
        <v>2118</v>
      </c>
      <c r="G490" s="71" t="s">
        <v>3941</v>
      </c>
      <c r="H490" s="67">
        <v>5.4000001400709201E-2</v>
      </c>
      <c r="I490" s="65">
        <v>528486</v>
      </c>
      <c r="J490" s="65">
        <v>173287</v>
      </c>
      <c r="L490" s="65" t="s">
        <v>837</v>
      </c>
      <c r="M490" s="65" t="s">
        <v>27</v>
      </c>
      <c r="N490" s="69">
        <v>42555</v>
      </c>
      <c r="O490" s="69">
        <v>42702</v>
      </c>
      <c r="R490" s="65" t="s">
        <v>28</v>
      </c>
      <c r="U490" t="s">
        <v>2119</v>
      </c>
      <c r="V490" t="s">
        <v>3454</v>
      </c>
      <c r="W490" s="65" t="s">
        <v>34</v>
      </c>
      <c r="X490" s="65" t="s">
        <v>29</v>
      </c>
      <c r="Y490" s="65" t="s">
        <v>30</v>
      </c>
      <c r="AA490" s="69">
        <v>43190</v>
      </c>
      <c r="AD490" s="65" t="s">
        <v>23</v>
      </c>
      <c r="AE490" s="65" t="s">
        <v>24</v>
      </c>
      <c r="AH490" s="69">
        <f t="shared" si="21"/>
        <v>43190</v>
      </c>
      <c r="AJ490" s="73">
        <v>326</v>
      </c>
      <c r="AK490" s="73">
        <v>100</v>
      </c>
      <c r="AO490" s="73">
        <v>426</v>
      </c>
      <c r="AZ490" s="73">
        <v>346</v>
      </c>
      <c r="BA490" s="73">
        <v>323</v>
      </c>
      <c r="BE490" s="73">
        <v>669</v>
      </c>
      <c r="BO490" s="185" t="s">
        <v>126</v>
      </c>
      <c r="BP490" s="185" t="s">
        <v>3794</v>
      </c>
      <c r="BQ490" s="185" t="s">
        <v>3794</v>
      </c>
      <c r="BR490" s="73">
        <v>-20</v>
      </c>
      <c r="BS490" s="73">
        <v>-223</v>
      </c>
      <c r="BW490" s="570">
        <v>-243</v>
      </c>
      <c r="BY490" s="185" t="s">
        <v>3794</v>
      </c>
      <c r="CJ490" t="s">
        <v>31</v>
      </c>
      <c r="CK490" t="s">
        <v>31</v>
      </c>
      <c r="CL490" t="s">
        <v>25</v>
      </c>
      <c r="CM490" t="s">
        <v>25</v>
      </c>
      <c r="CN490" t="s">
        <v>25</v>
      </c>
      <c r="CO490" t="s">
        <v>25</v>
      </c>
      <c r="CP490" t="s">
        <v>25</v>
      </c>
      <c r="CQ490" t="s">
        <v>25</v>
      </c>
      <c r="CR490" t="s">
        <v>25</v>
      </c>
      <c r="CS490" t="s">
        <v>25</v>
      </c>
      <c r="CT490" t="s">
        <v>25</v>
      </c>
      <c r="CU490" t="s">
        <v>25</v>
      </c>
      <c r="CV490" t="s">
        <v>25</v>
      </c>
      <c r="CW490" t="s">
        <v>31</v>
      </c>
      <c r="CX490" t="s">
        <v>31</v>
      </c>
      <c r="CY490" t="s">
        <v>25</v>
      </c>
      <c r="CZ490" t="s">
        <v>25</v>
      </c>
      <c r="DA490" t="s">
        <v>25</v>
      </c>
      <c r="DB490" t="s">
        <v>25</v>
      </c>
      <c r="DC490" t="s">
        <v>25</v>
      </c>
      <c r="DD490" t="s">
        <v>25</v>
      </c>
      <c r="DE490" t="s">
        <v>25</v>
      </c>
      <c r="DF490" t="s">
        <v>25</v>
      </c>
      <c r="DG490" t="s">
        <v>25</v>
      </c>
      <c r="DH490" t="s">
        <v>25</v>
      </c>
      <c r="DI490" t="s">
        <v>25</v>
      </c>
      <c r="DJ490" s="76">
        <v>1.3000002130866099E-2</v>
      </c>
      <c r="DK490" s="73">
        <v>426</v>
      </c>
      <c r="DL490" s="73">
        <v>669</v>
      </c>
      <c r="DM490" s="73">
        <v>-243</v>
      </c>
      <c r="DU490"/>
      <c r="DV490" s="65" t="s">
        <v>126</v>
      </c>
      <c r="DW490" t="s">
        <v>149</v>
      </c>
      <c r="DZ490" s="73">
        <v>737</v>
      </c>
      <c r="EA490" s="73">
        <v>0</v>
      </c>
      <c r="EB490" s="73">
        <v>737</v>
      </c>
      <c r="EC490" s="65" t="s">
        <v>126</v>
      </c>
    </row>
    <row r="491" spans="1:133" ht="12" customHeight="1" x14ac:dyDescent="0.2">
      <c r="A491" t="s">
        <v>2936</v>
      </c>
      <c r="B491" t="s">
        <v>2946</v>
      </c>
      <c r="C491" t="str">
        <f t="shared" si="22"/>
        <v>Full</v>
      </c>
      <c r="D491" t="s">
        <v>2942</v>
      </c>
      <c r="E491" s="65">
        <v>5943</v>
      </c>
      <c r="F491" t="s">
        <v>2120</v>
      </c>
      <c r="G491" s="71" t="s">
        <v>3941</v>
      </c>
      <c r="H491" s="67">
        <v>0.103000000119209</v>
      </c>
      <c r="I491" s="65">
        <v>527832</v>
      </c>
      <c r="J491" s="65">
        <v>172523</v>
      </c>
      <c r="L491" s="65" t="s">
        <v>451</v>
      </c>
      <c r="M491" s="65" t="s">
        <v>27</v>
      </c>
      <c r="N491" s="69">
        <v>42114</v>
      </c>
      <c r="O491" s="69">
        <v>42206</v>
      </c>
      <c r="R491" s="65" t="s">
        <v>28</v>
      </c>
      <c r="U491" t="s">
        <v>452</v>
      </c>
      <c r="V491" t="s">
        <v>3455</v>
      </c>
      <c r="W491" s="65" t="s">
        <v>34</v>
      </c>
      <c r="X491" s="65" t="s">
        <v>29</v>
      </c>
      <c r="Y491" s="65" t="s">
        <v>22</v>
      </c>
      <c r="AA491" s="69">
        <v>42825</v>
      </c>
      <c r="AB491" s="69">
        <v>43190</v>
      </c>
      <c r="AD491" s="65" t="s">
        <v>23</v>
      </c>
      <c r="AE491" s="65" t="s">
        <v>24</v>
      </c>
      <c r="AH491" s="69">
        <f t="shared" si="21"/>
        <v>42825</v>
      </c>
      <c r="AI491" s="69">
        <f t="shared" si="23"/>
        <v>43190</v>
      </c>
      <c r="BF491" s="73">
        <v>262</v>
      </c>
      <c r="BK491" s="73">
        <v>262</v>
      </c>
      <c r="BO491" s="185" t="s">
        <v>3794</v>
      </c>
      <c r="BP491" s="185" t="s">
        <v>126</v>
      </c>
      <c r="BQ491" s="185" t="s">
        <v>3794</v>
      </c>
      <c r="BW491" s="73"/>
      <c r="BX491" s="73">
        <v>-262</v>
      </c>
      <c r="BY491" s="185" t="s">
        <v>126</v>
      </c>
      <c r="CD491" s="73">
        <v>-262</v>
      </c>
      <c r="CE491" s="65" t="s">
        <v>126</v>
      </c>
      <c r="CJ491" t="s">
        <v>25</v>
      </c>
      <c r="CK491" t="s">
        <v>25</v>
      </c>
      <c r="CL491" t="s">
        <v>25</v>
      </c>
      <c r="CM491" t="s">
        <v>25</v>
      </c>
      <c r="CN491" t="s">
        <v>25</v>
      </c>
      <c r="CO491" t="s">
        <v>25</v>
      </c>
      <c r="CP491" t="s">
        <v>25</v>
      </c>
      <c r="CQ491" t="s">
        <v>25</v>
      </c>
      <c r="CR491" t="s">
        <v>25</v>
      </c>
      <c r="CS491" t="s">
        <v>25</v>
      </c>
      <c r="CT491" t="s">
        <v>25</v>
      </c>
      <c r="CU491" t="s">
        <v>25</v>
      </c>
      <c r="CV491" t="s">
        <v>25</v>
      </c>
      <c r="CW491" t="s">
        <v>25</v>
      </c>
      <c r="CX491" t="s">
        <v>25</v>
      </c>
      <c r="CY491" t="s">
        <v>25</v>
      </c>
      <c r="CZ491" t="s">
        <v>25</v>
      </c>
      <c r="DA491" t="s">
        <v>25</v>
      </c>
      <c r="DB491" t="s">
        <v>25</v>
      </c>
      <c r="DC491" t="s">
        <v>25</v>
      </c>
      <c r="DD491" t="s">
        <v>25</v>
      </c>
      <c r="DE491" t="s">
        <v>25</v>
      </c>
      <c r="DF491" t="s">
        <v>25</v>
      </c>
      <c r="DG491" t="s">
        <v>25</v>
      </c>
      <c r="DH491" t="s">
        <v>25</v>
      </c>
      <c r="DI491" t="s">
        <v>25</v>
      </c>
      <c r="DJ491" s="76">
        <v>0</v>
      </c>
      <c r="DK491" s="73">
        <v>0</v>
      </c>
      <c r="DL491" s="73">
        <v>351</v>
      </c>
      <c r="DM491" s="73">
        <v>-351</v>
      </c>
      <c r="DU491"/>
      <c r="DZ491" s="73">
        <v>699</v>
      </c>
      <c r="EA491" s="73">
        <v>0</v>
      </c>
      <c r="EB491" s="73">
        <v>699</v>
      </c>
      <c r="EC491" s="65" t="s">
        <v>126</v>
      </c>
    </row>
    <row r="492" spans="1:133" ht="12" customHeight="1" x14ac:dyDescent="0.2">
      <c r="A492" t="s">
        <v>2935</v>
      </c>
      <c r="B492" t="s">
        <v>2946</v>
      </c>
      <c r="C492" t="str">
        <f t="shared" si="22"/>
        <v>Full</v>
      </c>
      <c r="E492" s="65">
        <v>5946</v>
      </c>
      <c r="F492" t="s">
        <v>2121</v>
      </c>
      <c r="G492" s="71" t="s">
        <v>3945</v>
      </c>
      <c r="H492" s="67">
        <v>1.09999999403954E-2</v>
      </c>
      <c r="I492" s="65">
        <v>528334</v>
      </c>
      <c r="J492" s="65">
        <v>175747</v>
      </c>
      <c r="L492" s="65" t="s">
        <v>466</v>
      </c>
      <c r="M492" s="65" t="s">
        <v>27</v>
      </c>
      <c r="N492" s="69">
        <v>42123</v>
      </c>
      <c r="O492" s="69">
        <v>42299</v>
      </c>
      <c r="R492" s="65" t="s">
        <v>28</v>
      </c>
      <c r="U492" t="s">
        <v>740</v>
      </c>
      <c r="V492" t="s">
        <v>3456</v>
      </c>
      <c r="W492" s="65" t="s">
        <v>34</v>
      </c>
      <c r="X492" s="65" t="s">
        <v>29</v>
      </c>
      <c r="Y492" s="65" t="s">
        <v>30</v>
      </c>
      <c r="AA492" s="69">
        <v>42825</v>
      </c>
      <c r="AD492" s="65" t="s">
        <v>23</v>
      </c>
      <c r="AE492" s="65" t="s">
        <v>24</v>
      </c>
      <c r="AH492" s="69">
        <f t="shared" si="21"/>
        <v>42825</v>
      </c>
      <c r="AJ492" s="73">
        <v>42</v>
      </c>
      <c r="AO492" s="73">
        <v>42</v>
      </c>
      <c r="AZ492" s="73">
        <v>102</v>
      </c>
      <c r="BE492" s="73">
        <v>102</v>
      </c>
      <c r="BO492" s="185" t="s">
        <v>126</v>
      </c>
      <c r="BP492" s="185" t="s">
        <v>3794</v>
      </c>
      <c r="BQ492" s="185" t="s">
        <v>3794</v>
      </c>
      <c r="BR492" s="73">
        <v>-60</v>
      </c>
      <c r="BW492" s="73">
        <v>-60</v>
      </c>
      <c r="BY492" s="185" t="s">
        <v>3794</v>
      </c>
      <c r="CJ492" t="s">
        <v>31</v>
      </c>
      <c r="CK492" t="s">
        <v>25</v>
      </c>
      <c r="CL492" t="s">
        <v>25</v>
      </c>
      <c r="CM492" t="s">
        <v>25</v>
      </c>
      <c r="CN492" t="s">
        <v>25</v>
      </c>
      <c r="CO492" t="s">
        <v>25</v>
      </c>
      <c r="CP492" t="s">
        <v>25</v>
      </c>
      <c r="CQ492" t="s">
        <v>25</v>
      </c>
      <c r="CR492" t="s">
        <v>25</v>
      </c>
      <c r="CS492" t="s">
        <v>25</v>
      </c>
      <c r="CT492" t="s">
        <v>25</v>
      </c>
      <c r="CU492" t="s">
        <v>25</v>
      </c>
      <c r="CV492" t="s">
        <v>25</v>
      </c>
      <c r="CW492" t="s">
        <v>31</v>
      </c>
      <c r="CX492" t="s">
        <v>25</v>
      </c>
      <c r="CY492" t="s">
        <v>25</v>
      </c>
      <c r="CZ492" t="s">
        <v>25</v>
      </c>
      <c r="DA492" t="s">
        <v>25</v>
      </c>
      <c r="DB492" t="s">
        <v>25</v>
      </c>
      <c r="DC492" t="s">
        <v>25</v>
      </c>
      <c r="DD492" t="s">
        <v>25</v>
      </c>
      <c r="DE492" t="s">
        <v>25</v>
      </c>
      <c r="DF492" t="s">
        <v>25</v>
      </c>
      <c r="DG492" t="s">
        <v>25</v>
      </c>
      <c r="DH492" t="s">
        <v>25</v>
      </c>
      <c r="DI492" t="s">
        <v>25</v>
      </c>
      <c r="DJ492" s="76">
        <v>0</v>
      </c>
      <c r="DK492" s="73">
        <v>42</v>
      </c>
      <c r="DL492" s="73">
        <v>102</v>
      </c>
      <c r="DM492" s="73">
        <v>-60</v>
      </c>
      <c r="DU492"/>
      <c r="DX492" s="65" t="s">
        <v>126</v>
      </c>
      <c r="DY492" t="s">
        <v>2908</v>
      </c>
      <c r="DZ492" s="73">
        <v>169</v>
      </c>
      <c r="EA492" s="73">
        <v>83</v>
      </c>
      <c r="EB492" s="73">
        <v>86</v>
      </c>
      <c r="EC492" s="65" t="s">
        <v>126</v>
      </c>
    </row>
    <row r="493" spans="1:133" ht="12" customHeight="1" x14ac:dyDescent="0.2">
      <c r="A493" t="s">
        <v>2935</v>
      </c>
      <c r="B493" t="s">
        <v>2946</v>
      </c>
      <c r="C493" t="str">
        <f t="shared" si="22"/>
        <v>Full</v>
      </c>
      <c r="E493" s="65">
        <v>5946</v>
      </c>
      <c r="F493" t="s">
        <v>2121</v>
      </c>
      <c r="G493" s="71" t="s">
        <v>3945</v>
      </c>
      <c r="H493" s="67">
        <v>1.09999999403954E-2</v>
      </c>
      <c r="I493" s="65">
        <v>528334</v>
      </c>
      <c r="J493" s="65">
        <v>175747</v>
      </c>
      <c r="L493" s="65" t="s">
        <v>660</v>
      </c>
      <c r="M493" s="65" t="s">
        <v>27</v>
      </c>
      <c r="N493" s="69">
        <v>42556</v>
      </c>
      <c r="O493" s="69">
        <v>42612</v>
      </c>
      <c r="R493" s="65" t="s">
        <v>28</v>
      </c>
      <c r="U493" t="s">
        <v>661</v>
      </c>
      <c r="V493" t="s">
        <v>3457</v>
      </c>
      <c r="W493" s="65" t="s">
        <v>21</v>
      </c>
      <c r="X493" s="65" t="s">
        <v>21</v>
      </c>
      <c r="Y493" s="65" t="s">
        <v>30</v>
      </c>
      <c r="AA493" s="69">
        <v>42825</v>
      </c>
      <c r="AD493" s="65" t="s">
        <v>23</v>
      </c>
      <c r="AE493" s="65" t="s">
        <v>24</v>
      </c>
      <c r="AH493" s="69">
        <f t="shared" si="21"/>
        <v>42825</v>
      </c>
      <c r="AJ493" s="73">
        <v>23</v>
      </c>
      <c r="AK493" s="73">
        <v>23</v>
      </c>
      <c r="AO493" s="73">
        <v>46</v>
      </c>
      <c r="AZ493" s="73">
        <v>46</v>
      </c>
      <c r="BE493" s="73">
        <v>46</v>
      </c>
      <c r="BO493" s="185" t="s">
        <v>126</v>
      </c>
      <c r="BP493" s="185" t="s">
        <v>3794</v>
      </c>
      <c r="BQ493" s="185" t="s">
        <v>3794</v>
      </c>
      <c r="BR493" s="73">
        <v>-23</v>
      </c>
      <c r="BS493" s="73">
        <v>23</v>
      </c>
      <c r="BW493" s="73"/>
      <c r="BY493" s="185" t="s">
        <v>3794</v>
      </c>
      <c r="CJ493" t="s">
        <v>31</v>
      </c>
      <c r="CK493" t="s">
        <v>31</v>
      </c>
      <c r="CL493" t="s">
        <v>25</v>
      </c>
      <c r="CM493" t="s">
        <v>25</v>
      </c>
      <c r="CN493" t="s">
        <v>25</v>
      </c>
      <c r="CO493" t="s">
        <v>25</v>
      </c>
      <c r="CP493" t="s">
        <v>25</v>
      </c>
      <c r="CQ493" t="s">
        <v>25</v>
      </c>
      <c r="CR493" t="s">
        <v>25</v>
      </c>
      <c r="CS493" t="s">
        <v>25</v>
      </c>
      <c r="CT493" t="s">
        <v>25</v>
      </c>
      <c r="CU493" t="s">
        <v>25</v>
      </c>
      <c r="CV493" t="s">
        <v>25</v>
      </c>
      <c r="CW493" t="s">
        <v>47</v>
      </c>
      <c r="CX493" t="s">
        <v>25</v>
      </c>
      <c r="CY493" t="s">
        <v>25</v>
      </c>
      <c r="CZ493" t="s">
        <v>25</v>
      </c>
      <c r="DA493" t="s">
        <v>25</v>
      </c>
      <c r="DB493" t="s">
        <v>25</v>
      </c>
      <c r="DC493" t="s">
        <v>25</v>
      </c>
      <c r="DD493" t="s">
        <v>25</v>
      </c>
      <c r="DE493" t="s">
        <v>25</v>
      </c>
      <c r="DF493" t="s">
        <v>25</v>
      </c>
      <c r="DG493" t="s">
        <v>25</v>
      </c>
      <c r="DH493" t="s">
        <v>25</v>
      </c>
      <c r="DI493" t="s">
        <v>25</v>
      </c>
      <c r="DJ493" s="76">
        <v>1.09999999403954E-2</v>
      </c>
      <c r="DK493" s="73">
        <v>46</v>
      </c>
      <c r="DL493" s="73">
        <v>46</v>
      </c>
      <c r="DM493" s="73">
        <v>0</v>
      </c>
      <c r="DU493"/>
      <c r="DX493" s="65" t="s">
        <v>126</v>
      </c>
      <c r="DY493" t="s">
        <v>2908</v>
      </c>
      <c r="DZ493" s="73">
        <v>0</v>
      </c>
      <c r="EA493" s="73">
        <v>0</v>
      </c>
      <c r="EB493" s="73">
        <v>0</v>
      </c>
    </row>
    <row r="494" spans="1:133" ht="12" customHeight="1" x14ac:dyDescent="0.2">
      <c r="A494" t="s">
        <v>2935</v>
      </c>
      <c r="B494" t="s">
        <v>2946</v>
      </c>
      <c r="C494" t="str">
        <f t="shared" si="22"/>
        <v>Full</v>
      </c>
      <c r="E494" s="65">
        <v>5947</v>
      </c>
      <c r="F494" t="s">
        <v>2122</v>
      </c>
      <c r="G494" s="71" t="s">
        <v>2907</v>
      </c>
      <c r="H494" s="67">
        <v>0.73100000619888295</v>
      </c>
      <c r="I494" s="65">
        <v>525329</v>
      </c>
      <c r="J494" s="65">
        <v>173732</v>
      </c>
      <c r="L494" s="65" t="s">
        <v>438</v>
      </c>
      <c r="M494" s="65" t="s">
        <v>27</v>
      </c>
      <c r="N494" s="69">
        <v>42137</v>
      </c>
      <c r="O494" s="69">
        <v>42321</v>
      </c>
      <c r="R494" s="65" t="s">
        <v>28</v>
      </c>
      <c r="U494" t="s">
        <v>735</v>
      </c>
      <c r="V494" t="s">
        <v>3458</v>
      </c>
      <c r="W494" s="65" t="s">
        <v>29</v>
      </c>
      <c r="X494" s="65" t="s">
        <v>29</v>
      </c>
      <c r="Y494" s="65" t="s">
        <v>30</v>
      </c>
      <c r="AA494" s="69">
        <v>42825</v>
      </c>
      <c r="AD494" s="65" t="s">
        <v>23</v>
      </c>
      <c r="AE494" s="65" t="s">
        <v>24</v>
      </c>
      <c r="AH494" s="69">
        <f t="shared" si="21"/>
        <v>42825</v>
      </c>
      <c r="AU494" s="73">
        <v>4816</v>
      </c>
      <c r="AV494" s="73">
        <v>4816</v>
      </c>
      <c r="BJ494" s="73">
        <v>2510</v>
      </c>
      <c r="BK494" s="73">
        <v>2510</v>
      </c>
      <c r="BO494" s="185" t="s">
        <v>3794</v>
      </c>
      <c r="BP494" s="185" t="s">
        <v>126</v>
      </c>
      <c r="BQ494" s="185" t="s">
        <v>3794</v>
      </c>
      <c r="BW494" s="73"/>
      <c r="BY494" s="185" t="s">
        <v>3794</v>
      </c>
      <c r="CC494" s="73">
        <v>2306</v>
      </c>
      <c r="CD494" s="73">
        <v>2306</v>
      </c>
      <c r="CJ494" t="s">
        <v>25</v>
      </c>
      <c r="CK494" t="s">
        <v>25</v>
      </c>
      <c r="CL494" t="s">
        <v>25</v>
      </c>
      <c r="CM494" t="s">
        <v>25</v>
      </c>
      <c r="CN494" t="s">
        <v>25</v>
      </c>
      <c r="CO494" t="s">
        <v>25</v>
      </c>
      <c r="CP494" t="s">
        <v>25</v>
      </c>
      <c r="CQ494" t="s">
        <v>25</v>
      </c>
      <c r="CR494" t="s">
        <v>25</v>
      </c>
      <c r="CS494" t="s">
        <v>53</v>
      </c>
      <c r="CT494" t="s">
        <v>25</v>
      </c>
      <c r="CU494" t="s">
        <v>25</v>
      </c>
      <c r="CV494" t="s">
        <v>25</v>
      </c>
      <c r="CW494" t="s">
        <v>25</v>
      </c>
      <c r="CX494" t="s">
        <v>25</v>
      </c>
      <c r="CY494" t="s">
        <v>25</v>
      </c>
      <c r="CZ494" t="s">
        <v>25</v>
      </c>
      <c r="DA494" t="s">
        <v>25</v>
      </c>
      <c r="DB494" t="s">
        <v>25</v>
      </c>
      <c r="DC494" t="s">
        <v>25</v>
      </c>
      <c r="DD494" t="s">
        <v>25</v>
      </c>
      <c r="DE494" t="s">
        <v>25</v>
      </c>
      <c r="DF494" t="s">
        <v>53</v>
      </c>
      <c r="DG494" t="s">
        <v>25</v>
      </c>
      <c r="DH494" t="s">
        <v>25</v>
      </c>
      <c r="DI494" t="s">
        <v>25</v>
      </c>
      <c r="DJ494" s="76">
        <v>0.73100000619888295</v>
      </c>
      <c r="DK494" s="73">
        <v>4816</v>
      </c>
      <c r="DL494" s="73">
        <v>2510</v>
      </c>
      <c r="DM494" s="73">
        <v>2306</v>
      </c>
      <c r="DQ494" s="65" t="s">
        <v>126</v>
      </c>
      <c r="DR494" t="s">
        <v>179</v>
      </c>
      <c r="DU494"/>
      <c r="DZ494" s="73">
        <v>0</v>
      </c>
      <c r="EA494" s="73">
        <v>0</v>
      </c>
      <c r="EB494" s="73">
        <v>0</v>
      </c>
    </row>
    <row r="495" spans="1:133" ht="12" customHeight="1" x14ac:dyDescent="0.2">
      <c r="A495" t="s">
        <v>2936</v>
      </c>
      <c r="B495" t="s">
        <v>2946</v>
      </c>
      <c r="C495" t="str">
        <f t="shared" si="22"/>
        <v>Full</v>
      </c>
      <c r="D495" t="s">
        <v>2943</v>
      </c>
      <c r="E495" s="65">
        <v>5956</v>
      </c>
      <c r="F495" t="s">
        <v>2123</v>
      </c>
      <c r="G495" s="71" t="s">
        <v>3946</v>
      </c>
      <c r="H495" s="67">
        <v>9.9999997764825804E-3</v>
      </c>
      <c r="I495" s="65">
        <v>523775</v>
      </c>
      <c r="J495" s="65">
        <v>175783</v>
      </c>
      <c r="L495" s="65" t="s">
        <v>472</v>
      </c>
      <c r="M495" s="65" t="s">
        <v>27</v>
      </c>
      <c r="N495" s="69">
        <v>42109</v>
      </c>
      <c r="O495" s="69">
        <v>42305</v>
      </c>
      <c r="R495" s="65" t="s">
        <v>28</v>
      </c>
      <c r="U495" t="s">
        <v>744</v>
      </c>
      <c r="V495" t="s">
        <v>3459</v>
      </c>
      <c r="W495" s="65" t="s">
        <v>34</v>
      </c>
      <c r="X495" s="65" t="s">
        <v>29</v>
      </c>
      <c r="Y495" s="65" t="s">
        <v>35</v>
      </c>
      <c r="AA495" s="69">
        <v>42305</v>
      </c>
      <c r="AB495" s="69">
        <v>43190</v>
      </c>
      <c r="AC495" s="69">
        <v>43190</v>
      </c>
      <c r="AD495" s="65" t="s">
        <v>23</v>
      </c>
      <c r="AE495" s="65" t="s">
        <v>24</v>
      </c>
      <c r="AH495" s="69">
        <f t="shared" si="21"/>
        <v>42305</v>
      </c>
      <c r="AI495" s="69">
        <f t="shared" si="23"/>
        <v>43190</v>
      </c>
      <c r="AJ495" s="73">
        <v>77</v>
      </c>
      <c r="AO495" s="73">
        <v>77</v>
      </c>
      <c r="AZ495" s="73">
        <v>107</v>
      </c>
      <c r="BE495" s="73">
        <v>107</v>
      </c>
      <c r="BO495" s="185" t="s">
        <v>126</v>
      </c>
      <c r="BP495" s="185" t="s">
        <v>3794</v>
      </c>
      <c r="BQ495" s="185" t="s">
        <v>3794</v>
      </c>
      <c r="BR495" s="73">
        <v>-30</v>
      </c>
      <c r="BW495" s="73">
        <v>-30</v>
      </c>
      <c r="BY495" s="185" t="s">
        <v>3794</v>
      </c>
      <c r="CJ495" t="s">
        <v>31</v>
      </c>
      <c r="CK495" t="s">
        <v>25</v>
      </c>
      <c r="CL495" t="s">
        <v>25</v>
      </c>
      <c r="CM495" t="s">
        <v>25</v>
      </c>
      <c r="CN495" t="s">
        <v>25</v>
      </c>
      <c r="CO495" t="s">
        <v>25</v>
      </c>
      <c r="CP495" t="s">
        <v>25</v>
      </c>
      <c r="CQ495" t="s">
        <v>25</v>
      </c>
      <c r="CR495" t="s">
        <v>25</v>
      </c>
      <c r="CS495" t="s">
        <v>25</v>
      </c>
      <c r="CT495" t="s">
        <v>25</v>
      </c>
      <c r="CU495" t="s">
        <v>25</v>
      </c>
      <c r="CV495" t="s">
        <v>25</v>
      </c>
      <c r="CW495" t="s">
        <v>31</v>
      </c>
      <c r="CX495" t="s">
        <v>25</v>
      </c>
      <c r="CY495" t="s">
        <v>25</v>
      </c>
      <c r="CZ495" t="s">
        <v>25</v>
      </c>
      <c r="DA495" t="s">
        <v>25</v>
      </c>
      <c r="DB495" t="s">
        <v>25</v>
      </c>
      <c r="DC495" t="s">
        <v>25</v>
      </c>
      <c r="DD495" t="s">
        <v>25</v>
      </c>
      <c r="DE495" t="s">
        <v>25</v>
      </c>
      <c r="DF495" t="s">
        <v>25</v>
      </c>
      <c r="DG495" t="s">
        <v>25</v>
      </c>
      <c r="DH495" t="s">
        <v>25</v>
      </c>
      <c r="DI495" t="s">
        <v>25</v>
      </c>
      <c r="DJ495" s="76">
        <v>2.9999995604157404E-3</v>
      </c>
      <c r="DK495" s="73">
        <v>77</v>
      </c>
      <c r="DL495" s="73">
        <v>107</v>
      </c>
      <c r="DM495" s="73">
        <v>-30</v>
      </c>
      <c r="DU495"/>
      <c r="DZ495" s="73">
        <v>124</v>
      </c>
      <c r="EA495" s="73">
        <v>94</v>
      </c>
      <c r="EB495" s="73">
        <v>30</v>
      </c>
      <c r="EC495" s="65" t="s">
        <v>126</v>
      </c>
    </row>
    <row r="496" spans="1:133" ht="12" customHeight="1" x14ac:dyDescent="0.2">
      <c r="A496" t="s">
        <v>2937</v>
      </c>
      <c r="B496" t="s">
        <v>2946</v>
      </c>
      <c r="C496" t="str">
        <f t="shared" si="22"/>
        <v>Full</v>
      </c>
      <c r="E496" s="65">
        <v>5958</v>
      </c>
      <c r="F496" t="s">
        <v>2124</v>
      </c>
      <c r="G496" s="71" t="s">
        <v>150</v>
      </c>
      <c r="H496" s="67">
        <v>1.4999999664723899E-2</v>
      </c>
      <c r="I496" s="65">
        <v>527576</v>
      </c>
      <c r="J496" s="65">
        <v>171713</v>
      </c>
      <c r="L496" s="65" t="s">
        <v>632</v>
      </c>
      <c r="M496" s="65" t="s">
        <v>27</v>
      </c>
      <c r="N496" s="69">
        <v>42423</v>
      </c>
      <c r="O496" s="69">
        <v>42478</v>
      </c>
      <c r="R496" s="65" t="s">
        <v>28</v>
      </c>
      <c r="U496" t="s">
        <v>812</v>
      </c>
      <c r="V496" t="s">
        <v>3460</v>
      </c>
      <c r="W496" s="65" t="s">
        <v>34</v>
      </c>
      <c r="X496" s="65" t="s">
        <v>29</v>
      </c>
      <c r="Y496" s="65" t="s">
        <v>69</v>
      </c>
      <c r="AD496" s="65" t="s">
        <v>23</v>
      </c>
      <c r="AE496" s="65" t="s">
        <v>24</v>
      </c>
      <c r="AL496" s="73">
        <v>239</v>
      </c>
      <c r="AO496" s="73">
        <v>239</v>
      </c>
      <c r="BB496" s="73">
        <v>212</v>
      </c>
      <c r="BE496" s="73">
        <v>212</v>
      </c>
      <c r="BO496" s="185" t="s">
        <v>126</v>
      </c>
      <c r="BP496" s="185" t="s">
        <v>3794</v>
      </c>
      <c r="BQ496" s="185" t="s">
        <v>3794</v>
      </c>
      <c r="BT496" s="73">
        <v>27</v>
      </c>
      <c r="BW496" s="73">
        <v>27</v>
      </c>
      <c r="BY496" s="185" t="s">
        <v>3794</v>
      </c>
      <c r="CJ496" t="s">
        <v>25</v>
      </c>
      <c r="CK496" t="s">
        <v>25</v>
      </c>
      <c r="CL496" t="s">
        <v>38</v>
      </c>
      <c r="CM496" t="s">
        <v>25</v>
      </c>
      <c r="CN496" t="s">
        <v>25</v>
      </c>
      <c r="CO496" t="s">
        <v>25</v>
      </c>
      <c r="CP496" t="s">
        <v>25</v>
      </c>
      <c r="CQ496" t="s">
        <v>25</v>
      </c>
      <c r="CR496" t="s">
        <v>25</v>
      </c>
      <c r="CS496" t="s">
        <v>25</v>
      </c>
      <c r="CT496" t="s">
        <v>25</v>
      </c>
      <c r="CU496" t="s">
        <v>25</v>
      </c>
      <c r="CV496" t="s">
        <v>25</v>
      </c>
      <c r="CW496" t="s">
        <v>25</v>
      </c>
      <c r="CX496" t="s">
        <v>25</v>
      </c>
      <c r="CY496" t="s">
        <v>38</v>
      </c>
      <c r="CZ496" t="s">
        <v>25</v>
      </c>
      <c r="DA496" t="s">
        <v>25</v>
      </c>
      <c r="DB496" t="s">
        <v>25</v>
      </c>
      <c r="DC496" t="s">
        <v>25</v>
      </c>
      <c r="DD496" t="s">
        <v>25</v>
      </c>
      <c r="DE496" t="s">
        <v>25</v>
      </c>
      <c r="DF496" t="s">
        <v>25</v>
      </c>
      <c r="DG496" t="s">
        <v>25</v>
      </c>
      <c r="DH496" t="s">
        <v>25</v>
      </c>
      <c r="DI496" t="s">
        <v>25</v>
      </c>
      <c r="DJ496" s="76">
        <v>4.9999998882413188E-3</v>
      </c>
      <c r="DK496" s="73">
        <v>239</v>
      </c>
      <c r="DL496" s="73">
        <v>212</v>
      </c>
      <c r="DM496" s="73">
        <v>27</v>
      </c>
      <c r="DU496"/>
      <c r="DV496" s="65" t="s">
        <v>126</v>
      </c>
      <c r="DW496" t="s">
        <v>150</v>
      </c>
      <c r="DZ496" s="73">
        <v>247</v>
      </c>
      <c r="EA496" s="73">
        <v>125</v>
      </c>
      <c r="EB496" s="73">
        <v>122</v>
      </c>
      <c r="EC496" s="65" t="s">
        <v>126</v>
      </c>
    </row>
    <row r="497" spans="1:133" ht="12" customHeight="1" x14ac:dyDescent="0.2">
      <c r="A497" t="s">
        <v>2935</v>
      </c>
      <c r="B497" t="s">
        <v>2946</v>
      </c>
      <c r="C497" t="str">
        <f t="shared" si="22"/>
        <v>Full</v>
      </c>
      <c r="E497" s="65">
        <v>5959</v>
      </c>
      <c r="F497" t="s">
        <v>2125</v>
      </c>
      <c r="G497" s="71" t="s">
        <v>3939</v>
      </c>
      <c r="H497" s="67">
        <v>1.8999999389052401E-2</v>
      </c>
      <c r="I497" s="65">
        <v>524608</v>
      </c>
      <c r="J497" s="65">
        <v>173417</v>
      </c>
      <c r="L497" s="65" t="s">
        <v>477</v>
      </c>
      <c r="M497" s="65" t="s">
        <v>27</v>
      </c>
      <c r="N497" s="69">
        <v>42144</v>
      </c>
      <c r="O497" s="69">
        <v>42296</v>
      </c>
      <c r="R497" s="65" t="s">
        <v>28</v>
      </c>
      <c r="U497" t="s">
        <v>478</v>
      </c>
      <c r="V497" t="s">
        <v>3441</v>
      </c>
      <c r="W497" s="65" t="s">
        <v>29</v>
      </c>
      <c r="X497" s="65" t="s">
        <v>29</v>
      </c>
      <c r="Y497" s="65" t="s">
        <v>30</v>
      </c>
      <c r="AA497" s="69">
        <v>42950</v>
      </c>
      <c r="AD497" s="65" t="s">
        <v>23</v>
      </c>
      <c r="AE497" s="65" t="s">
        <v>54</v>
      </c>
      <c r="AH497" s="69">
        <f t="shared" si="21"/>
        <v>42950</v>
      </c>
      <c r="BO497" s="185" t="s">
        <v>3794</v>
      </c>
      <c r="BP497" s="185" t="s">
        <v>3794</v>
      </c>
      <c r="BQ497" s="185" t="s">
        <v>3794</v>
      </c>
      <c r="BW497" s="73"/>
      <c r="BY497" s="185" t="s">
        <v>3794</v>
      </c>
      <c r="CJ497" t="s">
        <v>25</v>
      </c>
      <c r="CK497" t="s">
        <v>25</v>
      </c>
      <c r="CL497" t="s">
        <v>25</v>
      </c>
      <c r="CM497" t="s">
        <v>25</v>
      </c>
      <c r="CN497" t="s">
        <v>25</v>
      </c>
      <c r="CO497" t="s">
        <v>25</v>
      </c>
      <c r="CP497" t="s">
        <v>25</v>
      </c>
      <c r="CQ497" t="s">
        <v>25</v>
      </c>
      <c r="CR497" t="s">
        <v>25</v>
      </c>
      <c r="CS497" t="s">
        <v>25</v>
      </c>
      <c r="CT497" t="s">
        <v>25</v>
      </c>
      <c r="CU497" t="s">
        <v>25</v>
      </c>
      <c r="CV497" t="s">
        <v>25</v>
      </c>
      <c r="CW497" t="s">
        <v>25</v>
      </c>
      <c r="CX497" t="s">
        <v>25</v>
      </c>
      <c r="CY497" t="s">
        <v>25</v>
      </c>
      <c r="CZ497" t="s">
        <v>25</v>
      </c>
      <c r="DA497" t="s">
        <v>25</v>
      </c>
      <c r="DB497" t="s">
        <v>25</v>
      </c>
      <c r="DC497" t="s">
        <v>25</v>
      </c>
      <c r="DD497" t="s">
        <v>25</v>
      </c>
      <c r="DE497" t="s">
        <v>25</v>
      </c>
      <c r="DF497" t="s">
        <v>25</v>
      </c>
      <c r="DG497" t="s">
        <v>25</v>
      </c>
      <c r="DH497" t="s">
        <v>25</v>
      </c>
      <c r="DI497" t="s">
        <v>25</v>
      </c>
      <c r="DJ497" s="76">
        <v>0</v>
      </c>
      <c r="DK497" s="73">
        <v>0</v>
      </c>
      <c r="DL497" s="73">
        <v>241</v>
      </c>
      <c r="DM497" s="73">
        <v>-241</v>
      </c>
      <c r="DU497"/>
      <c r="DZ497" s="73">
        <v>173</v>
      </c>
      <c r="EA497" s="73">
        <v>0</v>
      </c>
      <c r="EB497" s="73">
        <v>173</v>
      </c>
      <c r="EC497" s="65" t="s">
        <v>126</v>
      </c>
    </row>
    <row r="498" spans="1:133" ht="12" customHeight="1" x14ac:dyDescent="0.2">
      <c r="A498" t="s">
        <v>2937</v>
      </c>
      <c r="B498" t="s">
        <v>2948</v>
      </c>
      <c r="C498" t="str">
        <f t="shared" si="22"/>
        <v>Prior Approval</v>
      </c>
      <c r="E498" s="65">
        <v>5960</v>
      </c>
      <c r="F498" t="s">
        <v>2126</v>
      </c>
      <c r="G498" s="71" t="s">
        <v>3947</v>
      </c>
      <c r="H498" s="67">
        <v>8.2000002264976501E-2</v>
      </c>
      <c r="I498" s="65">
        <v>528068</v>
      </c>
      <c r="J498" s="65">
        <v>176644</v>
      </c>
      <c r="L498" s="65" t="s">
        <v>510</v>
      </c>
      <c r="M498" s="65" t="s">
        <v>243</v>
      </c>
      <c r="N498" s="69">
        <v>42229</v>
      </c>
      <c r="O498" s="69">
        <v>42285</v>
      </c>
      <c r="R498" s="65" t="s">
        <v>28</v>
      </c>
      <c r="U498" t="s">
        <v>511</v>
      </c>
      <c r="V498" t="s">
        <v>3461</v>
      </c>
      <c r="W498" s="65" t="s">
        <v>21</v>
      </c>
      <c r="X498" s="65" t="s">
        <v>21</v>
      </c>
      <c r="Y498" s="65" t="s">
        <v>69</v>
      </c>
      <c r="AD498" s="65" t="s">
        <v>23</v>
      </c>
      <c r="AE498" s="65" t="s">
        <v>24</v>
      </c>
      <c r="BF498" s="73">
        <v>122</v>
      </c>
      <c r="BK498" s="73">
        <v>122</v>
      </c>
      <c r="BO498" s="185" t="s">
        <v>3794</v>
      </c>
      <c r="BP498" s="185" t="s">
        <v>126</v>
      </c>
      <c r="BQ498" s="185" t="s">
        <v>3794</v>
      </c>
      <c r="BW498" s="73"/>
      <c r="BX498" s="73">
        <v>-122</v>
      </c>
      <c r="BY498" s="185" t="s">
        <v>126</v>
      </c>
      <c r="CD498" s="73">
        <v>-122</v>
      </c>
      <c r="CE498" s="65" t="s">
        <v>126</v>
      </c>
      <c r="CJ498" t="s">
        <v>25</v>
      </c>
      <c r="CK498" t="s">
        <v>25</v>
      </c>
      <c r="CL498" t="s">
        <v>25</v>
      </c>
      <c r="CM498" t="s">
        <v>25</v>
      </c>
      <c r="CN498" t="s">
        <v>25</v>
      </c>
      <c r="CO498" t="s">
        <v>25</v>
      </c>
      <c r="CP498" t="s">
        <v>25</v>
      </c>
      <c r="CQ498" t="s">
        <v>25</v>
      </c>
      <c r="CR498" t="s">
        <v>25</v>
      </c>
      <c r="CS498" t="s">
        <v>25</v>
      </c>
      <c r="CT498" t="s">
        <v>25</v>
      </c>
      <c r="CU498" t="s">
        <v>25</v>
      </c>
      <c r="CV498" t="s">
        <v>25</v>
      </c>
      <c r="CW498" t="s">
        <v>25</v>
      </c>
      <c r="CX498" t="s">
        <v>25</v>
      </c>
      <c r="CY498" t="s">
        <v>25</v>
      </c>
      <c r="CZ498" t="s">
        <v>25</v>
      </c>
      <c r="DA498" t="s">
        <v>25</v>
      </c>
      <c r="DB498" t="s">
        <v>31</v>
      </c>
      <c r="DC498" t="s">
        <v>25</v>
      </c>
      <c r="DD498" t="s">
        <v>25</v>
      </c>
      <c r="DE498" t="s">
        <v>25</v>
      </c>
      <c r="DF498" t="s">
        <v>25</v>
      </c>
      <c r="DG498" t="s">
        <v>25</v>
      </c>
      <c r="DH498" t="s">
        <v>25</v>
      </c>
      <c r="DI498" t="s">
        <v>25</v>
      </c>
      <c r="DJ498" s="76">
        <v>2.7000002562999705E-2</v>
      </c>
      <c r="DK498" s="73">
        <v>0</v>
      </c>
      <c r="DL498" s="73">
        <v>122</v>
      </c>
      <c r="DM498" s="73">
        <v>-122</v>
      </c>
      <c r="DU498"/>
      <c r="DZ498" s="73">
        <v>155</v>
      </c>
      <c r="EA498" s="73">
        <v>0</v>
      </c>
      <c r="EB498" s="73">
        <v>155</v>
      </c>
      <c r="EC498" s="65" t="s">
        <v>126</v>
      </c>
    </row>
    <row r="499" spans="1:133" ht="12" customHeight="1" x14ac:dyDescent="0.2">
      <c r="A499" t="s">
        <v>2937</v>
      </c>
      <c r="B499" t="s">
        <v>2948</v>
      </c>
      <c r="C499" t="str">
        <f t="shared" si="22"/>
        <v>Prior Approval</v>
      </c>
      <c r="E499" s="65">
        <v>5961</v>
      </c>
      <c r="F499" t="s">
        <v>2127</v>
      </c>
      <c r="G499" s="71" t="s">
        <v>3946</v>
      </c>
      <c r="H499" s="67">
        <v>6.0000000521540598E-3</v>
      </c>
      <c r="I499" s="65">
        <v>523197</v>
      </c>
      <c r="J499" s="65">
        <v>175814</v>
      </c>
      <c r="L499" s="65" t="s">
        <v>487</v>
      </c>
      <c r="M499" s="65" t="s">
        <v>244</v>
      </c>
      <c r="N499" s="69">
        <v>42186</v>
      </c>
      <c r="O499" s="69">
        <v>42242</v>
      </c>
      <c r="R499" s="65" t="s">
        <v>28</v>
      </c>
      <c r="U499" t="s">
        <v>456</v>
      </c>
      <c r="V499" t="s">
        <v>317</v>
      </c>
      <c r="W499" s="65" t="s">
        <v>21</v>
      </c>
      <c r="X499" s="65" t="s">
        <v>21</v>
      </c>
      <c r="Y499" s="65" t="s">
        <v>69</v>
      </c>
      <c r="AD499" s="65" t="s">
        <v>23</v>
      </c>
      <c r="AE499" s="65" t="s">
        <v>24</v>
      </c>
      <c r="BF499" s="73">
        <v>92</v>
      </c>
      <c r="BK499" s="73">
        <v>92</v>
      </c>
      <c r="BO499" s="185" t="s">
        <v>3794</v>
      </c>
      <c r="BP499" s="185" t="s">
        <v>126</v>
      </c>
      <c r="BQ499" s="185" t="s">
        <v>3794</v>
      </c>
      <c r="BW499" s="73"/>
      <c r="BX499" s="73">
        <v>-92</v>
      </c>
      <c r="BY499" s="185" t="s">
        <v>126</v>
      </c>
      <c r="CD499" s="73">
        <v>-92</v>
      </c>
      <c r="CE499" s="65" t="s">
        <v>126</v>
      </c>
      <c r="CJ499" t="s">
        <v>25</v>
      </c>
      <c r="CK499" t="s">
        <v>25</v>
      </c>
      <c r="CL499" t="s">
        <v>25</v>
      </c>
      <c r="CM499" t="s">
        <v>25</v>
      </c>
      <c r="CN499" t="s">
        <v>25</v>
      </c>
      <c r="CO499" t="s">
        <v>25</v>
      </c>
      <c r="CP499" t="s">
        <v>25</v>
      </c>
      <c r="CQ499" t="s">
        <v>25</v>
      </c>
      <c r="CR499" t="s">
        <v>25</v>
      </c>
      <c r="CS499" t="s">
        <v>25</v>
      </c>
      <c r="CT499" t="s">
        <v>25</v>
      </c>
      <c r="CU499" t="s">
        <v>25</v>
      </c>
      <c r="CV499" t="s">
        <v>25</v>
      </c>
      <c r="CW499" t="s">
        <v>25</v>
      </c>
      <c r="CX499" t="s">
        <v>25</v>
      </c>
      <c r="CY499" t="s">
        <v>25</v>
      </c>
      <c r="CZ499" t="s">
        <v>25</v>
      </c>
      <c r="DA499" t="s">
        <v>25</v>
      </c>
      <c r="DB499" t="s">
        <v>47</v>
      </c>
      <c r="DC499" t="s">
        <v>25</v>
      </c>
      <c r="DD499" t="s">
        <v>25</v>
      </c>
      <c r="DE499" t="s">
        <v>25</v>
      </c>
      <c r="DF499" t="s">
        <v>25</v>
      </c>
      <c r="DG499" t="s">
        <v>25</v>
      </c>
      <c r="DH499" t="s">
        <v>25</v>
      </c>
      <c r="DI499" t="s">
        <v>25</v>
      </c>
      <c r="DJ499" s="76">
        <v>0</v>
      </c>
      <c r="DK499" s="73">
        <v>0</v>
      </c>
      <c r="DL499" s="73">
        <v>92</v>
      </c>
      <c r="DM499" s="73">
        <v>-92</v>
      </c>
      <c r="DU499"/>
      <c r="DZ499" s="73">
        <v>92</v>
      </c>
      <c r="EA499" s="73">
        <v>0</v>
      </c>
      <c r="EB499" s="73">
        <v>92</v>
      </c>
      <c r="EC499" s="65" t="s">
        <v>126</v>
      </c>
    </row>
    <row r="500" spans="1:133" ht="12" customHeight="1" x14ac:dyDescent="0.2">
      <c r="A500" t="s">
        <v>2937</v>
      </c>
      <c r="B500" t="s">
        <v>2948</v>
      </c>
      <c r="C500" t="str">
        <f t="shared" si="22"/>
        <v>Prior Approval</v>
      </c>
      <c r="E500" s="65">
        <v>5963</v>
      </c>
      <c r="F500" t="s">
        <v>2128</v>
      </c>
      <c r="G500" s="71" t="s">
        <v>3946</v>
      </c>
      <c r="H500" s="67">
        <v>4.6999998390674598E-2</v>
      </c>
      <c r="I500" s="65">
        <v>523225</v>
      </c>
      <c r="J500" s="65">
        <v>175820</v>
      </c>
      <c r="L500" s="65" t="s">
        <v>504</v>
      </c>
      <c r="M500" s="65" t="s">
        <v>244</v>
      </c>
      <c r="N500" s="69">
        <v>42265</v>
      </c>
      <c r="O500" s="69">
        <v>42321</v>
      </c>
      <c r="R500" s="65" t="s">
        <v>28</v>
      </c>
      <c r="U500" t="s">
        <v>456</v>
      </c>
      <c r="V500" t="s">
        <v>3002</v>
      </c>
      <c r="W500" s="65" t="s">
        <v>21</v>
      </c>
      <c r="X500" s="65" t="s">
        <v>21</v>
      </c>
      <c r="Y500" s="65" t="s">
        <v>69</v>
      </c>
      <c r="AD500" s="65" t="s">
        <v>23</v>
      </c>
      <c r="AE500" s="65" t="s">
        <v>24</v>
      </c>
      <c r="BF500" s="73">
        <v>92</v>
      </c>
      <c r="BK500" s="73">
        <v>92</v>
      </c>
      <c r="BO500" s="185" t="s">
        <v>3794</v>
      </c>
      <c r="BP500" s="185" t="s">
        <v>126</v>
      </c>
      <c r="BQ500" s="185" t="s">
        <v>3794</v>
      </c>
      <c r="BW500" s="73"/>
      <c r="BX500" s="73">
        <v>-92</v>
      </c>
      <c r="BY500" s="185" t="s">
        <v>126</v>
      </c>
      <c r="CD500" s="73">
        <v>-92</v>
      </c>
      <c r="CE500" s="65" t="s">
        <v>126</v>
      </c>
      <c r="CJ500" t="s">
        <v>25</v>
      </c>
      <c r="CK500" t="s">
        <v>25</v>
      </c>
      <c r="CL500" t="s">
        <v>25</v>
      </c>
      <c r="CM500" t="s">
        <v>25</v>
      </c>
      <c r="CN500" t="s">
        <v>25</v>
      </c>
      <c r="CO500" t="s">
        <v>25</v>
      </c>
      <c r="CP500" t="s">
        <v>25</v>
      </c>
      <c r="CQ500" t="s">
        <v>25</v>
      </c>
      <c r="CR500" t="s">
        <v>25</v>
      </c>
      <c r="CS500" t="s">
        <v>25</v>
      </c>
      <c r="CT500" t="s">
        <v>25</v>
      </c>
      <c r="CU500" t="s">
        <v>25</v>
      </c>
      <c r="CV500" t="s">
        <v>25</v>
      </c>
      <c r="CW500" t="s">
        <v>25</v>
      </c>
      <c r="CX500" t="s">
        <v>25</v>
      </c>
      <c r="CY500" t="s">
        <v>25</v>
      </c>
      <c r="CZ500" t="s">
        <v>25</v>
      </c>
      <c r="DA500" t="s">
        <v>25</v>
      </c>
      <c r="DB500" t="s">
        <v>31</v>
      </c>
      <c r="DC500" t="s">
        <v>25</v>
      </c>
      <c r="DD500" t="s">
        <v>25</v>
      </c>
      <c r="DE500" t="s">
        <v>25</v>
      </c>
      <c r="DF500" t="s">
        <v>25</v>
      </c>
      <c r="DG500" t="s">
        <v>25</v>
      </c>
      <c r="DH500" t="s">
        <v>25</v>
      </c>
      <c r="DI500" t="s">
        <v>25</v>
      </c>
      <c r="DJ500" s="76">
        <v>0</v>
      </c>
      <c r="DK500" s="73">
        <v>0</v>
      </c>
      <c r="DL500" s="73">
        <v>92</v>
      </c>
      <c r="DM500" s="73">
        <v>-92</v>
      </c>
      <c r="DU500"/>
      <c r="DZ500" s="73">
        <v>92</v>
      </c>
      <c r="EA500" s="73">
        <v>0</v>
      </c>
      <c r="EB500" s="73">
        <v>92</v>
      </c>
      <c r="EC500" s="65" t="s">
        <v>126</v>
      </c>
    </row>
    <row r="501" spans="1:133" ht="12" customHeight="1" x14ac:dyDescent="0.2">
      <c r="A501" t="s">
        <v>2936</v>
      </c>
      <c r="B501" t="s">
        <v>2948</v>
      </c>
      <c r="C501" t="str">
        <f t="shared" si="22"/>
        <v>Prior Approval</v>
      </c>
      <c r="D501" t="s">
        <v>2943</v>
      </c>
      <c r="E501" s="65">
        <v>5964</v>
      </c>
      <c r="F501" t="s">
        <v>2129</v>
      </c>
      <c r="G501" s="71" t="s">
        <v>3948</v>
      </c>
      <c r="H501" s="67">
        <v>8.0000003799796104E-3</v>
      </c>
      <c r="I501" s="65">
        <v>527305</v>
      </c>
      <c r="J501" s="65">
        <v>176281</v>
      </c>
      <c r="L501" s="65" t="s">
        <v>834</v>
      </c>
      <c r="M501" s="65" t="s">
        <v>243</v>
      </c>
      <c r="N501" s="69">
        <v>42461</v>
      </c>
      <c r="O501" s="69">
        <v>42514</v>
      </c>
      <c r="R501" s="65" t="s">
        <v>28</v>
      </c>
      <c r="U501" t="s">
        <v>494</v>
      </c>
      <c r="V501" t="s">
        <v>3462</v>
      </c>
      <c r="W501" s="65" t="s">
        <v>21</v>
      </c>
      <c r="X501" s="65" t="s">
        <v>21</v>
      </c>
      <c r="Y501" s="65" t="s">
        <v>35</v>
      </c>
      <c r="AA501" s="69">
        <v>42605</v>
      </c>
      <c r="AB501" s="69">
        <v>42894</v>
      </c>
      <c r="AC501" s="69">
        <v>42894</v>
      </c>
      <c r="AD501" s="65" t="s">
        <v>23</v>
      </c>
      <c r="AE501" s="65" t="s">
        <v>24</v>
      </c>
      <c r="AH501" s="69">
        <f t="shared" si="21"/>
        <v>42605</v>
      </c>
      <c r="AI501" s="69">
        <f t="shared" si="23"/>
        <v>42894</v>
      </c>
      <c r="BF501" s="73">
        <v>57</v>
      </c>
      <c r="BK501" s="73">
        <v>57</v>
      </c>
      <c r="BO501" s="185" t="s">
        <v>3794</v>
      </c>
      <c r="BP501" s="185" t="s">
        <v>126</v>
      </c>
      <c r="BQ501" s="185" t="s">
        <v>3794</v>
      </c>
      <c r="BW501" s="73"/>
      <c r="BX501" s="73">
        <v>-57</v>
      </c>
      <c r="BY501" s="185" t="s">
        <v>126</v>
      </c>
      <c r="CD501" s="73">
        <v>-57</v>
      </c>
      <c r="CE501" s="65" t="s">
        <v>126</v>
      </c>
      <c r="CJ501" t="s">
        <v>25</v>
      </c>
      <c r="CK501" t="s">
        <v>25</v>
      </c>
      <c r="CL501" t="s">
        <v>25</v>
      </c>
      <c r="CM501" t="s">
        <v>25</v>
      </c>
      <c r="CN501" t="s">
        <v>25</v>
      </c>
      <c r="CO501" t="s">
        <v>25</v>
      </c>
      <c r="CP501" t="s">
        <v>25</v>
      </c>
      <c r="CQ501" t="s">
        <v>25</v>
      </c>
      <c r="CR501" t="s">
        <v>25</v>
      </c>
      <c r="CS501" t="s">
        <v>25</v>
      </c>
      <c r="CT501" t="s">
        <v>25</v>
      </c>
      <c r="CU501" t="s">
        <v>25</v>
      </c>
      <c r="CV501" t="s">
        <v>25</v>
      </c>
      <c r="CW501" t="s">
        <v>25</v>
      </c>
      <c r="CX501" t="s">
        <v>25</v>
      </c>
      <c r="CY501" t="s">
        <v>25</v>
      </c>
      <c r="CZ501" t="s">
        <v>25</v>
      </c>
      <c r="DA501" t="s">
        <v>25</v>
      </c>
      <c r="DB501" t="s">
        <v>31</v>
      </c>
      <c r="DC501" t="s">
        <v>25</v>
      </c>
      <c r="DD501" t="s">
        <v>25</v>
      </c>
      <c r="DE501" t="s">
        <v>25</v>
      </c>
      <c r="DF501" t="s">
        <v>25</v>
      </c>
      <c r="DG501" t="s">
        <v>25</v>
      </c>
      <c r="DH501" t="s">
        <v>25</v>
      </c>
      <c r="DI501" t="s">
        <v>25</v>
      </c>
      <c r="DJ501" s="76">
        <v>4.0000001899898E-3</v>
      </c>
      <c r="DK501" s="73">
        <v>0</v>
      </c>
      <c r="DL501" s="73">
        <v>57</v>
      </c>
      <c r="DM501" s="73">
        <v>-57</v>
      </c>
      <c r="DU501"/>
      <c r="DZ501" s="73">
        <v>57</v>
      </c>
      <c r="EA501" s="73">
        <v>0</v>
      </c>
      <c r="EB501" s="73">
        <v>57</v>
      </c>
      <c r="EC501" s="65" t="s">
        <v>126</v>
      </c>
    </row>
    <row r="502" spans="1:133" ht="12" customHeight="1" x14ac:dyDescent="0.2">
      <c r="A502" t="s">
        <v>2935</v>
      </c>
      <c r="B502" t="s">
        <v>2948</v>
      </c>
      <c r="C502" t="str">
        <f t="shared" si="22"/>
        <v>Prior Approval</v>
      </c>
      <c r="E502" s="65">
        <v>5966</v>
      </c>
      <c r="F502" t="s">
        <v>2130</v>
      </c>
      <c r="G502" s="71" t="s">
        <v>3943</v>
      </c>
      <c r="H502" s="67">
        <v>8.79999995231628E-2</v>
      </c>
      <c r="I502" s="65">
        <v>527304</v>
      </c>
      <c r="J502" s="65">
        <v>177160</v>
      </c>
      <c r="L502" s="65" t="s">
        <v>599</v>
      </c>
      <c r="M502" s="65" t="s">
        <v>244</v>
      </c>
      <c r="N502" s="69">
        <v>42351</v>
      </c>
      <c r="O502" s="69">
        <v>42443</v>
      </c>
      <c r="R502" s="65" t="s">
        <v>28</v>
      </c>
      <c r="U502" t="s">
        <v>529</v>
      </c>
      <c r="V502" t="s">
        <v>3463</v>
      </c>
      <c r="W502" s="65" t="s">
        <v>21</v>
      </c>
      <c r="X502" s="65" t="s">
        <v>21</v>
      </c>
      <c r="Y502" s="65" t="s">
        <v>30</v>
      </c>
      <c r="AA502" s="69">
        <v>42825</v>
      </c>
      <c r="AD502" s="65" t="s">
        <v>23</v>
      </c>
      <c r="AE502" s="65" t="s">
        <v>24</v>
      </c>
      <c r="AH502" s="69">
        <f t="shared" si="21"/>
        <v>42825</v>
      </c>
      <c r="BF502" s="73">
        <v>72</v>
      </c>
      <c r="BK502" s="73">
        <v>72</v>
      </c>
      <c r="BO502" s="185" t="s">
        <v>3794</v>
      </c>
      <c r="BP502" s="185" t="s">
        <v>126</v>
      </c>
      <c r="BQ502" s="185" t="s">
        <v>3794</v>
      </c>
      <c r="BW502" s="73"/>
      <c r="BX502" s="73">
        <v>-72</v>
      </c>
      <c r="BY502" s="185" t="s">
        <v>126</v>
      </c>
      <c r="CD502" s="73">
        <v>-72</v>
      </c>
      <c r="CE502" s="65" t="s">
        <v>126</v>
      </c>
      <c r="CJ502" t="s">
        <v>25</v>
      </c>
      <c r="CK502" t="s">
        <v>25</v>
      </c>
      <c r="CL502" t="s">
        <v>25</v>
      </c>
      <c r="CM502" t="s">
        <v>25</v>
      </c>
      <c r="CN502" t="s">
        <v>25</v>
      </c>
      <c r="CO502" t="s">
        <v>25</v>
      </c>
      <c r="CP502" t="s">
        <v>25</v>
      </c>
      <c r="CQ502" t="s">
        <v>25</v>
      </c>
      <c r="CR502" t="s">
        <v>25</v>
      </c>
      <c r="CS502" t="s">
        <v>25</v>
      </c>
      <c r="CT502" t="s">
        <v>25</v>
      </c>
      <c r="CU502" t="s">
        <v>25</v>
      </c>
      <c r="CV502" t="s">
        <v>25</v>
      </c>
      <c r="CW502" t="s">
        <v>25</v>
      </c>
      <c r="CX502" t="s">
        <v>25</v>
      </c>
      <c r="CY502" t="s">
        <v>25</v>
      </c>
      <c r="CZ502" t="s">
        <v>25</v>
      </c>
      <c r="DA502" t="s">
        <v>25</v>
      </c>
      <c r="DB502" t="s">
        <v>31</v>
      </c>
      <c r="DC502" t="s">
        <v>25</v>
      </c>
      <c r="DD502" t="s">
        <v>25</v>
      </c>
      <c r="DE502" t="s">
        <v>25</v>
      </c>
      <c r="DF502" t="s">
        <v>25</v>
      </c>
      <c r="DG502" t="s">
        <v>25</v>
      </c>
      <c r="DH502" t="s">
        <v>25</v>
      </c>
      <c r="DI502" t="s">
        <v>25</v>
      </c>
      <c r="DJ502" s="76">
        <v>2.9000001028180102E-2</v>
      </c>
      <c r="DK502" s="73">
        <v>0</v>
      </c>
      <c r="DL502" s="73">
        <v>72</v>
      </c>
      <c r="DM502" s="73">
        <v>-72</v>
      </c>
      <c r="DN502" s="65" t="s">
        <v>126</v>
      </c>
      <c r="DU502"/>
      <c r="DZ502" s="73">
        <v>72</v>
      </c>
      <c r="EA502" s="73">
        <v>0</v>
      </c>
      <c r="EB502" s="73">
        <v>72</v>
      </c>
      <c r="EC502" s="65" t="s">
        <v>126</v>
      </c>
    </row>
    <row r="503" spans="1:133" ht="12" customHeight="1" x14ac:dyDescent="0.2">
      <c r="A503" t="s">
        <v>2935</v>
      </c>
      <c r="B503" t="s">
        <v>2946</v>
      </c>
      <c r="C503" t="str">
        <f t="shared" si="22"/>
        <v>Full</v>
      </c>
      <c r="E503" s="65">
        <v>5968</v>
      </c>
      <c r="F503" t="s">
        <v>2820</v>
      </c>
      <c r="G503" s="71" t="s">
        <v>3941</v>
      </c>
      <c r="H503" s="67">
        <v>0.13300000131130199</v>
      </c>
      <c r="I503" s="65">
        <v>528235</v>
      </c>
      <c r="J503" s="65">
        <v>172781</v>
      </c>
      <c r="L503" s="65" t="s">
        <v>2821</v>
      </c>
      <c r="M503" s="65" t="s">
        <v>434</v>
      </c>
      <c r="N503" s="69">
        <v>43056</v>
      </c>
      <c r="O503" s="69">
        <v>43166</v>
      </c>
      <c r="P503" s="65" t="s">
        <v>126</v>
      </c>
      <c r="Q503" s="69">
        <v>43125</v>
      </c>
      <c r="R503" s="65" t="s">
        <v>28</v>
      </c>
      <c r="U503" t="s">
        <v>2822</v>
      </c>
      <c r="V503" t="s">
        <v>3464</v>
      </c>
      <c r="W503" s="65" t="s">
        <v>29</v>
      </c>
      <c r="X503" s="65" t="s">
        <v>29</v>
      </c>
      <c r="Y503" s="65" t="s">
        <v>30</v>
      </c>
      <c r="Z503" s="69">
        <v>42856</v>
      </c>
      <c r="AA503" s="69">
        <v>42856</v>
      </c>
      <c r="AD503" s="65" t="s">
        <v>23</v>
      </c>
      <c r="AE503" s="65" t="s">
        <v>24</v>
      </c>
      <c r="AH503" s="69">
        <f t="shared" si="21"/>
        <v>42856</v>
      </c>
      <c r="BO503" s="185" t="s">
        <v>3794</v>
      </c>
      <c r="BP503" s="185" t="s">
        <v>3794</v>
      </c>
      <c r="BQ503" s="185" t="s">
        <v>3794</v>
      </c>
      <c r="BW503" s="73"/>
      <c r="BY503" s="185" t="s">
        <v>3794</v>
      </c>
      <c r="CJ503" t="s">
        <v>25</v>
      </c>
      <c r="CK503" t="s">
        <v>25</v>
      </c>
      <c r="CL503" t="s">
        <v>25</v>
      </c>
      <c r="CM503" t="s">
        <v>25</v>
      </c>
      <c r="CN503" t="s">
        <v>25</v>
      </c>
      <c r="CO503" t="s">
        <v>25</v>
      </c>
      <c r="CP503" t="s">
        <v>25</v>
      </c>
      <c r="CQ503" t="s">
        <v>25</v>
      </c>
      <c r="CR503" t="s">
        <v>25</v>
      </c>
      <c r="CS503" t="s">
        <v>25</v>
      </c>
      <c r="CT503" t="s">
        <v>25</v>
      </c>
      <c r="CU503" t="s">
        <v>25</v>
      </c>
      <c r="CV503" t="s">
        <v>25</v>
      </c>
      <c r="CW503" t="s">
        <v>25</v>
      </c>
      <c r="CX503" t="s">
        <v>25</v>
      </c>
      <c r="CY503" t="s">
        <v>25</v>
      </c>
      <c r="CZ503" t="s">
        <v>25</v>
      </c>
      <c r="DA503" t="s">
        <v>25</v>
      </c>
      <c r="DB503" t="s">
        <v>25</v>
      </c>
      <c r="DC503" t="s">
        <v>25</v>
      </c>
      <c r="DD503" t="s">
        <v>25</v>
      </c>
      <c r="DE503" t="s">
        <v>25</v>
      </c>
      <c r="DF503" t="s">
        <v>25</v>
      </c>
      <c r="DG503" t="s">
        <v>25</v>
      </c>
      <c r="DH503" t="s">
        <v>25</v>
      </c>
      <c r="DI503" t="s">
        <v>25</v>
      </c>
      <c r="DJ503" s="76">
        <v>9.9999979138369888E-3</v>
      </c>
      <c r="DK503" s="73">
        <v>0</v>
      </c>
      <c r="DL503" s="73">
        <v>94</v>
      </c>
      <c r="DM503" s="73">
        <v>-94</v>
      </c>
      <c r="DU503"/>
      <c r="DZ503" s="73">
        <v>5949</v>
      </c>
      <c r="EA503" s="73">
        <v>0</v>
      </c>
      <c r="EB503" s="73">
        <v>5949</v>
      </c>
      <c r="EC503" s="65" t="s">
        <v>126</v>
      </c>
    </row>
    <row r="504" spans="1:133" ht="12" customHeight="1" x14ac:dyDescent="0.2">
      <c r="A504" t="s">
        <v>2936</v>
      </c>
      <c r="B504" t="s">
        <v>2946</v>
      </c>
      <c r="C504" t="str">
        <f t="shared" si="22"/>
        <v>Full</v>
      </c>
      <c r="D504" t="s">
        <v>2943</v>
      </c>
      <c r="E504" s="65">
        <v>5979</v>
      </c>
      <c r="F504" t="s">
        <v>2131</v>
      </c>
      <c r="G504" s="71" t="s">
        <v>3947</v>
      </c>
      <c r="H504" s="67">
        <v>4.0000001899898104E-3</v>
      </c>
      <c r="I504" s="65">
        <v>527947</v>
      </c>
      <c r="J504" s="65">
        <v>176687</v>
      </c>
      <c r="L504" s="65" t="s">
        <v>462</v>
      </c>
      <c r="M504" s="65" t="s">
        <v>27</v>
      </c>
      <c r="N504" s="69">
        <v>42151</v>
      </c>
      <c r="O504" s="69">
        <v>42207</v>
      </c>
      <c r="R504" s="65" t="s">
        <v>28</v>
      </c>
      <c r="U504" t="s">
        <v>463</v>
      </c>
      <c r="V504" t="s">
        <v>3465</v>
      </c>
      <c r="W504" s="65" t="s">
        <v>29</v>
      </c>
      <c r="X504" s="65" t="s">
        <v>29</v>
      </c>
      <c r="Y504" s="65" t="s">
        <v>35</v>
      </c>
      <c r="AA504" s="69">
        <v>42334</v>
      </c>
      <c r="AB504" s="69">
        <v>43190</v>
      </c>
      <c r="AC504" s="69">
        <v>43190</v>
      </c>
      <c r="AD504" s="65" t="s">
        <v>23</v>
      </c>
      <c r="AE504" s="65" t="s">
        <v>24</v>
      </c>
      <c r="AH504" s="69">
        <f t="shared" si="21"/>
        <v>42334</v>
      </c>
      <c r="AI504" s="69">
        <f t="shared" si="23"/>
        <v>43190</v>
      </c>
      <c r="AP504" s="73">
        <v>26</v>
      </c>
      <c r="AS504" s="73">
        <v>26</v>
      </c>
      <c r="AV504" s="73">
        <v>26</v>
      </c>
      <c r="BO504" s="185" t="s">
        <v>3794</v>
      </c>
      <c r="BP504" s="185" t="s">
        <v>126</v>
      </c>
      <c r="BQ504" s="185" t="s">
        <v>3794</v>
      </c>
      <c r="BW504" s="73"/>
      <c r="BX504" s="73">
        <v>26</v>
      </c>
      <c r="BY504" s="185" t="s">
        <v>3794</v>
      </c>
      <c r="CD504" s="73">
        <v>26</v>
      </c>
      <c r="CJ504" t="s">
        <v>25</v>
      </c>
      <c r="CK504" t="s">
        <v>25</v>
      </c>
      <c r="CL504" t="s">
        <v>25</v>
      </c>
      <c r="CM504" t="s">
        <v>25</v>
      </c>
      <c r="CN504" t="s">
        <v>25</v>
      </c>
      <c r="CO504" t="s">
        <v>49</v>
      </c>
      <c r="CP504" t="s">
        <v>25</v>
      </c>
      <c r="CQ504" t="s">
        <v>25</v>
      </c>
      <c r="CR504" t="s">
        <v>25</v>
      </c>
      <c r="CS504" t="s">
        <v>25</v>
      </c>
      <c r="CT504" t="s">
        <v>25</v>
      </c>
      <c r="CU504" t="s">
        <v>25</v>
      </c>
      <c r="CV504" t="s">
        <v>25</v>
      </c>
      <c r="CW504" t="s">
        <v>25</v>
      </c>
      <c r="CX504" t="s">
        <v>25</v>
      </c>
      <c r="CY504" t="s">
        <v>25</v>
      </c>
      <c r="CZ504" t="s">
        <v>25</v>
      </c>
      <c r="DA504" t="s">
        <v>25</v>
      </c>
      <c r="DB504" t="s">
        <v>25</v>
      </c>
      <c r="DC504" t="s">
        <v>25</v>
      </c>
      <c r="DD504" t="s">
        <v>25</v>
      </c>
      <c r="DE504" t="s">
        <v>25</v>
      </c>
      <c r="DF504" t="s">
        <v>25</v>
      </c>
      <c r="DG504" t="s">
        <v>25</v>
      </c>
      <c r="DH504" t="s">
        <v>25</v>
      </c>
      <c r="DI504" t="s">
        <v>25</v>
      </c>
      <c r="DJ504" s="76">
        <v>4.0000001899898104E-3</v>
      </c>
      <c r="DK504" s="73">
        <v>26</v>
      </c>
      <c r="DL504" s="73">
        <v>0</v>
      </c>
      <c r="DM504" s="73">
        <v>26</v>
      </c>
      <c r="DU504"/>
      <c r="DZ504" s="73">
        <v>0</v>
      </c>
      <c r="EA504" s="73">
        <v>0</v>
      </c>
      <c r="EB504" s="73">
        <v>0</v>
      </c>
    </row>
    <row r="505" spans="1:133" ht="12" customHeight="1" x14ac:dyDescent="0.2">
      <c r="A505" t="s">
        <v>2935</v>
      </c>
      <c r="B505" t="s">
        <v>2946</v>
      </c>
      <c r="C505" t="str">
        <f t="shared" si="22"/>
        <v>Full</v>
      </c>
      <c r="E505" s="65">
        <v>5992</v>
      </c>
      <c r="F505" t="s">
        <v>2132</v>
      </c>
      <c r="G505" s="71" t="s">
        <v>2904</v>
      </c>
      <c r="H505" s="67">
        <v>3.9000000804662698E-2</v>
      </c>
      <c r="I505" s="65">
        <v>526101</v>
      </c>
      <c r="J505" s="65">
        <v>172518</v>
      </c>
      <c r="L505" s="65" t="s">
        <v>479</v>
      </c>
      <c r="M505" s="65" t="s">
        <v>27</v>
      </c>
      <c r="N505" s="69">
        <v>42151</v>
      </c>
      <c r="O505" s="69">
        <v>42270</v>
      </c>
      <c r="R505" s="65" t="s">
        <v>28</v>
      </c>
      <c r="U505" t="s">
        <v>480</v>
      </c>
      <c r="V505" t="s">
        <v>3466</v>
      </c>
      <c r="W505" s="65" t="s">
        <v>29</v>
      </c>
      <c r="X505" s="65" t="s">
        <v>29</v>
      </c>
      <c r="Y505" s="65" t="s">
        <v>30</v>
      </c>
      <c r="AA505" s="69">
        <v>42825</v>
      </c>
      <c r="AD505" s="65" t="s">
        <v>23</v>
      </c>
      <c r="AE505" s="65" t="s">
        <v>24</v>
      </c>
      <c r="AH505" s="69">
        <f t="shared" si="21"/>
        <v>42825</v>
      </c>
      <c r="AW505" s="73">
        <v>990</v>
      </c>
      <c r="AY505" s="73">
        <v>990</v>
      </c>
      <c r="BL505" s="73">
        <v>280</v>
      </c>
      <c r="BN505" s="73">
        <v>280</v>
      </c>
      <c r="BO505" s="185" t="s">
        <v>3794</v>
      </c>
      <c r="BP505" s="185" t="s">
        <v>3794</v>
      </c>
      <c r="BQ505" s="185" t="s">
        <v>126</v>
      </c>
      <c r="BW505" s="73"/>
      <c r="BY505" s="185" t="s">
        <v>3794</v>
      </c>
      <c r="CG505" s="73">
        <v>710</v>
      </c>
      <c r="CI505" s="73">
        <v>710</v>
      </c>
      <c r="CJ505" t="s">
        <v>25</v>
      </c>
      <c r="CK505" t="s">
        <v>25</v>
      </c>
      <c r="CL505" t="s">
        <v>25</v>
      </c>
      <c r="CM505" t="s">
        <v>25</v>
      </c>
      <c r="CN505" t="s">
        <v>25</v>
      </c>
      <c r="CO505" t="s">
        <v>25</v>
      </c>
      <c r="CP505" t="s">
        <v>25</v>
      </c>
      <c r="CQ505" t="s">
        <v>25</v>
      </c>
      <c r="CR505" t="s">
        <v>25</v>
      </c>
      <c r="CS505" t="s">
        <v>25</v>
      </c>
      <c r="CT505" t="s">
        <v>25</v>
      </c>
      <c r="CU505" t="s">
        <v>60</v>
      </c>
      <c r="CV505" t="s">
        <v>25</v>
      </c>
      <c r="CW505" t="s">
        <v>25</v>
      </c>
      <c r="CX505" t="s">
        <v>25</v>
      </c>
      <c r="CY505" t="s">
        <v>25</v>
      </c>
      <c r="CZ505" t="s">
        <v>25</v>
      </c>
      <c r="DA505" t="s">
        <v>25</v>
      </c>
      <c r="DB505" t="s">
        <v>25</v>
      </c>
      <c r="DC505" t="s">
        <v>25</v>
      </c>
      <c r="DD505" t="s">
        <v>25</v>
      </c>
      <c r="DE505" t="s">
        <v>25</v>
      </c>
      <c r="DF505" t="s">
        <v>25</v>
      </c>
      <c r="DG505" t="s">
        <v>25</v>
      </c>
      <c r="DH505" t="s">
        <v>60</v>
      </c>
      <c r="DI505" t="s">
        <v>25</v>
      </c>
      <c r="DJ505" s="76">
        <v>3.9000000804662698E-2</v>
      </c>
      <c r="DK505" s="73">
        <v>990</v>
      </c>
      <c r="DL505" s="73">
        <v>280</v>
      </c>
      <c r="DM505" s="73">
        <v>710</v>
      </c>
      <c r="DU505"/>
      <c r="DZ505" s="73">
        <v>0</v>
      </c>
      <c r="EA505" s="73">
        <v>0</v>
      </c>
      <c r="EB505" s="73">
        <v>0</v>
      </c>
    </row>
    <row r="506" spans="1:133" ht="12" customHeight="1" x14ac:dyDescent="0.2">
      <c r="A506" t="s">
        <v>2937</v>
      </c>
      <c r="B506" t="s">
        <v>2946</v>
      </c>
      <c r="C506" t="str">
        <f t="shared" si="22"/>
        <v>Full</v>
      </c>
      <c r="E506" s="65">
        <v>5996</v>
      </c>
      <c r="F506" t="s">
        <v>2133</v>
      </c>
      <c r="G506" s="71" t="s">
        <v>150</v>
      </c>
      <c r="H506" s="67">
        <v>1.2000000104308101E-2</v>
      </c>
      <c r="I506" s="65">
        <v>527571</v>
      </c>
      <c r="J506" s="65">
        <v>171743</v>
      </c>
      <c r="L506" s="65" t="s">
        <v>2134</v>
      </c>
      <c r="M506" s="65" t="s">
        <v>27</v>
      </c>
      <c r="N506" s="69">
        <v>42873</v>
      </c>
      <c r="O506" s="69">
        <v>43032</v>
      </c>
      <c r="P506" s="65" t="s">
        <v>126</v>
      </c>
      <c r="R506" s="65" t="s">
        <v>28</v>
      </c>
      <c r="U506" t="s">
        <v>2135</v>
      </c>
      <c r="V506" t="s">
        <v>3467</v>
      </c>
      <c r="W506" s="65" t="s">
        <v>29</v>
      </c>
      <c r="X506" s="65" t="s">
        <v>29</v>
      </c>
      <c r="Y506" s="65" t="s">
        <v>69</v>
      </c>
      <c r="AD506" s="65" t="s">
        <v>23</v>
      </c>
      <c r="AE506" s="65" t="s">
        <v>24</v>
      </c>
      <c r="AZ506" s="73">
        <v>67</v>
      </c>
      <c r="BE506" s="73">
        <v>67</v>
      </c>
      <c r="BO506" s="185" t="s">
        <v>126</v>
      </c>
      <c r="BP506" s="185" t="s">
        <v>3794</v>
      </c>
      <c r="BQ506" s="185" t="s">
        <v>3794</v>
      </c>
      <c r="BR506" s="73">
        <v>-67</v>
      </c>
      <c r="BW506" s="73">
        <v>-67</v>
      </c>
      <c r="BY506" s="185" t="s">
        <v>3794</v>
      </c>
      <c r="CJ506" t="s">
        <v>25</v>
      </c>
      <c r="CK506" t="s">
        <v>25</v>
      </c>
      <c r="CL506" t="s">
        <v>25</v>
      </c>
      <c r="CM506" t="s">
        <v>25</v>
      </c>
      <c r="CN506" t="s">
        <v>25</v>
      </c>
      <c r="CO506" t="s">
        <v>25</v>
      </c>
      <c r="CP506" t="s">
        <v>25</v>
      </c>
      <c r="CQ506" t="s">
        <v>25</v>
      </c>
      <c r="CR506" t="s">
        <v>25</v>
      </c>
      <c r="CS506" t="s">
        <v>25</v>
      </c>
      <c r="CT506" t="s">
        <v>25</v>
      </c>
      <c r="CU506" t="s">
        <v>25</v>
      </c>
      <c r="CV506" t="s">
        <v>25</v>
      </c>
      <c r="CW506" t="s">
        <v>47</v>
      </c>
      <c r="CX506" t="s">
        <v>25</v>
      </c>
      <c r="CY506" t="s">
        <v>25</v>
      </c>
      <c r="CZ506" t="s">
        <v>25</v>
      </c>
      <c r="DA506" t="s">
        <v>25</v>
      </c>
      <c r="DB506" t="s">
        <v>25</v>
      </c>
      <c r="DC506" t="s">
        <v>25</v>
      </c>
      <c r="DD506" t="s">
        <v>25</v>
      </c>
      <c r="DE506" t="s">
        <v>25</v>
      </c>
      <c r="DF506" t="s">
        <v>25</v>
      </c>
      <c r="DG506" t="s">
        <v>25</v>
      </c>
      <c r="DH506" t="s">
        <v>25</v>
      </c>
      <c r="DI506" t="s">
        <v>25</v>
      </c>
      <c r="DJ506" s="76">
        <v>0</v>
      </c>
      <c r="DK506" s="73">
        <v>0</v>
      </c>
      <c r="DL506" s="73">
        <v>67</v>
      </c>
      <c r="DM506" s="73">
        <v>-67</v>
      </c>
      <c r="DU506"/>
      <c r="DZ506" s="73">
        <v>178</v>
      </c>
      <c r="EA506" s="73">
        <v>0</v>
      </c>
      <c r="EB506" s="73">
        <v>178</v>
      </c>
      <c r="EC506" s="65" t="s">
        <v>126</v>
      </c>
    </row>
    <row r="507" spans="1:133" ht="12" customHeight="1" x14ac:dyDescent="0.2">
      <c r="A507" t="s">
        <v>2936</v>
      </c>
      <c r="B507" t="s">
        <v>2946</v>
      </c>
      <c r="C507" t="str">
        <f t="shared" si="22"/>
        <v>Full</v>
      </c>
      <c r="D507" t="s">
        <v>2943</v>
      </c>
      <c r="E507" s="65">
        <v>6004</v>
      </c>
      <c r="F507" t="s">
        <v>2136</v>
      </c>
      <c r="G507" s="71" t="s">
        <v>3951</v>
      </c>
      <c r="H507" s="67">
        <v>2.5000000372528999E-2</v>
      </c>
      <c r="I507" s="65">
        <v>527498</v>
      </c>
      <c r="J507" s="65">
        <v>171520</v>
      </c>
      <c r="K507" s="65" t="s">
        <v>1824</v>
      </c>
      <c r="L507" s="65" t="s">
        <v>476</v>
      </c>
      <c r="M507" s="65" t="s">
        <v>27</v>
      </c>
      <c r="N507" s="69">
        <v>42179</v>
      </c>
      <c r="O507" s="69">
        <v>42347</v>
      </c>
      <c r="R507" s="65" t="s">
        <v>28</v>
      </c>
      <c r="U507" t="s">
        <v>747</v>
      </c>
      <c r="V507" t="s">
        <v>3468</v>
      </c>
      <c r="W507" s="65" t="s">
        <v>34</v>
      </c>
      <c r="X507" s="65" t="s">
        <v>29</v>
      </c>
      <c r="Y507" s="65" t="s">
        <v>35</v>
      </c>
      <c r="AA507" s="69">
        <v>42472</v>
      </c>
      <c r="AB507" s="69">
        <v>42965</v>
      </c>
      <c r="AC507" s="69">
        <v>42965</v>
      </c>
      <c r="AD507" s="65" t="s">
        <v>23</v>
      </c>
      <c r="AE507" s="65" t="s">
        <v>24</v>
      </c>
      <c r="AH507" s="69">
        <f t="shared" ref="AH507:AH569" si="24">AA507</f>
        <v>42472</v>
      </c>
      <c r="AI507" s="69">
        <f t="shared" ref="AI507:AI569" si="25">AB507</f>
        <v>42965</v>
      </c>
      <c r="AJ507" s="73">
        <v>168</v>
      </c>
      <c r="AO507" s="73">
        <v>168</v>
      </c>
      <c r="AZ507" s="73">
        <v>133</v>
      </c>
      <c r="BE507" s="73">
        <v>133</v>
      </c>
      <c r="BO507" s="185" t="s">
        <v>126</v>
      </c>
      <c r="BP507" s="185" t="s">
        <v>3794</v>
      </c>
      <c r="BQ507" s="185" t="s">
        <v>3794</v>
      </c>
      <c r="BR507" s="73">
        <v>35</v>
      </c>
      <c r="BW507" s="73">
        <v>35</v>
      </c>
      <c r="BY507" s="185" t="s">
        <v>3794</v>
      </c>
      <c r="CJ507" t="s">
        <v>31</v>
      </c>
      <c r="CK507" t="s">
        <v>25</v>
      </c>
      <c r="CL507" t="s">
        <v>25</v>
      </c>
      <c r="CM507" t="s">
        <v>25</v>
      </c>
      <c r="CN507" t="s">
        <v>25</v>
      </c>
      <c r="CO507" t="s">
        <v>25</v>
      </c>
      <c r="CP507" t="s">
        <v>25</v>
      </c>
      <c r="CQ507" t="s">
        <v>25</v>
      </c>
      <c r="CR507" t="s">
        <v>25</v>
      </c>
      <c r="CS507" t="s">
        <v>25</v>
      </c>
      <c r="CT507" t="s">
        <v>25</v>
      </c>
      <c r="CU507" t="s">
        <v>25</v>
      </c>
      <c r="CV507" t="s">
        <v>25</v>
      </c>
      <c r="CW507" t="s">
        <v>31</v>
      </c>
      <c r="CX507" t="s">
        <v>25</v>
      </c>
      <c r="CY507" t="s">
        <v>25</v>
      </c>
      <c r="CZ507" t="s">
        <v>25</v>
      </c>
      <c r="DA507" t="s">
        <v>25</v>
      </c>
      <c r="DB507" t="s">
        <v>25</v>
      </c>
      <c r="DC507" t="s">
        <v>25</v>
      </c>
      <c r="DD507" t="s">
        <v>25</v>
      </c>
      <c r="DE507" t="s">
        <v>25</v>
      </c>
      <c r="DF507" t="s">
        <v>25</v>
      </c>
      <c r="DG507" t="s">
        <v>25</v>
      </c>
      <c r="DH507" t="s">
        <v>25</v>
      </c>
      <c r="DI507" t="s">
        <v>25</v>
      </c>
      <c r="DJ507" s="76">
        <v>7.9999994486569977E-3</v>
      </c>
      <c r="DK507" s="73">
        <v>168</v>
      </c>
      <c r="DL507" s="73">
        <v>133</v>
      </c>
      <c r="DM507" s="73">
        <v>35</v>
      </c>
      <c r="DU507"/>
      <c r="DV507" s="65" t="s">
        <v>126</v>
      </c>
      <c r="DW507" t="s">
        <v>150</v>
      </c>
      <c r="DZ507" s="73">
        <v>112</v>
      </c>
      <c r="EA507" s="73">
        <v>0</v>
      </c>
      <c r="EB507" s="73">
        <v>112</v>
      </c>
      <c r="EC507" s="65" t="s">
        <v>126</v>
      </c>
    </row>
    <row r="508" spans="1:133" ht="12" customHeight="1" x14ac:dyDescent="0.2">
      <c r="A508" t="s">
        <v>2935</v>
      </c>
      <c r="B508" t="s">
        <v>2946</v>
      </c>
      <c r="C508" t="str">
        <f t="shared" si="22"/>
        <v>Full</v>
      </c>
      <c r="E508" s="65">
        <v>6006</v>
      </c>
      <c r="F508" t="s">
        <v>2137</v>
      </c>
      <c r="G508" s="71" t="s">
        <v>3949</v>
      </c>
      <c r="H508" s="67">
        <v>2.70000007003546E-2</v>
      </c>
      <c r="I508" s="65">
        <v>524739</v>
      </c>
      <c r="J508" s="65">
        <v>174137</v>
      </c>
      <c r="L508" s="65" t="s">
        <v>488</v>
      </c>
      <c r="M508" s="65" t="s">
        <v>27</v>
      </c>
      <c r="N508" s="69">
        <v>42482</v>
      </c>
      <c r="O508" s="69">
        <v>42719</v>
      </c>
      <c r="R508" s="65" t="s">
        <v>28</v>
      </c>
      <c r="U508" t="s">
        <v>753</v>
      </c>
      <c r="V508" t="s">
        <v>3469</v>
      </c>
      <c r="W508" s="65" t="s">
        <v>29</v>
      </c>
      <c r="X508" s="65" t="s">
        <v>29</v>
      </c>
      <c r="Y508" s="65" t="s">
        <v>30</v>
      </c>
      <c r="AA508" s="69">
        <v>42937</v>
      </c>
      <c r="AD508" s="65" t="s">
        <v>23</v>
      </c>
      <c r="AE508" s="65" t="s">
        <v>24</v>
      </c>
      <c r="AH508" s="69">
        <f t="shared" si="24"/>
        <v>42937</v>
      </c>
      <c r="BO508" s="185" t="s">
        <v>3794</v>
      </c>
      <c r="BP508" s="185" t="s">
        <v>3794</v>
      </c>
      <c r="BQ508" s="185" t="s">
        <v>3794</v>
      </c>
      <c r="BW508" s="73"/>
      <c r="BY508" s="185" t="s">
        <v>3794</v>
      </c>
      <c r="CJ508" t="s">
        <v>25</v>
      </c>
      <c r="CK508" t="s">
        <v>25</v>
      </c>
      <c r="CL508" t="s">
        <v>25</v>
      </c>
      <c r="CM508" t="s">
        <v>25</v>
      </c>
      <c r="CN508" t="s">
        <v>25</v>
      </c>
      <c r="CO508" t="s">
        <v>25</v>
      </c>
      <c r="CP508" t="s">
        <v>25</v>
      </c>
      <c r="CQ508" t="s">
        <v>25</v>
      </c>
      <c r="CR508" t="s">
        <v>25</v>
      </c>
      <c r="CS508" t="s">
        <v>25</v>
      </c>
      <c r="CT508" t="s">
        <v>25</v>
      </c>
      <c r="CU508" t="s">
        <v>25</v>
      </c>
      <c r="CV508" t="s">
        <v>25</v>
      </c>
      <c r="CW508" t="s">
        <v>25</v>
      </c>
      <c r="CX508" t="s">
        <v>25</v>
      </c>
      <c r="CY508" t="s">
        <v>25</v>
      </c>
      <c r="CZ508" t="s">
        <v>25</v>
      </c>
      <c r="DA508" t="s">
        <v>25</v>
      </c>
      <c r="DB508" t="s">
        <v>25</v>
      </c>
      <c r="DC508" t="s">
        <v>25</v>
      </c>
      <c r="DD508" t="s">
        <v>25</v>
      </c>
      <c r="DE508" t="s">
        <v>25</v>
      </c>
      <c r="DF508" t="s">
        <v>25</v>
      </c>
      <c r="DG508" t="s">
        <v>25</v>
      </c>
      <c r="DH508" t="s">
        <v>25</v>
      </c>
      <c r="DI508" t="s">
        <v>25</v>
      </c>
      <c r="DJ508" s="76">
        <v>0</v>
      </c>
      <c r="DK508" s="73">
        <v>0</v>
      </c>
      <c r="DL508" s="73">
        <v>100</v>
      </c>
      <c r="DM508" s="73">
        <v>-100</v>
      </c>
      <c r="DU508"/>
      <c r="DZ508" s="73">
        <v>220</v>
      </c>
      <c r="EA508" s="73">
        <v>0</v>
      </c>
      <c r="EB508" s="73">
        <v>220</v>
      </c>
      <c r="EC508" s="65" t="s">
        <v>126</v>
      </c>
    </row>
    <row r="509" spans="1:133" ht="12" customHeight="1" x14ac:dyDescent="0.2">
      <c r="A509" t="s">
        <v>2937</v>
      </c>
      <c r="B509" t="s">
        <v>2946</v>
      </c>
      <c r="C509" t="str">
        <f t="shared" si="22"/>
        <v>Full</v>
      </c>
      <c r="E509" s="65">
        <v>6010</v>
      </c>
      <c r="F509" t="s">
        <v>2138</v>
      </c>
      <c r="G509" s="71" t="s">
        <v>3953</v>
      </c>
      <c r="H509" s="67">
        <v>5.7000000029802302E-2</v>
      </c>
      <c r="I509" s="65">
        <v>526682</v>
      </c>
      <c r="J509" s="65">
        <v>173711</v>
      </c>
      <c r="L509" s="65" t="s">
        <v>610</v>
      </c>
      <c r="M509" s="65" t="s">
        <v>27</v>
      </c>
      <c r="N509" s="69">
        <v>42389</v>
      </c>
      <c r="O509" s="69">
        <v>42453</v>
      </c>
      <c r="R509" s="65" t="s">
        <v>28</v>
      </c>
      <c r="U509" t="s">
        <v>798</v>
      </c>
      <c r="V509" t="s">
        <v>3470</v>
      </c>
      <c r="W509" s="65" t="s">
        <v>34</v>
      </c>
      <c r="X509" s="65" t="s">
        <v>29</v>
      </c>
      <c r="Y509" s="65" t="s">
        <v>69</v>
      </c>
      <c r="AD509" s="65" t="s">
        <v>23</v>
      </c>
      <c r="AE509" s="65" t="s">
        <v>24</v>
      </c>
      <c r="AX509" s="73">
        <v>239</v>
      </c>
      <c r="AY509" s="73">
        <v>239</v>
      </c>
      <c r="BM509" s="73">
        <v>531</v>
      </c>
      <c r="BN509" s="73">
        <v>531</v>
      </c>
      <c r="BO509" s="185" t="s">
        <v>3794</v>
      </c>
      <c r="BP509" s="185" t="s">
        <v>3794</v>
      </c>
      <c r="BQ509" s="185" t="s">
        <v>126</v>
      </c>
      <c r="BW509" s="73"/>
      <c r="BY509" s="185" t="s">
        <v>3794</v>
      </c>
      <c r="CH509" s="73">
        <v>-292</v>
      </c>
      <c r="CI509" s="73">
        <v>-292</v>
      </c>
      <c r="CJ509" t="s">
        <v>25</v>
      </c>
      <c r="CK509" t="s">
        <v>25</v>
      </c>
      <c r="CL509" t="s">
        <v>25</v>
      </c>
      <c r="CM509" t="s">
        <v>25</v>
      </c>
      <c r="CN509" t="s">
        <v>25</v>
      </c>
      <c r="CO509" t="s">
        <v>25</v>
      </c>
      <c r="CP509" t="s">
        <v>25</v>
      </c>
      <c r="CQ509" t="s">
        <v>25</v>
      </c>
      <c r="CR509" t="s">
        <v>25</v>
      </c>
      <c r="CS509" t="s">
        <v>25</v>
      </c>
      <c r="CT509" t="s">
        <v>25</v>
      </c>
      <c r="CU509" t="s">
        <v>25</v>
      </c>
      <c r="CV509" t="s">
        <v>49</v>
      </c>
      <c r="CW509" t="s">
        <v>25</v>
      </c>
      <c r="CX509" t="s">
        <v>25</v>
      </c>
      <c r="CY509" t="s">
        <v>25</v>
      </c>
      <c r="CZ509" t="s">
        <v>25</v>
      </c>
      <c r="DA509" t="s">
        <v>25</v>
      </c>
      <c r="DB509" t="s">
        <v>25</v>
      </c>
      <c r="DC509" t="s">
        <v>25</v>
      </c>
      <c r="DD509" t="s">
        <v>25</v>
      </c>
      <c r="DE509" t="s">
        <v>25</v>
      </c>
      <c r="DF509" t="s">
        <v>25</v>
      </c>
      <c r="DG509" t="s">
        <v>25</v>
      </c>
      <c r="DH509" t="s">
        <v>25</v>
      </c>
      <c r="DI509" t="s">
        <v>49</v>
      </c>
      <c r="DJ509" s="76">
        <v>1.9000001251697499E-2</v>
      </c>
      <c r="DK509" s="73">
        <v>239</v>
      </c>
      <c r="DL509" s="73">
        <v>531</v>
      </c>
      <c r="DM509" s="73">
        <v>-292</v>
      </c>
      <c r="DU509"/>
      <c r="DZ509" s="73">
        <v>299</v>
      </c>
      <c r="EA509" s="73">
        <v>0</v>
      </c>
      <c r="EB509" s="73">
        <v>299</v>
      </c>
      <c r="EC509" s="65" t="s">
        <v>126</v>
      </c>
    </row>
    <row r="510" spans="1:133" ht="12" customHeight="1" x14ac:dyDescent="0.2">
      <c r="A510" t="s">
        <v>2936</v>
      </c>
      <c r="B510" t="s">
        <v>2946</v>
      </c>
      <c r="C510" t="str">
        <f t="shared" si="22"/>
        <v>Full</v>
      </c>
      <c r="D510" t="s">
        <v>2943</v>
      </c>
      <c r="E510" s="65">
        <v>6012</v>
      </c>
      <c r="F510" t="s">
        <v>2139</v>
      </c>
      <c r="G510" s="71" t="s">
        <v>3939</v>
      </c>
      <c r="H510" s="67">
        <v>3.4000001847744002E-2</v>
      </c>
      <c r="I510" s="65">
        <v>523712</v>
      </c>
      <c r="J510" s="65">
        <v>172976</v>
      </c>
      <c r="L510" s="65" t="s">
        <v>483</v>
      </c>
      <c r="M510" s="65" t="s">
        <v>27</v>
      </c>
      <c r="N510" s="69">
        <v>42191</v>
      </c>
      <c r="O510" s="69">
        <v>42257</v>
      </c>
      <c r="R510" s="65" t="s">
        <v>28</v>
      </c>
      <c r="U510" t="s">
        <v>484</v>
      </c>
      <c r="V510" t="s">
        <v>3471</v>
      </c>
      <c r="W510" s="65" t="s">
        <v>29</v>
      </c>
      <c r="X510" s="65" t="s">
        <v>29</v>
      </c>
      <c r="Y510" s="65" t="s">
        <v>35</v>
      </c>
      <c r="AA510" s="69">
        <v>42640</v>
      </c>
      <c r="AB510" s="69">
        <v>42944</v>
      </c>
      <c r="AC510" s="69">
        <v>42944</v>
      </c>
      <c r="AD510" s="65" t="s">
        <v>23</v>
      </c>
      <c r="AE510" s="65" t="s">
        <v>24</v>
      </c>
      <c r="AH510" s="69">
        <f t="shared" si="24"/>
        <v>42640</v>
      </c>
      <c r="AI510" s="69">
        <f t="shared" si="25"/>
        <v>42944</v>
      </c>
      <c r="BJ510" s="73">
        <v>98</v>
      </c>
      <c r="BK510" s="73">
        <v>98</v>
      </c>
      <c r="BO510" s="185" t="s">
        <v>3794</v>
      </c>
      <c r="BP510" s="185" t="s">
        <v>126</v>
      </c>
      <c r="BQ510" s="185" t="s">
        <v>3794</v>
      </c>
      <c r="BW510" s="73"/>
      <c r="BY510" s="185" t="s">
        <v>3794</v>
      </c>
      <c r="CC510" s="73">
        <v>-98</v>
      </c>
      <c r="CD510" s="73">
        <v>-98</v>
      </c>
      <c r="CE510" s="65" t="s">
        <v>126</v>
      </c>
      <c r="CJ510" t="s">
        <v>25</v>
      </c>
      <c r="CK510" t="s">
        <v>25</v>
      </c>
      <c r="CL510" t="s">
        <v>25</v>
      </c>
      <c r="CM510" t="s">
        <v>25</v>
      </c>
      <c r="CN510" t="s">
        <v>25</v>
      </c>
      <c r="CO510" t="s">
        <v>25</v>
      </c>
      <c r="CP510" t="s">
        <v>25</v>
      </c>
      <c r="CQ510" t="s">
        <v>25</v>
      </c>
      <c r="CR510" t="s">
        <v>25</v>
      </c>
      <c r="CS510" t="s">
        <v>25</v>
      </c>
      <c r="CT510" t="s">
        <v>25</v>
      </c>
      <c r="CU510" t="s">
        <v>25</v>
      </c>
      <c r="CV510" t="s">
        <v>25</v>
      </c>
      <c r="CW510" t="s">
        <v>25</v>
      </c>
      <c r="CX510" t="s">
        <v>25</v>
      </c>
      <c r="CY510" t="s">
        <v>25</v>
      </c>
      <c r="CZ510" t="s">
        <v>25</v>
      </c>
      <c r="DA510" t="s">
        <v>25</v>
      </c>
      <c r="DB510" t="s">
        <v>25</v>
      </c>
      <c r="DC510" t="s">
        <v>25</v>
      </c>
      <c r="DD510" t="s">
        <v>25</v>
      </c>
      <c r="DE510" t="s">
        <v>25</v>
      </c>
      <c r="DF510" t="s">
        <v>53</v>
      </c>
      <c r="DG510" t="s">
        <v>25</v>
      </c>
      <c r="DH510" t="s">
        <v>25</v>
      </c>
      <c r="DI510" t="s">
        <v>25</v>
      </c>
      <c r="DJ510" s="76">
        <v>0</v>
      </c>
      <c r="DK510" s="73">
        <v>0</v>
      </c>
      <c r="DL510" s="73">
        <v>98</v>
      </c>
      <c r="DM510" s="73">
        <v>-98</v>
      </c>
      <c r="DU510"/>
      <c r="DZ510" s="73">
        <v>188</v>
      </c>
      <c r="EA510" s="73">
        <v>0</v>
      </c>
      <c r="EB510" s="73">
        <v>188</v>
      </c>
      <c r="EC510" s="65" t="s">
        <v>126</v>
      </c>
    </row>
    <row r="511" spans="1:133" ht="12" customHeight="1" x14ac:dyDescent="0.2">
      <c r="A511" t="s">
        <v>2936</v>
      </c>
      <c r="B511" t="s">
        <v>2946</v>
      </c>
      <c r="C511" t="str">
        <f t="shared" si="22"/>
        <v>Full</v>
      </c>
      <c r="D511" t="s">
        <v>2943</v>
      </c>
      <c r="E511" s="65">
        <v>6014</v>
      </c>
      <c r="F511" t="s">
        <v>2140</v>
      </c>
      <c r="G511" s="71" t="s">
        <v>3942</v>
      </c>
      <c r="H511" s="67">
        <v>2.4000000208616298E-2</v>
      </c>
      <c r="I511" s="65">
        <v>527855</v>
      </c>
      <c r="J511" s="65">
        <v>174092</v>
      </c>
      <c r="L511" s="65" t="s">
        <v>779</v>
      </c>
      <c r="M511" s="65" t="s">
        <v>19</v>
      </c>
      <c r="N511" s="69">
        <v>42299</v>
      </c>
      <c r="O511" s="69">
        <v>42391</v>
      </c>
      <c r="R511" s="65" t="s">
        <v>20</v>
      </c>
      <c r="S511" s="69">
        <v>42444</v>
      </c>
      <c r="T511" s="69">
        <v>42577</v>
      </c>
      <c r="U511" t="s">
        <v>780</v>
      </c>
      <c r="V511" t="s">
        <v>3472</v>
      </c>
      <c r="W511" s="65" t="s">
        <v>34</v>
      </c>
      <c r="X511" s="65" t="s">
        <v>29</v>
      </c>
      <c r="Y511" s="65" t="s">
        <v>35</v>
      </c>
      <c r="AA511" s="69">
        <v>42702</v>
      </c>
      <c r="AB511" s="69">
        <v>43116</v>
      </c>
      <c r="AC511" s="69">
        <v>43116</v>
      </c>
      <c r="AD511" s="65" t="s">
        <v>23</v>
      </c>
      <c r="AE511" s="65" t="s">
        <v>24</v>
      </c>
      <c r="AH511" s="69">
        <f t="shared" si="24"/>
        <v>42702</v>
      </c>
      <c r="AI511" s="69">
        <f t="shared" si="25"/>
        <v>43116</v>
      </c>
      <c r="BO511" s="185" t="s">
        <v>3794</v>
      </c>
      <c r="BP511" s="185" t="s">
        <v>3794</v>
      </c>
      <c r="BQ511" s="185" t="s">
        <v>3794</v>
      </c>
      <c r="BW511" s="73"/>
      <c r="BY511" s="185" t="s">
        <v>3794</v>
      </c>
      <c r="CJ511" t="s">
        <v>25</v>
      </c>
      <c r="CK511" t="s">
        <v>25</v>
      </c>
      <c r="CL511" t="s">
        <v>25</v>
      </c>
      <c r="CM511" t="s">
        <v>25</v>
      </c>
      <c r="CN511" t="s">
        <v>25</v>
      </c>
      <c r="CO511" t="s">
        <v>25</v>
      </c>
      <c r="CP511" t="s">
        <v>25</v>
      </c>
      <c r="CQ511" t="s">
        <v>25</v>
      </c>
      <c r="CR511" t="s">
        <v>25</v>
      </c>
      <c r="CS511" t="s">
        <v>25</v>
      </c>
      <c r="CT511" t="s">
        <v>25</v>
      </c>
      <c r="CU511" t="s">
        <v>25</v>
      </c>
      <c r="CV511" t="s">
        <v>25</v>
      </c>
      <c r="CW511" t="s">
        <v>25</v>
      </c>
      <c r="CX511" t="s">
        <v>25</v>
      </c>
      <c r="CY511" t="s">
        <v>25</v>
      </c>
      <c r="CZ511" t="s">
        <v>25</v>
      </c>
      <c r="DA511" t="s">
        <v>25</v>
      </c>
      <c r="DB511" t="s">
        <v>25</v>
      </c>
      <c r="DC511" t="s">
        <v>25</v>
      </c>
      <c r="DD511" t="s">
        <v>25</v>
      </c>
      <c r="DE511" t="s">
        <v>25</v>
      </c>
      <c r="DF511" t="s">
        <v>25</v>
      </c>
      <c r="DG511" t="s">
        <v>25</v>
      </c>
      <c r="DH511" t="s">
        <v>25</v>
      </c>
      <c r="DI511" t="s">
        <v>25</v>
      </c>
      <c r="DJ511" s="76">
        <v>0</v>
      </c>
      <c r="DK511" s="73">
        <v>0</v>
      </c>
      <c r="DL511" s="73">
        <v>263</v>
      </c>
      <c r="DM511" s="73">
        <v>-263</v>
      </c>
      <c r="DU511"/>
      <c r="DZ511" s="73">
        <v>351</v>
      </c>
      <c r="EA511" s="73">
        <v>0</v>
      </c>
      <c r="EB511" s="73">
        <v>351</v>
      </c>
      <c r="EC511" s="65" t="s">
        <v>126</v>
      </c>
    </row>
    <row r="512" spans="1:133" ht="12" customHeight="1" x14ac:dyDescent="0.2">
      <c r="A512" t="s">
        <v>2937</v>
      </c>
      <c r="B512" t="s">
        <v>2948</v>
      </c>
      <c r="C512" t="str">
        <f t="shared" si="22"/>
        <v>Prior Approval</v>
      </c>
      <c r="E512" s="65">
        <v>6016</v>
      </c>
      <c r="F512" t="s">
        <v>2141</v>
      </c>
      <c r="G512" s="71" t="s">
        <v>2907</v>
      </c>
      <c r="H512" s="67">
        <v>8.9999996125698107E-3</v>
      </c>
      <c r="I512" s="65">
        <v>525206</v>
      </c>
      <c r="J512" s="65">
        <v>173428</v>
      </c>
      <c r="L512" s="65" t="s">
        <v>1204</v>
      </c>
      <c r="M512" s="65" t="s">
        <v>244</v>
      </c>
      <c r="N512" s="69">
        <v>42746</v>
      </c>
      <c r="O512" s="69">
        <v>42802</v>
      </c>
      <c r="R512" s="65" t="s">
        <v>28</v>
      </c>
      <c r="U512" t="s">
        <v>1205</v>
      </c>
      <c r="V512" t="s">
        <v>3473</v>
      </c>
      <c r="W512" s="65" t="s">
        <v>21</v>
      </c>
      <c r="X512" s="65" t="s">
        <v>21</v>
      </c>
      <c r="Y512" s="65" t="s">
        <v>69</v>
      </c>
      <c r="AD512" s="65" t="s">
        <v>23</v>
      </c>
      <c r="AE512" s="65" t="s">
        <v>24</v>
      </c>
      <c r="AZ512" s="73">
        <v>100</v>
      </c>
      <c r="BE512" s="73">
        <v>100</v>
      </c>
      <c r="BO512" s="185" t="s">
        <v>126</v>
      </c>
      <c r="BP512" s="185" t="s">
        <v>3794</v>
      </c>
      <c r="BQ512" s="185" t="s">
        <v>3794</v>
      </c>
      <c r="BR512" s="73">
        <v>-100</v>
      </c>
      <c r="BW512" s="73">
        <v>-100</v>
      </c>
      <c r="BY512" s="185" t="s">
        <v>3794</v>
      </c>
      <c r="CJ512" t="s">
        <v>25</v>
      </c>
      <c r="CK512" t="s">
        <v>25</v>
      </c>
      <c r="CL512" t="s">
        <v>25</v>
      </c>
      <c r="CM512" t="s">
        <v>25</v>
      </c>
      <c r="CN512" t="s">
        <v>25</v>
      </c>
      <c r="CO512" t="s">
        <v>25</v>
      </c>
      <c r="CP512" t="s">
        <v>25</v>
      </c>
      <c r="CQ512" t="s">
        <v>25</v>
      </c>
      <c r="CR512" t="s">
        <v>25</v>
      </c>
      <c r="CS512" t="s">
        <v>25</v>
      </c>
      <c r="CT512" t="s">
        <v>25</v>
      </c>
      <c r="CU512" t="s">
        <v>25</v>
      </c>
      <c r="CV512" t="s">
        <v>25</v>
      </c>
      <c r="CW512" t="s">
        <v>46</v>
      </c>
      <c r="CX512" t="s">
        <v>25</v>
      </c>
      <c r="CY512" t="s">
        <v>25</v>
      </c>
      <c r="CZ512" t="s">
        <v>25</v>
      </c>
      <c r="DA512" t="s">
        <v>25</v>
      </c>
      <c r="DB512" t="s">
        <v>25</v>
      </c>
      <c r="DC512" t="s">
        <v>25</v>
      </c>
      <c r="DD512" t="s">
        <v>25</v>
      </c>
      <c r="DE512" t="s">
        <v>25</v>
      </c>
      <c r="DF512" t="s">
        <v>25</v>
      </c>
      <c r="DG512" t="s">
        <v>25</v>
      </c>
      <c r="DH512" t="s">
        <v>25</v>
      </c>
      <c r="DI512" t="s">
        <v>25</v>
      </c>
      <c r="DJ512" s="76">
        <v>5.9999995864927803E-3</v>
      </c>
      <c r="DK512" s="73">
        <v>0</v>
      </c>
      <c r="DL512" s="73">
        <v>100</v>
      </c>
      <c r="DM512" s="73">
        <v>-100</v>
      </c>
      <c r="DU512"/>
      <c r="DZ512" s="73">
        <v>100</v>
      </c>
      <c r="EA512" s="73">
        <v>0</v>
      </c>
      <c r="EB512" s="73">
        <v>100</v>
      </c>
      <c r="EC512" s="65" t="s">
        <v>126</v>
      </c>
    </row>
    <row r="513" spans="1:133" ht="12" customHeight="1" x14ac:dyDescent="0.2">
      <c r="A513" t="s">
        <v>2936</v>
      </c>
      <c r="B513" t="s">
        <v>2946</v>
      </c>
      <c r="C513" t="str">
        <f t="shared" si="22"/>
        <v>Full</v>
      </c>
      <c r="D513" t="s">
        <v>2943</v>
      </c>
      <c r="E513" s="65">
        <v>6026</v>
      </c>
      <c r="F513" t="s">
        <v>2142</v>
      </c>
      <c r="G513" s="71" t="s">
        <v>149</v>
      </c>
      <c r="H513" s="67">
        <v>3.7999998778104803E-2</v>
      </c>
      <c r="I513" s="65">
        <v>528765</v>
      </c>
      <c r="J513" s="65">
        <v>174023</v>
      </c>
      <c r="L513" s="65" t="s">
        <v>509</v>
      </c>
      <c r="M513" s="65" t="s">
        <v>27</v>
      </c>
      <c r="N513" s="69">
        <v>42227</v>
      </c>
      <c r="O513" s="69">
        <v>42304</v>
      </c>
      <c r="R513" s="65" t="s">
        <v>28</v>
      </c>
      <c r="U513" t="s">
        <v>756</v>
      </c>
      <c r="V513" t="s">
        <v>3474</v>
      </c>
      <c r="W513" s="65" t="s">
        <v>34</v>
      </c>
      <c r="X513" s="65" t="s">
        <v>29</v>
      </c>
      <c r="Y513" s="65" t="s">
        <v>35</v>
      </c>
      <c r="AA513" s="69">
        <v>42825</v>
      </c>
      <c r="AB513" s="69">
        <v>43112</v>
      </c>
      <c r="AC513" s="69">
        <v>43112</v>
      </c>
      <c r="AD513" s="65" t="s">
        <v>23</v>
      </c>
      <c r="AE513" s="65" t="s">
        <v>24</v>
      </c>
      <c r="AH513" s="69">
        <f t="shared" si="24"/>
        <v>42825</v>
      </c>
      <c r="AI513" s="69">
        <f t="shared" si="25"/>
        <v>43112</v>
      </c>
      <c r="BF513" s="73">
        <v>331</v>
      </c>
      <c r="BK513" s="73">
        <v>331</v>
      </c>
      <c r="BO513" s="185" t="s">
        <v>3794</v>
      </c>
      <c r="BP513" s="185" t="s">
        <v>126</v>
      </c>
      <c r="BQ513" s="185" t="s">
        <v>3794</v>
      </c>
      <c r="BW513" s="73"/>
      <c r="BX513" s="73">
        <v>-331</v>
      </c>
      <c r="BY513" s="185" t="s">
        <v>126</v>
      </c>
      <c r="CD513" s="73">
        <v>-331</v>
      </c>
      <c r="CE513" s="65" t="s">
        <v>126</v>
      </c>
      <c r="CJ513" t="s">
        <v>25</v>
      </c>
      <c r="CK513" t="s">
        <v>25</v>
      </c>
      <c r="CL513" t="s">
        <v>25</v>
      </c>
      <c r="CM513" t="s">
        <v>25</v>
      </c>
      <c r="CN513" t="s">
        <v>25</v>
      </c>
      <c r="CO513" t="s">
        <v>25</v>
      </c>
      <c r="CP513" t="s">
        <v>25</v>
      </c>
      <c r="CQ513" t="s">
        <v>25</v>
      </c>
      <c r="CR513" t="s">
        <v>25</v>
      </c>
      <c r="CS513" t="s">
        <v>25</v>
      </c>
      <c r="CT513" t="s">
        <v>25</v>
      </c>
      <c r="CU513" t="s">
        <v>25</v>
      </c>
      <c r="CV513" t="s">
        <v>25</v>
      </c>
      <c r="CW513" t="s">
        <v>25</v>
      </c>
      <c r="CX513" t="s">
        <v>25</v>
      </c>
      <c r="CY513" t="s">
        <v>25</v>
      </c>
      <c r="CZ513" t="s">
        <v>25</v>
      </c>
      <c r="DA513" t="s">
        <v>25</v>
      </c>
      <c r="DB513" t="s">
        <v>31</v>
      </c>
      <c r="DC513" t="s">
        <v>25</v>
      </c>
      <c r="DD513" t="s">
        <v>25</v>
      </c>
      <c r="DE513" t="s">
        <v>25</v>
      </c>
      <c r="DF513" t="s">
        <v>25</v>
      </c>
      <c r="DG513" t="s">
        <v>25</v>
      </c>
      <c r="DH513" t="s">
        <v>25</v>
      </c>
      <c r="DI513" t="s">
        <v>25</v>
      </c>
      <c r="DJ513" s="76">
        <v>0</v>
      </c>
      <c r="DK513" s="73">
        <v>0</v>
      </c>
      <c r="DL513" s="73">
        <v>331</v>
      </c>
      <c r="DM513" s="73">
        <v>-331</v>
      </c>
      <c r="DU513"/>
      <c r="DZ513" s="73">
        <v>386</v>
      </c>
      <c r="EA513" s="73">
        <v>0</v>
      </c>
      <c r="EB513" s="73">
        <v>386</v>
      </c>
      <c r="EC513" s="65" t="s">
        <v>126</v>
      </c>
    </row>
    <row r="514" spans="1:133" ht="12" customHeight="1" x14ac:dyDescent="0.2">
      <c r="A514" t="s">
        <v>2935</v>
      </c>
      <c r="B514" t="s">
        <v>2946</v>
      </c>
      <c r="C514" t="str">
        <f t="shared" si="22"/>
        <v>Full</v>
      </c>
      <c r="E514" s="65">
        <v>6027</v>
      </c>
      <c r="F514" t="s">
        <v>2143</v>
      </c>
      <c r="G514" s="71" t="s">
        <v>3951</v>
      </c>
      <c r="H514" s="67">
        <v>2.8999999165535001E-2</v>
      </c>
      <c r="I514" s="65">
        <v>527409</v>
      </c>
      <c r="J514" s="65">
        <v>171118</v>
      </c>
      <c r="L514" s="65" t="s">
        <v>496</v>
      </c>
      <c r="M514" s="65" t="s">
        <v>27</v>
      </c>
      <c r="N514" s="69">
        <v>42226</v>
      </c>
      <c r="O514" s="69">
        <v>42282</v>
      </c>
      <c r="R514" s="65" t="s">
        <v>28</v>
      </c>
      <c r="U514" t="s">
        <v>497</v>
      </c>
      <c r="V514" t="s">
        <v>3475</v>
      </c>
      <c r="W514" s="65" t="s">
        <v>29</v>
      </c>
      <c r="X514" s="65" t="s">
        <v>29</v>
      </c>
      <c r="Y514" s="65" t="s">
        <v>30</v>
      </c>
      <c r="AA514" s="69">
        <v>42789</v>
      </c>
      <c r="AD514" s="65" t="s">
        <v>23</v>
      </c>
      <c r="AE514" s="65" t="s">
        <v>24</v>
      </c>
      <c r="AH514" s="69">
        <f t="shared" si="24"/>
        <v>42789</v>
      </c>
      <c r="BJ514" s="73">
        <v>38</v>
      </c>
      <c r="BK514" s="73">
        <v>38</v>
      </c>
      <c r="BO514" s="185" t="s">
        <v>3794</v>
      </c>
      <c r="BP514" s="185" t="s">
        <v>126</v>
      </c>
      <c r="BQ514" s="185" t="s">
        <v>3794</v>
      </c>
      <c r="BW514" s="73"/>
      <c r="BY514" s="185" t="s">
        <v>3794</v>
      </c>
      <c r="CC514" s="73">
        <v>-38</v>
      </c>
      <c r="CD514" s="73">
        <v>-38</v>
      </c>
      <c r="CE514" s="65" t="s">
        <v>126</v>
      </c>
      <c r="CJ514" t="s">
        <v>25</v>
      </c>
      <c r="CK514" t="s">
        <v>25</v>
      </c>
      <c r="CL514" t="s">
        <v>25</v>
      </c>
      <c r="CM514" t="s">
        <v>25</v>
      </c>
      <c r="CN514" t="s">
        <v>25</v>
      </c>
      <c r="CO514" t="s">
        <v>25</v>
      </c>
      <c r="CP514" t="s">
        <v>25</v>
      </c>
      <c r="CQ514" t="s">
        <v>25</v>
      </c>
      <c r="CR514" t="s">
        <v>25</v>
      </c>
      <c r="CS514" t="s">
        <v>25</v>
      </c>
      <c r="CT514" t="s">
        <v>25</v>
      </c>
      <c r="CU514" t="s">
        <v>25</v>
      </c>
      <c r="CV514" t="s">
        <v>25</v>
      </c>
      <c r="CW514" t="s">
        <v>25</v>
      </c>
      <c r="CX514" t="s">
        <v>25</v>
      </c>
      <c r="CY514" t="s">
        <v>25</v>
      </c>
      <c r="CZ514" t="s">
        <v>25</v>
      </c>
      <c r="DA514" t="s">
        <v>25</v>
      </c>
      <c r="DB514" t="s">
        <v>25</v>
      </c>
      <c r="DC514" t="s">
        <v>25</v>
      </c>
      <c r="DD514" t="s">
        <v>25</v>
      </c>
      <c r="DE514" t="s">
        <v>25</v>
      </c>
      <c r="DF514" t="s">
        <v>53</v>
      </c>
      <c r="DG514" t="s">
        <v>25</v>
      </c>
      <c r="DH514" t="s">
        <v>25</v>
      </c>
      <c r="DI514" t="s">
        <v>25</v>
      </c>
      <c r="DJ514" s="76">
        <v>0</v>
      </c>
      <c r="DK514" s="73">
        <v>0</v>
      </c>
      <c r="DL514" s="73">
        <v>38</v>
      </c>
      <c r="DM514" s="73">
        <v>-38</v>
      </c>
      <c r="DU514"/>
      <c r="DZ514" s="73">
        <v>216</v>
      </c>
      <c r="EA514" s="73">
        <v>0</v>
      </c>
      <c r="EB514" s="73">
        <v>216</v>
      </c>
      <c r="EC514" s="65" t="s">
        <v>126</v>
      </c>
    </row>
    <row r="515" spans="1:133" ht="12" customHeight="1" x14ac:dyDescent="0.2">
      <c r="A515" t="s">
        <v>2936</v>
      </c>
      <c r="B515" t="s">
        <v>2946</v>
      </c>
      <c r="C515" t="str">
        <f t="shared" ref="C515:C578" si="26">RIGHT(B515,LEN(B515)-3)</f>
        <v>Full</v>
      </c>
      <c r="D515" t="s">
        <v>2942</v>
      </c>
      <c r="E515" s="65">
        <v>6028</v>
      </c>
      <c r="F515" t="s">
        <v>2144</v>
      </c>
      <c r="G515" s="71" t="s">
        <v>3951</v>
      </c>
      <c r="H515" s="67">
        <v>4.1999999433755902E-2</v>
      </c>
      <c r="I515" s="65">
        <v>527839</v>
      </c>
      <c r="J515" s="65">
        <v>171091</v>
      </c>
      <c r="L515" s="65" t="s">
        <v>498</v>
      </c>
      <c r="M515" s="65" t="s">
        <v>27</v>
      </c>
      <c r="N515" s="69">
        <v>42219</v>
      </c>
      <c r="O515" s="69">
        <v>42375</v>
      </c>
      <c r="R515" s="65" t="s">
        <v>28</v>
      </c>
      <c r="U515" t="s">
        <v>499</v>
      </c>
      <c r="V515" t="s">
        <v>3476</v>
      </c>
      <c r="W515" s="65" t="s">
        <v>29</v>
      </c>
      <c r="X515" s="65" t="s">
        <v>29</v>
      </c>
      <c r="Y515" s="65" t="s">
        <v>22</v>
      </c>
      <c r="AA515" s="69">
        <v>42826</v>
      </c>
      <c r="AB515" s="69">
        <v>43190</v>
      </c>
      <c r="AD515" s="65" t="s">
        <v>23</v>
      </c>
      <c r="AE515" s="65" t="s">
        <v>24</v>
      </c>
      <c r="AH515" s="69">
        <f t="shared" si="24"/>
        <v>42826</v>
      </c>
      <c r="AI515" s="69">
        <f t="shared" si="25"/>
        <v>43190</v>
      </c>
      <c r="AP515" s="73">
        <v>348</v>
      </c>
      <c r="AS515" s="73">
        <v>348</v>
      </c>
      <c r="AV515" s="73">
        <v>348</v>
      </c>
      <c r="BH515" s="73">
        <v>309</v>
      </c>
      <c r="BK515" s="73">
        <v>309</v>
      </c>
      <c r="BO515" s="185" t="s">
        <v>3794</v>
      </c>
      <c r="BP515" s="185" t="s">
        <v>126</v>
      </c>
      <c r="BQ515" s="185" t="s">
        <v>3794</v>
      </c>
      <c r="BW515" s="73"/>
      <c r="BX515" s="73">
        <v>348</v>
      </c>
      <c r="BY515" s="185" t="s">
        <v>3794</v>
      </c>
      <c r="CA515" s="73">
        <v>-309</v>
      </c>
      <c r="CD515" s="73">
        <v>39</v>
      </c>
      <c r="CJ515" t="s">
        <v>25</v>
      </c>
      <c r="CK515" t="s">
        <v>25</v>
      </c>
      <c r="CL515" t="s">
        <v>25</v>
      </c>
      <c r="CM515" t="s">
        <v>25</v>
      </c>
      <c r="CN515" t="s">
        <v>25</v>
      </c>
      <c r="CO515" t="s">
        <v>31</v>
      </c>
      <c r="CP515" t="s">
        <v>25</v>
      </c>
      <c r="CQ515" t="s">
        <v>25</v>
      </c>
      <c r="CR515" t="s">
        <v>25</v>
      </c>
      <c r="CS515" t="s">
        <v>25</v>
      </c>
      <c r="CT515" t="s">
        <v>25</v>
      </c>
      <c r="CU515" t="s">
        <v>25</v>
      </c>
      <c r="CV515" t="s">
        <v>25</v>
      </c>
      <c r="CW515" t="s">
        <v>25</v>
      </c>
      <c r="CX515" t="s">
        <v>25</v>
      </c>
      <c r="CY515" t="s">
        <v>25</v>
      </c>
      <c r="CZ515" t="s">
        <v>25</v>
      </c>
      <c r="DA515" t="s">
        <v>25</v>
      </c>
      <c r="DB515" t="s">
        <v>25</v>
      </c>
      <c r="DC515" t="s">
        <v>25</v>
      </c>
      <c r="DD515" t="s">
        <v>51</v>
      </c>
      <c r="DE515" t="s">
        <v>25</v>
      </c>
      <c r="DF515" t="s">
        <v>25</v>
      </c>
      <c r="DG515" t="s">
        <v>25</v>
      </c>
      <c r="DH515" t="s">
        <v>25</v>
      </c>
      <c r="DI515" t="s">
        <v>25</v>
      </c>
      <c r="DJ515" s="76">
        <v>4.1999999433755902E-2</v>
      </c>
      <c r="DK515" s="73">
        <v>348</v>
      </c>
      <c r="DL515" s="73">
        <v>309</v>
      </c>
      <c r="DM515" s="73">
        <v>39</v>
      </c>
      <c r="DU515"/>
      <c r="DV515" s="65" t="s">
        <v>126</v>
      </c>
      <c r="DW515" t="s">
        <v>150</v>
      </c>
      <c r="DZ515" s="73">
        <v>0</v>
      </c>
      <c r="EA515" s="73">
        <v>0</v>
      </c>
      <c r="EB515" s="73">
        <v>0</v>
      </c>
    </row>
    <row r="516" spans="1:133" ht="12" customHeight="1" x14ac:dyDescent="0.2">
      <c r="A516" t="s">
        <v>2937</v>
      </c>
      <c r="B516" t="s">
        <v>2948</v>
      </c>
      <c r="C516" t="str">
        <f t="shared" si="26"/>
        <v>Prior Approval</v>
      </c>
      <c r="E516" s="65">
        <v>6031</v>
      </c>
      <c r="F516" t="s">
        <v>2145</v>
      </c>
      <c r="G516" s="71" t="s">
        <v>3946</v>
      </c>
      <c r="H516" s="67">
        <v>4.6999998390674598E-2</v>
      </c>
      <c r="I516" s="65">
        <v>523225</v>
      </c>
      <c r="J516" s="65">
        <v>175820</v>
      </c>
      <c r="L516" s="65" t="s">
        <v>553</v>
      </c>
      <c r="M516" s="65" t="s">
        <v>244</v>
      </c>
      <c r="N516" s="69">
        <v>42307</v>
      </c>
      <c r="O516" s="69">
        <v>42360</v>
      </c>
      <c r="R516" s="65" t="s">
        <v>28</v>
      </c>
      <c r="U516" t="s">
        <v>456</v>
      </c>
      <c r="V516" t="s">
        <v>3477</v>
      </c>
      <c r="W516" s="65" t="s">
        <v>21</v>
      </c>
      <c r="X516" s="65" t="s">
        <v>21</v>
      </c>
      <c r="Y516" s="65" t="s">
        <v>69</v>
      </c>
      <c r="AD516" s="65" t="s">
        <v>23</v>
      </c>
      <c r="AE516" s="65" t="s">
        <v>24</v>
      </c>
      <c r="BF516" s="73">
        <v>100</v>
      </c>
      <c r="BK516" s="73">
        <v>100</v>
      </c>
      <c r="BO516" s="185" t="s">
        <v>3794</v>
      </c>
      <c r="BP516" s="185" t="s">
        <v>126</v>
      </c>
      <c r="BQ516" s="185" t="s">
        <v>3794</v>
      </c>
      <c r="BW516" s="73"/>
      <c r="BX516" s="73">
        <v>-100</v>
      </c>
      <c r="BY516" s="185" t="s">
        <v>126</v>
      </c>
      <c r="CD516" s="73">
        <v>-100</v>
      </c>
      <c r="CE516" s="65" t="s">
        <v>126</v>
      </c>
      <c r="CJ516" t="s">
        <v>25</v>
      </c>
      <c r="CK516" t="s">
        <v>25</v>
      </c>
      <c r="CL516" t="s">
        <v>25</v>
      </c>
      <c r="CM516" t="s">
        <v>25</v>
      </c>
      <c r="CN516" t="s">
        <v>25</v>
      </c>
      <c r="CO516" t="s">
        <v>25</v>
      </c>
      <c r="CP516" t="s">
        <v>25</v>
      </c>
      <c r="CQ516" t="s">
        <v>25</v>
      </c>
      <c r="CR516" t="s">
        <v>25</v>
      </c>
      <c r="CS516" t="s">
        <v>25</v>
      </c>
      <c r="CT516" t="s">
        <v>25</v>
      </c>
      <c r="CU516" t="s">
        <v>25</v>
      </c>
      <c r="CV516" t="s">
        <v>25</v>
      </c>
      <c r="CW516" t="s">
        <v>25</v>
      </c>
      <c r="CX516" t="s">
        <v>25</v>
      </c>
      <c r="CY516" t="s">
        <v>25</v>
      </c>
      <c r="CZ516" t="s">
        <v>25</v>
      </c>
      <c r="DA516" t="s">
        <v>25</v>
      </c>
      <c r="DB516" t="s">
        <v>31</v>
      </c>
      <c r="DC516" t="s">
        <v>25</v>
      </c>
      <c r="DD516" t="s">
        <v>25</v>
      </c>
      <c r="DE516" t="s">
        <v>25</v>
      </c>
      <c r="DF516" t="s">
        <v>25</v>
      </c>
      <c r="DG516" t="s">
        <v>25</v>
      </c>
      <c r="DH516" t="s">
        <v>25</v>
      </c>
      <c r="DI516" t="s">
        <v>25</v>
      </c>
      <c r="DJ516" s="76">
        <v>3.6999998614192016E-2</v>
      </c>
      <c r="DK516" s="73">
        <v>0</v>
      </c>
      <c r="DL516" s="73">
        <v>100</v>
      </c>
      <c r="DM516" s="73">
        <v>-100</v>
      </c>
      <c r="DU516"/>
      <c r="DZ516" s="73">
        <v>100</v>
      </c>
      <c r="EA516" s="73">
        <v>0</v>
      </c>
      <c r="EB516" s="73">
        <v>100</v>
      </c>
      <c r="EC516" s="65" t="s">
        <v>126</v>
      </c>
    </row>
    <row r="517" spans="1:133" ht="12" customHeight="1" x14ac:dyDescent="0.2">
      <c r="A517" t="s">
        <v>2937</v>
      </c>
      <c r="B517" t="s">
        <v>2948</v>
      </c>
      <c r="C517" t="str">
        <f t="shared" si="26"/>
        <v>Prior Approval</v>
      </c>
      <c r="E517" s="65">
        <v>6032</v>
      </c>
      <c r="F517" t="s">
        <v>2146</v>
      </c>
      <c r="G517" s="71" t="s">
        <v>3946</v>
      </c>
      <c r="H517" s="67">
        <v>1.09999999403954E-2</v>
      </c>
      <c r="I517" s="65">
        <v>524386</v>
      </c>
      <c r="J517" s="65">
        <v>175298</v>
      </c>
      <c r="L517" s="65" t="s">
        <v>828</v>
      </c>
      <c r="M517" s="65" t="s">
        <v>243</v>
      </c>
      <c r="N517" s="69">
        <v>42461</v>
      </c>
      <c r="O517" s="69">
        <v>42517</v>
      </c>
      <c r="R517" s="65" t="s">
        <v>28</v>
      </c>
      <c r="U517" t="s">
        <v>829</v>
      </c>
      <c r="V517" t="s">
        <v>3478</v>
      </c>
      <c r="W517" s="65" t="s">
        <v>21</v>
      </c>
      <c r="X517" s="65" t="s">
        <v>21</v>
      </c>
      <c r="Y517" s="65" t="s">
        <v>69</v>
      </c>
      <c r="AD517" s="65" t="s">
        <v>23</v>
      </c>
      <c r="AE517" s="65" t="s">
        <v>24</v>
      </c>
      <c r="AZ517" s="73">
        <v>61</v>
      </c>
      <c r="BE517" s="73">
        <v>61</v>
      </c>
      <c r="BO517" s="185" t="s">
        <v>126</v>
      </c>
      <c r="BP517" s="185" t="s">
        <v>3794</v>
      </c>
      <c r="BQ517" s="185" t="s">
        <v>3794</v>
      </c>
      <c r="BR517" s="73">
        <v>-61</v>
      </c>
      <c r="BW517" s="73">
        <v>-61</v>
      </c>
      <c r="BY517" s="185" t="s">
        <v>3794</v>
      </c>
      <c r="CJ517" t="s">
        <v>25</v>
      </c>
      <c r="CK517" t="s">
        <v>25</v>
      </c>
      <c r="CL517" t="s">
        <v>25</v>
      </c>
      <c r="CM517" t="s">
        <v>25</v>
      </c>
      <c r="CN517" t="s">
        <v>25</v>
      </c>
      <c r="CO517" t="s">
        <v>25</v>
      </c>
      <c r="CP517" t="s">
        <v>25</v>
      </c>
      <c r="CQ517" t="s">
        <v>25</v>
      </c>
      <c r="CR517" t="s">
        <v>25</v>
      </c>
      <c r="CS517" t="s">
        <v>25</v>
      </c>
      <c r="CT517" t="s">
        <v>25</v>
      </c>
      <c r="CU517" t="s">
        <v>25</v>
      </c>
      <c r="CV517" t="s">
        <v>25</v>
      </c>
      <c r="CW517" t="s">
        <v>46</v>
      </c>
      <c r="CX517" t="s">
        <v>25</v>
      </c>
      <c r="CY517" t="s">
        <v>25</v>
      </c>
      <c r="CZ517" t="s">
        <v>25</v>
      </c>
      <c r="DA517" t="s">
        <v>25</v>
      </c>
      <c r="DB517" t="s">
        <v>25</v>
      </c>
      <c r="DC517" t="s">
        <v>25</v>
      </c>
      <c r="DD517" t="s">
        <v>25</v>
      </c>
      <c r="DE517" t="s">
        <v>25</v>
      </c>
      <c r="DF517" t="s">
        <v>25</v>
      </c>
      <c r="DG517" t="s">
        <v>25</v>
      </c>
      <c r="DH517" t="s">
        <v>25</v>
      </c>
      <c r="DI517" t="s">
        <v>25</v>
      </c>
      <c r="DJ517" s="76">
        <v>4.9999998882413405E-3</v>
      </c>
      <c r="DK517" s="73">
        <v>0</v>
      </c>
      <c r="DL517" s="73">
        <v>61</v>
      </c>
      <c r="DM517" s="73">
        <v>-61</v>
      </c>
      <c r="DU517"/>
      <c r="DZ517" s="73">
        <v>61</v>
      </c>
      <c r="EA517" s="73">
        <v>0</v>
      </c>
      <c r="EB517" s="73">
        <v>61</v>
      </c>
      <c r="EC517" s="65" t="s">
        <v>126</v>
      </c>
    </row>
    <row r="518" spans="1:133" ht="12" customHeight="1" x14ac:dyDescent="0.2">
      <c r="A518" t="s">
        <v>2937</v>
      </c>
      <c r="B518" t="s">
        <v>2946</v>
      </c>
      <c r="C518" t="str">
        <f t="shared" si="26"/>
        <v>Full</v>
      </c>
      <c r="E518" s="65">
        <v>6035</v>
      </c>
      <c r="F518" t="s">
        <v>2147</v>
      </c>
      <c r="G518" s="71" t="s">
        <v>3946</v>
      </c>
      <c r="H518" s="67">
        <v>7.0000002160668399E-3</v>
      </c>
      <c r="I518" s="65">
        <v>524786</v>
      </c>
      <c r="J518" s="65">
        <v>175120</v>
      </c>
      <c r="L518" s="65" t="s">
        <v>866</v>
      </c>
      <c r="M518" s="65" t="s">
        <v>27</v>
      </c>
      <c r="N518" s="69">
        <v>42488</v>
      </c>
      <c r="O518" s="69">
        <v>42543</v>
      </c>
      <c r="R518" s="65" t="s">
        <v>28</v>
      </c>
      <c r="U518" t="s">
        <v>2148</v>
      </c>
      <c r="V518" t="s">
        <v>3479</v>
      </c>
      <c r="W518" s="65" t="s">
        <v>21</v>
      </c>
      <c r="X518" s="65" t="s">
        <v>21</v>
      </c>
      <c r="Y518" s="65" t="s">
        <v>69</v>
      </c>
      <c r="AD518" s="65" t="s">
        <v>23</v>
      </c>
      <c r="AE518" s="65" t="s">
        <v>24</v>
      </c>
      <c r="BF518" s="73">
        <v>54</v>
      </c>
      <c r="BK518" s="73">
        <v>54</v>
      </c>
      <c r="BO518" s="185" t="s">
        <v>3794</v>
      </c>
      <c r="BP518" s="185" t="s">
        <v>126</v>
      </c>
      <c r="BQ518" s="185" t="s">
        <v>3794</v>
      </c>
      <c r="BW518" s="73"/>
      <c r="BX518" s="73">
        <v>-54</v>
      </c>
      <c r="BY518" s="185" t="s">
        <v>126</v>
      </c>
      <c r="CD518" s="73">
        <v>-54</v>
      </c>
      <c r="CE518" s="65" t="s">
        <v>126</v>
      </c>
      <c r="CJ518" t="s">
        <v>25</v>
      </c>
      <c r="CK518" t="s">
        <v>25</v>
      </c>
      <c r="CL518" t="s">
        <v>25</v>
      </c>
      <c r="CM518" t="s">
        <v>25</v>
      </c>
      <c r="CN518" t="s">
        <v>25</v>
      </c>
      <c r="CO518" t="s">
        <v>25</v>
      </c>
      <c r="CP518" t="s">
        <v>25</v>
      </c>
      <c r="CQ518" t="s">
        <v>25</v>
      </c>
      <c r="CR518" t="s">
        <v>25</v>
      </c>
      <c r="CS518" t="s">
        <v>25</v>
      </c>
      <c r="CT518" t="s">
        <v>25</v>
      </c>
      <c r="CU518" t="s">
        <v>25</v>
      </c>
      <c r="CV518" t="s">
        <v>25</v>
      </c>
      <c r="CW518" t="s">
        <v>25</v>
      </c>
      <c r="CX518" t="s">
        <v>25</v>
      </c>
      <c r="CY518" t="s">
        <v>25</v>
      </c>
      <c r="CZ518" t="s">
        <v>25</v>
      </c>
      <c r="DA518" t="s">
        <v>25</v>
      </c>
      <c r="DB518" t="s">
        <v>72</v>
      </c>
      <c r="DC518" t="s">
        <v>25</v>
      </c>
      <c r="DD518" t="s">
        <v>25</v>
      </c>
      <c r="DE518" t="s">
        <v>25</v>
      </c>
      <c r="DF518" t="s">
        <v>25</v>
      </c>
      <c r="DG518" t="s">
        <v>25</v>
      </c>
      <c r="DH518" t="s">
        <v>25</v>
      </c>
      <c r="DI518" t="s">
        <v>25</v>
      </c>
      <c r="DJ518" s="76">
        <v>3.0000000260770295E-3</v>
      </c>
      <c r="DK518" s="73">
        <v>0</v>
      </c>
      <c r="DL518" s="73">
        <v>54</v>
      </c>
      <c r="DM518" s="73">
        <v>-54</v>
      </c>
      <c r="DU518"/>
      <c r="DZ518" s="73">
        <v>54</v>
      </c>
      <c r="EA518" s="73">
        <v>0</v>
      </c>
      <c r="EB518" s="73">
        <v>54</v>
      </c>
      <c r="EC518" s="65" t="s">
        <v>126</v>
      </c>
    </row>
    <row r="519" spans="1:133" ht="12" customHeight="1" x14ac:dyDescent="0.2">
      <c r="A519" t="s">
        <v>2937</v>
      </c>
      <c r="B519" t="s">
        <v>2948</v>
      </c>
      <c r="C519" t="str">
        <f t="shared" si="26"/>
        <v>Prior Approval</v>
      </c>
      <c r="E519" s="65">
        <v>6035</v>
      </c>
      <c r="F519" t="s">
        <v>2147</v>
      </c>
      <c r="G519" s="71" t="s">
        <v>3946</v>
      </c>
      <c r="H519" s="67">
        <v>7.0000002160668399E-3</v>
      </c>
      <c r="I519" s="65">
        <v>524786</v>
      </c>
      <c r="J519" s="65">
        <v>175120</v>
      </c>
      <c r="L519" s="65" t="s">
        <v>1226</v>
      </c>
      <c r="M519" s="65" t="s">
        <v>243</v>
      </c>
      <c r="N519" s="69">
        <v>42752</v>
      </c>
      <c r="O519" s="69">
        <v>42808</v>
      </c>
      <c r="R519" s="65" t="s">
        <v>28</v>
      </c>
      <c r="U519" t="s">
        <v>456</v>
      </c>
      <c r="V519" t="s">
        <v>3480</v>
      </c>
      <c r="W519" s="65" t="s">
        <v>21</v>
      </c>
      <c r="X519" s="65" t="s">
        <v>21</v>
      </c>
      <c r="Y519" s="65" t="s">
        <v>69</v>
      </c>
      <c r="AD519" s="65" t="s">
        <v>23</v>
      </c>
      <c r="AE519" s="65" t="s">
        <v>24</v>
      </c>
      <c r="BF519" s="73">
        <v>66</v>
      </c>
      <c r="BK519" s="73">
        <v>66</v>
      </c>
      <c r="BO519" s="185" t="s">
        <v>3794</v>
      </c>
      <c r="BP519" s="185" t="s">
        <v>126</v>
      </c>
      <c r="BQ519" s="185" t="s">
        <v>3794</v>
      </c>
      <c r="BW519" s="73"/>
      <c r="BX519" s="73">
        <v>-66</v>
      </c>
      <c r="BY519" s="185" t="s">
        <v>126</v>
      </c>
      <c r="CD519" s="73">
        <v>-66</v>
      </c>
      <c r="CE519" s="65" t="s">
        <v>126</v>
      </c>
      <c r="CJ519" t="s">
        <v>25</v>
      </c>
      <c r="CK519" t="s">
        <v>25</v>
      </c>
      <c r="CL519" t="s">
        <v>25</v>
      </c>
      <c r="CM519" t="s">
        <v>25</v>
      </c>
      <c r="CN519" t="s">
        <v>25</v>
      </c>
      <c r="CO519" t="s">
        <v>25</v>
      </c>
      <c r="CP519" t="s">
        <v>25</v>
      </c>
      <c r="CQ519" t="s">
        <v>25</v>
      </c>
      <c r="CR519" t="s">
        <v>25</v>
      </c>
      <c r="CS519" t="s">
        <v>25</v>
      </c>
      <c r="CT519" t="s">
        <v>25</v>
      </c>
      <c r="CU519" t="s">
        <v>25</v>
      </c>
      <c r="CV519" t="s">
        <v>25</v>
      </c>
      <c r="CW519" t="s">
        <v>25</v>
      </c>
      <c r="CX519" t="s">
        <v>25</v>
      </c>
      <c r="CY519" t="s">
        <v>25</v>
      </c>
      <c r="CZ519" t="s">
        <v>25</v>
      </c>
      <c r="DA519" t="s">
        <v>25</v>
      </c>
      <c r="DB519" t="s">
        <v>49</v>
      </c>
      <c r="DC519" t="s">
        <v>25</v>
      </c>
      <c r="DD519" t="s">
        <v>25</v>
      </c>
      <c r="DE519" t="s">
        <v>25</v>
      </c>
      <c r="DF519" t="s">
        <v>25</v>
      </c>
      <c r="DG519" t="s">
        <v>25</v>
      </c>
      <c r="DH519" t="s">
        <v>25</v>
      </c>
      <c r="DI519" t="s">
        <v>25</v>
      </c>
      <c r="DJ519" s="76">
        <v>3.0000000260770295E-3</v>
      </c>
      <c r="DK519" s="73">
        <v>0</v>
      </c>
      <c r="DL519" s="73">
        <v>66</v>
      </c>
      <c r="DM519" s="73">
        <v>-66</v>
      </c>
      <c r="DU519"/>
      <c r="DZ519" s="73">
        <v>66</v>
      </c>
      <c r="EA519" s="73">
        <v>0</v>
      </c>
      <c r="EB519" s="73">
        <v>66</v>
      </c>
      <c r="EC519" s="65" t="s">
        <v>126</v>
      </c>
    </row>
    <row r="520" spans="1:133" ht="12" customHeight="1" x14ac:dyDescent="0.2">
      <c r="A520" t="s">
        <v>2935</v>
      </c>
      <c r="B520" t="s">
        <v>2946</v>
      </c>
      <c r="C520" t="str">
        <f t="shared" si="26"/>
        <v>Full</v>
      </c>
      <c r="E520" s="65">
        <v>6040</v>
      </c>
      <c r="F520" t="s">
        <v>2149</v>
      </c>
      <c r="G520" s="71" t="s">
        <v>3946</v>
      </c>
      <c r="H520" s="67">
        <v>9.6000000834464999E-2</v>
      </c>
      <c r="I520" s="65">
        <v>524968</v>
      </c>
      <c r="J520" s="65">
        <v>175095</v>
      </c>
      <c r="L520" s="65" t="s">
        <v>470</v>
      </c>
      <c r="M520" s="65" t="s">
        <v>33</v>
      </c>
      <c r="N520" s="69">
        <v>42157</v>
      </c>
      <c r="O520" s="69">
        <v>42583</v>
      </c>
      <c r="Q520" s="69">
        <v>42318</v>
      </c>
      <c r="R520" s="65" t="s">
        <v>28</v>
      </c>
      <c r="U520" t="s">
        <v>742</v>
      </c>
      <c r="V520" t="s">
        <v>3481</v>
      </c>
      <c r="W520" s="65" t="s">
        <v>29</v>
      </c>
      <c r="X520" s="65" t="s">
        <v>29</v>
      </c>
      <c r="Y520" s="65" t="s">
        <v>30</v>
      </c>
      <c r="Z520" s="69">
        <v>42825</v>
      </c>
      <c r="AA520" s="69">
        <v>42825</v>
      </c>
      <c r="AD520" s="65" t="s">
        <v>23</v>
      </c>
      <c r="AE520" s="65" t="s">
        <v>24</v>
      </c>
      <c r="AH520" s="69">
        <f t="shared" si="24"/>
        <v>42825</v>
      </c>
      <c r="BO520" s="185" t="s">
        <v>3794</v>
      </c>
      <c r="BP520" s="185" t="s">
        <v>3794</v>
      </c>
      <c r="BQ520" s="185" t="s">
        <v>3794</v>
      </c>
      <c r="BW520" s="73"/>
      <c r="BY520" s="185" t="s">
        <v>3794</v>
      </c>
      <c r="CJ520" t="s">
        <v>25</v>
      </c>
      <c r="CK520" t="s">
        <v>25</v>
      </c>
      <c r="CL520" t="s">
        <v>25</v>
      </c>
      <c r="CM520" t="s">
        <v>25</v>
      </c>
      <c r="CN520" t="s">
        <v>25</v>
      </c>
      <c r="CO520" t="s">
        <v>25</v>
      </c>
      <c r="CP520" t="s">
        <v>25</v>
      </c>
      <c r="CQ520" t="s">
        <v>25</v>
      </c>
      <c r="CR520" t="s">
        <v>25</v>
      </c>
      <c r="CS520" t="s">
        <v>25</v>
      </c>
      <c r="CT520" t="s">
        <v>25</v>
      </c>
      <c r="CU520" t="s">
        <v>25</v>
      </c>
      <c r="CV520" t="s">
        <v>25</v>
      </c>
      <c r="CW520" t="s">
        <v>25</v>
      </c>
      <c r="CX520" t="s">
        <v>25</v>
      </c>
      <c r="CY520" t="s">
        <v>25</v>
      </c>
      <c r="CZ520" t="s">
        <v>25</v>
      </c>
      <c r="DA520" t="s">
        <v>25</v>
      </c>
      <c r="DB520" t="s">
        <v>25</v>
      </c>
      <c r="DC520" t="s">
        <v>25</v>
      </c>
      <c r="DD520" t="s">
        <v>25</v>
      </c>
      <c r="DE520" t="s">
        <v>25</v>
      </c>
      <c r="DF520" t="s">
        <v>25</v>
      </c>
      <c r="DG520" t="s">
        <v>25</v>
      </c>
      <c r="DH520" t="s">
        <v>25</v>
      </c>
      <c r="DI520" t="s">
        <v>25</v>
      </c>
      <c r="DJ520" s="76">
        <v>0</v>
      </c>
      <c r="DK520" s="73">
        <v>0</v>
      </c>
      <c r="DL520" s="73">
        <v>681</v>
      </c>
      <c r="DM520" s="73">
        <v>-681</v>
      </c>
      <c r="DU520"/>
      <c r="DZ520" s="73">
        <v>1653</v>
      </c>
      <c r="EA520" s="73">
        <v>972</v>
      </c>
      <c r="EB520" s="73">
        <v>681</v>
      </c>
      <c r="EC520" s="65" t="s">
        <v>126</v>
      </c>
    </row>
    <row r="521" spans="1:133" ht="12" customHeight="1" x14ac:dyDescent="0.2">
      <c r="A521" t="s">
        <v>2936</v>
      </c>
      <c r="B521" t="s">
        <v>2946</v>
      </c>
      <c r="C521" t="str">
        <f t="shared" si="26"/>
        <v>Full</v>
      </c>
      <c r="D521" t="s">
        <v>2943</v>
      </c>
      <c r="E521" s="65">
        <v>6041</v>
      </c>
      <c r="F521" t="s">
        <v>2150</v>
      </c>
      <c r="G521" s="71" t="s">
        <v>3941</v>
      </c>
      <c r="H521" s="67">
        <v>2.5000000372528999E-2</v>
      </c>
      <c r="I521" s="65">
        <v>528421</v>
      </c>
      <c r="J521" s="65">
        <v>173244</v>
      </c>
      <c r="L521" s="65" t="s">
        <v>582</v>
      </c>
      <c r="M521" s="65" t="s">
        <v>27</v>
      </c>
      <c r="N521" s="69">
        <v>42348</v>
      </c>
      <c r="O521" s="69">
        <v>42404</v>
      </c>
      <c r="R521" s="65" t="s">
        <v>28</v>
      </c>
      <c r="U521" t="s">
        <v>792</v>
      </c>
      <c r="V521" t="s">
        <v>3482</v>
      </c>
      <c r="W521" s="65" t="s">
        <v>34</v>
      </c>
      <c r="X521" s="65" t="s">
        <v>29</v>
      </c>
      <c r="Y521" s="65" t="s">
        <v>35</v>
      </c>
      <c r="AA521" s="69">
        <v>42432</v>
      </c>
      <c r="AB521" s="69">
        <v>42838</v>
      </c>
      <c r="AC521" s="69">
        <v>42838</v>
      </c>
      <c r="AD521" s="65" t="s">
        <v>23</v>
      </c>
      <c r="AE521" s="65" t="s">
        <v>24</v>
      </c>
      <c r="AH521" s="69">
        <f t="shared" si="24"/>
        <v>42432</v>
      </c>
      <c r="AI521" s="69">
        <f t="shared" si="25"/>
        <v>42838</v>
      </c>
      <c r="BO521" s="185" t="s">
        <v>3794</v>
      </c>
      <c r="BP521" s="185" t="s">
        <v>3794</v>
      </c>
      <c r="BQ521" s="185" t="s">
        <v>3794</v>
      </c>
      <c r="BW521" s="73"/>
      <c r="BY521" s="185" t="s">
        <v>3794</v>
      </c>
      <c r="CJ521" t="s">
        <v>25</v>
      </c>
      <c r="CK521" t="s">
        <v>25</v>
      </c>
      <c r="CL521" t="s">
        <v>25</v>
      </c>
      <c r="CM521" t="s">
        <v>25</v>
      </c>
      <c r="CN521" t="s">
        <v>25</v>
      </c>
      <c r="CO521" t="s">
        <v>25</v>
      </c>
      <c r="CP521" t="s">
        <v>25</v>
      </c>
      <c r="CQ521" t="s">
        <v>25</v>
      </c>
      <c r="CR521" t="s">
        <v>25</v>
      </c>
      <c r="CS521" t="s">
        <v>25</v>
      </c>
      <c r="CT521" t="s">
        <v>25</v>
      </c>
      <c r="CU521" t="s">
        <v>25</v>
      </c>
      <c r="CV521" t="s">
        <v>25</v>
      </c>
      <c r="CW521" t="s">
        <v>25</v>
      </c>
      <c r="CX521" t="s">
        <v>25</v>
      </c>
      <c r="CY521" t="s">
        <v>25</v>
      </c>
      <c r="CZ521" t="s">
        <v>25</v>
      </c>
      <c r="DA521" t="s">
        <v>25</v>
      </c>
      <c r="DB521" t="s">
        <v>25</v>
      </c>
      <c r="DC521" t="s">
        <v>25</v>
      </c>
      <c r="DD521" t="s">
        <v>25</v>
      </c>
      <c r="DE521" t="s">
        <v>25</v>
      </c>
      <c r="DF521" t="s">
        <v>25</v>
      </c>
      <c r="DG521" t="s">
        <v>25</v>
      </c>
      <c r="DH521" t="s">
        <v>25</v>
      </c>
      <c r="DI521" t="s">
        <v>25</v>
      </c>
      <c r="DJ521" s="76">
        <v>1.0000001639127003E-3</v>
      </c>
      <c r="DK521" s="73">
        <v>27</v>
      </c>
      <c r="DL521" s="73">
        <v>73</v>
      </c>
      <c r="DM521" s="73">
        <v>-46</v>
      </c>
      <c r="DU521"/>
      <c r="DV521" s="65" t="s">
        <v>126</v>
      </c>
      <c r="DW521" t="s">
        <v>149</v>
      </c>
      <c r="DZ521" s="73">
        <v>138</v>
      </c>
      <c r="EA521" s="73">
        <v>94</v>
      </c>
      <c r="EB521" s="73">
        <v>44</v>
      </c>
      <c r="EC521" s="65" t="s">
        <v>126</v>
      </c>
    </row>
    <row r="522" spans="1:133" ht="12" customHeight="1" x14ac:dyDescent="0.2">
      <c r="A522" t="s">
        <v>2937</v>
      </c>
      <c r="B522" t="s">
        <v>2946</v>
      </c>
      <c r="C522" t="str">
        <f t="shared" si="26"/>
        <v>Full</v>
      </c>
      <c r="E522" s="65">
        <v>6044</v>
      </c>
      <c r="F522" t="s">
        <v>2151</v>
      </c>
      <c r="G522" s="71" t="s">
        <v>2904</v>
      </c>
      <c r="H522" s="67">
        <v>1.4000000432133701E-2</v>
      </c>
      <c r="I522" s="65">
        <v>526143</v>
      </c>
      <c r="J522" s="65">
        <v>172628</v>
      </c>
      <c r="L522" s="65" t="s">
        <v>657</v>
      </c>
      <c r="M522" s="65" t="s">
        <v>27</v>
      </c>
      <c r="N522" s="69">
        <v>42472</v>
      </c>
      <c r="O522" s="69">
        <v>42528</v>
      </c>
      <c r="R522" s="65" t="s">
        <v>28</v>
      </c>
      <c r="U522" t="s">
        <v>658</v>
      </c>
      <c r="V522" t="s">
        <v>3483</v>
      </c>
      <c r="W522" s="65" t="s">
        <v>34</v>
      </c>
      <c r="X522" s="65" t="s">
        <v>29</v>
      </c>
      <c r="Y522" s="65" t="s">
        <v>59</v>
      </c>
      <c r="AD522" s="65" t="s">
        <v>23</v>
      </c>
      <c r="AE522" s="65" t="s">
        <v>24</v>
      </c>
      <c r="AZ522" s="73">
        <v>119</v>
      </c>
      <c r="BE522" s="73">
        <v>119</v>
      </c>
      <c r="BO522" s="185" t="s">
        <v>126</v>
      </c>
      <c r="BP522" s="185" t="s">
        <v>3794</v>
      </c>
      <c r="BQ522" s="185" t="s">
        <v>3794</v>
      </c>
      <c r="BR522" s="73">
        <v>-119</v>
      </c>
      <c r="BW522" s="73">
        <v>-119</v>
      </c>
      <c r="BY522" s="185" t="s">
        <v>3794</v>
      </c>
      <c r="CJ522" t="s">
        <v>25</v>
      </c>
      <c r="CK522" t="s">
        <v>25</v>
      </c>
      <c r="CL522" t="s">
        <v>25</v>
      </c>
      <c r="CM522" t="s">
        <v>25</v>
      </c>
      <c r="CN522" t="s">
        <v>25</v>
      </c>
      <c r="CO522" t="s">
        <v>25</v>
      </c>
      <c r="CP522" t="s">
        <v>25</v>
      </c>
      <c r="CQ522" t="s">
        <v>25</v>
      </c>
      <c r="CR522" t="s">
        <v>25</v>
      </c>
      <c r="CS522" t="s">
        <v>25</v>
      </c>
      <c r="CT522" t="s">
        <v>25</v>
      </c>
      <c r="CU522" t="s">
        <v>25</v>
      </c>
      <c r="CV522" t="s">
        <v>25</v>
      </c>
      <c r="CW522" t="s">
        <v>31</v>
      </c>
      <c r="CX522" t="s">
        <v>25</v>
      </c>
      <c r="CY522" t="s">
        <v>25</v>
      </c>
      <c r="CZ522" t="s">
        <v>25</v>
      </c>
      <c r="DA522" t="s">
        <v>25</v>
      </c>
      <c r="DB522" t="s">
        <v>25</v>
      </c>
      <c r="DC522" t="s">
        <v>25</v>
      </c>
      <c r="DD522" t="s">
        <v>25</v>
      </c>
      <c r="DE522" t="s">
        <v>25</v>
      </c>
      <c r="DF522" t="s">
        <v>25</v>
      </c>
      <c r="DG522" t="s">
        <v>25</v>
      </c>
      <c r="DH522" t="s">
        <v>25</v>
      </c>
      <c r="DI522" t="s">
        <v>25</v>
      </c>
      <c r="DJ522" s="76">
        <v>9.0000005438924113E-3</v>
      </c>
      <c r="DK522" s="73">
        <v>0</v>
      </c>
      <c r="DL522" s="73">
        <v>119</v>
      </c>
      <c r="DM522" s="73">
        <v>-119</v>
      </c>
      <c r="DU522"/>
      <c r="DZ522" s="73">
        <v>156</v>
      </c>
      <c r="EA522" s="73">
        <v>0</v>
      </c>
      <c r="EB522" s="73">
        <v>156</v>
      </c>
      <c r="EC522" s="65" t="s">
        <v>126</v>
      </c>
    </row>
    <row r="523" spans="1:133" ht="12" customHeight="1" x14ac:dyDescent="0.2">
      <c r="A523" t="s">
        <v>2935</v>
      </c>
      <c r="B523" t="s">
        <v>2946</v>
      </c>
      <c r="C523" t="str">
        <f t="shared" si="26"/>
        <v>Full</v>
      </c>
      <c r="E523" s="65">
        <v>6046</v>
      </c>
      <c r="F523" t="s">
        <v>2152</v>
      </c>
      <c r="G523" s="71" t="s">
        <v>3948</v>
      </c>
      <c r="H523" s="67">
        <v>6.8999998271465302E-2</v>
      </c>
      <c r="I523" s="65">
        <v>528204</v>
      </c>
      <c r="J523" s="65">
        <v>176387</v>
      </c>
      <c r="L523" s="65" t="s">
        <v>489</v>
      </c>
      <c r="M523" s="65" t="s">
        <v>27</v>
      </c>
      <c r="N523" s="69">
        <v>42236</v>
      </c>
      <c r="O523" s="69">
        <v>42355</v>
      </c>
      <c r="R523" s="65" t="s">
        <v>28</v>
      </c>
      <c r="U523" t="s">
        <v>490</v>
      </c>
      <c r="V523" t="s">
        <v>3484</v>
      </c>
      <c r="W523" s="65" t="s">
        <v>29</v>
      </c>
      <c r="X523" s="65" t="s">
        <v>29</v>
      </c>
      <c r="Y523" s="65" t="s">
        <v>30</v>
      </c>
      <c r="AA523" s="69">
        <v>42885</v>
      </c>
      <c r="AD523" s="65" t="s">
        <v>23</v>
      </c>
      <c r="AE523" s="65" t="s">
        <v>24</v>
      </c>
      <c r="AH523" s="69">
        <f t="shared" si="24"/>
        <v>42885</v>
      </c>
      <c r="BO523" s="185" t="s">
        <v>3794</v>
      </c>
      <c r="BP523" s="185" t="s">
        <v>3794</v>
      </c>
      <c r="BQ523" s="185" t="s">
        <v>3794</v>
      </c>
      <c r="BW523" s="73"/>
      <c r="BY523" s="185" t="s">
        <v>3794</v>
      </c>
      <c r="CJ523" t="s">
        <v>25</v>
      </c>
      <c r="CK523" t="s">
        <v>25</v>
      </c>
      <c r="CL523" t="s">
        <v>25</v>
      </c>
      <c r="CM523" t="s">
        <v>25</v>
      </c>
      <c r="CN523" t="s">
        <v>25</v>
      </c>
      <c r="CO523" t="s">
        <v>25</v>
      </c>
      <c r="CP523" t="s">
        <v>25</v>
      </c>
      <c r="CQ523" t="s">
        <v>25</v>
      </c>
      <c r="CR523" t="s">
        <v>25</v>
      </c>
      <c r="CS523" t="s">
        <v>25</v>
      </c>
      <c r="CT523" t="s">
        <v>25</v>
      </c>
      <c r="CU523" t="s">
        <v>25</v>
      </c>
      <c r="CV523" t="s">
        <v>25</v>
      </c>
      <c r="CW523" t="s">
        <v>25</v>
      </c>
      <c r="CX523" t="s">
        <v>25</v>
      </c>
      <c r="CY523" t="s">
        <v>25</v>
      </c>
      <c r="CZ523" t="s">
        <v>25</v>
      </c>
      <c r="DA523" t="s">
        <v>25</v>
      </c>
      <c r="DB523" t="s">
        <v>25</v>
      </c>
      <c r="DC523" t="s">
        <v>25</v>
      </c>
      <c r="DD523" t="s">
        <v>25</v>
      </c>
      <c r="DE523" t="s">
        <v>25</v>
      </c>
      <c r="DF523" t="s">
        <v>25</v>
      </c>
      <c r="DG523" t="s">
        <v>25</v>
      </c>
      <c r="DH523" t="s">
        <v>25</v>
      </c>
      <c r="DI523" t="s">
        <v>25</v>
      </c>
      <c r="DJ523" s="76">
        <v>0</v>
      </c>
      <c r="DK523" s="73">
        <v>0</v>
      </c>
      <c r="DL523" s="73">
        <v>380</v>
      </c>
      <c r="DM523" s="73">
        <v>-380</v>
      </c>
      <c r="DU523"/>
      <c r="DZ523" s="73">
        <v>600</v>
      </c>
      <c r="EA523" s="73">
        <v>0</v>
      </c>
      <c r="EB523" s="73">
        <v>600</v>
      </c>
      <c r="EC523" s="65" t="s">
        <v>126</v>
      </c>
    </row>
    <row r="524" spans="1:133" ht="12" customHeight="1" x14ac:dyDescent="0.2">
      <c r="A524" t="s">
        <v>2936</v>
      </c>
      <c r="B524" t="s">
        <v>2946</v>
      </c>
      <c r="C524" t="str">
        <f t="shared" si="26"/>
        <v>Full</v>
      </c>
      <c r="D524" t="s">
        <v>2943</v>
      </c>
      <c r="E524" s="65">
        <v>6052</v>
      </c>
      <c r="F524" t="s">
        <v>2153</v>
      </c>
      <c r="G524" s="71" t="s">
        <v>3951</v>
      </c>
      <c r="H524" s="67">
        <v>4.9999998882412902E-3</v>
      </c>
      <c r="I524" s="65">
        <v>527365</v>
      </c>
      <c r="J524" s="65">
        <v>171122</v>
      </c>
      <c r="L524" s="65" t="s">
        <v>532</v>
      </c>
      <c r="M524" s="65" t="s">
        <v>27</v>
      </c>
      <c r="N524" s="69">
        <v>42249</v>
      </c>
      <c r="O524" s="69">
        <v>42305</v>
      </c>
      <c r="R524" s="65" t="s">
        <v>28</v>
      </c>
      <c r="U524" t="s">
        <v>533</v>
      </c>
      <c r="V524" t="s">
        <v>3485</v>
      </c>
      <c r="W524" s="65" t="s">
        <v>29</v>
      </c>
      <c r="X524" s="65" t="s">
        <v>29</v>
      </c>
      <c r="Y524" s="65" t="s">
        <v>35</v>
      </c>
      <c r="AA524" s="69">
        <v>42713</v>
      </c>
      <c r="AB524" s="69">
        <v>43190</v>
      </c>
      <c r="AC524" s="69">
        <v>43190</v>
      </c>
      <c r="AD524" s="65" t="s">
        <v>23</v>
      </c>
      <c r="AE524" s="65" t="s">
        <v>24</v>
      </c>
      <c r="AH524" s="69">
        <f t="shared" si="24"/>
        <v>42713</v>
      </c>
      <c r="AI524" s="69">
        <f t="shared" si="25"/>
        <v>43190</v>
      </c>
      <c r="AU524" s="73">
        <v>24</v>
      </c>
      <c r="AV524" s="73">
        <v>24</v>
      </c>
      <c r="BO524" s="185" t="s">
        <v>3794</v>
      </c>
      <c r="BP524" s="185" t="s">
        <v>126</v>
      </c>
      <c r="BQ524" s="185" t="s">
        <v>3794</v>
      </c>
      <c r="BW524" s="73"/>
      <c r="BY524" s="185" t="s">
        <v>3794</v>
      </c>
      <c r="CC524" s="73">
        <v>24</v>
      </c>
      <c r="CD524" s="73">
        <v>24</v>
      </c>
      <c r="CJ524" t="s">
        <v>25</v>
      </c>
      <c r="CK524" t="s">
        <v>25</v>
      </c>
      <c r="CL524" t="s">
        <v>25</v>
      </c>
      <c r="CM524" t="s">
        <v>25</v>
      </c>
      <c r="CN524" t="s">
        <v>25</v>
      </c>
      <c r="CO524" t="s">
        <v>25</v>
      </c>
      <c r="CP524" t="s">
        <v>25</v>
      </c>
      <c r="CQ524" t="s">
        <v>25</v>
      </c>
      <c r="CR524" t="s">
        <v>25</v>
      </c>
      <c r="CS524" t="s">
        <v>53</v>
      </c>
      <c r="CT524" t="s">
        <v>25</v>
      </c>
      <c r="CU524" t="s">
        <v>25</v>
      </c>
      <c r="CV524" t="s">
        <v>25</v>
      </c>
      <c r="CW524" t="s">
        <v>25</v>
      </c>
      <c r="CX524" t="s">
        <v>25</v>
      </c>
      <c r="CY524" t="s">
        <v>25</v>
      </c>
      <c r="CZ524" t="s">
        <v>25</v>
      </c>
      <c r="DA524" t="s">
        <v>25</v>
      </c>
      <c r="DB524" t="s">
        <v>25</v>
      </c>
      <c r="DC524" t="s">
        <v>25</v>
      </c>
      <c r="DD524" t="s">
        <v>25</v>
      </c>
      <c r="DE524" t="s">
        <v>25</v>
      </c>
      <c r="DF524" t="s">
        <v>25</v>
      </c>
      <c r="DG524" t="s">
        <v>25</v>
      </c>
      <c r="DH524" t="s">
        <v>25</v>
      </c>
      <c r="DI524" t="s">
        <v>25</v>
      </c>
      <c r="DJ524" s="76">
        <v>4.9999998882412902E-3</v>
      </c>
      <c r="DK524" s="73">
        <v>24</v>
      </c>
      <c r="DL524" s="73">
        <v>0</v>
      </c>
      <c r="DM524" s="73">
        <v>24</v>
      </c>
      <c r="DU524"/>
      <c r="DZ524" s="73">
        <v>0</v>
      </c>
      <c r="EA524" s="73">
        <v>0</v>
      </c>
      <c r="EB524" s="73">
        <v>0</v>
      </c>
    </row>
    <row r="525" spans="1:133" ht="12" customHeight="1" x14ac:dyDescent="0.2">
      <c r="A525" t="s">
        <v>2936</v>
      </c>
      <c r="B525" t="s">
        <v>2946</v>
      </c>
      <c r="C525" t="str">
        <f t="shared" si="26"/>
        <v>Full</v>
      </c>
      <c r="D525" t="s">
        <v>2943</v>
      </c>
      <c r="E525" s="65">
        <v>6056</v>
      </c>
      <c r="F525" t="s">
        <v>2154</v>
      </c>
      <c r="G525" s="71" t="s">
        <v>2907</v>
      </c>
      <c r="H525" s="67">
        <v>1.7000000923872001E-2</v>
      </c>
      <c r="I525" s="65">
        <v>525134</v>
      </c>
      <c r="J525" s="65">
        <v>173399</v>
      </c>
      <c r="L525" s="65" t="s">
        <v>518</v>
      </c>
      <c r="M525" s="65" t="s">
        <v>27</v>
      </c>
      <c r="N525" s="69">
        <v>42325</v>
      </c>
      <c r="O525" s="69">
        <v>42381</v>
      </c>
      <c r="R525" s="65" t="s">
        <v>28</v>
      </c>
      <c r="U525" t="s">
        <v>759</v>
      </c>
      <c r="V525" t="s">
        <v>3486</v>
      </c>
      <c r="W525" s="65" t="s">
        <v>34</v>
      </c>
      <c r="X525" s="65" t="s">
        <v>29</v>
      </c>
      <c r="Y525" s="65" t="s">
        <v>35</v>
      </c>
      <c r="AA525" s="69">
        <v>42388</v>
      </c>
      <c r="AB525" s="69">
        <v>42830</v>
      </c>
      <c r="AC525" s="69">
        <v>42830</v>
      </c>
      <c r="AD525" s="65" t="s">
        <v>23</v>
      </c>
      <c r="AE525" s="65" t="s">
        <v>24</v>
      </c>
      <c r="AH525" s="69">
        <f t="shared" si="24"/>
        <v>42388</v>
      </c>
      <c r="AI525" s="69">
        <f t="shared" si="25"/>
        <v>42830</v>
      </c>
      <c r="BB525" s="73">
        <v>170</v>
      </c>
      <c r="BE525" s="73">
        <v>170</v>
      </c>
      <c r="BO525" s="185" t="s">
        <v>126</v>
      </c>
      <c r="BP525" s="185" t="s">
        <v>3794</v>
      </c>
      <c r="BQ525" s="185" t="s">
        <v>3794</v>
      </c>
      <c r="BT525" s="73">
        <v>-170</v>
      </c>
      <c r="BW525" s="73">
        <v>-170</v>
      </c>
      <c r="BY525" s="185" t="s">
        <v>3794</v>
      </c>
      <c r="CJ525" t="s">
        <v>25</v>
      </c>
      <c r="CK525" t="s">
        <v>25</v>
      </c>
      <c r="CL525" t="s">
        <v>25</v>
      </c>
      <c r="CM525" t="s">
        <v>25</v>
      </c>
      <c r="CN525" t="s">
        <v>25</v>
      </c>
      <c r="CO525" t="s">
        <v>25</v>
      </c>
      <c r="CP525" t="s">
        <v>25</v>
      </c>
      <c r="CQ525" t="s">
        <v>25</v>
      </c>
      <c r="CR525" t="s">
        <v>25</v>
      </c>
      <c r="CS525" t="s">
        <v>25</v>
      </c>
      <c r="CT525" t="s">
        <v>25</v>
      </c>
      <c r="CU525" t="s">
        <v>25</v>
      </c>
      <c r="CV525" t="s">
        <v>25</v>
      </c>
      <c r="CW525" t="s">
        <v>25</v>
      </c>
      <c r="CX525" t="s">
        <v>25</v>
      </c>
      <c r="CY525" t="s">
        <v>47</v>
      </c>
      <c r="CZ525" t="s">
        <v>25</v>
      </c>
      <c r="DA525" t="s">
        <v>25</v>
      </c>
      <c r="DB525" t="s">
        <v>25</v>
      </c>
      <c r="DC525" t="s">
        <v>25</v>
      </c>
      <c r="DD525" t="s">
        <v>25</v>
      </c>
      <c r="DE525" t="s">
        <v>25</v>
      </c>
      <c r="DF525" t="s">
        <v>25</v>
      </c>
      <c r="DG525" t="s">
        <v>25</v>
      </c>
      <c r="DH525" t="s">
        <v>25</v>
      </c>
      <c r="DI525" t="s">
        <v>25</v>
      </c>
      <c r="DJ525" s="76">
        <v>0</v>
      </c>
      <c r="DK525" s="73">
        <v>0</v>
      </c>
      <c r="DL525" s="73">
        <v>170</v>
      </c>
      <c r="DM525" s="73">
        <v>-170</v>
      </c>
      <c r="DU525"/>
      <c r="DZ525" s="73">
        <v>228</v>
      </c>
      <c r="EA525" s="73">
        <v>0</v>
      </c>
      <c r="EB525" s="73">
        <v>228</v>
      </c>
      <c r="EC525" s="65" t="s">
        <v>126</v>
      </c>
    </row>
    <row r="526" spans="1:133" ht="12" customHeight="1" x14ac:dyDescent="0.2">
      <c r="A526" t="s">
        <v>2937</v>
      </c>
      <c r="B526" t="s">
        <v>2946</v>
      </c>
      <c r="C526" t="str">
        <f t="shared" si="26"/>
        <v>Full</v>
      </c>
      <c r="E526" s="65">
        <v>6058</v>
      </c>
      <c r="F526" t="s">
        <v>2155</v>
      </c>
      <c r="G526" s="71" t="s">
        <v>3946</v>
      </c>
      <c r="H526" s="67">
        <v>2.19999998807907E-2</v>
      </c>
      <c r="I526" s="65">
        <v>523963</v>
      </c>
      <c r="J526" s="65">
        <v>175629</v>
      </c>
      <c r="L526" s="65" t="s">
        <v>528</v>
      </c>
      <c r="M526" s="65" t="s">
        <v>27</v>
      </c>
      <c r="N526" s="69">
        <v>42264</v>
      </c>
      <c r="O526" s="69">
        <v>42459</v>
      </c>
      <c r="R526" s="65" t="s">
        <v>28</v>
      </c>
      <c r="U526" t="s">
        <v>765</v>
      </c>
      <c r="V526" t="s">
        <v>3487</v>
      </c>
      <c r="W526" s="65" t="s">
        <v>29</v>
      </c>
      <c r="X526" s="65" t="s">
        <v>29</v>
      </c>
      <c r="Y526" s="65" t="s">
        <v>69</v>
      </c>
      <c r="AD526" s="65" t="s">
        <v>23</v>
      </c>
      <c r="AE526" s="65" t="s">
        <v>24</v>
      </c>
      <c r="AM526" s="73">
        <v>79</v>
      </c>
      <c r="AO526" s="73">
        <v>79</v>
      </c>
      <c r="BO526" s="185" t="s">
        <v>126</v>
      </c>
      <c r="BP526" s="185" t="s">
        <v>3794</v>
      </c>
      <c r="BQ526" s="185" t="s">
        <v>3794</v>
      </c>
      <c r="BU526" s="73">
        <v>79</v>
      </c>
      <c r="BW526" s="73">
        <v>79</v>
      </c>
      <c r="BY526" s="185" t="s">
        <v>3794</v>
      </c>
      <c r="CJ526" t="s">
        <v>25</v>
      </c>
      <c r="CK526" t="s">
        <v>25</v>
      </c>
      <c r="CL526" t="s">
        <v>25</v>
      </c>
      <c r="CM526" t="s">
        <v>71</v>
      </c>
      <c r="CN526" t="s">
        <v>25</v>
      </c>
      <c r="CO526" t="s">
        <v>25</v>
      </c>
      <c r="CP526" t="s">
        <v>25</v>
      </c>
      <c r="CQ526" t="s">
        <v>25</v>
      </c>
      <c r="CR526" t="s">
        <v>25</v>
      </c>
      <c r="CS526" t="s">
        <v>25</v>
      </c>
      <c r="CT526" t="s">
        <v>25</v>
      </c>
      <c r="CU526" t="s">
        <v>25</v>
      </c>
      <c r="CV526" t="s">
        <v>25</v>
      </c>
      <c r="CW526" t="s">
        <v>25</v>
      </c>
      <c r="CX526" t="s">
        <v>25</v>
      </c>
      <c r="CY526" t="s">
        <v>25</v>
      </c>
      <c r="CZ526" t="s">
        <v>25</v>
      </c>
      <c r="DA526" t="s">
        <v>25</v>
      </c>
      <c r="DB526" t="s">
        <v>25</v>
      </c>
      <c r="DC526" t="s">
        <v>25</v>
      </c>
      <c r="DD526" t="s">
        <v>25</v>
      </c>
      <c r="DE526" t="s">
        <v>25</v>
      </c>
      <c r="DF526" t="s">
        <v>25</v>
      </c>
      <c r="DG526" t="s">
        <v>25</v>
      </c>
      <c r="DH526" t="s">
        <v>25</v>
      </c>
      <c r="DI526" t="s">
        <v>25</v>
      </c>
      <c r="DJ526" s="76">
        <v>0</v>
      </c>
      <c r="DK526" s="73">
        <v>79</v>
      </c>
      <c r="DL526" s="73">
        <v>0</v>
      </c>
      <c r="DM526" s="73">
        <v>79</v>
      </c>
      <c r="DU526"/>
      <c r="DZ526" s="73">
        <v>165</v>
      </c>
      <c r="EA526" s="73">
        <v>0</v>
      </c>
      <c r="EB526" s="73">
        <v>165</v>
      </c>
      <c r="EC526" s="65" t="s">
        <v>126</v>
      </c>
    </row>
    <row r="527" spans="1:133" ht="12" customHeight="1" x14ac:dyDescent="0.2">
      <c r="A527" t="s">
        <v>2935</v>
      </c>
      <c r="B527" t="s">
        <v>2946</v>
      </c>
      <c r="C527" t="str">
        <f t="shared" si="26"/>
        <v>Full</v>
      </c>
      <c r="E527" s="65">
        <v>6061</v>
      </c>
      <c r="F527" t="s">
        <v>2156</v>
      </c>
      <c r="G527" s="71" t="s">
        <v>3941</v>
      </c>
      <c r="H527" s="67">
        <v>2.14800000190735</v>
      </c>
      <c r="I527" s="65">
        <v>528297</v>
      </c>
      <c r="J527" s="65">
        <v>173334</v>
      </c>
      <c r="L527" s="65" t="s">
        <v>550</v>
      </c>
      <c r="M527" s="65" t="s">
        <v>27</v>
      </c>
      <c r="N527" s="69">
        <v>42270</v>
      </c>
      <c r="O527" s="69">
        <v>42354</v>
      </c>
      <c r="R527" s="65" t="s">
        <v>28</v>
      </c>
      <c r="U527" t="s">
        <v>772</v>
      </c>
      <c r="V527" t="s">
        <v>3488</v>
      </c>
      <c r="W527" s="65" t="s">
        <v>29</v>
      </c>
      <c r="X527" s="65" t="s">
        <v>29</v>
      </c>
      <c r="Y527" s="65" t="s">
        <v>30</v>
      </c>
      <c r="AA527" s="69">
        <v>42552</v>
      </c>
      <c r="AD527" s="65" t="s">
        <v>23</v>
      </c>
      <c r="AE527" s="65" t="s">
        <v>24</v>
      </c>
      <c r="AH527" s="69">
        <f t="shared" si="24"/>
        <v>42552</v>
      </c>
      <c r="AW527" s="73">
        <v>8446</v>
      </c>
      <c r="AY527" s="73">
        <v>8446</v>
      </c>
      <c r="BL527" s="73">
        <v>11557</v>
      </c>
      <c r="BN527" s="73">
        <v>11557</v>
      </c>
      <c r="BO527" s="185" t="s">
        <v>3794</v>
      </c>
      <c r="BP527" s="185" t="s">
        <v>3794</v>
      </c>
      <c r="BQ527" s="185" t="s">
        <v>126</v>
      </c>
      <c r="BW527" s="73"/>
      <c r="BY527" s="185" t="s">
        <v>3794</v>
      </c>
      <c r="CG527" s="73">
        <v>-3111</v>
      </c>
      <c r="CI527" s="73">
        <v>-3111</v>
      </c>
      <c r="CJ527" t="s">
        <v>25</v>
      </c>
      <c r="CK527" t="s">
        <v>25</v>
      </c>
      <c r="CL527" t="s">
        <v>25</v>
      </c>
      <c r="CM527" t="s">
        <v>25</v>
      </c>
      <c r="CN527" t="s">
        <v>25</v>
      </c>
      <c r="CO527" t="s">
        <v>25</v>
      </c>
      <c r="CP527" t="s">
        <v>25</v>
      </c>
      <c r="CQ527" t="s">
        <v>25</v>
      </c>
      <c r="CR527" t="s">
        <v>25</v>
      </c>
      <c r="CS527" t="s">
        <v>25</v>
      </c>
      <c r="CT527" t="s">
        <v>25</v>
      </c>
      <c r="CU527" t="s">
        <v>60</v>
      </c>
      <c r="CV527" t="s">
        <v>25</v>
      </c>
      <c r="CW527" t="s">
        <v>25</v>
      </c>
      <c r="CX527" t="s">
        <v>25</v>
      </c>
      <c r="CY527" t="s">
        <v>25</v>
      </c>
      <c r="CZ527" t="s">
        <v>25</v>
      </c>
      <c r="DA527" t="s">
        <v>25</v>
      </c>
      <c r="DB527" t="s">
        <v>25</v>
      </c>
      <c r="DC527" t="s">
        <v>25</v>
      </c>
      <c r="DD527" t="s">
        <v>25</v>
      </c>
      <c r="DE527" t="s">
        <v>25</v>
      </c>
      <c r="DF527" t="s">
        <v>25</v>
      </c>
      <c r="DG527" t="s">
        <v>25</v>
      </c>
      <c r="DH527" t="s">
        <v>60</v>
      </c>
      <c r="DI527" t="s">
        <v>25</v>
      </c>
      <c r="DJ527" s="76">
        <v>2.032999999821187</v>
      </c>
      <c r="DK527" s="73">
        <v>9609</v>
      </c>
      <c r="DL527" s="73">
        <v>12720</v>
      </c>
      <c r="DM527" s="73">
        <v>-3111</v>
      </c>
      <c r="DU527"/>
      <c r="DZ527" s="73">
        <v>0</v>
      </c>
      <c r="EA527" s="73">
        <v>0</v>
      </c>
      <c r="EB527" s="73">
        <v>0</v>
      </c>
    </row>
    <row r="528" spans="1:133" ht="12" customHeight="1" x14ac:dyDescent="0.2">
      <c r="A528" t="s">
        <v>2936</v>
      </c>
      <c r="B528" t="s">
        <v>2946</v>
      </c>
      <c r="C528" t="str">
        <f t="shared" si="26"/>
        <v>Full</v>
      </c>
      <c r="D528" t="s">
        <v>2943</v>
      </c>
      <c r="E528" s="65">
        <v>6061</v>
      </c>
      <c r="F528" t="s">
        <v>2156</v>
      </c>
      <c r="G528" s="71" t="s">
        <v>3941</v>
      </c>
      <c r="H528" s="67">
        <v>2.14800000190735</v>
      </c>
      <c r="I528" s="65">
        <v>528297</v>
      </c>
      <c r="J528" s="65">
        <v>173334</v>
      </c>
      <c r="L528" s="65" t="s">
        <v>968</v>
      </c>
      <c r="M528" s="65" t="s">
        <v>27</v>
      </c>
      <c r="N528" s="69">
        <v>42551</v>
      </c>
      <c r="O528" s="69">
        <v>42626</v>
      </c>
      <c r="R528" s="65" t="s">
        <v>28</v>
      </c>
      <c r="U528" t="s">
        <v>969</v>
      </c>
      <c r="V528" t="s">
        <v>3489</v>
      </c>
      <c r="W528" s="65" t="s">
        <v>29</v>
      </c>
      <c r="X528" s="65" t="s">
        <v>29</v>
      </c>
      <c r="Y528" s="65" t="s">
        <v>35</v>
      </c>
      <c r="AA528" s="69">
        <v>42825</v>
      </c>
      <c r="AB528" s="69">
        <v>43190</v>
      </c>
      <c r="AC528" s="69">
        <v>43190</v>
      </c>
      <c r="AD528" s="65" t="s">
        <v>23</v>
      </c>
      <c r="AE528" s="65" t="s">
        <v>24</v>
      </c>
      <c r="AH528" s="69">
        <f t="shared" si="24"/>
        <v>42825</v>
      </c>
      <c r="AI528" s="69">
        <f t="shared" si="25"/>
        <v>43190</v>
      </c>
      <c r="BO528" s="185" t="s">
        <v>3794</v>
      </c>
      <c r="BP528" s="185" t="s">
        <v>3794</v>
      </c>
      <c r="BQ528" s="185" t="s">
        <v>3794</v>
      </c>
      <c r="BW528" s="73"/>
      <c r="BY528" s="185" t="s">
        <v>3794</v>
      </c>
      <c r="CJ528" t="s">
        <v>25</v>
      </c>
      <c r="CK528" t="s">
        <v>25</v>
      </c>
      <c r="CL528" t="s">
        <v>25</v>
      </c>
      <c r="CM528" t="s">
        <v>25</v>
      </c>
      <c r="CN528" t="s">
        <v>25</v>
      </c>
      <c r="CO528" t="s">
        <v>25</v>
      </c>
      <c r="CP528" t="s">
        <v>25</v>
      </c>
      <c r="CQ528" t="s">
        <v>25</v>
      </c>
      <c r="CR528" t="s">
        <v>25</v>
      </c>
      <c r="CS528" t="s">
        <v>25</v>
      </c>
      <c r="CT528" t="s">
        <v>25</v>
      </c>
      <c r="CU528" t="s">
        <v>25</v>
      </c>
      <c r="CV528" t="s">
        <v>25</v>
      </c>
      <c r="CW528" t="s">
        <v>25</v>
      </c>
      <c r="CX528" t="s">
        <v>25</v>
      </c>
      <c r="CY528" t="s">
        <v>25</v>
      </c>
      <c r="CZ528" t="s">
        <v>25</v>
      </c>
      <c r="DA528" t="s">
        <v>25</v>
      </c>
      <c r="DB528" t="s">
        <v>25</v>
      </c>
      <c r="DC528" t="s">
        <v>25</v>
      </c>
      <c r="DD528" t="s">
        <v>25</v>
      </c>
      <c r="DE528" t="s">
        <v>25</v>
      </c>
      <c r="DF528" t="s">
        <v>25</v>
      </c>
      <c r="DG528" t="s">
        <v>25</v>
      </c>
      <c r="DH528" t="s">
        <v>25</v>
      </c>
      <c r="DI528" t="s">
        <v>25</v>
      </c>
      <c r="DJ528" s="76">
        <v>2.14800000190735</v>
      </c>
      <c r="DK528" s="73">
        <v>21</v>
      </c>
      <c r="DL528" s="73">
        <v>0</v>
      </c>
      <c r="DM528" s="73">
        <v>21</v>
      </c>
      <c r="DU528"/>
      <c r="DZ528" s="73">
        <v>0</v>
      </c>
      <c r="EA528" s="73">
        <v>0</v>
      </c>
      <c r="EB528" s="73">
        <v>0</v>
      </c>
    </row>
    <row r="529" spans="1:133" ht="12" customHeight="1" x14ac:dyDescent="0.2">
      <c r="A529" t="s">
        <v>2935</v>
      </c>
      <c r="B529" t="s">
        <v>2946</v>
      </c>
      <c r="C529" t="str">
        <f t="shared" si="26"/>
        <v>Full</v>
      </c>
      <c r="E529" s="65">
        <v>6061</v>
      </c>
      <c r="F529" t="s">
        <v>2156</v>
      </c>
      <c r="G529" s="71" t="s">
        <v>3941</v>
      </c>
      <c r="H529" s="67">
        <v>2.14800000190735</v>
      </c>
      <c r="I529" s="65">
        <v>528297</v>
      </c>
      <c r="J529" s="65">
        <v>173334</v>
      </c>
      <c r="L529" s="65" t="s">
        <v>1100</v>
      </c>
      <c r="M529" s="65" t="s">
        <v>434</v>
      </c>
      <c r="N529" s="69">
        <v>42698</v>
      </c>
      <c r="O529" s="69">
        <v>42793</v>
      </c>
      <c r="R529" s="65" t="s">
        <v>28</v>
      </c>
      <c r="U529" t="s">
        <v>2157</v>
      </c>
      <c r="V529" t="s">
        <v>3490</v>
      </c>
      <c r="W529" s="65" t="s">
        <v>29</v>
      </c>
      <c r="X529" s="65" t="s">
        <v>29</v>
      </c>
      <c r="Y529" s="65" t="s">
        <v>30</v>
      </c>
      <c r="AA529" s="69">
        <v>42825</v>
      </c>
      <c r="AD529" s="65" t="s">
        <v>23</v>
      </c>
      <c r="AE529" s="65" t="s">
        <v>24</v>
      </c>
      <c r="AH529" s="69">
        <f t="shared" si="24"/>
        <v>42825</v>
      </c>
      <c r="AW529" s="73">
        <v>248</v>
      </c>
      <c r="AY529" s="73">
        <v>248</v>
      </c>
      <c r="BO529" s="185" t="s">
        <v>3794</v>
      </c>
      <c r="BP529" s="185" t="s">
        <v>3794</v>
      </c>
      <c r="BQ529" s="185" t="s">
        <v>126</v>
      </c>
      <c r="BW529" s="73"/>
      <c r="BY529" s="185" t="s">
        <v>3794</v>
      </c>
      <c r="CG529" s="73">
        <v>248</v>
      </c>
      <c r="CI529" s="73">
        <v>248</v>
      </c>
      <c r="CJ529" t="s">
        <v>25</v>
      </c>
      <c r="CK529" t="s">
        <v>25</v>
      </c>
      <c r="CL529" t="s">
        <v>25</v>
      </c>
      <c r="CM529" t="s">
        <v>25</v>
      </c>
      <c r="CN529" t="s">
        <v>25</v>
      </c>
      <c r="CO529" t="s">
        <v>25</v>
      </c>
      <c r="CP529" t="s">
        <v>25</v>
      </c>
      <c r="CQ529" t="s">
        <v>25</v>
      </c>
      <c r="CR529" t="s">
        <v>25</v>
      </c>
      <c r="CS529" t="s">
        <v>25</v>
      </c>
      <c r="CT529" t="s">
        <v>25</v>
      </c>
      <c r="CU529" t="s">
        <v>60</v>
      </c>
      <c r="CV529" t="s">
        <v>25</v>
      </c>
      <c r="CW529" t="s">
        <v>25</v>
      </c>
      <c r="CX529" t="s">
        <v>25</v>
      </c>
      <c r="CY529" t="s">
        <v>25</v>
      </c>
      <c r="CZ529" t="s">
        <v>25</v>
      </c>
      <c r="DA529" t="s">
        <v>25</v>
      </c>
      <c r="DB529" t="s">
        <v>25</v>
      </c>
      <c r="DC529" t="s">
        <v>25</v>
      </c>
      <c r="DD529" t="s">
        <v>25</v>
      </c>
      <c r="DE529" t="s">
        <v>25</v>
      </c>
      <c r="DF529" t="s">
        <v>25</v>
      </c>
      <c r="DG529" t="s">
        <v>25</v>
      </c>
      <c r="DH529" t="s">
        <v>25</v>
      </c>
      <c r="DI529" t="s">
        <v>25</v>
      </c>
      <c r="DJ529" s="76">
        <v>2.0960000008344664</v>
      </c>
      <c r="DK529" s="73">
        <v>248</v>
      </c>
      <c r="DL529" s="73">
        <v>0</v>
      </c>
      <c r="DM529" s="73">
        <v>248</v>
      </c>
      <c r="DU529"/>
      <c r="DZ529" s="73">
        <v>0</v>
      </c>
      <c r="EA529" s="73">
        <v>0</v>
      </c>
      <c r="EB529" s="73">
        <v>0</v>
      </c>
    </row>
    <row r="530" spans="1:133" ht="12" customHeight="1" x14ac:dyDescent="0.2">
      <c r="A530" t="s">
        <v>2937</v>
      </c>
      <c r="B530" t="s">
        <v>2946</v>
      </c>
      <c r="C530" t="str">
        <f t="shared" si="26"/>
        <v>Full</v>
      </c>
      <c r="E530" s="65">
        <v>6063</v>
      </c>
      <c r="F530" t="s">
        <v>2158</v>
      </c>
      <c r="G530" s="71" t="s">
        <v>3943</v>
      </c>
      <c r="H530" s="67">
        <v>1.7999999225139601E-2</v>
      </c>
      <c r="I530" s="65">
        <v>527408</v>
      </c>
      <c r="J530" s="65">
        <v>176440</v>
      </c>
      <c r="L530" s="65" t="s">
        <v>767</v>
      </c>
      <c r="M530" s="65" t="s">
        <v>27</v>
      </c>
      <c r="N530" s="69">
        <v>42257</v>
      </c>
      <c r="O530" s="69">
        <v>42580</v>
      </c>
      <c r="R530" s="65" t="s">
        <v>28</v>
      </c>
      <c r="U530" t="s">
        <v>768</v>
      </c>
      <c r="V530" t="s">
        <v>3491</v>
      </c>
      <c r="W530" s="65" t="s">
        <v>29</v>
      </c>
      <c r="X530" s="65" t="s">
        <v>29</v>
      </c>
      <c r="Y530" s="65" t="s">
        <v>59</v>
      </c>
      <c r="AD530" s="65" t="s">
        <v>23</v>
      </c>
      <c r="AE530" s="65" t="s">
        <v>24</v>
      </c>
      <c r="BL530" s="73">
        <v>172</v>
      </c>
      <c r="BN530" s="73">
        <v>172</v>
      </c>
      <c r="BO530" s="185" t="s">
        <v>3794</v>
      </c>
      <c r="BP530" s="185" t="s">
        <v>3794</v>
      </c>
      <c r="BQ530" s="185" t="s">
        <v>126</v>
      </c>
      <c r="BW530" s="73"/>
      <c r="BY530" s="185" t="s">
        <v>3794</v>
      </c>
      <c r="CG530" s="73">
        <v>-172</v>
      </c>
      <c r="CI530" s="73">
        <v>-172</v>
      </c>
      <c r="CJ530" t="s">
        <v>25</v>
      </c>
      <c r="CK530" t="s">
        <v>25</v>
      </c>
      <c r="CL530" t="s">
        <v>25</v>
      </c>
      <c r="CM530" t="s">
        <v>25</v>
      </c>
      <c r="CN530" t="s">
        <v>25</v>
      </c>
      <c r="CO530" t="s">
        <v>25</v>
      </c>
      <c r="CP530" t="s">
        <v>25</v>
      </c>
      <c r="CQ530" t="s">
        <v>25</v>
      </c>
      <c r="CR530" t="s">
        <v>25</v>
      </c>
      <c r="CS530" t="s">
        <v>25</v>
      </c>
      <c r="CT530" t="s">
        <v>25</v>
      </c>
      <c r="CU530" t="s">
        <v>25</v>
      </c>
      <c r="CV530" t="s">
        <v>25</v>
      </c>
      <c r="CW530" t="s">
        <v>25</v>
      </c>
      <c r="CX530" t="s">
        <v>25</v>
      </c>
      <c r="CY530" t="s">
        <v>25</v>
      </c>
      <c r="CZ530" t="s">
        <v>25</v>
      </c>
      <c r="DA530" t="s">
        <v>25</v>
      </c>
      <c r="DB530" t="s">
        <v>25</v>
      </c>
      <c r="DC530" t="s">
        <v>25</v>
      </c>
      <c r="DD530" t="s">
        <v>25</v>
      </c>
      <c r="DE530" t="s">
        <v>25</v>
      </c>
      <c r="DF530" t="s">
        <v>25</v>
      </c>
      <c r="DG530" t="s">
        <v>25</v>
      </c>
      <c r="DH530" t="s">
        <v>47</v>
      </c>
      <c r="DI530" t="s">
        <v>25</v>
      </c>
      <c r="DJ530" s="76">
        <v>0</v>
      </c>
      <c r="DK530" s="73">
        <v>0</v>
      </c>
      <c r="DL530" s="73">
        <v>172</v>
      </c>
      <c r="DM530" s="73">
        <v>-172</v>
      </c>
      <c r="DU530"/>
      <c r="DZ530" s="73">
        <v>261</v>
      </c>
      <c r="EA530" s="73">
        <v>0</v>
      </c>
      <c r="EB530" s="73">
        <v>261</v>
      </c>
      <c r="EC530" s="65" t="s">
        <v>126</v>
      </c>
    </row>
    <row r="531" spans="1:133" ht="12" customHeight="1" x14ac:dyDescent="0.2">
      <c r="A531" t="s">
        <v>2936</v>
      </c>
      <c r="B531" t="s">
        <v>2946</v>
      </c>
      <c r="C531" t="str">
        <f t="shared" si="26"/>
        <v>Full</v>
      </c>
      <c r="D531" t="s">
        <v>2943</v>
      </c>
      <c r="E531" s="65">
        <v>6065</v>
      </c>
      <c r="F531" t="s">
        <v>2159</v>
      </c>
      <c r="G531" s="71" t="s">
        <v>149</v>
      </c>
      <c r="H531" s="67">
        <v>4.6000000089407002E-2</v>
      </c>
      <c r="I531" s="65">
        <v>528949</v>
      </c>
      <c r="J531" s="65">
        <v>173592</v>
      </c>
      <c r="L531" s="65" t="s">
        <v>554</v>
      </c>
      <c r="M531" s="65" t="s">
        <v>27</v>
      </c>
      <c r="N531" s="69">
        <v>42276</v>
      </c>
      <c r="O531" s="69">
        <v>42359</v>
      </c>
      <c r="R531" s="65" t="s">
        <v>28</v>
      </c>
      <c r="U531" t="s">
        <v>773</v>
      </c>
      <c r="V531" t="s">
        <v>3492</v>
      </c>
      <c r="W531" s="65" t="s">
        <v>34</v>
      </c>
      <c r="X531" s="65" t="s">
        <v>29</v>
      </c>
      <c r="Y531" s="65" t="s">
        <v>35</v>
      </c>
      <c r="AA531" s="69">
        <v>42401</v>
      </c>
      <c r="AB531" s="69">
        <v>42885</v>
      </c>
      <c r="AC531" s="69">
        <v>42885</v>
      </c>
      <c r="AD531" s="65" t="s">
        <v>23</v>
      </c>
      <c r="AE531" s="65" t="s">
        <v>24</v>
      </c>
      <c r="AH531" s="69">
        <f t="shared" si="24"/>
        <v>42401</v>
      </c>
      <c r="AI531" s="69">
        <f t="shared" si="25"/>
        <v>42885</v>
      </c>
      <c r="AM531" s="73">
        <v>246</v>
      </c>
      <c r="AO531" s="73">
        <v>246</v>
      </c>
      <c r="BC531" s="73">
        <v>550</v>
      </c>
      <c r="BE531" s="73">
        <v>550</v>
      </c>
      <c r="BO531" s="185" t="s">
        <v>126</v>
      </c>
      <c r="BP531" s="185" t="s">
        <v>3794</v>
      </c>
      <c r="BQ531" s="185" t="s">
        <v>3794</v>
      </c>
      <c r="BU531" s="73">
        <v>-304</v>
      </c>
      <c r="BW531" s="73">
        <v>-304</v>
      </c>
      <c r="BY531" s="185" t="s">
        <v>3794</v>
      </c>
      <c r="CJ531" t="s">
        <v>25</v>
      </c>
      <c r="CK531" t="s">
        <v>25</v>
      </c>
      <c r="CL531" t="s">
        <v>25</v>
      </c>
      <c r="CM531" t="s">
        <v>71</v>
      </c>
      <c r="CN531" t="s">
        <v>25</v>
      </c>
      <c r="CO531" t="s">
        <v>25</v>
      </c>
      <c r="CP531" t="s">
        <v>25</v>
      </c>
      <c r="CQ531" t="s">
        <v>25</v>
      </c>
      <c r="CR531" t="s">
        <v>25</v>
      </c>
      <c r="CS531" t="s">
        <v>25</v>
      </c>
      <c r="CT531" t="s">
        <v>25</v>
      </c>
      <c r="CU531" t="s">
        <v>25</v>
      </c>
      <c r="CV531" t="s">
        <v>25</v>
      </c>
      <c r="CW531" t="s">
        <v>25</v>
      </c>
      <c r="CX531" t="s">
        <v>25</v>
      </c>
      <c r="CY531" t="s">
        <v>25</v>
      </c>
      <c r="CZ531" t="s">
        <v>71</v>
      </c>
      <c r="DA531" t="s">
        <v>25</v>
      </c>
      <c r="DB531" t="s">
        <v>25</v>
      </c>
      <c r="DC531" t="s">
        <v>25</v>
      </c>
      <c r="DD531" t="s">
        <v>25</v>
      </c>
      <c r="DE531" t="s">
        <v>25</v>
      </c>
      <c r="DF531" t="s">
        <v>25</v>
      </c>
      <c r="DG531" t="s">
        <v>25</v>
      </c>
      <c r="DH531" t="s">
        <v>25</v>
      </c>
      <c r="DI531" t="s">
        <v>25</v>
      </c>
      <c r="DJ531" s="76">
        <v>9.9999997764826029E-3</v>
      </c>
      <c r="DK531" s="73">
        <v>246</v>
      </c>
      <c r="DL531" s="73">
        <v>550</v>
      </c>
      <c r="DM531" s="73">
        <v>-304</v>
      </c>
      <c r="DU531"/>
      <c r="DZ531" s="73">
        <v>663</v>
      </c>
      <c r="EA531" s="73">
        <v>0</v>
      </c>
      <c r="EB531" s="73">
        <v>663</v>
      </c>
      <c r="EC531" s="65" t="s">
        <v>126</v>
      </c>
    </row>
    <row r="532" spans="1:133" ht="12" customHeight="1" x14ac:dyDescent="0.2">
      <c r="A532" t="s">
        <v>2937</v>
      </c>
      <c r="B532" t="s">
        <v>2946</v>
      </c>
      <c r="C532" t="str">
        <f t="shared" si="26"/>
        <v>Full</v>
      </c>
      <c r="E532" s="65">
        <v>6068</v>
      </c>
      <c r="F532" t="s">
        <v>2160</v>
      </c>
      <c r="G532" s="71" t="s">
        <v>3943</v>
      </c>
      <c r="H532" s="67">
        <v>8.9999996125698107E-3</v>
      </c>
      <c r="I532" s="65">
        <v>526422</v>
      </c>
      <c r="J532" s="65">
        <v>175660</v>
      </c>
      <c r="K532" s="65" t="s">
        <v>1963</v>
      </c>
      <c r="L532" s="65" t="s">
        <v>521</v>
      </c>
      <c r="M532" s="65" t="s">
        <v>27</v>
      </c>
      <c r="N532" s="69">
        <v>42264</v>
      </c>
      <c r="O532" s="69">
        <v>42320</v>
      </c>
      <c r="R532" s="65" t="s">
        <v>28</v>
      </c>
      <c r="U532" t="s">
        <v>522</v>
      </c>
      <c r="V532" t="s">
        <v>3493</v>
      </c>
      <c r="W532" s="65" t="s">
        <v>21</v>
      </c>
      <c r="X532" s="65" t="s">
        <v>21</v>
      </c>
      <c r="Y532" s="65" t="s">
        <v>69</v>
      </c>
      <c r="AD532" s="65" t="s">
        <v>23</v>
      </c>
      <c r="AE532" s="65" t="s">
        <v>24</v>
      </c>
      <c r="AX532" s="73">
        <v>90</v>
      </c>
      <c r="AY532" s="73">
        <v>90</v>
      </c>
      <c r="BI532" s="73">
        <v>90</v>
      </c>
      <c r="BK532" s="73">
        <v>90</v>
      </c>
      <c r="BO532" s="185" t="s">
        <v>3794</v>
      </c>
      <c r="BP532" s="185" t="s">
        <v>126</v>
      </c>
      <c r="BQ532" s="185" t="s">
        <v>126</v>
      </c>
      <c r="BW532" s="73"/>
      <c r="BY532" s="185" t="s">
        <v>3794</v>
      </c>
      <c r="CB532" s="73">
        <v>-90</v>
      </c>
      <c r="CD532" s="73">
        <v>-90</v>
      </c>
      <c r="CE532" s="65" t="s">
        <v>126</v>
      </c>
      <c r="CH532" s="73">
        <v>90</v>
      </c>
      <c r="CI532" s="73">
        <v>90</v>
      </c>
      <c r="CJ532" t="s">
        <v>25</v>
      </c>
      <c r="CK532" t="s">
        <v>25</v>
      </c>
      <c r="CL532" t="s">
        <v>25</v>
      </c>
      <c r="CM532" t="s">
        <v>25</v>
      </c>
      <c r="CN532" t="s">
        <v>25</v>
      </c>
      <c r="CO532" t="s">
        <v>25</v>
      </c>
      <c r="CP532" t="s">
        <v>25</v>
      </c>
      <c r="CQ532" t="s">
        <v>25</v>
      </c>
      <c r="CR532" t="s">
        <v>25</v>
      </c>
      <c r="CS532" t="s">
        <v>25</v>
      </c>
      <c r="CT532" t="s">
        <v>25</v>
      </c>
      <c r="CU532" t="s">
        <v>25</v>
      </c>
      <c r="CV532" t="s">
        <v>44</v>
      </c>
      <c r="CW532" t="s">
        <v>25</v>
      </c>
      <c r="CX532" t="s">
        <v>25</v>
      </c>
      <c r="CY532" t="s">
        <v>25</v>
      </c>
      <c r="CZ532" t="s">
        <v>25</v>
      </c>
      <c r="DA532" t="s">
        <v>25</v>
      </c>
      <c r="DB532" t="s">
        <v>25</v>
      </c>
      <c r="DC532" t="s">
        <v>25</v>
      </c>
      <c r="DD532" t="s">
        <v>25</v>
      </c>
      <c r="DE532" t="s">
        <v>32</v>
      </c>
      <c r="DF532" t="s">
        <v>25</v>
      </c>
      <c r="DG532" t="s">
        <v>25</v>
      </c>
      <c r="DH532" t="s">
        <v>25</v>
      </c>
      <c r="DI532" t="s">
        <v>25</v>
      </c>
      <c r="DJ532" s="76">
        <v>8.9999996125698107E-3</v>
      </c>
      <c r="DK532" s="73">
        <v>90</v>
      </c>
      <c r="DL532" s="73">
        <v>90</v>
      </c>
      <c r="DM532" s="73">
        <v>0</v>
      </c>
      <c r="DN532" s="65" t="s">
        <v>126</v>
      </c>
      <c r="DS532" s="65" t="s">
        <v>126</v>
      </c>
      <c r="DT532" t="s">
        <v>2910</v>
      </c>
      <c r="DU532"/>
      <c r="DZ532" s="73">
        <v>0</v>
      </c>
      <c r="EA532" s="73">
        <v>0</v>
      </c>
      <c r="EB532" s="73">
        <v>0</v>
      </c>
    </row>
    <row r="533" spans="1:133" ht="12" customHeight="1" x14ac:dyDescent="0.2">
      <c r="A533" t="s">
        <v>2937</v>
      </c>
      <c r="B533" t="s">
        <v>2946</v>
      </c>
      <c r="C533" t="str">
        <f t="shared" si="26"/>
        <v>Full</v>
      </c>
      <c r="E533" s="65">
        <v>6072</v>
      </c>
      <c r="F533" t="s">
        <v>2164</v>
      </c>
      <c r="G533" s="71" t="s">
        <v>3952</v>
      </c>
      <c r="H533" s="67">
        <v>1.7000000923872001E-2</v>
      </c>
      <c r="I533" s="65">
        <v>528353</v>
      </c>
      <c r="J533" s="65">
        <v>172928</v>
      </c>
      <c r="L533" s="65" t="s">
        <v>547</v>
      </c>
      <c r="M533" s="65" t="s">
        <v>27</v>
      </c>
      <c r="N533" s="69">
        <v>42327</v>
      </c>
      <c r="O533" s="69">
        <v>42381</v>
      </c>
      <c r="R533" s="65" t="s">
        <v>28</v>
      </c>
      <c r="U533" t="s">
        <v>548</v>
      </c>
      <c r="V533" t="s">
        <v>3494</v>
      </c>
      <c r="W533" s="65" t="s">
        <v>34</v>
      </c>
      <c r="X533" s="65" t="s">
        <v>29</v>
      </c>
      <c r="Y533" s="65" t="s">
        <v>69</v>
      </c>
      <c r="AD533" s="65" t="s">
        <v>23</v>
      </c>
      <c r="AE533" s="65" t="s">
        <v>24</v>
      </c>
      <c r="AJ533" s="73">
        <v>108</v>
      </c>
      <c r="AO533" s="73">
        <v>108</v>
      </c>
      <c r="AZ533" s="73">
        <v>106</v>
      </c>
      <c r="BE533" s="73">
        <v>106</v>
      </c>
      <c r="BJ533" s="73">
        <v>49</v>
      </c>
      <c r="BK533" s="73">
        <v>49</v>
      </c>
      <c r="BO533" s="185" t="s">
        <v>126</v>
      </c>
      <c r="BP533" s="185" t="s">
        <v>126</v>
      </c>
      <c r="BQ533" s="185" t="s">
        <v>3794</v>
      </c>
      <c r="BR533" s="73">
        <v>2</v>
      </c>
      <c r="BW533" s="73">
        <v>2</v>
      </c>
      <c r="BY533" s="185" t="s">
        <v>3794</v>
      </c>
      <c r="CC533" s="73">
        <v>-49</v>
      </c>
      <c r="CD533" s="73">
        <v>-49</v>
      </c>
      <c r="CE533" s="65" t="s">
        <v>126</v>
      </c>
      <c r="CJ533" t="s">
        <v>31</v>
      </c>
      <c r="CK533" t="s">
        <v>25</v>
      </c>
      <c r="CL533" t="s">
        <v>25</v>
      </c>
      <c r="CM533" t="s">
        <v>25</v>
      </c>
      <c r="CN533" t="s">
        <v>25</v>
      </c>
      <c r="CO533" t="s">
        <v>25</v>
      </c>
      <c r="CP533" t="s">
        <v>25</v>
      </c>
      <c r="CQ533" t="s">
        <v>25</v>
      </c>
      <c r="CR533" t="s">
        <v>25</v>
      </c>
      <c r="CS533" t="s">
        <v>25</v>
      </c>
      <c r="CT533" t="s">
        <v>25</v>
      </c>
      <c r="CU533" t="s">
        <v>25</v>
      </c>
      <c r="CV533" t="s">
        <v>25</v>
      </c>
      <c r="CW533" t="s">
        <v>31</v>
      </c>
      <c r="CX533" t="s">
        <v>25</v>
      </c>
      <c r="CY533" t="s">
        <v>25</v>
      </c>
      <c r="CZ533" t="s">
        <v>25</v>
      </c>
      <c r="DA533" t="s">
        <v>25</v>
      </c>
      <c r="DB533" t="s">
        <v>25</v>
      </c>
      <c r="DC533" t="s">
        <v>25</v>
      </c>
      <c r="DD533" t="s">
        <v>25</v>
      </c>
      <c r="DE533" t="s">
        <v>25</v>
      </c>
      <c r="DF533" t="s">
        <v>48</v>
      </c>
      <c r="DG533" t="s">
        <v>25</v>
      </c>
      <c r="DH533" t="s">
        <v>25</v>
      </c>
      <c r="DI533" t="s">
        <v>25</v>
      </c>
      <c r="DJ533" s="76">
        <v>1.3000000733882191E-2</v>
      </c>
      <c r="DK533" s="73">
        <v>108</v>
      </c>
      <c r="DL533" s="73">
        <v>155</v>
      </c>
      <c r="DM533" s="73">
        <v>-47</v>
      </c>
      <c r="DU533"/>
      <c r="DZ533" s="73">
        <v>54</v>
      </c>
      <c r="EA533" s="73">
        <v>0</v>
      </c>
      <c r="EB533" s="73">
        <v>54</v>
      </c>
      <c r="EC533" s="65" t="s">
        <v>126</v>
      </c>
    </row>
    <row r="534" spans="1:133" ht="12" customHeight="1" x14ac:dyDescent="0.2">
      <c r="A534" t="s">
        <v>2936</v>
      </c>
      <c r="B534" t="s">
        <v>2946</v>
      </c>
      <c r="C534" t="str">
        <f t="shared" si="26"/>
        <v>Full</v>
      </c>
      <c r="D534" t="s">
        <v>2942</v>
      </c>
      <c r="E534" s="65">
        <v>6073</v>
      </c>
      <c r="F534" t="s">
        <v>2165</v>
      </c>
      <c r="G534" s="71" t="s">
        <v>3943</v>
      </c>
      <c r="H534" s="67">
        <v>8.9999996125698107E-3</v>
      </c>
      <c r="I534" s="65">
        <v>527023</v>
      </c>
      <c r="J534" s="65">
        <v>176159</v>
      </c>
      <c r="L534" s="65" t="s">
        <v>516</v>
      </c>
      <c r="M534" s="65" t="s">
        <v>27</v>
      </c>
      <c r="N534" s="69">
        <v>42284</v>
      </c>
      <c r="O534" s="69">
        <v>42524</v>
      </c>
      <c r="R534" s="65" t="s">
        <v>28</v>
      </c>
      <c r="U534" t="s">
        <v>517</v>
      </c>
      <c r="V534" t="s">
        <v>3495</v>
      </c>
      <c r="W534" s="65" t="s">
        <v>34</v>
      </c>
      <c r="X534" s="65" t="s">
        <v>29</v>
      </c>
      <c r="Y534" s="65" t="s">
        <v>22</v>
      </c>
      <c r="AA534" s="69">
        <v>42825</v>
      </c>
      <c r="AB534" s="69">
        <v>43190</v>
      </c>
      <c r="AD534" s="65" t="s">
        <v>23</v>
      </c>
      <c r="AE534" s="65" t="s">
        <v>24</v>
      </c>
      <c r="AH534" s="69">
        <f t="shared" si="24"/>
        <v>42825</v>
      </c>
      <c r="AI534" s="69">
        <f t="shared" si="25"/>
        <v>43190</v>
      </c>
      <c r="AL534" s="73">
        <v>46</v>
      </c>
      <c r="AO534" s="73">
        <v>46</v>
      </c>
      <c r="BB534" s="73">
        <v>144</v>
      </c>
      <c r="BE534" s="73">
        <v>144</v>
      </c>
      <c r="BO534" s="185" t="s">
        <v>126</v>
      </c>
      <c r="BP534" s="185" t="s">
        <v>3794</v>
      </c>
      <c r="BQ534" s="185" t="s">
        <v>3794</v>
      </c>
      <c r="BT534" s="73">
        <v>-98</v>
      </c>
      <c r="BW534" s="73">
        <v>-98</v>
      </c>
      <c r="BY534" s="185" t="s">
        <v>3794</v>
      </c>
      <c r="CJ534" t="s">
        <v>25</v>
      </c>
      <c r="CK534" t="s">
        <v>25</v>
      </c>
      <c r="CL534" t="s">
        <v>38</v>
      </c>
      <c r="CM534" t="s">
        <v>25</v>
      </c>
      <c r="CN534" t="s">
        <v>25</v>
      </c>
      <c r="CO534" t="s">
        <v>25</v>
      </c>
      <c r="CP534" t="s">
        <v>25</v>
      </c>
      <c r="CQ534" t="s">
        <v>25</v>
      </c>
      <c r="CR534" t="s">
        <v>25</v>
      </c>
      <c r="CS534" t="s">
        <v>25</v>
      </c>
      <c r="CT534" t="s">
        <v>25</v>
      </c>
      <c r="CU534" t="s">
        <v>25</v>
      </c>
      <c r="CV534" t="s">
        <v>25</v>
      </c>
      <c r="CW534" t="s">
        <v>25</v>
      </c>
      <c r="CX534" t="s">
        <v>25</v>
      </c>
      <c r="CY534" t="s">
        <v>38</v>
      </c>
      <c r="CZ534" t="s">
        <v>25</v>
      </c>
      <c r="DA534" t="s">
        <v>25</v>
      </c>
      <c r="DB534" t="s">
        <v>25</v>
      </c>
      <c r="DC534" t="s">
        <v>25</v>
      </c>
      <c r="DD534" t="s">
        <v>25</v>
      </c>
      <c r="DE534" t="s">
        <v>25</v>
      </c>
      <c r="DF534" t="s">
        <v>25</v>
      </c>
      <c r="DG534" t="s">
        <v>25</v>
      </c>
      <c r="DH534" t="s">
        <v>25</v>
      </c>
      <c r="DI534" t="s">
        <v>25</v>
      </c>
      <c r="DJ534" s="76">
        <v>2.9999993275851011E-3</v>
      </c>
      <c r="DK534" s="73">
        <v>46</v>
      </c>
      <c r="DL534" s="73">
        <v>144</v>
      </c>
      <c r="DM534" s="73">
        <v>-98</v>
      </c>
      <c r="DU534"/>
      <c r="DZ534" s="73">
        <v>331</v>
      </c>
      <c r="EA534" s="73">
        <v>57</v>
      </c>
      <c r="EB534" s="73">
        <v>274</v>
      </c>
      <c r="EC534" s="65" t="s">
        <v>126</v>
      </c>
    </row>
    <row r="535" spans="1:133" ht="12" customHeight="1" x14ac:dyDescent="0.2">
      <c r="A535" t="s">
        <v>2935</v>
      </c>
      <c r="B535" t="s">
        <v>2946</v>
      </c>
      <c r="C535" t="str">
        <f t="shared" si="26"/>
        <v>Full</v>
      </c>
      <c r="E535" s="65">
        <v>6082</v>
      </c>
      <c r="F535" t="s">
        <v>2169</v>
      </c>
      <c r="G535" s="71" t="s">
        <v>149</v>
      </c>
      <c r="H535" s="67">
        <v>3.4000001847744002E-2</v>
      </c>
      <c r="I535" s="65">
        <v>529010</v>
      </c>
      <c r="J535" s="65">
        <v>174056</v>
      </c>
      <c r="L535" s="65" t="s">
        <v>560</v>
      </c>
      <c r="M535" s="65" t="s">
        <v>27</v>
      </c>
      <c r="N535" s="69">
        <v>42298</v>
      </c>
      <c r="O535" s="69">
        <v>42433</v>
      </c>
      <c r="R535" s="65" t="s">
        <v>28</v>
      </c>
      <c r="U535" t="s">
        <v>561</v>
      </c>
      <c r="V535" t="s">
        <v>3496</v>
      </c>
      <c r="W535" s="65" t="s">
        <v>29</v>
      </c>
      <c r="X535" s="65" t="s">
        <v>29</v>
      </c>
      <c r="Y535" s="65" t="s">
        <v>30</v>
      </c>
      <c r="AA535" s="69">
        <v>43178</v>
      </c>
      <c r="AD535" s="65" t="s">
        <v>23</v>
      </c>
      <c r="AE535" s="65" t="s">
        <v>24</v>
      </c>
      <c r="AH535" s="69">
        <f t="shared" si="24"/>
        <v>43178</v>
      </c>
      <c r="BO535" s="185" t="s">
        <v>3794</v>
      </c>
      <c r="BP535" s="185" t="s">
        <v>3794</v>
      </c>
      <c r="BQ535" s="185" t="s">
        <v>3794</v>
      </c>
      <c r="BW535" s="73"/>
      <c r="BY535" s="185" t="s">
        <v>3794</v>
      </c>
      <c r="CJ535" t="s">
        <v>25</v>
      </c>
      <c r="CK535" t="s">
        <v>25</v>
      </c>
      <c r="CL535" t="s">
        <v>25</v>
      </c>
      <c r="CM535" t="s">
        <v>25</v>
      </c>
      <c r="CN535" t="s">
        <v>25</v>
      </c>
      <c r="CO535" t="s">
        <v>25</v>
      </c>
      <c r="CP535" t="s">
        <v>25</v>
      </c>
      <c r="CQ535" t="s">
        <v>25</v>
      </c>
      <c r="CR535" t="s">
        <v>25</v>
      </c>
      <c r="CS535" t="s">
        <v>25</v>
      </c>
      <c r="CT535" t="s">
        <v>25</v>
      </c>
      <c r="CU535" t="s">
        <v>25</v>
      </c>
      <c r="CV535" t="s">
        <v>25</v>
      </c>
      <c r="CW535" t="s">
        <v>25</v>
      </c>
      <c r="CX535" t="s">
        <v>25</v>
      </c>
      <c r="CY535" t="s">
        <v>25</v>
      </c>
      <c r="CZ535" t="s">
        <v>25</v>
      </c>
      <c r="DA535" t="s">
        <v>25</v>
      </c>
      <c r="DB535" t="s">
        <v>25</v>
      </c>
      <c r="DC535" t="s">
        <v>25</v>
      </c>
      <c r="DD535" t="s">
        <v>25</v>
      </c>
      <c r="DE535" t="s">
        <v>25</v>
      </c>
      <c r="DF535" t="s">
        <v>25</v>
      </c>
      <c r="DG535" t="s">
        <v>25</v>
      </c>
      <c r="DH535" t="s">
        <v>25</v>
      </c>
      <c r="DI535" t="s">
        <v>25</v>
      </c>
      <c r="DJ535" s="76">
        <v>0</v>
      </c>
      <c r="DK535" s="73">
        <v>0</v>
      </c>
      <c r="DL535" s="73">
        <v>68</v>
      </c>
      <c r="DM535" s="73">
        <v>-68</v>
      </c>
      <c r="DU535"/>
      <c r="DZ535" s="73">
        <v>470</v>
      </c>
      <c r="EA535" s="73">
        <v>0</v>
      </c>
      <c r="EB535" s="73">
        <v>470</v>
      </c>
      <c r="EC535" s="65" t="s">
        <v>126</v>
      </c>
    </row>
    <row r="536" spans="1:133" ht="12" customHeight="1" x14ac:dyDescent="0.2">
      <c r="A536" t="s">
        <v>2936</v>
      </c>
      <c r="B536" t="s">
        <v>2946</v>
      </c>
      <c r="C536" t="str">
        <f t="shared" si="26"/>
        <v>Full</v>
      </c>
      <c r="D536" t="s">
        <v>2942</v>
      </c>
      <c r="E536" s="65">
        <v>6087</v>
      </c>
      <c r="F536" t="s">
        <v>2170</v>
      </c>
      <c r="G536" s="71" t="s">
        <v>3946</v>
      </c>
      <c r="H536" s="67">
        <v>9.9999997764825804E-3</v>
      </c>
      <c r="I536" s="65">
        <v>523892</v>
      </c>
      <c r="J536" s="65">
        <v>175481</v>
      </c>
      <c r="L536" s="65" t="s">
        <v>562</v>
      </c>
      <c r="M536" s="65" t="s">
        <v>27</v>
      </c>
      <c r="N536" s="69">
        <v>42299</v>
      </c>
      <c r="O536" s="69">
        <v>42354</v>
      </c>
      <c r="R536" s="65" t="s">
        <v>28</v>
      </c>
      <c r="U536" t="s">
        <v>778</v>
      </c>
      <c r="V536" t="s">
        <v>3497</v>
      </c>
      <c r="W536" s="65" t="s">
        <v>34</v>
      </c>
      <c r="X536" s="65" t="s">
        <v>29</v>
      </c>
      <c r="Y536" s="65" t="s">
        <v>22</v>
      </c>
      <c r="AA536" s="69">
        <v>42826</v>
      </c>
      <c r="AB536" s="69">
        <v>43190</v>
      </c>
      <c r="AD536" s="65" t="s">
        <v>23</v>
      </c>
      <c r="AE536" s="65" t="s">
        <v>24</v>
      </c>
      <c r="AH536" s="69">
        <f t="shared" si="24"/>
        <v>42826</v>
      </c>
      <c r="AI536" s="69">
        <f t="shared" si="25"/>
        <v>43190</v>
      </c>
      <c r="AZ536" s="73">
        <v>76</v>
      </c>
      <c r="BE536" s="73">
        <v>76</v>
      </c>
      <c r="BO536" s="185" t="s">
        <v>126</v>
      </c>
      <c r="BP536" s="185" t="s">
        <v>3794</v>
      </c>
      <c r="BQ536" s="185" t="s">
        <v>3794</v>
      </c>
      <c r="BR536" s="73">
        <v>-76</v>
      </c>
      <c r="BW536" s="73">
        <v>-76</v>
      </c>
      <c r="BY536" s="185" t="s">
        <v>3794</v>
      </c>
      <c r="CJ536" t="s">
        <v>25</v>
      </c>
      <c r="CK536" t="s">
        <v>25</v>
      </c>
      <c r="CL536" t="s">
        <v>25</v>
      </c>
      <c r="CM536" t="s">
        <v>25</v>
      </c>
      <c r="CN536" t="s">
        <v>25</v>
      </c>
      <c r="CO536" t="s">
        <v>25</v>
      </c>
      <c r="CP536" t="s">
        <v>25</v>
      </c>
      <c r="CQ536" t="s">
        <v>25</v>
      </c>
      <c r="CR536" t="s">
        <v>25</v>
      </c>
      <c r="CS536" t="s">
        <v>25</v>
      </c>
      <c r="CT536" t="s">
        <v>25</v>
      </c>
      <c r="CU536" t="s">
        <v>25</v>
      </c>
      <c r="CV536" t="s">
        <v>25</v>
      </c>
      <c r="CW536" t="s">
        <v>47</v>
      </c>
      <c r="CX536" t="s">
        <v>25</v>
      </c>
      <c r="CY536" t="s">
        <v>25</v>
      </c>
      <c r="CZ536" t="s">
        <v>25</v>
      </c>
      <c r="DA536" t="s">
        <v>25</v>
      </c>
      <c r="DB536" t="s">
        <v>25</v>
      </c>
      <c r="DC536" t="s">
        <v>25</v>
      </c>
      <c r="DD536" t="s">
        <v>25</v>
      </c>
      <c r="DE536" t="s">
        <v>25</v>
      </c>
      <c r="DF536" t="s">
        <v>25</v>
      </c>
      <c r="DG536" t="s">
        <v>25</v>
      </c>
      <c r="DH536" t="s">
        <v>25</v>
      </c>
      <c r="DI536" t="s">
        <v>25</v>
      </c>
      <c r="DJ536" s="76">
        <v>0</v>
      </c>
      <c r="DK536" s="73">
        <v>0</v>
      </c>
      <c r="DL536" s="73">
        <v>76</v>
      </c>
      <c r="DM536" s="73">
        <v>-76</v>
      </c>
      <c r="DU536"/>
      <c r="DZ536" s="73">
        <v>76</v>
      </c>
      <c r="EA536" s="73">
        <v>0</v>
      </c>
      <c r="EB536" s="73">
        <v>76</v>
      </c>
      <c r="EC536" s="65" t="s">
        <v>126</v>
      </c>
    </row>
    <row r="537" spans="1:133" ht="12" customHeight="1" x14ac:dyDescent="0.2">
      <c r="A537" t="s">
        <v>2938</v>
      </c>
      <c r="B537" t="s">
        <v>2946</v>
      </c>
      <c r="C537" t="str">
        <f t="shared" si="26"/>
        <v>Full</v>
      </c>
      <c r="E537" s="65">
        <v>6088</v>
      </c>
      <c r="F537" t="s">
        <v>2171</v>
      </c>
      <c r="G537" s="71" t="s">
        <v>150</v>
      </c>
      <c r="H537" s="67">
        <v>1.30000002682209E-2</v>
      </c>
      <c r="I537" s="65">
        <v>527736</v>
      </c>
      <c r="J537" s="65">
        <v>172067</v>
      </c>
      <c r="L537" s="65" t="s">
        <v>2172</v>
      </c>
      <c r="M537" s="65" t="s">
        <v>172</v>
      </c>
      <c r="N537" s="69">
        <v>42997</v>
      </c>
      <c r="U537" t="s">
        <v>2173</v>
      </c>
      <c r="V537" t="s">
        <v>3498</v>
      </c>
      <c r="W537" s="65" t="s">
        <v>34</v>
      </c>
      <c r="X537" s="65" t="s">
        <v>29</v>
      </c>
      <c r="Y537" s="65" t="s">
        <v>69</v>
      </c>
      <c r="AD537" s="65" t="s">
        <v>173</v>
      </c>
      <c r="AE537" s="65" t="s">
        <v>24</v>
      </c>
      <c r="AJ537" s="73">
        <v>22</v>
      </c>
      <c r="AK537" s="73">
        <v>35</v>
      </c>
      <c r="AO537" s="73">
        <v>57</v>
      </c>
      <c r="BD537" s="73">
        <v>112</v>
      </c>
      <c r="BE537" s="73">
        <v>112</v>
      </c>
      <c r="BO537" s="185" t="s">
        <v>126</v>
      </c>
      <c r="BP537" s="185" t="s">
        <v>3794</v>
      </c>
      <c r="BQ537" s="185" t="s">
        <v>3794</v>
      </c>
      <c r="BR537" s="73">
        <v>22</v>
      </c>
      <c r="BS537" s="73">
        <v>35</v>
      </c>
      <c r="BV537" s="73">
        <v>-112</v>
      </c>
      <c r="BW537" s="73">
        <v>-55</v>
      </c>
      <c r="BY537" s="185" t="s">
        <v>3794</v>
      </c>
      <c r="CJ537" t="s">
        <v>31</v>
      </c>
      <c r="CK537" t="s">
        <v>31</v>
      </c>
      <c r="CL537" t="s">
        <v>25</v>
      </c>
      <c r="CM537" t="s">
        <v>25</v>
      </c>
      <c r="CN537" t="s">
        <v>25</v>
      </c>
      <c r="CO537" t="s">
        <v>25</v>
      </c>
      <c r="CP537" t="s">
        <v>25</v>
      </c>
      <c r="CQ537" t="s">
        <v>25</v>
      </c>
      <c r="CR537" t="s">
        <v>25</v>
      </c>
      <c r="CS537" t="s">
        <v>25</v>
      </c>
      <c r="CT537" t="s">
        <v>25</v>
      </c>
      <c r="CU537" t="s">
        <v>25</v>
      </c>
      <c r="CV537" t="s">
        <v>25</v>
      </c>
      <c r="CW537" t="s">
        <v>25</v>
      </c>
      <c r="CX537" t="s">
        <v>25</v>
      </c>
      <c r="CY537" t="s">
        <v>25</v>
      </c>
      <c r="CZ537" t="s">
        <v>25</v>
      </c>
      <c r="DA537" t="s">
        <v>65</v>
      </c>
      <c r="DB537" t="s">
        <v>25</v>
      </c>
      <c r="DC537" t="s">
        <v>25</v>
      </c>
      <c r="DD537" t="s">
        <v>25</v>
      </c>
      <c r="DE537" t="s">
        <v>25</v>
      </c>
      <c r="DF537" t="s">
        <v>25</v>
      </c>
      <c r="DG537" t="s">
        <v>25</v>
      </c>
      <c r="DH537" t="s">
        <v>25</v>
      </c>
      <c r="DI537" t="s">
        <v>25</v>
      </c>
      <c r="DJ537" s="76">
        <v>3.0000004917383194E-3</v>
      </c>
      <c r="DK537" s="73">
        <v>57</v>
      </c>
      <c r="DL537" s="73">
        <v>112</v>
      </c>
      <c r="DM537" s="73">
        <v>-55</v>
      </c>
      <c r="DU537"/>
      <c r="DZ537" s="73">
        <v>174</v>
      </c>
      <c r="EA537" s="73">
        <v>0</v>
      </c>
      <c r="EB537" s="73">
        <v>174</v>
      </c>
      <c r="EC537" s="65" t="s">
        <v>126</v>
      </c>
    </row>
    <row r="538" spans="1:133" ht="12" customHeight="1" x14ac:dyDescent="0.2">
      <c r="A538" t="s">
        <v>2937</v>
      </c>
      <c r="B538" t="s">
        <v>2946</v>
      </c>
      <c r="C538" t="str">
        <f t="shared" si="26"/>
        <v>Full</v>
      </c>
      <c r="E538" s="65">
        <v>6090</v>
      </c>
      <c r="F538" t="s">
        <v>2174</v>
      </c>
      <c r="G538" s="71" t="s">
        <v>150</v>
      </c>
      <c r="H538" s="67">
        <v>1.09999999403954E-2</v>
      </c>
      <c r="I538" s="65">
        <v>526934</v>
      </c>
      <c r="J538" s="65">
        <v>171768</v>
      </c>
      <c r="L538" s="65" t="s">
        <v>557</v>
      </c>
      <c r="M538" s="65" t="s">
        <v>27</v>
      </c>
      <c r="N538" s="69">
        <v>42304</v>
      </c>
      <c r="O538" s="69">
        <v>42360</v>
      </c>
      <c r="R538" s="65" t="s">
        <v>28</v>
      </c>
      <c r="U538" t="s">
        <v>775</v>
      </c>
      <c r="V538" t="s">
        <v>3499</v>
      </c>
      <c r="W538" s="65" t="s">
        <v>34</v>
      </c>
      <c r="X538" s="65" t="s">
        <v>29</v>
      </c>
      <c r="Y538" s="65" t="s">
        <v>69</v>
      </c>
      <c r="AD538" s="65" t="s">
        <v>23</v>
      </c>
      <c r="AE538" s="65" t="s">
        <v>24</v>
      </c>
      <c r="AK538" s="73">
        <v>45</v>
      </c>
      <c r="AO538" s="73">
        <v>45</v>
      </c>
      <c r="BA538" s="73">
        <v>77</v>
      </c>
      <c r="BE538" s="73">
        <v>77</v>
      </c>
      <c r="BO538" s="185" t="s">
        <v>126</v>
      </c>
      <c r="BP538" s="185" t="s">
        <v>3794</v>
      </c>
      <c r="BQ538" s="185" t="s">
        <v>3794</v>
      </c>
      <c r="BS538" s="73">
        <v>-32</v>
      </c>
      <c r="BW538" s="73">
        <v>-32</v>
      </c>
      <c r="BY538" s="185" t="s">
        <v>3794</v>
      </c>
      <c r="CJ538" t="s">
        <v>25</v>
      </c>
      <c r="CK538" t="s">
        <v>31</v>
      </c>
      <c r="CL538" t="s">
        <v>25</v>
      </c>
      <c r="CM538" t="s">
        <v>25</v>
      </c>
      <c r="CN538" t="s">
        <v>25</v>
      </c>
      <c r="CO538" t="s">
        <v>25</v>
      </c>
      <c r="CP538" t="s">
        <v>25</v>
      </c>
      <c r="CQ538" t="s">
        <v>25</v>
      </c>
      <c r="CR538" t="s">
        <v>25</v>
      </c>
      <c r="CS538" t="s">
        <v>25</v>
      </c>
      <c r="CT538" t="s">
        <v>25</v>
      </c>
      <c r="CU538" t="s">
        <v>25</v>
      </c>
      <c r="CV538" t="s">
        <v>25</v>
      </c>
      <c r="CW538" t="s">
        <v>25</v>
      </c>
      <c r="CX538" t="s">
        <v>31</v>
      </c>
      <c r="CY538" t="s">
        <v>25</v>
      </c>
      <c r="CZ538" t="s">
        <v>25</v>
      </c>
      <c r="DA538" t="s">
        <v>25</v>
      </c>
      <c r="DB538" t="s">
        <v>25</v>
      </c>
      <c r="DC538" t="s">
        <v>25</v>
      </c>
      <c r="DD538" t="s">
        <v>25</v>
      </c>
      <c r="DE538" t="s">
        <v>25</v>
      </c>
      <c r="DF538" t="s">
        <v>25</v>
      </c>
      <c r="DG538" t="s">
        <v>25</v>
      </c>
      <c r="DH538" t="s">
        <v>25</v>
      </c>
      <c r="DI538" t="s">
        <v>25</v>
      </c>
      <c r="DJ538" s="76">
        <v>3.9999997243285604E-3</v>
      </c>
      <c r="DK538" s="73">
        <v>45</v>
      </c>
      <c r="DL538" s="73">
        <v>77</v>
      </c>
      <c r="DM538" s="73">
        <v>-32</v>
      </c>
      <c r="DU538"/>
      <c r="DZ538" s="73">
        <v>180</v>
      </c>
      <c r="EA538" s="73">
        <v>67</v>
      </c>
      <c r="EB538" s="73">
        <v>113</v>
      </c>
      <c r="EC538" s="65" t="s">
        <v>126</v>
      </c>
    </row>
    <row r="539" spans="1:133" ht="12" customHeight="1" x14ac:dyDescent="0.2">
      <c r="A539" t="s">
        <v>2937</v>
      </c>
      <c r="B539" t="s">
        <v>2946</v>
      </c>
      <c r="C539" t="str">
        <f t="shared" si="26"/>
        <v>Full</v>
      </c>
      <c r="E539" s="65">
        <v>6092</v>
      </c>
      <c r="F539" t="s">
        <v>2175</v>
      </c>
      <c r="G539" s="71" t="s">
        <v>3946</v>
      </c>
      <c r="H539" s="67">
        <v>5.2999999374151202E-2</v>
      </c>
      <c r="I539" s="65">
        <v>524111</v>
      </c>
      <c r="J539" s="65">
        <v>175594</v>
      </c>
      <c r="L539" s="65" t="s">
        <v>495</v>
      </c>
      <c r="M539" s="65" t="s">
        <v>27</v>
      </c>
      <c r="N539" s="69">
        <v>42258</v>
      </c>
      <c r="O539" s="69">
        <v>42328</v>
      </c>
      <c r="R539" s="65" t="s">
        <v>28</v>
      </c>
      <c r="U539" t="s">
        <v>755</v>
      </c>
      <c r="V539" t="s">
        <v>3500</v>
      </c>
      <c r="W539" s="65" t="s">
        <v>34</v>
      </c>
      <c r="X539" s="65" t="s">
        <v>29</v>
      </c>
      <c r="Y539" s="65" t="s">
        <v>69</v>
      </c>
      <c r="AD539" s="65" t="s">
        <v>23</v>
      </c>
      <c r="AE539" s="65" t="s">
        <v>24</v>
      </c>
      <c r="AM539" s="73">
        <v>595</v>
      </c>
      <c r="AO539" s="73">
        <v>595</v>
      </c>
      <c r="BC539" s="73">
        <v>1260</v>
      </c>
      <c r="BE539" s="73">
        <v>1260</v>
      </c>
      <c r="BO539" s="185" t="s">
        <v>126</v>
      </c>
      <c r="BP539" s="185" t="s">
        <v>3794</v>
      </c>
      <c r="BQ539" s="185" t="s">
        <v>3794</v>
      </c>
      <c r="BU539" s="73">
        <v>-665</v>
      </c>
      <c r="BW539" s="73">
        <v>-665</v>
      </c>
      <c r="BY539" s="185" t="s">
        <v>3794</v>
      </c>
      <c r="CF539" s="73">
        <v>751</v>
      </c>
      <c r="CJ539" t="s">
        <v>25</v>
      </c>
      <c r="CK539" t="s">
        <v>25</v>
      </c>
      <c r="CL539" t="s">
        <v>25</v>
      </c>
      <c r="CM539" t="s">
        <v>71</v>
      </c>
      <c r="CN539" t="s">
        <v>25</v>
      </c>
      <c r="CO539" t="s">
        <v>25</v>
      </c>
      <c r="CP539" t="s">
        <v>25</v>
      </c>
      <c r="CQ539" t="s">
        <v>25</v>
      </c>
      <c r="CR539" t="s">
        <v>25</v>
      </c>
      <c r="CS539" t="s">
        <v>25</v>
      </c>
      <c r="CT539" t="s">
        <v>63</v>
      </c>
      <c r="CU539" t="s">
        <v>25</v>
      </c>
      <c r="CV539" t="s">
        <v>25</v>
      </c>
      <c r="CW539" t="s">
        <v>25</v>
      </c>
      <c r="CX539" t="s">
        <v>25</v>
      </c>
      <c r="CY539" t="s">
        <v>25</v>
      </c>
      <c r="CZ539" t="s">
        <v>47</v>
      </c>
      <c r="DA539" t="s">
        <v>25</v>
      </c>
      <c r="DB539" t="s">
        <v>25</v>
      </c>
      <c r="DC539" t="s">
        <v>25</v>
      </c>
      <c r="DD539" t="s">
        <v>25</v>
      </c>
      <c r="DE539" t="s">
        <v>25</v>
      </c>
      <c r="DF539" t="s">
        <v>25</v>
      </c>
      <c r="DG539" t="s">
        <v>25</v>
      </c>
      <c r="DH539" t="s">
        <v>25</v>
      </c>
      <c r="DI539" t="s">
        <v>25</v>
      </c>
      <c r="DJ539" s="76">
        <v>5.2999999374151202E-2</v>
      </c>
      <c r="DK539" s="73">
        <v>1346</v>
      </c>
      <c r="DL539" s="73">
        <v>1260</v>
      </c>
      <c r="DM539" s="73">
        <v>86</v>
      </c>
      <c r="DU539"/>
      <c r="DV539" s="65" t="s">
        <v>126</v>
      </c>
      <c r="DW539" t="s">
        <v>131</v>
      </c>
      <c r="DZ539" s="73">
        <v>0</v>
      </c>
      <c r="EA539" s="73">
        <v>0</v>
      </c>
      <c r="EB539" s="73">
        <v>0</v>
      </c>
    </row>
    <row r="540" spans="1:133" ht="12" customHeight="1" x14ac:dyDescent="0.2">
      <c r="A540" t="s">
        <v>2937</v>
      </c>
      <c r="B540" t="s">
        <v>2946</v>
      </c>
      <c r="C540" t="str">
        <f t="shared" si="26"/>
        <v>Full</v>
      </c>
      <c r="E540" s="65">
        <v>6098</v>
      </c>
      <c r="F540" t="s">
        <v>2176</v>
      </c>
      <c r="G540" s="71" t="s">
        <v>3946</v>
      </c>
      <c r="H540" s="67">
        <v>1.09999999403954E-2</v>
      </c>
      <c r="I540" s="65">
        <v>523682</v>
      </c>
      <c r="J540" s="65">
        <v>175813</v>
      </c>
      <c r="L540" s="65" t="s">
        <v>551</v>
      </c>
      <c r="M540" s="65" t="s">
        <v>27</v>
      </c>
      <c r="N540" s="69">
        <v>42305</v>
      </c>
      <c r="O540" s="69">
        <v>42360</v>
      </c>
      <c r="R540" s="65" t="s">
        <v>28</v>
      </c>
      <c r="U540" t="s">
        <v>552</v>
      </c>
      <c r="V540" t="s">
        <v>3501</v>
      </c>
      <c r="W540" s="65" t="s">
        <v>21</v>
      </c>
      <c r="X540" s="65" t="s">
        <v>21</v>
      </c>
      <c r="Y540" s="65" t="s">
        <v>69</v>
      </c>
      <c r="AD540" s="65" t="s">
        <v>23</v>
      </c>
      <c r="AE540" s="65" t="s">
        <v>24</v>
      </c>
      <c r="AK540" s="73">
        <v>49</v>
      </c>
      <c r="AO540" s="73">
        <v>49</v>
      </c>
      <c r="AZ540" s="73">
        <v>49</v>
      </c>
      <c r="BE540" s="73">
        <v>49</v>
      </c>
      <c r="BO540" s="185" t="s">
        <v>126</v>
      </c>
      <c r="BP540" s="185" t="s">
        <v>3794</v>
      </c>
      <c r="BQ540" s="185" t="s">
        <v>3794</v>
      </c>
      <c r="BR540" s="73">
        <v>-49</v>
      </c>
      <c r="BS540" s="73">
        <v>49</v>
      </c>
      <c r="BW540" s="73"/>
      <c r="BY540" s="185" t="s">
        <v>3794</v>
      </c>
      <c r="CJ540" t="s">
        <v>25</v>
      </c>
      <c r="CK540" t="s">
        <v>64</v>
      </c>
      <c r="CL540" t="s">
        <v>25</v>
      </c>
      <c r="CM540" t="s">
        <v>25</v>
      </c>
      <c r="CN540" t="s">
        <v>25</v>
      </c>
      <c r="CO540" t="s">
        <v>25</v>
      </c>
      <c r="CP540" t="s">
        <v>25</v>
      </c>
      <c r="CQ540" t="s">
        <v>25</v>
      </c>
      <c r="CR540" t="s">
        <v>25</v>
      </c>
      <c r="CS540" t="s">
        <v>25</v>
      </c>
      <c r="CT540" t="s">
        <v>25</v>
      </c>
      <c r="CU540" t="s">
        <v>25</v>
      </c>
      <c r="CV540" t="s">
        <v>25</v>
      </c>
      <c r="CW540" t="s">
        <v>31</v>
      </c>
      <c r="CX540" t="s">
        <v>25</v>
      </c>
      <c r="CY540" t="s">
        <v>25</v>
      </c>
      <c r="CZ540" t="s">
        <v>25</v>
      </c>
      <c r="DA540" t="s">
        <v>25</v>
      </c>
      <c r="DB540" t="s">
        <v>25</v>
      </c>
      <c r="DC540" t="s">
        <v>25</v>
      </c>
      <c r="DD540" t="s">
        <v>25</v>
      </c>
      <c r="DE540" t="s">
        <v>25</v>
      </c>
      <c r="DF540" t="s">
        <v>25</v>
      </c>
      <c r="DG540" t="s">
        <v>25</v>
      </c>
      <c r="DH540" t="s">
        <v>25</v>
      </c>
      <c r="DI540" t="s">
        <v>25</v>
      </c>
      <c r="DJ540" s="76">
        <v>1.09999999403954E-2</v>
      </c>
      <c r="DK540" s="73">
        <v>49</v>
      </c>
      <c r="DL540" s="73">
        <v>49</v>
      </c>
      <c r="DM540" s="73">
        <v>0</v>
      </c>
      <c r="DU540"/>
      <c r="DZ540" s="73">
        <v>0</v>
      </c>
      <c r="EA540" s="73">
        <v>0</v>
      </c>
      <c r="EB540" s="73">
        <v>0</v>
      </c>
    </row>
    <row r="541" spans="1:133" ht="12" customHeight="1" x14ac:dyDescent="0.2">
      <c r="A541" t="s">
        <v>2935</v>
      </c>
      <c r="B541" t="s">
        <v>2946</v>
      </c>
      <c r="C541" t="str">
        <f t="shared" si="26"/>
        <v>Full</v>
      </c>
      <c r="E541" s="65">
        <v>6112</v>
      </c>
      <c r="F541" t="s">
        <v>2177</v>
      </c>
      <c r="G541" s="71" t="s">
        <v>2904</v>
      </c>
      <c r="H541" s="67">
        <v>1.7000000923872001E-2</v>
      </c>
      <c r="I541" s="65">
        <v>525940</v>
      </c>
      <c r="J541" s="65">
        <v>173410</v>
      </c>
      <c r="L541" s="65" t="s">
        <v>2178</v>
      </c>
      <c r="M541" s="65" t="s">
        <v>27</v>
      </c>
      <c r="N541" s="69">
        <v>43119</v>
      </c>
      <c r="O541" s="69">
        <v>43175</v>
      </c>
      <c r="P541" s="65" t="s">
        <v>126</v>
      </c>
      <c r="R541" s="65" t="s">
        <v>28</v>
      </c>
      <c r="U541" t="s">
        <v>2179</v>
      </c>
      <c r="V541" t="s">
        <v>3502</v>
      </c>
      <c r="W541" s="65" t="s">
        <v>34</v>
      </c>
      <c r="X541" s="65" t="s">
        <v>29</v>
      </c>
      <c r="Y541" s="65" t="s">
        <v>30</v>
      </c>
      <c r="AA541" s="69">
        <v>43190</v>
      </c>
      <c r="AD541" s="65" t="s">
        <v>23</v>
      </c>
      <c r="AE541" s="65" t="s">
        <v>24</v>
      </c>
      <c r="AH541" s="69">
        <f t="shared" si="24"/>
        <v>43190</v>
      </c>
      <c r="AJ541" s="73">
        <v>142</v>
      </c>
      <c r="AO541" s="73">
        <v>142</v>
      </c>
      <c r="AZ541" s="73">
        <v>441</v>
      </c>
      <c r="BE541" s="73">
        <v>441</v>
      </c>
      <c r="BO541" s="185" t="s">
        <v>126</v>
      </c>
      <c r="BP541" s="185" t="s">
        <v>3794</v>
      </c>
      <c r="BQ541" s="185" t="s">
        <v>3794</v>
      </c>
      <c r="BR541" s="73">
        <v>-299</v>
      </c>
      <c r="BW541" s="73">
        <v>-299</v>
      </c>
      <c r="BY541" s="185" t="s">
        <v>3794</v>
      </c>
      <c r="CJ541" t="s">
        <v>31</v>
      </c>
      <c r="CK541" t="s">
        <v>25</v>
      </c>
      <c r="CL541" t="s">
        <v>25</v>
      </c>
      <c r="CM541" t="s">
        <v>25</v>
      </c>
      <c r="CN541" t="s">
        <v>25</v>
      </c>
      <c r="CO541" t="s">
        <v>25</v>
      </c>
      <c r="CP541" t="s">
        <v>25</v>
      </c>
      <c r="CQ541" t="s">
        <v>25</v>
      </c>
      <c r="CR541" t="s">
        <v>25</v>
      </c>
      <c r="CS541" t="s">
        <v>25</v>
      </c>
      <c r="CT541" t="s">
        <v>25</v>
      </c>
      <c r="CU541" t="s">
        <v>25</v>
      </c>
      <c r="CV541" t="s">
        <v>25</v>
      </c>
      <c r="CW541" t="s">
        <v>47</v>
      </c>
      <c r="CX541" t="s">
        <v>25</v>
      </c>
      <c r="CY541" t="s">
        <v>25</v>
      </c>
      <c r="CZ541" t="s">
        <v>25</v>
      </c>
      <c r="DA541" t="s">
        <v>25</v>
      </c>
      <c r="DB541" t="s">
        <v>25</v>
      </c>
      <c r="DC541" t="s">
        <v>25</v>
      </c>
      <c r="DD541" t="s">
        <v>25</v>
      </c>
      <c r="DE541" t="s">
        <v>25</v>
      </c>
      <c r="DF541" t="s">
        <v>25</v>
      </c>
      <c r="DG541" t="s">
        <v>25</v>
      </c>
      <c r="DH541" t="s">
        <v>25</v>
      </c>
      <c r="DI541" t="s">
        <v>25</v>
      </c>
      <c r="DJ541" s="76">
        <v>4.0000011213124007E-3</v>
      </c>
      <c r="DK541" s="73">
        <v>142</v>
      </c>
      <c r="DL541" s="73">
        <v>441</v>
      </c>
      <c r="DM541" s="73">
        <v>-299</v>
      </c>
      <c r="DU541"/>
      <c r="DZ541" s="73">
        <v>427</v>
      </c>
      <c r="EA541" s="73">
        <v>0</v>
      </c>
      <c r="EB541" s="73">
        <v>427</v>
      </c>
      <c r="EC541" s="65" t="s">
        <v>126</v>
      </c>
    </row>
    <row r="542" spans="1:133" ht="12" customHeight="1" x14ac:dyDescent="0.2">
      <c r="A542" t="s">
        <v>2936</v>
      </c>
      <c r="B542" t="s">
        <v>2946</v>
      </c>
      <c r="C542" t="str">
        <f t="shared" si="26"/>
        <v>Full</v>
      </c>
      <c r="D542" t="s">
        <v>2943</v>
      </c>
      <c r="E542" s="65">
        <v>6113</v>
      </c>
      <c r="F542" t="s">
        <v>2180</v>
      </c>
      <c r="G542" s="71" t="s">
        <v>2904</v>
      </c>
      <c r="H542" s="67">
        <v>1.09999999403954E-2</v>
      </c>
      <c r="I542" s="65">
        <v>525900</v>
      </c>
      <c r="J542" s="65">
        <v>173881</v>
      </c>
      <c r="L542" s="65" t="s">
        <v>651</v>
      </c>
      <c r="M542" s="65" t="s">
        <v>27</v>
      </c>
      <c r="N542" s="69">
        <v>42425</v>
      </c>
      <c r="O542" s="69">
        <v>42481</v>
      </c>
      <c r="R542" s="65" t="s">
        <v>28</v>
      </c>
      <c r="U542" t="s">
        <v>652</v>
      </c>
      <c r="V542" t="s">
        <v>3503</v>
      </c>
      <c r="W542" s="65" t="s">
        <v>34</v>
      </c>
      <c r="X542" s="65" t="s">
        <v>29</v>
      </c>
      <c r="Y542" s="65" t="s">
        <v>35</v>
      </c>
      <c r="AA542" s="69">
        <v>42613</v>
      </c>
      <c r="AB542" s="69">
        <v>42899</v>
      </c>
      <c r="AC542" s="69">
        <v>42899</v>
      </c>
      <c r="AD542" s="65" t="s">
        <v>23</v>
      </c>
      <c r="AE542" s="65" t="s">
        <v>24</v>
      </c>
      <c r="AH542" s="69">
        <f t="shared" si="24"/>
        <v>42613</v>
      </c>
      <c r="AI542" s="69">
        <f t="shared" si="25"/>
        <v>42899</v>
      </c>
      <c r="AJ542" s="73">
        <v>69</v>
      </c>
      <c r="AO542" s="73">
        <v>69</v>
      </c>
      <c r="BF542" s="73">
        <v>33</v>
      </c>
      <c r="BK542" s="73">
        <v>33</v>
      </c>
      <c r="BO542" s="185" t="s">
        <v>126</v>
      </c>
      <c r="BP542" s="185" t="s">
        <v>126</v>
      </c>
      <c r="BQ542" s="185" t="s">
        <v>3794</v>
      </c>
      <c r="BR542" s="73">
        <v>69</v>
      </c>
      <c r="BW542" s="73">
        <v>69</v>
      </c>
      <c r="BX542" s="73">
        <v>-33</v>
      </c>
      <c r="BY542" s="185" t="s">
        <v>126</v>
      </c>
      <c r="CD542" s="73">
        <v>-33</v>
      </c>
      <c r="CE542" s="65" t="s">
        <v>126</v>
      </c>
      <c r="CJ542" t="s">
        <v>31</v>
      </c>
      <c r="CK542" t="s">
        <v>25</v>
      </c>
      <c r="CL542" t="s">
        <v>25</v>
      </c>
      <c r="CM542" t="s">
        <v>25</v>
      </c>
      <c r="CN542" t="s">
        <v>25</v>
      </c>
      <c r="CO542" t="s">
        <v>25</v>
      </c>
      <c r="CP542" t="s">
        <v>25</v>
      </c>
      <c r="CQ542" t="s">
        <v>25</v>
      </c>
      <c r="CR542" t="s">
        <v>25</v>
      </c>
      <c r="CS542" t="s">
        <v>25</v>
      </c>
      <c r="CT542" t="s">
        <v>25</v>
      </c>
      <c r="CU542" t="s">
        <v>25</v>
      </c>
      <c r="CV542" t="s">
        <v>25</v>
      </c>
      <c r="CW542" t="s">
        <v>25</v>
      </c>
      <c r="CX542" t="s">
        <v>25</v>
      </c>
      <c r="CY542" t="s">
        <v>25</v>
      </c>
      <c r="CZ542" t="s">
        <v>25</v>
      </c>
      <c r="DA542" t="s">
        <v>25</v>
      </c>
      <c r="DB542" t="s">
        <v>47</v>
      </c>
      <c r="DC542" t="s">
        <v>25</v>
      </c>
      <c r="DD542" t="s">
        <v>25</v>
      </c>
      <c r="DE542" t="s">
        <v>25</v>
      </c>
      <c r="DF542" t="s">
        <v>25</v>
      </c>
      <c r="DG542" t="s">
        <v>25</v>
      </c>
      <c r="DH542" t="s">
        <v>25</v>
      </c>
      <c r="DI542" t="s">
        <v>25</v>
      </c>
      <c r="DJ542" s="76">
        <v>3.9999999571592101E-3</v>
      </c>
      <c r="DK542" s="73">
        <v>69</v>
      </c>
      <c r="DL542" s="73">
        <v>33</v>
      </c>
      <c r="DM542" s="73">
        <v>36</v>
      </c>
      <c r="DU542"/>
      <c r="DZ542" s="73">
        <v>203</v>
      </c>
      <c r="EA542" s="73">
        <v>217</v>
      </c>
      <c r="EB542" s="73">
        <v>-14</v>
      </c>
    </row>
    <row r="543" spans="1:133" ht="12" customHeight="1" x14ac:dyDescent="0.2">
      <c r="A543" t="s">
        <v>2937</v>
      </c>
      <c r="B543" t="s">
        <v>2946</v>
      </c>
      <c r="C543" t="str">
        <f t="shared" si="26"/>
        <v>Full</v>
      </c>
      <c r="E543" s="65">
        <v>6117</v>
      </c>
      <c r="F543" t="s">
        <v>2181</v>
      </c>
      <c r="G543" s="71" t="s">
        <v>3949</v>
      </c>
      <c r="H543" s="67">
        <v>4.0000001899898104E-3</v>
      </c>
      <c r="I543" s="65">
        <v>523702</v>
      </c>
      <c r="J543" s="65">
        <v>175127</v>
      </c>
      <c r="L543" s="65" t="s">
        <v>587</v>
      </c>
      <c r="M543" s="65" t="s">
        <v>27</v>
      </c>
      <c r="N543" s="69">
        <v>42355</v>
      </c>
      <c r="O543" s="69">
        <v>42412</v>
      </c>
      <c r="R543" s="65" t="s">
        <v>28</v>
      </c>
      <c r="U543" t="s">
        <v>588</v>
      </c>
      <c r="V543" t="s">
        <v>3504</v>
      </c>
      <c r="W543" s="65" t="s">
        <v>34</v>
      </c>
      <c r="X543" s="65" t="s">
        <v>29</v>
      </c>
      <c r="Y543" s="65" t="s">
        <v>59</v>
      </c>
      <c r="AD543" s="65" t="s">
        <v>23</v>
      </c>
      <c r="AE543" s="65" t="s">
        <v>24</v>
      </c>
      <c r="AL543" s="73">
        <v>26</v>
      </c>
      <c r="AO543" s="73">
        <v>26</v>
      </c>
      <c r="BB543" s="73">
        <v>62</v>
      </c>
      <c r="BE543" s="73">
        <v>62</v>
      </c>
      <c r="BO543" s="185" t="s">
        <v>126</v>
      </c>
      <c r="BP543" s="185" t="s">
        <v>3794</v>
      </c>
      <c r="BQ543" s="185" t="s">
        <v>3794</v>
      </c>
      <c r="BT543" s="73">
        <v>-36</v>
      </c>
      <c r="BW543" s="73">
        <v>-36</v>
      </c>
      <c r="BY543" s="185" t="s">
        <v>3794</v>
      </c>
      <c r="CJ543" t="s">
        <v>25</v>
      </c>
      <c r="CK543" t="s">
        <v>25</v>
      </c>
      <c r="CL543" t="s">
        <v>50</v>
      </c>
      <c r="CM543" t="s">
        <v>25</v>
      </c>
      <c r="CN543" t="s">
        <v>25</v>
      </c>
      <c r="CO543" t="s">
        <v>25</v>
      </c>
      <c r="CP543" t="s">
        <v>25</v>
      </c>
      <c r="CQ543" t="s">
        <v>25</v>
      </c>
      <c r="CR543" t="s">
        <v>25</v>
      </c>
      <c r="CS543" t="s">
        <v>25</v>
      </c>
      <c r="CT543" t="s">
        <v>25</v>
      </c>
      <c r="CU543" t="s">
        <v>25</v>
      </c>
      <c r="CV543" t="s">
        <v>25</v>
      </c>
      <c r="CW543" t="s">
        <v>25</v>
      </c>
      <c r="CX543" t="s">
        <v>25</v>
      </c>
      <c r="CY543" t="s">
        <v>50</v>
      </c>
      <c r="CZ543" t="s">
        <v>25</v>
      </c>
      <c r="DA543" t="s">
        <v>25</v>
      </c>
      <c r="DB543" t="s">
        <v>25</v>
      </c>
      <c r="DC543" t="s">
        <v>25</v>
      </c>
      <c r="DD543" t="s">
        <v>25</v>
      </c>
      <c r="DE543" t="s">
        <v>25</v>
      </c>
      <c r="DF543" t="s">
        <v>25</v>
      </c>
      <c r="DG543" t="s">
        <v>25</v>
      </c>
      <c r="DH543" t="s">
        <v>25</v>
      </c>
      <c r="DI543" t="s">
        <v>25</v>
      </c>
      <c r="DJ543" s="76">
        <v>1.0000001639127805E-3</v>
      </c>
      <c r="DK543" s="73">
        <v>26</v>
      </c>
      <c r="DL543" s="73">
        <v>62</v>
      </c>
      <c r="DM543" s="73">
        <v>-36</v>
      </c>
      <c r="DU543"/>
      <c r="DV543" s="65" t="s">
        <v>126</v>
      </c>
      <c r="DW543" t="s">
        <v>131</v>
      </c>
      <c r="DZ543" s="73">
        <v>64</v>
      </c>
      <c r="EA543" s="73">
        <v>0</v>
      </c>
      <c r="EB543" s="73">
        <v>64</v>
      </c>
      <c r="EC543" s="65" t="s">
        <v>126</v>
      </c>
    </row>
    <row r="544" spans="1:133" ht="12" customHeight="1" x14ac:dyDescent="0.2">
      <c r="A544" t="s">
        <v>2935</v>
      </c>
      <c r="B544" t="s">
        <v>2946</v>
      </c>
      <c r="C544" t="str">
        <f t="shared" si="26"/>
        <v>Full</v>
      </c>
      <c r="E544" s="65">
        <v>6119</v>
      </c>
      <c r="F544" t="s">
        <v>2182</v>
      </c>
      <c r="G544" s="71" t="s">
        <v>149</v>
      </c>
      <c r="H544" s="67">
        <v>0.181999996304512</v>
      </c>
      <c r="I544" s="65">
        <v>528391</v>
      </c>
      <c r="J544" s="65">
        <v>174060</v>
      </c>
      <c r="L544" s="65" t="s">
        <v>586</v>
      </c>
      <c r="M544" s="65" t="s">
        <v>33</v>
      </c>
      <c r="N544" s="69">
        <v>42354</v>
      </c>
      <c r="O544" s="69">
        <v>42460</v>
      </c>
      <c r="Q544" s="69">
        <v>42452</v>
      </c>
      <c r="R544" s="65" t="s">
        <v>28</v>
      </c>
      <c r="U544" t="s">
        <v>794</v>
      </c>
      <c r="V544" t="s">
        <v>3505</v>
      </c>
      <c r="W544" s="65" t="s">
        <v>34</v>
      </c>
      <c r="X544" s="65" t="s">
        <v>29</v>
      </c>
      <c r="Y544" s="65" t="s">
        <v>30</v>
      </c>
      <c r="AA544" s="69">
        <v>42825</v>
      </c>
      <c r="AD544" s="65" t="s">
        <v>23</v>
      </c>
      <c r="AE544" s="65" t="s">
        <v>24</v>
      </c>
      <c r="AH544" s="69">
        <f t="shared" si="24"/>
        <v>42825</v>
      </c>
      <c r="BH544" s="73">
        <v>2370</v>
      </c>
      <c r="BK544" s="73">
        <v>2370</v>
      </c>
      <c r="BO544" s="185" t="s">
        <v>3794</v>
      </c>
      <c r="BP544" s="185" t="s">
        <v>126</v>
      </c>
      <c r="BQ544" s="185" t="s">
        <v>3794</v>
      </c>
      <c r="BW544" s="73"/>
      <c r="BY544" s="185" t="s">
        <v>3794</v>
      </c>
      <c r="CA544" s="73">
        <v>-2370</v>
      </c>
      <c r="CD544" s="73">
        <v>-2370</v>
      </c>
      <c r="CE544" s="65" t="s">
        <v>126</v>
      </c>
      <c r="CJ544" t="s">
        <v>25</v>
      </c>
      <c r="CK544" t="s">
        <v>25</v>
      </c>
      <c r="CL544" t="s">
        <v>25</v>
      </c>
      <c r="CM544" t="s">
        <v>25</v>
      </c>
      <c r="CN544" t="s">
        <v>25</v>
      </c>
      <c r="CO544" t="s">
        <v>25</v>
      </c>
      <c r="CP544" t="s">
        <v>25</v>
      </c>
      <c r="CQ544" t="s">
        <v>25</v>
      </c>
      <c r="CR544" t="s">
        <v>25</v>
      </c>
      <c r="CS544" t="s">
        <v>25</v>
      </c>
      <c r="CT544" t="s">
        <v>25</v>
      </c>
      <c r="CU544" t="s">
        <v>25</v>
      </c>
      <c r="CV544" t="s">
        <v>25</v>
      </c>
      <c r="CW544" t="s">
        <v>25</v>
      </c>
      <c r="CX544" t="s">
        <v>25</v>
      </c>
      <c r="CY544" t="s">
        <v>25</v>
      </c>
      <c r="CZ544" t="s">
        <v>25</v>
      </c>
      <c r="DA544" t="s">
        <v>25</v>
      </c>
      <c r="DB544" t="s">
        <v>25</v>
      </c>
      <c r="DC544" t="s">
        <v>25</v>
      </c>
      <c r="DD544" t="s">
        <v>51</v>
      </c>
      <c r="DE544" t="s">
        <v>25</v>
      </c>
      <c r="DF544" t="s">
        <v>25</v>
      </c>
      <c r="DG544" t="s">
        <v>25</v>
      </c>
      <c r="DH544" t="s">
        <v>25</v>
      </c>
      <c r="DI544" t="s">
        <v>25</v>
      </c>
      <c r="DJ544" s="76">
        <v>0</v>
      </c>
      <c r="DK544" s="73">
        <v>0</v>
      </c>
      <c r="DL544" s="73">
        <v>2370</v>
      </c>
      <c r="DM544" s="73">
        <v>-2370</v>
      </c>
      <c r="DU544"/>
      <c r="DZ544" s="73">
        <v>1782</v>
      </c>
      <c r="EA544" s="73">
        <v>0</v>
      </c>
      <c r="EB544" s="73">
        <v>1782</v>
      </c>
      <c r="EC544" s="65" t="s">
        <v>126</v>
      </c>
    </row>
    <row r="545" spans="1:133" ht="12" customHeight="1" x14ac:dyDescent="0.2">
      <c r="A545" t="s">
        <v>2936</v>
      </c>
      <c r="B545" t="s">
        <v>2946</v>
      </c>
      <c r="C545" t="str">
        <f t="shared" si="26"/>
        <v>Full</v>
      </c>
      <c r="D545" t="s">
        <v>2943</v>
      </c>
      <c r="E545" s="65">
        <v>6123</v>
      </c>
      <c r="F545" t="s">
        <v>2183</v>
      </c>
      <c r="G545" s="71" t="s">
        <v>2904</v>
      </c>
      <c r="H545" s="67">
        <v>3.0000000260770299E-3</v>
      </c>
      <c r="I545" s="65">
        <v>525966</v>
      </c>
      <c r="J545" s="65">
        <v>172682</v>
      </c>
      <c r="L545" s="65" t="s">
        <v>597</v>
      </c>
      <c r="M545" s="65" t="s">
        <v>27</v>
      </c>
      <c r="N545" s="69">
        <v>42375</v>
      </c>
      <c r="O545" s="69">
        <v>42430</v>
      </c>
      <c r="R545" s="65" t="s">
        <v>28</v>
      </c>
      <c r="U545" t="s">
        <v>598</v>
      </c>
      <c r="V545" t="s">
        <v>3506</v>
      </c>
      <c r="W545" s="65" t="s">
        <v>21</v>
      </c>
      <c r="X545" s="65" t="s">
        <v>21</v>
      </c>
      <c r="Y545" s="65" t="s">
        <v>35</v>
      </c>
      <c r="AA545" s="69">
        <v>42826</v>
      </c>
      <c r="AB545" s="69">
        <v>43190</v>
      </c>
      <c r="AC545" s="69">
        <v>43190</v>
      </c>
      <c r="AD545" s="65" t="s">
        <v>23</v>
      </c>
      <c r="AE545" s="65" t="s">
        <v>24</v>
      </c>
      <c r="AH545" s="69">
        <f t="shared" si="24"/>
        <v>42826</v>
      </c>
      <c r="AI545" s="69">
        <f t="shared" si="25"/>
        <v>43190</v>
      </c>
      <c r="AU545" s="73">
        <v>14</v>
      </c>
      <c r="AV545" s="73">
        <v>14</v>
      </c>
      <c r="BO545" s="185" t="s">
        <v>3794</v>
      </c>
      <c r="BP545" s="185" t="s">
        <v>126</v>
      </c>
      <c r="BQ545" s="185" t="s">
        <v>3794</v>
      </c>
      <c r="BW545" s="73"/>
      <c r="BY545" s="185" t="s">
        <v>3794</v>
      </c>
      <c r="CC545" s="73">
        <v>14</v>
      </c>
      <c r="CD545" s="73">
        <v>14</v>
      </c>
      <c r="CJ545" t="s">
        <v>25</v>
      </c>
      <c r="CK545" t="s">
        <v>25</v>
      </c>
      <c r="CL545" t="s">
        <v>25</v>
      </c>
      <c r="CM545" t="s">
        <v>25</v>
      </c>
      <c r="CN545" t="s">
        <v>25</v>
      </c>
      <c r="CO545" t="s">
        <v>25</v>
      </c>
      <c r="CP545" t="s">
        <v>25</v>
      </c>
      <c r="CQ545" t="s">
        <v>25</v>
      </c>
      <c r="CR545" t="s">
        <v>25</v>
      </c>
      <c r="CS545" t="s">
        <v>53</v>
      </c>
      <c r="CT545" t="s">
        <v>25</v>
      </c>
      <c r="CU545" t="s">
        <v>25</v>
      </c>
      <c r="CV545" t="s">
        <v>25</v>
      </c>
      <c r="CW545" t="s">
        <v>25</v>
      </c>
      <c r="CX545" t="s">
        <v>25</v>
      </c>
      <c r="CY545" t="s">
        <v>25</v>
      </c>
      <c r="CZ545" t="s">
        <v>25</v>
      </c>
      <c r="DA545" t="s">
        <v>25</v>
      </c>
      <c r="DB545" t="s">
        <v>25</v>
      </c>
      <c r="DC545" t="s">
        <v>25</v>
      </c>
      <c r="DD545" t="s">
        <v>25</v>
      </c>
      <c r="DE545" t="s">
        <v>25</v>
      </c>
      <c r="DF545" t="s">
        <v>25</v>
      </c>
      <c r="DG545" t="s">
        <v>25</v>
      </c>
      <c r="DH545" t="s">
        <v>25</v>
      </c>
      <c r="DI545" t="s">
        <v>25</v>
      </c>
      <c r="DJ545" s="76">
        <v>3.0000000260770299E-3</v>
      </c>
      <c r="DK545" s="73">
        <v>14</v>
      </c>
      <c r="DL545" s="73">
        <v>14</v>
      </c>
      <c r="DM545" s="73">
        <v>0</v>
      </c>
      <c r="DU545"/>
      <c r="DZ545" s="73">
        <v>0</v>
      </c>
      <c r="EA545" s="73">
        <v>0</v>
      </c>
      <c r="EB545" s="73">
        <v>0</v>
      </c>
    </row>
    <row r="546" spans="1:133" ht="12" customHeight="1" x14ac:dyDescent="0.2">
      <c r="A546" t="s">
        <v>2935</v>
      </c>
      <c r="B546" t="s">
        <v>2946</v>
      </c>
      <c r="C546" t="str">
        <f t="shared" si="26"/>
        <v>Full</v>
      </c>
      <c r="E546" s="65">
        <v>6124</v>
      </c>
      <c r="F546" t="s">
        <v>2184</v>
      </c>
      <c r="G546" s="71" t="s">
        <v>3944</v>
      </c>
      <c r="H546" s="67">
        <v>1.7999999225139601E-2</v>
      </c>
      <c r="I546" s="65">
        <v>526974</v>
      </c>
      <c r="J546" s="65">
        <v>175176</v>
      </c>
      <c r="L546" s="65" t="s">
        <v>583</v>
      </c>
      <c r="M546" s="65" t="s">
        <v>27</v>
      </c>
      <c r="N546" s="69">
        <v>42374</v>
      </c>
      <c r="O546" s="69">
        <v>42429</v>
      </c>
      <c r="R546" s="65" t="s">
        <v>28</v>
      </c>
      <c r="U546" t="s">
        <v>793</v>
      </c>
      <c r="V546" t="s">
        <v>3507</v>
      </c>
      <c r="W546" s="65" t="s">
        <v>34</v>
      </c>
      <c r="X546" s="65" t="s">
        <v>29</v>
      </c>
      <c r="Y546" s="65" t="s">
        <v>30</v>
      </c>
      <c r="AA546" s="69">
        <v>42825</v>
      </c>
      <c r="AD546" s="65" t="s">
        <v>23</v>
      </c>
      <c r="AE546" s="65" t="s">
        <v>24</v>
      </c>
      <c r="AH546" s="69">
        <f t="shared" si="24"/>
        <v>42825</v>
      </c>
      <c r="AJ546" s="73">
        <v>57</v>
      </c>
      <c r="AO546" s="73">
        <v>57</v>
      </c>
      <c r="AZ546" s="73">
        <v>127</v>
      </c>
      <c r="BE546" s="73">
        <v>127</v>
      </c>
      <c r="BO546" s="185" t="s">
        <v>126</v>
      </c>
      <c r="BP546" s="185" t="s">
        <v>3794</v>
      </c>
      <c r="BQ546" s="185" t="s">
        <v>3794</v>
      </c>
      <c r="BR546" s="73">
        <v>-70</v>
      </c>
      <c r="BW546" s="73">
        <v>-70</v>
      </c>
      <c r="BY546" s="185" t="s">
        <v>3794</v>
      </c>
      <c r="CJ546" t="s">
        <v>31</v>
      </c>
      <c r="CK546" t="s">
        <v>25</v>
      </c>
      <c r="CL546" t="s">
        <v>25</v>
      </c>
      <c r="CM546" t="s">
        <v>25</v>
      </c>
      <c r="CN546" t="s">
        <v>25</v>
      </c>
      <c r="CO546" t="s">
        <v>25</v>
      </c>
      <c r="CP546" t="s">
        <v>25</v>
      </c>
      <c r="CQ546" t="s">
        <v>25</v>
      </c>
      <c r="CR546" t="s">
        <v>25</v>
      </c>
      <c r="CS546" t="s">
        <v>25</v>
      </c>
      <c r="CT546" t="s">
        <v>25</v>
      </c>
      <c r="CU546" t="s">
        <v>25</v>
      </c>
      <c r="CV546" t="s">
        <v>25</v>
      </c>
      <c r="CW546" t="s">
        <v>31</v>
      </c>
      <c r="CX546" t="s">
        <v>25</v>
      </c>
      <c r="CY546" t="s">
        <v>25</v>
      </c>
      <c r="CZ546" t="s">
        <v>25</v>
      </c>
      <c r="DA546" t="s">
        <v>25</v>
      </c>
      <c r="DB546" t="s">
        <v>25</v>
      </c>
      <c r="DC546" t="s">
        <v>25</v>
      </c>
      <c r="DD546" t="s">
        <v>25</v>
      </c>
      <c r="DE546" t="s">
        <v>25</v>
      </c>
      <c r="DF546" t="s">
        <v>25</v>
      </c>
      <c r="DG546" t="s">
        <v>25</v>
      </c>
      <c r="DH546" t="s">
        <v>25</v>
      </c>
      <c r="DI546" t="s">
        <v>25</v>
      </c>
      <c r="DJ546" s="76">
        <v>4.9999989569187008E-3</v>
      </c>
      <c r="DK546" s="73">
        <v>57</v>
      </c>
      <c r="DL546" s="73">
        <v>127</v>
      </c>
      <c r="DM546" s="73">
        <v>-70</v>
      </c>
      <c r="DU546"/>
      <c r="DZ546" s="73">
        <v>240</v>
      </c>
      <c r="EA546" s="73">
        <v>134</v>
      </c>
      <c r="EB546" s="73">
        <v>106</v>
      </c>
      <c r="EC546" s="65" t="s">
        <v>126</v>
      </c>
    </row>
    <row r="547" spans="1:133" ht="12" customHeight="1" x14ac:dyDescent="0.2">
      <c r="A547" t="s">
        <v>2936</v>
      </c>
      <c r="B547" t="s">
        <v>2946</v>
      </c>
      <c r="C547" t="str">
        <f t="shared" si="26"/>
        <v>Full</v>
      </c>
      <c r="D547" t="s">
        <v>2943</v>
      </c>
      <c r="E547" s="65">
        <v>6126</v>
      </c>
      <c r="F547" t="s">
        <v>2185</v>
      </c>
      <c r="G547" s="71" t="s">
        <v>2907</v>
      </c>
      <c r="H547" s="67">
        <v>0.25299999117851302</v>
      </c>
      <c r="I547" s="65">
        <v>525531</v>
      </c>
      <c r="J547" s="65">
        <v>173776</v>
      </c>
      <c r="L547" s="65" t="s">
        <v>590</v>
      </c>
      <c r="M547" s="65" t="s">
        <v>27</v>
      </c>
      <c r="N547" s="69">
        <v>42377</v>
      </c>
      <c r="O547" s="69">
        <v>42433</v>
      </c>
      <c r="R547" s="65" t="s">
        <v>28</v>
      </c>
      <c r="U547" t="s">
        <v>591</v>
      </c>
      <c r="V547" t="s">
        <v>3508</v>
      </c>
      <c r="W547" s="65" t="s">
        <v>21</v>
      </c>
      <c r="X547" s="65" t="s">
        <v>21</v>
      </c>
      <c r="Y547" s="65" t="s">
        <v>35</v>
      </c>
      <c r="AA547" s="69">
        <v>42676</v>
      </c>
      <c r="AB547" s="69">
        <v>42831</v>
      </c>
      <c r="AC547" s="69">
        <v>42831</v>
      </c>
      <c r="AD547" s="65" t="s">
        <v>23</v>
      </c>
      <c r="AE547" s="65" t="s">
        <v>24</v>
      </c>
      <c r="AH547" s="69">
        <f t="shared" si="24"/>
        <v>42676</v>
      </c>
      <c r="AI547" s="69">
        <f t="shared" si="25"/>
        <v>42831</v>
      </c>
      <c r="AP547" s="73">
        <v>497</v>
      </c>
      <c r="AS547" s="73">
        <v>497</v>
      </c>
      <c r="AV547" s="73">
        <v>497</v>
      </c>
      <c r="BJ547" s="73">
        <v>497</v>
      </c>
      <c r="BK547" s="73">
        <v>497</v>
      </c>
      <c r="BO547" s="185" t="s">
        <v>3794</v>
      </c>
      <c r="BP547" s="185" t="s">
        <v>126</v>
      </c>
      <c r="BQ547" s="185" t="s">
        <v>3794</v>
      </c>
      <c r="BW547" s="73"/>
      <c r="BX547" s="73">
        <v>497</v>
      </c>
      <c r="BY547" s="185" t="s">
        <v>3794</v>
      </c>
      <c r="CC547" s="73">
        <v>-497</v>
      </c>
      <c r="CJ547" t="s">
        <v>25</v>
      </c>
      <c r="CK547" t="s">
        <v>25</v>
      </c>
      <c r="CL547" t="s">
        <v>25</v>
      </c>
      <c r="CM547" t="s">
        <v>25</v>
      </c>
      <c r="CN547" t="s">
        <v>25</v>
      </c>
      <c r="CO547" t="s">
        <v>49</v>
      </c>
      <c r="CP547" t="s">
        <v>25</v>
      </c>
      <c r="CQ547" t="s">
        <v>25</v>
      </c>
      <c r="CR547" t="s">
        <v>25</v>
      </c>
      <c r="CS547" t="s">
        <v>25</v>
      </c>
      <c r="CT547" t="s">
        <v>25</v>
      </c>
      <c r="CU547" t="s">
        <v>25</v>
      </c>
      <c r="CV547" t="s">
        <v>25</v>
      </c>
      <c r="CW547" t="s">
        <v>25</v>
      </c>
      <c r="CX547" t="s">
        <v>25</v>
      </c>
      <c r="CY547" t="s">
        <v>25</v>
      </c>
      <c r="CZ547" t="s">
        <v>25</v>
      </c>
      <c r="DA547" t="s">
        <v>25</v>
      </c>
      <c r="DB547" t="s">
        <v>25</v>
      </c>
      <c r="DC547" t="s">
        <v>25</v>
      </c>
      <c r="DD547" t="s">
        <v>25</v>
      </c>
      <c r="DE547" t="s">
        <v>25</v>
      </c>
      <c r="DF547" t="s">
        <v>53</v>
      </c>
      <c r="DG547" t="s">
        <v>25</v>
      </c>
      <c r="DH547" t="s">
        <v>25</v>
      </c>
      <c r="DI547" t="s">
        <v>25</v>
      </c>
      <c r="DJ547" s="76">
        <v>0.25299999117851302</v>
      </c>
      <c r="DK547" s="73">
        <v>497</v>
      </c>
      <c r="DL547" s="73">
        <v>497</v>
      </c>
      <c r="DM547" s="73">
        <v>0</v>
      </c>
      <c r="DQ547" s="65" t="s">
        <v>126</v>
      </c>
      <c r="DR547" t="s">
        <v>179</v>
      </c>
      <c r="DU547"/>
      <c r="DZ547" s="73">
        <v>0</v>
      </c>
      <c r="EA547" s="73">
        <v>0</v>
      </c>
      <c r="EB547" s="73">
        <v>0</v>
      </c>
    </row>
    <row r="548" spans="1:133" ht="12" customHeight="1" x14ac:dyDescent="0.2">
      <c r="A548" t="s">
        <v>2936</v>
      </c>
      <c r="B548" t="s">
        <v>2946</v>
      </c>
      <c r="C548" t="str">
        <f t="shared" si="26"/>
        <v>Full</v>
      </c>
      <c r="D548" t="s">
        <v>2942</v>
      </c>
      <c r="E548" s="65">
        <v>6126</v>
      </c>
      <c r="F548" t="s">
        <v>2185</v>
      </c>
      <c r="G548" s="71" t="s">
        <v>2907</v>
      </c>
      <c r="H548" s="67">
        <v>0.25299999117851302</v>
      </c>
      <c r="I548" s="65">
        <v>525531</v>
      </c>
      <c r="J548" s="65">
        <v>173776</v>
      </c>
      <c r="L548" s="65" t="s">
        <v>1202</v>
      </c>
      <c r="M548" s="65" t="s">
        <v>27</v>
      </c>
      <c r="N548" s="69">
        <v>42738</v>
      </c>
      <c r="O548" s="69">
        <v>42788</v>
      </c>
      <c r="R548" s="65" t="s">
        <v>28</v>
      </c>
      <c r="U548" t="s">
        <v>1203</v>
      </c>
      <c r="V548" t="s">
        <v>3509</v>
      </c>
      <c r="W548" s="65" t="s">
        <v>39</v>
      </c>
      <c r="X548" s="65" t="s">
        <v>39</v>
      </c>
      <c r="Y548" s="65" t="s">
        <v>22</v>
      </c>
      <c r="AA548" s="69">
        <v>42826</v>
      </c>
      <c r="AB548" s="69">
        <v>43190</v>
      </c>
      <c r="AD548" s="65" t="s">
        <v>23</v>
      </c>
      <c r="AE548" s="65" t="s">
        <v>24</v>
      </c>
      <c r="AH548" s="69">
        <f t="shared" si="24"/>
        <v>42826</v>
      </c>
      <c r="AI548" s="69">
        <f t="shared" si="25"/>
        <v>43190</v>
      </c>
      <c r="AP548" s="73">
        <v>60</v>
      </c>
      <c r="AS548" s="73">
        <v>60</v>
      </c>
      <c r="AV548" s="73">
        <v>60</v>
      </c>
      <c r="BO548" s="185" t="s">
        <v>3794</v>
      </c>
      <c r="BP548" s="185" t="s">
        <v>126</v>
      </c>
      <c r="BQ548" s="185" t="s">
        <v>3794</v>
      </c>
      <c r="BW548" s="73"/>
      <c r="BX548" s="73">
        <v>60</v>
      </c>
      <c r="BY548" s="185" t="s">
        <v>3794</v>
      </c>
      <c r="CD548" s="73">
        <v>60</v>
      </c>
      <c r="CJ548" t="s">
        <v>25</v>
      </c>
      <c r="CK548" t="s">
        <v>25</v>
      </c>
      <c r="CL548" t="s">
        <v>25</v>
      </c>
      <c r="CM548" t="s">
        <v>25</v>
      </c>
      <c r="CN548" t="s">
        <v>25</v>
      </c>
      <c r="CO548" t="s">
        <v>49</v>
      </c>
      <c r="CP548" t="s">
        <v>25</v>
      </c>
      <c r="CQ548" t="s">
        <v>25</v>
      </c>
      <c r="CR548" t="s">
        <v>25</v>
      </c>
      <c r="CS548" t="s">
        <v>25</v>
      </c>
      <c r="CT548" t="s">
        <v>25</v>
      </c>
      <c r="CU548" t="s">
        <v>25</v>
      </c>
      <c r="CV548" t="s">
        <v>25</v>
      </c>
      <c r="CW548" t="s">
        <v>25</v>
      </c>
      <c r="CX548" t="s">
        <v>25</v>
      </c>
      <c r="CY548" t="s">
        <v>25</v>
      </c>
      <c r="CZ548" t="s">
        <v>25</v>
      </c>
      <c r="DA548" t="s">
        <v>25</v>
      </c>
      <c r="DB548" t="s">
        <v>25</v>
      </c>
      <c r="DC548" t="s">
        <v>25</v>
      </c>
      <c r="DD548" t="s">
        <v>25</v>
      </c>
      <c r="DE548" t="s">
        <v>25</v>
      </c>
      <c r="DF548" t="s">
        <v>25</v>
      </c>
      <c r="DG548" t="s">
        <v>25</v>
      </c>
      <c r="DH548" t="s">
        <v>25</v>
      </c>
      <c r="DI548" t="s">
        <v>25</v>
      </c>
      <c r="DJ548" s="76">
        <v>0.25299999117851302</v>
      </c>
      <c r="DK548" s="73">
        <v>60</v>
      </c>
      <c r="DL548" s="73">
        <v>0</v>
      </c>
      <c r="DM548" s="73">
        <v>60</v>
      </c>
      <c r="DQ548" s="65" t="s">
        <v>126</v>
      </c>
      <c r="DR548" t="s">
        <v>179</v>
      </c>
      <c r="DU548"/>
      <c r="DZ548" s="73">
        <v>0</v>
      </c>
      <c r="EA548" s="73">
        <v>0</v>
      </c>
      <c r="EB548" s="73">
        <v>0</v>
      </c>
    </row>
    <row r="549" spans="1:133" ht="12" customHeight="1" x14ac:dyDescent="0.2">
      <c r="A549" t="s">
        <v>2937</v>
      </c>
      <c r="B549" t="s">
        <v>2946</v>
      </c>
      <c r="C549" t="str">
        <f t="shared" si="26"/>
        <v>Full</v>
      </c>
      <c r="E549" s="65">
        <v>6127</v>
      </c>
      <c r="F549" t="s">
        <v>2186</v>
      </c>
      <c r="G549" s="71" t="s">
        <v>3943</v>
      </c>
      <c r="H549" s="67">
        <v>0.140000000596046</v>
      </c>
      <c r="I549" s="65">
        <v>527282</v>
      </c>
      <c r="J549" s="65">
        <v>177348</v>
      </c>
      <c r="L549" s="65" t="s">
        <v>505</v>
      </c>
      <c r="M549" s="65" t="s">
        <v>27</v>
      </c>
      <c r="N549" s="69">
        <v>42206</v>
      </c>
      <c r="O549" s="69">
        <v>42430</v>
      </c>
      <c r="R549" s="65" t="s">
        <v>28</v>
      </c>
      <c r="U549" t="s">
        <v>506</v>
      </c>
      <c r="V549" t="s">
        <v>3510</v>
      </c>
      <c r="W549" s="65" t="s">
        <v>39</v>
      </c>
      <c r="X549" s="65" t="s">
        <v>39</v>
      </c>
      <c r="Y549" s="65" t="s">
        <v>69</v>
      </c>
      <c r="AD549" s="65" t="s">
        <v>23</v>
      </c>
      <c r="AE549" s="65" t="s">
        <v>24</v>
      </c>
      <c r="BO549" s="185" t="s">
        <v>3794</v>
      </c>
      <c r="BP549" s="185" t="s">
        <v>3794</v>
      </c>
      <c r="BQ549" s="185" t="s">
        <v>3794</v>
      </c>
      <c r="BW549" s="73"/>
      <c r="BY549" s="185" t="s">
        <v>3794</v>
      </c>
      <c r="CJ549" t="s">
        <v>25</v>
      </c>
      <c r="CK549" t="s">
        <v>25</v>
      </c>
      <c r="CL549" t="s">
        <v>25</v>
      </c>
      <c r="CM549" t="s">
        <v>25</v>
      </c>
      <c r="CN549" t="s">
        <v>25</v>
      </c>
      <c r="CO549" t="s">
        <v>25</v>
      </c>
      <c r="CP549" t="s">
        <v>25</v>
      </c>
      <c r="CQ549" t="s">
        <v>25</v>
      </c>
      <c r="CR549" t="s">
        <v>25</v>
      </c>
      <c r="CS549" t="s">
        <v>25</v>
      </c>
      <c r="CT549" t="s">
        <v>25</v>
      </c>
      <c r="CU549" t="s">
        <v>25</v>
      </c>
      <c r="CV549" t="s">
        <v>25</v>
      </c>
      <c r="CW549" t="s">
        <v>25</v>
      </c>
      <c r="CX549" t="s">
        <v>25</v>
      </c>
      <c r="CY549" t="s">
        <v>25</v>
      </c>
      <c r="CZ549" t="s">
        <v>25</v>
      </c>
      <c r="DA549" t="s">
        <v>25</v>
      </c>
      <c r="DB549" t="s">
        <v>25</v>
      </c>
      <c r="DC549" t="s">
        <v>25</v>
      </c>
      <c r="DD549" t="s">
        <v>25</v>
      </c>
      <c r="DE549" t="s">
        <v>25</v>
      </c>
      <c r="DF549" t="s">
        <v>25</v>
      </c>
      <c r="DG549" t="s">
        <v>25</v>
      </c>
      <c r="DH549" t="s">
        <v>25</v>
      </c>
      <c r="DI549" t="s">
        <v>25</v>
      </c>
      <c r="DJ549" s="76">
        <v>0.140000000596046</v>
      </c>
      <c r="DK549" s="73">
        <v>564</v>
      </c>
      <c r="DL549" s="73">
        <v>0</v>
      </c>
      <c r="DM549" s="73">
        <v>564</v>
      </c>
      <c r="DN549" s="65" t="s">
        <v>126</v>
      </c>
      <c r="DU549"/>
      <c r="DZ549" s="73">
        <v>0</v>
      </c>
      <c r="EA549" s="73">
        <v>0</v>
      </c>
      <c r="EB549" s="73">
        <v>0</v>
      </c>
    </row>
    <row r="550" spans="1:133" ht="12" customHeight="1" x14ac:dyDescent="0.2">
      <c r="A550" t="s">
        <v>2935</v>
      </c>
      <c r="B550" t="s">
        <v>2946</v>
      </c>
      <c r="C550" t="str">
        <f t="shared" si="26"/>
        <v>Full</v>
      </c>
      <c r="E550" s="65">
        <v>6132</v>
      </c>
      <c r="F550" t="s">
        <v>2187</v>
      </c>
      <c r="G550" s="71" t="s">
        <v>149</v>
      </c>
      <c r="H550" s="67">
        <v>2.3000000044703501E-2</v>
      </c>
      <c r="I550" s="65">
        <v>528883</v>
      </c>
      <c r="J550" s="65">
        <v>173580</v>
      </c>
      <c r="L550" s="65" t="s">
        <v>592</v>
      </c>
      <c r="M550" s="65" t="s">
        <v>27</v>
      </c>
      <c r="N550" s="69">
        <v>42373</v>
      </c>
      <c r="O550" s="69">
        <v>42445</v>
      </c>
      <c r="R550" s="65" t="s">
        <v>28</v>
      </c>
      <c r="U550" t="s">
        <v>593</v>
      </c>
      <c r="V550" t="s">
        <v>3511</v>
      </c>
      <c r="W550" s="65" t="s">
        <v>29</v>
      </c>
      <c r="X550" s="65" t="s">
        <v>29</v>
      </c>
      <c r="Y550" s="65" t="s">
        <v>30</v>
      </c>
      <c r="AA550" s="69">
        <v>42825</v>
      </c>
      <c r="AD550" s="65" t="s">
        <v>23</v>
      </c>
      <c r="AE550" s="65" t="s">
        <v>24</v>
      </c>
      <c r="AH550" s="69">
        <f t="shared" si="24"/>
        <v>42825</v>
      </c>
      <c r="BO550" s="185" t="s">
        <v>3794</v>
      </c>
      <c r="BP550" s="185" t="s">
        <v>3794</v>
      </c>
      <c r="BQ550" s="185" t="s">
        <v>3794</v>
      </c>
      <c r="BW550" s="73"/>
      <c r="BY550" s="185" t="s">
        <v>3794</v>
      </c>
      <c r="CJ550" t="s">
        <v>25</v>
      </c>
      <c r="CK550" t="s">
        <v>25</v>
      </c>
      <c r="CL550" t="s">
        <v>25</v>
      </c>
      <c r="CM550" t="s">
        <v>25</v>
      </c>
      <c r="CN550" t="s">
        <v>25</v>
      </c>
      <c r="CO550" t="s">
        <v>25</v>
      </c>
      <c r="CP550" t="s">
        <v>25</v>
      </c>
      <c r="CQ550" t="s">
        <v>25</v>
      </c>
      <c r="CR550" t="s">
        <v>25</v>
      </c>
      <c r="CS550" t="s">
        <v>25</v>
      </c>
      <c r="CT550" t="s">
        <v>25</v>
      </c>
      <c r="CU550" t="s">
        <v>25</v>
      </c>
      <c r="CV550" t="s">
        <v>25</v>
      </c>
      <c r="CW550" t="s">
        <v>25</v>
      </c>
      <c r="CX550" t="s">
        <v>25</v>
      </c>
      <c r="CY550" t="s">
        <v>25</v>
      </c>
      <c r="CZ550" t="s">
        <v>25</v>
      </c>
      <c r="DA550" t="s">
        <v>25</v>
      </c>
      <c r="DB550" t="s">
        <v>25</v>
      </c>
      <c r="DC550" t="s">
        <v>25</v>
      </c>
      <c r="DD550" t="s">
        <v>25</v>
      </c>
      <c r="DE550" t="s">
        <v>25</v>
      </c>
      <c r="DF550" t="s">
        <v>25</v>
      </c>
      <c r="DG550" t="s">
        <v>25</v>
      </c>
      <c r="DH550" t="s">
        <v>25</v>
      </c>
      <c r="DI550" t="s">
        <v>25</v>
      </c>
      <c r="DJ550" s="76">
        <v>0</v>
      </c>
      <c r="DK550" s="73">
        <v>0</v>
      </c>
      <c r="DL550" s="73">
        <v>237</v>
      </c>
      <c r="DM550" s="73">
        <v>-237</v>
      </c>
      <c r="DU550"/>
      <c r="DZ550" s="73">
        <v>366</v>
      </c>
      <c r="EA550" s="73">
        <v>0</v>
      </c>
      <c r="EB550" s="73">
        <v>366</v>
      </c>
      <c r="EC550" s="65" t="s">
        <v>126</v>
      </c>
    </row>
    <row r="551" spans="1:133" ht="12" customHeight="1" x14ac:dyDescent="0.2">
      <c r="A551" t="s">
        <v>2936</v>
      </c>
      <c r="B551" t="s">
        <v>2946</v>
      </c>
      <c r="C551" t="str">
        <f t="shared" si="26"/>
        <v>Full</v>
      </c>
      <c r="D551" t="s">
        <v>2943</v>
      </c>
      <c r="E551" s="65">
        <v>6139</v>
      </c>
      <c r="F551" t="s">
        <v>2188</v>
      </c>
      <c r="G551" s="71" t="s">
        <v>3946</v>
      </c>
      <c r="H551" s="67">
        <v>8.0000003799796104E-3</v>
      </c>
      <c r="I551" s="65">
        <v>522866</v>
      </c>
      <c r="J551" s="65">
        <v>175962</v>
      </c>
      <c r="L551" s="65" t="s">
        <v>606</v>
      </c>
      <c r="M551" s="65" t="s">
        <v>27</v>
      </c>
      <c r="N551" s="69">
        <v>42390</v>
      </c>
      <c r="O551" s="69">
        <v>42446</v>
      </c>
      <c r="R551" s="65" t="s">
        <v>28</v>
      </c>
      <c r="U551" t="s">
        <v>607</v>
      </c>
      <c r="V551" t="s">
        <v>3512</v>
      </c>
      <c r="W551" s="65" t="s">
        <v>21</v>
      </c>
      <c r="X551" s="65" t="s">
        <v>21</v>
      </c>
      <c r="Y551" s="65" t="s">
        <v>35</v>
      </c>
      <c r="AA551" s="69">
        <v>42667</v>
      </c>
      <c r="AB551" s="69">
        <v>42948</v>
      </c>
      <c r="AC551" s="69">
        <v>42948</v>
      </c>
      <c r="AD551" s="65" t="s">
        <v>23</v>
      </c>
      <c r="AE551" s="65" t="s">
        <v>24</v>
      </c>
      <c r="AH551" s="69">
        <f t="shared" si="24"/>
        <v>42667</v>
      </c>
      <c r="AI551" s="69">
        <f t="shared" si="25"/>
        <v>42948</v>
      </c>
      <c r="BO551" s="185" t="s">
        <v>3794</v>
      </c>
      <c r="BP551" s="185" t="s">
        <v>3794</v>
      </c>
      <c r="BQ551" s="185" t="s">
        <v>3794</v>
      </c>
      <c r="BW551" s="73"/>
      <c r="BY551" s="185" t="s">
        <v>3794</v>
      </c>
      <c r="CJ551" t="s">
        <v>25</v>
      </c>
      <c r="CK551" t="s">
        <v>25</v>
      </c>
      <c r="CL551" t="s">
        <v>25</v>
      </c>
      <c r="CM551" t="s">
        <v>25</v>
      </c>
      <c r="CN551" t="s">
        <v>25</v>
      </c>
      <c r="CO551" t="s">
        <v>25</v>
      </c>
      <c r="CP551" t="s">
        <v>25</v>
      </c>
      <c r="CQ551" t="s">
        <v>25</v>
      </c>
      <c r="CR551" t="s">
        <v>25</v>
      </c>
      <c r="CS551" t="s">
        <v>25</v>
      </c>
      <c r="CT551" t="s">
        <v>25</v>
      </c>
      <c r="CU551" t="s">
        <v>25</v>
      </c>
      <c r="CV551" t="s">
        <v>25</v>
      </c>
      <c r="CW551" t="s">
        <v>25</v>
      </c>
      <c r="CX551" t="s">
        <v>25</v>
      </c>
      <c r="CY551" t="s">
        <v>25</v>
      </c>
      <c r="CZ551" t="s">
        <v>25</v>
      </c>
      <c r="DA551" t="s">
        <v>25</v>
      </c>
      <c r="DB551" t="s">
        <v>25</v>
      </c>
      <c r="DC551" t="s">
        <v>25</v>
      </c>
      <c r="DD551" t="s">
        <v>25</v>
      </c>
      <c r="DE551" t="s">
        <v>25</v>
      </c>
      <c r="DF551" t="s">
        <v>25</v>
      </c>
      <c r="DG551" t="s">
        <v>25</v>
      </c>
      <c r="DH551" t="s">
        <v>25</v>
      </c>
      <c r="DI551" t="s">
        <v>25</v>
      </c>
      <c r="DJ551" s="76">
        <v>0</v>
      </c>
      <c r="DK551" s="73">
        <v>0</v>
      </c>
      <c r="DL551" s="73">
        <v>56</v>
      </c>
      <c r="DM551" s="73">
        <v>-56</v>
      </c>
      <c r="DU551"/>
      <c r="DZ551" s="73">
        <v>63</v>
      </c>
      <c r="EA551" s="73">
        <v>0</v>
      </c>
      <c r="EB551" s="73">
        <v>63</v>
      </c>
      <c r="EC551" s="65" t="s">
        <v>126</v>
      </c>
    </row>
    <row r="552" spans="1:133" ht="12" customHeight="1" x14ac:dyDescent="0.2">
      <c r="A552" t="s">
        <v>2936</v>
      </c>
      <c r="B552" t="s">
        <v>2946</v>
      </c>
      <c r="C552" t="str">
        <f t="shared" si="26"/>
        <v>Full</v>
      </c>
      <c r="D552" t="s">
        <v>2942</v>
      </c>
      <c r="E552" s="65">
        <v>6140</v>
      </c>
      <c r="F552" t="s">
        <v>2189</v>
      </c>
      <c r="G552" s="71" t="s">
        <v>3949</v>
      </c>
      <c r="H552" s="67">
        <v>2.60000005364418E-2</v>
      </c>
      <c r="I552" s="65">
        <v>524679</v>
      </c>
      <c r="J552" s="65">
        <v>174038</v>
      </c>
      <c r="L552" s="65" t="s">
        <v>567</v>
      </c>
      <c r="M552" s="65" t="s">
        <v>27</v>
      </c>
      <c r="N552" s="69">
        <v>42324</v>
      </c>
      <c r="O552" s="69">
        <v>42453</v>
      </c>
      <c r="R552" s="65" t="s">
        <v>28</v>
      </c>
      <c r="U552" t="s">
        <v>568</v>
      </c>
      <c r="V552" t="s">
        <v>3513</v>
      </c>
      <c r="W552" s="65" t="s">
        <v>34</v>
      </c>
      <c r="X552" s="65" t="s">
        <v>29</v>
      </c>
      <c r="Y552" s="65" t="s">
        <v>22</v>
      </c>
      <c r="AA552" s="69">
        <v>42825</v>
      </c>
      <c r="AB552" s="69">
        <v>43190</v>
      </c>
      <c r="AD552" s="65" t="s">
        <v>23</v>
      </c>
      <c r="AE552" s="65" t="s">
        <v>24</v>
      </c>
      <c r="AH552" s="69">
        <f t="shared" si="24"/>
        <v>42825</v>
      </c>
      <c r="AI552" s="69">
        <f t="shared" si="25"/>
        <v>43190</v>
      </c>
      <c r="BF552" s="73">
        <v>151</v>
      </c>
      <c r="BK552" s="73">
        <v>151</v>
      </c>
      <c r="BO552" s="185" t="s">
        <v>3794</v>
      </c>
      <c r="BP552" s="185" t="s">
        <v>126</v>
      </c>
      <c r="BQ552" s="185" t="s">
        <v>3794</v>
      </c>
      <c r="BW552" s="73"/>
      <c r="BX552" s="73">
        <v>-151</v>
      </c>
      <c r="BY552" s="185" t="s">
        <v>126</v>
      </c>
      <c r="CD552" s="73">
        <v>-151</v>
      </c>
      <c r="CE552" s="65" t="s">
        <v>126</v>
      </c>
      <c r="CJ552" t="s">
        <v>25</v>
      </c>
      <c r="CK552" t="s">
        <v>25</v>
      </c>
      <c r="CL552" t="s">
        <v>25</v>
      </c>
      <c r="CM552" t="s">
        <v>25</v>
      </c>
      <c r="CN552" t="s">
        <v>25</v>
      </c>
      <c r="CO552" t="s">
        <v>25</v>
      </c>
      <c r="CP552" t="s">
        <v>25</v>
      </c>
      <c r="CQ552" t="s">
        <v>25</v>
      </c>
      <c r="CR552" t="s">
        <v>25</v>
      </c>
      <c r="CS552" t="s">
        <v>25</v>
      </c>
      <c r="CT552" t="s">
        <v>25</v>
      </c>
      <c r="CU552" t="s">
        <v>25</v>
      </c>
      <c r="CV552" t="s">
        <v>25</v>
      </c>
      <c r="CW552" t="s">
        <v>25</v>
      </c>
      <c r="CX552" t="s">
        <v>25</v>
      </c>
      <c r="CY552" t="s">
        <v>25</v>
      </c>
      <c r="CZ552" t="s">
        <v>25</v>
      </c>
      <c r="DA552" t="s">
        <v>25</v>
      </c>
      <c r="DB552" t="s">
        <v>31</v>
      </c>
      <c r="DC552" t="s">
        <v>25</v>
      </c>
      <c r="DD552" t="s">
        <v>25</v>
      </c>
      <c r="DE552" t="s">
        <v>25</v>
      </c>
      <c r="DF552" t="s">
        <v>25</v>
      </c>
      <c r="DG552" t="s">
        <v>25</v>
      </c>
      <c r="DH552" t="s">
        <v>25</v>
      </c>
      <c r="DI552" t="s">
        <v>25</v>
      </c>
      <c r="DJ552" s="76">
        <v>0</v>
      </c>
      <c r="DK552" s="73">
        <v>0</v>
      </c>
      <c r="DL552" s="73">
        <v>151</v>
      </c>
      <c r="DM552" s="73">
        <v>-151</v>
      </c>
      <c r="DU552"/>
      <c r="DZ552" s="73">
        <v>159</v>
      </c>
      <c r="EA552" s="73">
        <v>0</v>
      </c>
      <c r="EB552" s="73">
        <v>159</v>
      </c>
      <c r="EC552" s="65" t="s">
        <v>126</v>
      </c>
    </row>
    <row r="553" spans="1:133" ht="12" customHeight="1" x14ac:dyDescent="0.2">
      <c r="A553" t="s">
        <v>2937</v>
      </c>
      <c r="B553" t="s">
        <v>2948</v>
      </c>
      <c r="C553" t="str">
        <f t="shared" si="26"/>
        <v>Prior Approval</v>
      </c>
      <c r="E553" s="65">
        <v>6142</v>
      </c>
      <c r="F553" t="s">
        <v>2190</v>
      </c>
      <c r="G553" s="71" t="s">
        <v>3946</v>
      </c>
      <c r="H553" s="67">
        <v>8.3999998867511694E-2</v>
      </c>
      <c r="I553" s="65">
        <v>525109</v>
      </c>
      <c r="J553" s="65">
        <v>175279</v>
      </c>
      <c r="L553" s="65" t="s">
        <v>611</v>
      </c>
      <c r="M553" s="65" t="s">
        <v>244</v>
      </c>
      <c r="N553" s="69">
        <v>42394</v>
      </c>
      <c r="O553" s="69">
        <v>42450</v>
      </c>
      <c r="R553" s="65" t="s">
        <v>28</v>
      </c>
      <c r="U553" t="s">
        <v>456</v>
      </c>
      <c r="V553" t="s">
        <v>3477</v>
      </c>
      <c r="W553" s="65" t="s">
        <v>21</v>
      </c>
      <c r="X553" s="65" t="s">
        <v>21</v>
      </c>
      <c r="Y553" s="65" t="s">
        <v>69</v>
      </c>
      <c r="AD553" s="65" t="s">
        <v>23</v>
      </c>
      <c r="AE553" s="65" t="s">
        <v>24</v>
      </c>
      <c r="BF553" s="73">
        <v>75</v>
      </c>
      <c r="BK553" s="73">
        <v>75</v>
      </c>
      <c r="BO553" s="185" t="s">
        <v>3794</v>
      </c>
      <c r="BP553" s="185" t="s">
        <v>126</v>
      </c>
      <c r="BQ553" s="185" t="s">
        <v>3794</v>
      </c>
      <c r="BW553" s="73"/>
      <c r="BX553" s="73">
        <v>-75</v>
      </c>
      <c r="BY553" s="185" t="s">
        <v>126</v>
      </c>
      <c r="CD553" s="73">
        <v>-75</v>
      </c>
      <c r="CE553" s="65" t="s">
        <v>126</v>
      </c>
      <c r="CJ553" t="s">
        <v>25</v>
      </c>
      <c r="CK553" t="s">
        <v>25</v>
      </c>
      <c r="CL553" t="s">
        <v>25</v>
      </c>
      <c r="CM553" t="s">
        <v>25</v>
      </c>
      <c r="CN553" t="s">
        <v>25</v>
      </c>
      <c r="CO553" t="s">
        <v>25</v>
      </c>
      <c r="CP553" t="s">
        <v>25</v>
      </c>
      <c r="CQ553" t="s">
        <v>25</v>
      </c>
      <c r="CR553" t="s">
        <v>25</v>
      </c>
      <c r="CS553" t="s">
        <v>25</v>
      </c>
      <c r="CT553" t="s">
        <v>25</v>
      </c>
      <c r="CU553" t="s">
        <v>25</v>
      </c>
      <c r="CV553" t="s">
        <v>25</v>
      </c>
      <c r="CW553" t="s">
        <v>25</v>
      </c>
      <c r="CX553" t="s">
        <v>25</v>
      </c>
      <c r="CY553" t="s">
        <v>25</v>
      </c>
      <c r="CZ553" t="s">
        <v>25</v>
      </c>
      <c r="DA553" t="s">
        <v>25</v>
      </c>
      <c r="DB553" t="s">
        <v>31</v>
      </c>
      <c r="DC553" t="s">
        <v>25</v>
      </c>
      <c r="DD553" t="s">
        <v>25</v>
      </c>
      <c r="DE553" t="s">
        <v>25</v>
      </c>
      <c r="DF553" t="s">
        <v>25</v>
      </c>
      <c r="DG553" t="s">
        <v>25</v>
      </c>
      <c r="DH553" t="s">
        <v>25</v>
      </c>
      <c r="DI553" t="s">
        <v>25</v>
      </c>
      <c r="DJ553" s="76">
        <v>6.2999999150633798E-2</v>
      </c>
      <c r="DK553" s="73">
        <v>0</v>
      </c>
      <c r="DL553" s="73">
        <v>75</v>
      </c>
      <c r="DM553" s="73">
        <v>-75</v>
      </c>
      <c r="DN553" s="65" t="s">
        <v>126</v>
      </c>
      <c r="DU553"/>
      <c r="DZ553" s="73">
        <v>75</v>
      </c>
      <c r="EA553" s="73">
        <v>0</v>
      </c>
      <c r="EB553" s="73">
        <v>75</v>
      </c>
      <c r="EC553" s="65" t="s">
        <v>126</v>
      </c>
    </row>
    <row r="554" spans="1:133" ht="12" customHeight="1" x14ac:dyDescent="0.2">
      <c r="A554" t="s">
        <v>2936</v>
      </c>
      <c r="B554" t="s">
        <v>2946</v>
      </c>
      <c r="C554" t="str">
        <f t="shared" si="26"/>
        <v>Full</v>
      </c>
      <c r="D554" t="s">
        <v>2942</v>
      </c>
      <c r="E554" s="65">
        <v>6146</v>
      </c>
      <c r="F554" t="s">
        <v>2191</v>
      </c>
      <c r="G554" s="71" t="s">
        <v>3948</v>
      </c>
      <c r="H554" s="67">
        <v>1.2000000104308101E-2</v>
      </c>
      <c r="I554" s="65">
        <v>527723</v>
      </c>
      <c r="J554" s="65">
        <v>176500</v>
      </c>
      <c r="L554" s="65" t="s">
        <v>1274</v>
      </c>
      <c r="M554" s="65" t="s">
        <v>27</v>
      </c>
      <c r="N554" s="69">
        <v>42794</v>
      </c>
      <c r="O554" s="69">
        <v>42947</v>
      </c>
      <c r="P554" s="65" t="s">
        <v>126</v>
      </c>
      <c r="R554" s="65" t="s">
        <v>28</v>
      </c>
      <c r="U554" t="s">
        <v>1275</v>
      </c>
      <c r="V554" t="s">
        <v>3514</v>
      </c>
      <c r="W554" s="65" t="s">
        <v>45</v>
      </c>
      <c r="X554" s="65" t="s">
        <v>21</v>
      </c>
      <c r="Y554" s="65" t="s">
        <v>22</v>
      </c>
      <c r="AA554" s="69">
        <v>43018</v>
      </c>
      <c r="AB554" s="69">
        <v>43190</v>
      </c>
      <c r="AD554" s="65" t="s">
        <v>23</v>
      </c>
      <c r="AE554" s="65" t="s">
        <v>24</v>
      </c>
      <c r="AH554" s="69">
        <f t="shared" si="24"/>
        <v>43018</v>
      </c>
      <c r="AI554" s="69">
        <f t="shared" si="25"/>
        <v>43190</v>
      </c>
      <c r="AK554" s="73">
        <v>78</v>
      </c>
      <c r="AO554" s="73">
        <v>78</v>
      </c>
      <c r="BA554" s="73">
        <v>102</v>
      </c>
      <c r="BE554" s="73">
        <v>102</v>
      </c>
      <c r="BO554" s="185" t="s">
        <v>126</v>
      </c>
      <c r="BP554" s="185" t="s">
        <v>3794</v>
      </c>
      <c r="BQ554" s="185" t="s">
        <v>3794</v>
      </c>
      <c r="BS554" s="73">
        <v>-24</v>
      </c>
      <c r="BW554" s="73">
        <v>-24</v>
      </c>
      <c r="BY554" s="185" t="s">
        <v>3794</v>
      </c>
      <c r="CJ554" t="s">
        <v>25</v>
      </c>
      <c r="CK554" t="s">
        <v>64</v>
      </c>
      <c r="CL554" t="s">
        <v>25</v>
      </c>
      <c r="CM554" t="s">
        <v>25</v>
      </c>
      <c r="CN554" t="s">
        <v>25</v>
      </c>
      <c r="CO554" t="s">
        <v>25</v>
      </c>
      <c r="CP554" t="s">
        <v>25</v>
      </c>
      <c r="CQ554" t="s">
        <v>25</v>
      </c>
      <c r="CR554" t="s">
        <v>25</v>
      </c>
      <c r="CS554" t="s">
        <v>25</v>
      </c>
      <c r="CT554" t="s">
        <v>25</v>
      </c>
      <c r="CU554" t="s">
        <v>25</v>
      </c>
      <c r="CV554" t="s">
        <v>25</v>
      </c>
      <c r="CW554" t="s">
        <v>25</v>
      </c>
      <c r="CX554" t="s">
        <v>64</v>
      </c>
      <c r="CY554" t="s">
        <v>25</v>
      </c>
      <c r="CZ554" t="s">
        <v>25</v>
      </c>
      <c r="DA554" t="s">
        <v>25</v>
      </c>
      <c r="DB554" t="s">
        <v>25</v>
      </c>
      <c r="DC554" t="s">
        <v>25</v>
      </c>
      <c r="DD554" t="s">
        <v>25</v>
      </c>
      <c r="DE554" t="s">
        <v>25</v>
      </c>
      <c r="DF554" t="s">
        <v>25</v>
      </c>
      <c r="DG554" t="s">
        <v>25</v>
      </c>
      <c r="DH554" t="s">
        <v>25</v>
      </c>
      <c r="DI554" t="s">
        <v>25</v>
      </c>
      <c r="DJ554" s="76">
        <v>3.9999997243284902E-3</v>
      </c>
      <c r="DK554" s="73">
        <v>78</v>
      </c>
      <c r="DL554" s="73">
        <v>102</v>
      </c>
      <c r="DM554" s="73">
        <v>-24</v>
      </c>
      <c r="DU554"/>
      <c r="DZ554" s="73">
        <v>177</v>
      </c>
      <c r="EA554" s="73">
        <v>110</v>
      </c>
      <c r="EB554" s="73">
        <v>67</v>
      </c>
      <c r="EC554" s="65" t="s">
        <v>126</v>
      </c>
    </row>
    <row r="555" spans="1:133" ht="12" customHeight="1" x14ac:dyDescent="0.2">
      <c r="A555" t="s">
        <v>2935</v>
      </c>
      <c r="B555" t="s">
        <v>2946</v>
      </c>
      <c r="C555" t="str">
        <f t="shared" si="26"/>
        <v>Full</v>
      </c>
      <c r="E555" s="65">
        <v>6148</v>
      </c>
      <c r="F555" t="s">
        <v>2192</v>
      </c>
      <c r="G555" s="71" t="s">
        <v>3950</v>
      </c>
      <c r="H555" s="67">
        <v>5.6000001728534698E-2</v>
      </c>
      <c r="I555" s="65">
        <v>529113</v>
      </c>
      <c r="J555" s="65">
        <v>170439</v>
      </c>
      <c r="L555" s="65" t="s">
        <v>545</v>
      </c>
      <c r="M555" s="65" t="s">
        <v>70</v>
      </c>
      <c r="N555" s="69">
        <v>42395</v>
      </c>
      <c r="O555" s="69">
        <v>42465</v>
      </c>
      <c r="R555" s="65" t="s">
        <v>28</v>
      </c>
      <c r="U555" t="s">
        <v>546</v>
      </c>
      <c r="V555" t="s">
        <v>3515</v>
      </c>
      <c r="W555" s="65" t="s">
        <v>29</v>
      </c>
      <c r="X555" s="65" t="s">
        <v>29</v>
      </c>
      <c r="Y555" s="65" t="s">
        <v>30</v>
      </c>
      <c r="Z555" s="69">
        <v>42978</v>
      </c>
      <c r="AA555" s="69">
        <v>42769</v>
      </c>
      <c r="AD555" s="65" t="s">
        <v>23</v>
      </c>
      <c r="AE555" s="65" t="s">
        <v>24</v>
      </c>
      <c r="AH555" s="69">
        <f t="shared" si="24"/>
        <v>42769</v>
      </c>
      <c r="BO555" s="185" t="s">
        <v>3794</v>
      </c>
      <c r="BP555" s="185" t="s">
        <v>3794</v>
      </c>
      <c r="BQ555" s="185" t="s">
        <v>3794</v>
      </c>
      <c r="BW555" s="73"/>
      <c r="BY555" s="185" t="s">
        <v>3794</v>
      </c>
      <c r="CJ555" t="s">
        <v>25</v>
      </c>
      <c r="CK555" t="s">
        <v>25</v>
      </c>
      <c r="CL555" t="s">
        <v>25</v>
      </c>
      <c r="CM555" t="s">
        <v>25</v>
      </c>
      <c r="CN555" t="s">
        <v>25</v>
      </c>
      <c r="CO555" t="s">
        <v>25</v>
      </c>
      <c r="CP555" t="s">
        <v>25</v>
      </c>
      <c r="CQ555" t="s">
        <v>25</v>
      </c>
      <c r="CR555" t="s">
        <v>25</v>
      </c>
      <c r="CS555" t="s">
        <v>25</v>
      </c>
      <c r="CT555" t="s">
        <v>25</v>
      </c>
      <c r="CU555" t="s">
        <v>25</v>
      </c>
      <c r="CV555" t="s">
        <v>25</v>
      </c>
      <c r="CW555" t="s">
        <v>25</v>
      </c>
      <c r="CX555" t="s">
        <v>25</v>
      </c>
      <c r="CY555" t="s">
        <v>25</v>
      </c>
      <c r="CZ555" t="s">
        <v>25</v>
      </c>
      <c r="DA555" t="s">
        <v>25</v>
      </c>
      <c r="DB555" t="s">
        <v>25</v>
      </c>
      <c r="DC555" t="s">
        <v>25</v>
      </c>
      <c r="DD555" t="s">
        <v>25</v>
      </c>
      <c r="DE555" t="s">
        <v>25</v>
      </c>
      <c r="DF555" t="s">
        <v>25</v>
      </c>
      <c r="DG555" t="s">
        <v>25</v>
      </c>
      <c r="DH555" t="s">
        <v>25</v>
      </c>
      <c r="DI555" t="s">
        <v>25</v>
      </c>
      <c r="DJ555" s="76">
        <v>3.4000001847744002E-2</v>
      </c>
      <c r="DK555" s="73">
        <v>0</v>
      </c>
      <c r="DL555" s="73">
        <v>158</v>
      </c>
      <c r="DM555" s="73">
        <v>-158</v>
      </c>
      <c r="DU555"/>
      <c r="DZ555" s="73">
        <v>222</v>
      </c>
      <c r="EA555" s="73">
        <v>0</v>
      </c>
      <c r="EB555" s="73">
        <v>222</v>
      </c>
      <c r="EC555" s="65" t="s">
        <v>126</v>
      </c>
    </row>
    <row r="556" spans="1:133" ht="12" customHeight="1" x14ac:dyDescent="0.2">
      <c r="A556" t="s">
        <v>2938</v>
      </c>
      <c r="B556" t="s">
        <v>2945</v>
      </c>
      <c r="C556" t="str">
        <f t="shared" si="26"/>
        <v>Pending Legal Agreement</v>
      </c>
      <c r="E556" s="65">
        <v>6149</v>
      </c>
      <c r="F556" t="s">
        <v>2193</v>
      </c>
      <c r="G556" s="71" t="s">
        <v>2907</v>
      </c>
      <c r="H556" s="67">
        <v>6.7000001668930095E-2</v>
      </c>
      <c r="I556" s="65">
        <v>525867</v>
      </c>
      <c r="J556" s="65">
        <v>172948</v>
      </c>
      <c r="L556" s="65" t="s">
        <v>1036</v>
      </c>
      <c r="M556" s="65" t="s">
        <v>228</v>
      </c>
      <c r="N556" s="69">
        <v>42615</v>
      </c>
      <c r="Q556" s="69">
        <v>43244</v>
      </c>
      <c r="R556" s="65" t="s">
        <v>28</v>
      </c>
      <c r="U556" t="s">
        <v>1037</v>
      </c>
      <c r="V556" t="s">
        <v>3516</v>
      </c>
      <c r="W556" s="65" t="s">
        <v>29</v>
      </c>
      <c r="X556" s="65" t="s">
        <v>29</v>
      </c>
      <c r="Y556" s="65" t="s">
        <v>69</v>
      </c>
      <c r="AD556" s="65" t="s">
        <v>173</v>
      </c>
      <c r="AE556" s="65" t="s">
        <v>24</v>
      </c>
      <c r="BH556" s="73">
        <v>323</v>
      </c>
      <c r="BK556" s="73">
        <v>323</v>
      </c>
      <c r="BO556" s="185" t="s">
        <v>3794</v>
      </c>
      <c r="BP556" s="185" t="s">
        <v>126</v>
      </c>
      <c r="BQ556" s="185" t="s">
        <v>3794</v>
      </c>
      <c r="BW556" s="73"/>
      <c r="BY556" s="185" t="s">
        <v>3794</v>
      </c>
      <c r="CA556" s="73">
        <v>-323</v>
      </c>
      <c r="CD556" s="73">
        <v>-323</v>
      </c>
      <c r="CE556" s="65" t="s">
        <v>126</v>
      </c>
      <c r="CJ556" t="s">
        <v>25</v>
      </c>
      <c r="CK556" t="s">
        <v>25</v>
      </c>
      <c r="CL556" t="s">
        <v>25</v>
      </c>
      <c r="CM556" t="s">
        <v>25</v>
      </c>
      <c r="CN556" t="s">
        <v>25</v>
      </c>
      <c r="CO556" t="s">
        <v>25</v>
      </c>
      <c r="CP556" t="s">
        <v>25</v>
      </c>
      <c r="CQ556" t="s">
        <v>25</v>
      </c>
      <c r="CR556" t="s">
        <v>25</v>
      </c>
      <c r="CS556" t="s">
        <v>25</v>
      </c>
      <c r="CT556" t="s">
        <v>25</v>
      </c>
      <c r="CU556" t="s">
        <v>25</v>
      </c>
      <c r="CV556" t="s">
        <v>25</v>
      </c>
      <c r="CW556" t="s">
        <v>25</v>
      </c>
      <c r="CX556" t="s">
        <v>25</v>
      </c>
      <c r="CY556" t="s">
        <v>25</v>
      </c>
      <c r="CZ556" t="s">
        <v>25</v>
      </c>
      <c r="DA556" t="s">
        <v>25</v>
      </c>
      <c r="DB556" t="s">
        <v>25</v>
      </c>
      <c r="DC556" t="s">
        <v>25</v>
      </c>
      <c r="DD556" t="s">
        <v>51</v>
      </c>
      <c r="DE556" t="s">
        <v>25</v>
      </c>
      <c r="DF556" t="s">
        <v>25</v>
      </c>
      <c r="DG556" t="s">
        <v>25</v>
      </c>
      <c r="DH556" t="s">
        <v>25</v>
      </c>
      <c r="DI556" t="s">
        <v>25</v>
      </c>
      <c r="DJ556" s="76">
        <v>0</v>
      </c>
      <c r="DK556" s="73">
        <v>0</v>
      </c>
      <c r="DL556" s="73">
        <v>323</v>
      </c>
      <c r="DM556" s="73">
        <v>-323</v>
      </c>
      <c r="DU556"/>
      <c r="DZ556" s="73">
        <v>1281</v>
      </c>
      <c r="EA556" s="73">
        <v>0</v>
      </c>
      <c r="EB556" s="73">
        <v>1281</v>
      </c>
      <c r="EC556" s="65" t="s">
        <v>126</v>
      </c>
    </row>
    <row r="557" spans="1:133" ht="12" customHeight="1" x14ac:dyDescent="0.2">
      <c r="A557" t="s">
        <v>2938</v>
      </c>
      <c r="B557" t="s">
        <v>2946</v>
      </c>
      <c r="C557" t="str">
        <f t="shared" si="26"/>
        <v>Full</v>
      </c>
      <c r="E557" s="65">
        <v>6149</v>
      </c>
      <c r="F557" t="s">
        <v>2193</v>
      </c>
      <c r="G557" s="71" t="s">
        <v>2907</v>
      </c>
      <c r="H557" s="67">
        <v>6.7000001668930095E-2</v>
      </c>
      <c r="I557" s="65">
        <v>525867</v>
      </c>
      <c r="J557" s="65">
        <v>172948</v>
      </c>
      <c r="L557" s="65" t="s">
        <v>2194</v>
      </c>
      <c r="M557" s="65" t="s">
        <v>172</v>
      </c>
      <c r="N557" s="69">
        <v>43146</v>
      </c>
      <c r="R557" s="65" t="s">
        <v>28</v>
      </c>
      <c r="U557" t="s">
        <v>2195</v>
      </c>
      <c r="V557" t="s">
        <v>3517</v>
      </c>
      <c r="W557" s="65" t="s">
        <v>29</v>
      </c>
      <c r="X557" s="65" t="s">
        <v>29</v>
      </c>
      <c r="Y557" s="65" t="s">
        <v>69</v>
      </c>
      <c r="AD557" s="65" t="s">
        <v>173</v>
      </c>
      <c r="AE557" s="65" t="s">
        <v>24</v>
      </c>
      <c r="AP557" s="73">
        <v>345</v>
      </c>
      <c r="AS557" s="73">
        <v>345</v>
      </c>
      <c r="AV557" s="73">
        <v>345</v>
      </c>
      <c r="BH557" s="73">
        <v>323</v>
      </c>
      <c r="BK557" s="73">
        <v>323</v>
      </c>
      <c r="BO557" s="185" t="s">
        <v>3794</v>
      </c>
      <c r="BP557" s="185" t="s">
        <v>126</v>
      </c>
      <c r="BQ557" s="185" t="s">
        <v>3794</v>
      </c>
      <c r="BW557" s="73"/>
      <c r="BX557" s="73">
        <v>345</v>
      </c>
      <c r="BY557" s="185" t="s">
        <v>3794</v>
      </c>
      <c r="CA557" s="73">
        <v>-323</v>
      </c>
      <c r="CD557" s="73">
        <v>22</v>
      </c>
      <c r="CJ557" t="s">
        <v>25</v>
      </c>
      <c r="CK557" t="s">
        <v>25</v>
      </c>
      <c r="CL557" t="s">
        <v>25</v>
      </c>
      <c r="CM557" t="s">
        <v>25</v>
      </c>
      <c r="CN557" t="s">
        <v>25</v>
      </c>
      <c r="CO557" t="s">
        <v>49</v>
      </c>
      <c r="CP557" t="s">
        <v>25</v>
      </c>
      <c r="CQ557" t="s">
        <v>25</v>
      </c>
      <c r="CR557" t="s">
        <v>25</v>
      </c>
      <c r="CS557" t="s">
        <v>25</v>
      </c>
      <c r="CT557" t="s">
        <v>25</v>
      </c>
      <c r="CU557" t="s">
        <v>25</v>
      </c>
      <c r="CV557" t="s">
        <v>25</v>
      </c>
      <c r="CW557" t="s">
        <v>25</v>
      </c>
      <c r="CX557" t="s">
        <v>25</v>
      </c>
      <c r="CY557" t="s">
        <v>25</v>
      </c>
      <c r="CZ557" t="s">
        <v>25</v>
      </c>
      <c r="DA557" t="s">
        <v>25</v>
      </c>
      <c r="DB557" t="s">
        <v>25</v>
      </c>
      <c r="DC557" t="s">
        <v>25</v>
      </c>
      <c r="DD557" t="s">
        <v>51</v>
      </c>
      <c r="DE557" t="s">
        <v>25</v>
      </c>
      <c r="DF557" t="s">
        <v>25</v>
      </c>
      <c r="DG557" t="s">
        <v>25</v>
      </c>
      <c r="DH557" t="s">
        <v>25</v>
      </c>
      <c r="DI557" t="s">
        <v>25</v>
      </c>
      <c r="DJ557" s="76">
        <v>1.6000002622604398E-2</v>
      </c>
      <c r="DK557" s="73">
        <v>345</v>
      </c>
      <c r="DL557" s="73">
        <v>323</v>
      </c>
      <c r="DM557" s="73">
        <v>22</v>
      </c>
      <c r="DU557"/>
      <c r="DZ557" s="73">
        <v>1075</v>
      </c>
      <c r="EA557" s="73">
        <v>0</v>
      </c>
      <c r="EB557" s="73">
        <v>1075</v>
      </c>
      <c r="EC557" s="65" t="s">
        <v>126</v>
      </c>
    </row>
    <row r="558" spans="1:133" ht="12" customHeight="1" x14ac:dyDescent="0.2">
      <c r="A558" t="s">
        <v>2937</v>
      </c>
      <c r="B558" t="s">
        <v>2946</v>
      </c>
      <c r="C558" t="str">
        <f t="shared" si="26"/>
        <v>Full</v>
      </c>
      <c r="E558" s="65">
        <v>6151</v>
      </c>
      <c r="F558" t="s">
        <v>2196</v>
      </c>
      <c r="G558" s="71" t="s">
        <v>3946</v>
      </c>
      <c r="H558" s="67">
        <v>1.7999999225139601E-2</v>
      </c>
      <c r="I558" s="65">
        <v>523227</v>
      </c>
      <c r="J558" s="65">
        <v>175844</v>
      </c>
      <c r="L558" s="65" t="s">
        <v>784</v>
      </c>
      <c r="M558" s="65" t="s">
        <v>27</v>
      </c>
      <c r="N558" s="69">
        <v>42497</v>
      </c>
      <c r="O558" s="69">
        <v>42685</v>
      </c>
      <c r="R558" s="65" t="s">
        <v>28</v>
      </c>
      <c r="U558" t="s">
        <v>785</v>
      </c>
      <c r="V558" t="s">
        <v>3518</v>
      </c>
      <c r="W558" s="65" t="s">
        <v>21</v>
      </c>
      <c r="X558" s="65" t="s">
        <v>21</v>
      </c>
      <c r="Y558" s="65" t="s">
        <v>69</v>
      </c>
      <c r="AD558" s="65" t="s">
        <v>23</v>
      </c>
      <c r="AE558" s="65" t="s">
        <v>24</v>
      </c>
      <c r="BB558" s="73">
        <v>88</v>
      </c>
      <c r="BE558" s="73">
        <v>88</v>
      </c>
      <c r="BO558" s="185" t="s">
        <v>126</v>
      </c>
      <c r="BP558" s="185" t="s">
        <v>3794</v>
      </c>
      <c r="BQ558" s="185" t="s">
        <v>3794</v>
      </c>
      <c r="BT558" s="73">
        <v>-88</v>
      </c>
      <c r="BW558" s="73">
        <v>-88</v>
      </c>
      <c r="BY558" s="185" t="s">
        <v>3794</v>
      </c>
      <c r="CJ558" t="s">
        <v>25</v>
      </c>
      <c r="CK558" t="s">
        <v>25</v>
      </c>
      <c r="CL558" t="s">
        <v>25</v>
      </c>
      <c r="CM558" t="s">
        <v>25</v>
      </c>
      <c r="CN558" t="s">
        <v>25</v>
      </c>
      <c r="CO558" t="s">
        <v>25</v>
      </c>
      <c r="CP558" t="s">
        <v>25</v>
      </c>
      <c r="CQ558" t="s">
        <v>25</v>
      </c>
      <c r="CR558" t="s">
        <v>25</v>
      </c>
      <c r="CS558" t="s">
        <v>25</v>
      </c>
      <c r="CT558" t="s">
        <v>25</v>
      </c>
      <c r="CU558" t="s">
        <v>25</v>
      </c>
      <c r="CV558" t="s">
        <v>25</v>
      </c>
      <c r="CW558" t="s">
        <v>25</v>
      </c>
      <c r="CX558" t="s">
        <v>25</v>
      </c>
      <c r="CY558" t="s">
        <v>50</v>
      </c>
      <c r="CZ558" t="s">
        <v>25</v>
      </c>
      <c r="DA558" t="s">
        <v>25</v>
      </c>
      <c r="DB558" t="s">
        <v>25</v>
      </c>
      <c r="DC558" t="s">
        <v>25</v>
      </c>
      <c r="DD558" t="s">
        <v>25</v>
      </c>
      <c r="DE558" t="s">
        <v>25</v>
      </c>
      <c r="DF558" t="s">
        <v>25</v>
      </c>
      <c r="DG558" t="s">
        <v>25</v>
      </c>
      <c r="DH558" t="s">
        <v>25</v>
      </c>
      <c r="DI558" t="s">
        <v>25</v>
      </c>
      <c r="DJ558" s="76">
        <v>0</v>
      </c>
      <c r="DK558" s="73">
        <v>0</v>
      </c>
      <c r="DL558" s="73">
        <v>88</v>
      </c>
      <c r="DM558" s="73">
        <v>-88</v>
      </c>
      <c r="DU558"/>
      <c r="DZ558" s="73">
        <v>88</v>
      </c>
      <c r="EA558" s="73">
        <v>0</v>
      </c>
      <c r="EB558" s="73">
        <v>88</v>
      </c>
      <c r="EC558" s="65" t="s">
        <v>126</v>
      </c>
    </row>
    <row r="559" spans="1:133" ht="12" customHeight="1" x14ac:dyDescent="0.2">
      <c r="A559" t="s">
        <v>2936</v>
      </c>
      <c r="B559" t="s">
        <v>2946</v>
      </c>
      <c r="C559" t="str">
        <f t="shared" si="26"/>
        <v>Full</v>
      </c>
      <c r="D559" t="s">
        <v>2943</v>
      </c>
      <c r="E559" s="65">
        <v>6156</v>
      </c>
      <c r="F559" t="s">
        <v>2197</v>
      </c>
      <c r="G559" s="71" t="s">
        <v>2904</v>
      </c>
      <c r="H559" s="67">
        <v>1.60000007599592E-2</v>
      </c>
      <c r="I559" s="65">
        <v>526138</v>
      </c>
      <c r="J559" s="65">
        <v>172736</v>
      </c>
      <c r="L559" s="65" t="s">
        <v>573</v>
      </c>
      <c r="M559" s="65" t="s">
        <v>27</v>
      </c>
      <c r="N559" s="69">
        <v>42458</v>
      </c>
      <c r="O559" s="69">
        <v>42474</v>
      </c>
      <c r="R559" s="65" t="s">
        <v>28</v>
      </c>
      <c r="U559" t="s">
        <v>574</v>
      </c>
      <c r="V559" t="s">
        <v>3519</v>
      </c>
      <c r="W559" s="65" t="s">
        <v>34</v>
      </c>
      <c r="X559" s="65" t="s">
        <v>29</v>
      </c>
      <c r="Y559" s="65" t="s">
        <v>35</v>
      </c>
      <c r="AA559" s="69">
        <v>42577</v>
      </c>
      <c r="AB559" s="69">
        <v>43060</v>
      </c>
      <c r="AC559" s="69">
        <v>43190</v>
      </c>
      <c r="AD559" s="65" t="s">
        <v>23</v>
      </c>
      <c r="AE559" s="65" t="s">
        <v>24</v>
      </c>
      <c r="AH559" s="69">
        <f t="shared" si="24"/>
        <v>42577</v>
      </c>
      <c r="AI559" s="69">
        <f t="shared" si="25"/>
        <v>43060</v>
      </c>
      <c r="AJ559" s="73">
        <v>21</v>
      </c>
      <c r="AO559" s="73">
        <v>21</v>
      </c>
      <c r="AZ559" s="73">
        <v>58</v>
      </c>
      <c r="BE559" s="73">
        <v>58</v>
      </c>
      <c r="BO559" s="185" t="s">
        <v>126</v>
      </c>
      <c r="BP559" s="185" t="s">
        <v>3794</v>
      </c>
      <c r="BQ559" s="185" t="s">
        <v>3794</v>
      </c>
      <c r="BR559" s="73">
        <v>-37</v>
      </c>
      <c r="BW559" s="73">
        <v>-37</v>
      </c>
      <c r="BY559" s="185" t="s">
        <v>3794</v>
      </c>
      <c r="CJ559" t="s">
        <v>31</v>
      </c>
      <c r="CK559" t="s">
        <v>25</v>
      </c>
      <c r="CL559" t="s">
        <v>25</v>
      </c>
      <c r="CM559" t="s">
        <v>25</v>
      </c>
      <c r="CN559" t="s">
        <v>25</v>
      </c>
      <c r="CO559" t="s">
        <v>25</v>
      </c>
      <c r="CP559" t="s">
        <v>25</v>
      </c>
      <c r="CQ559" t="s">
        <v>25</v>
      </c>
      <c r="CR559" t="s">
        <v>25</v>
      </c>
      <c r="CS559" t="s">
        <v>25</v>
      </c>
      <c r="CT559" t="s">
        <v>25</v>
      </c>
      <c r="CU559" t="s">
        <v>25</v>
      </c>
      <c r="CV559" t="s">
        <v>25</v>
      </c>
      <c r="CW559" t="s">
        <v>47</v>
      </c>
      <c r="CX559" t="s">
        <v>25</v>
      </c>
      <c r="CY559" t="s">
        <v>25</v>
      </c>
      <c r="CZ559" t="s">
        <v>25</v>
      </c>
      <c r="DA559" t="s">
        <v>25</v>
      </c>
      <c r="DB559" t="s">
        <v>25</v>
      </c>
      <c r="DC559" t="s">
        <v>25</v>
      </c>
      <c r="DD559" t="s">
        <v>25</v>
      </c>
      <c r="DE559" t="s">
        <v>25</v>
      </c>
      <c r="DF559" t="s">
        <v>25</v>
      </c>
      <c r="DG559" t="s">
        <v>25</v>
      </c>
      <c r="DH559" t="s">
        <v>25</v>
      </c>
      <c r="DI559" t="s">
        <v>25</v>
      </c>
      <c r="DJ559" s="76">
        <v>1.0000000707805139E-2</v>
      </c>
      <c r="DK559" s="73">
        <v>21</v>
      </c>
      <c r="DL559" s="73">
        <v>58</v>
      </c>
      <c r="DM559" s="73">
        <v>-37</v>
      </c>
      <c r="DU559"/>
      <c r="DX559" s="65" t="s">
        <v>126</v>
      </c>
      <c r="DY559" t="s">
        <v>2904</v>
      </c>
      <c r="DZ559" s="73">
        <v>64</v>
      </c>
      <c r="EA559" s="73">
        <v>0</v>
      </c>
      <c r="EB559" s="73">
        <v>64</v>
      </c>
      <c r="EC559" s="65" t="s">
        <v>126</v>
      </c>
    </row>
    <row r="560" spans="1:133" ht="12" customHeight="1" x14ac:dyDescent="0.2">
      <c r="A560" t="s">
        <v>2937</v>
      </c>
      <c r="B560" t="s">
        <v>2946</v>
      </c>
      <c r="C560" t="str">
        <f t="shared" si="26"/>
        <v>Full</v>
      </c>
      <c r="E560" s="65">
        <v>6159</v>
      </c>
      <c r="F560" t="s">
        <v>2198</v>
      </c>
      <c r="G560" s="71" t="s">
        <v>3943</v>
      </c>
      <c r="H560" s="67">
        <v>0.234999999403954</v>
      </c>
      <c r="I560" s="65">
        <v>526827</v>
      </c>
      <c r="J560" s="65">
        <v>176609</v>
      </c>
      <c r="L560" s="65" t="s">
        <v>589</v>
      </c>
      <c r="M560" s="65" t="s">
        <v>33</v>
      </c>
      <c r="N560" s="69">
        <v>42375</v>
      </c>
      <c r="O560" s="69">
        <v>42699</v>
      </c>
      <c r="Q560" s="69">
        <v>42481</v>
      </c>
      <c r="R560" s="65" t="s">
        <v>28</v>
      </c>
      <c r="U560" t="s">
        <v>795</v>
      </c>
      <c r="V560" t="s">
        <v>3520</v>
      </c>
      <c r="W560" s="65" t="s">
        <v>34</v>
      </c>
      <c r="X560" s="65" t="s">
        <v>29</v>
      </c>
      <c r="Y560" s="65" t="s">
        <v>69</v>
      </c>
      <c r="AD560" s="65" t="s">
        <v>23</v>
      </c>
      <c r="AE560" s="65" t="s">
        <v>24</v>
      </c>
      <c r="BL560" s="73">
        <v>3328</v>
      </c>
      <c r="BN560" s="73">
        <v>3328</v>
      </c>
      <c r="BO560" s="185" t="s">
        <v>3794</v>
      </c>
      <c r="BP560" s="185" t="s">
        <v>3794</v>
      </c>
      <c r="BQ560" s="185" t="s">
        <v>126</v>
      </c>
      <c r="BW560" s="73"/>
      <c r="BY560" s="185" t="s">
        <v>3794</v>
      </c>
      <c r="CG560" s="73">
        <v>-3328</v>
      </c>
      <c r="CI560" s="73">
        <v>-3328</v>
      </c>
      <c r="CJ560" t="s">
        <v>25</v>
      </c>
      <c r="CK560" t="s">
        <v>25</v>
      </c>
      <c r="CL560" t="s">
        <v>25</v>
      </c>
      <c r="CM560" t="s">
        <v>25</v>
      </c>
      <c r="CN560" t="s">
        <v>25</v>
      </c>
      <c r="CO560" t="s">
        <v>25</v>
      </c>
      <c r="CP560" t="s">
        <v>25</v>
      </c>
      <c r="CQ560" t="s">
        <v>25</v>
      </c>
      <c r="CR560" t="s">
        <v>25</v>
      </c>
      <c r="CS560" t="s">
        <v>25</v>
      </c>
      <c r="CT560" t="s">
        <v>25</v>
      </c>
      <c r="CU560" t="s">
        <v>25</v>
      </c>
      <c r="CV560" t="s">
        <v>25</v>
      </c>
      <c r="CW560" t="s">
        <v>25</v>
      </c>
      <c r="CX560" t="s">
        <v>25</v>
      </c>
      <c r="CY560" t="s">
        <v>25</v>
      </c>
      <c r="CZ560" t="s">
        <v>25</v>
      </c>
      <c r="DA560" t="s">
        <v>25</v>
      </c>
      <c r="DB560" t="s">
        <v>25</v>
      </c>
      <c r="DC560" t="s">
        <v>25</v>
      </c>
      <c r="DD560" t="s">
        <v>25</v>
      </c>
      <c r="DE560" t="s">
        <v>25</v>
      </c>
      <c r="DF560" t="s">
        <v>25</v>
      </c>
      <c r="DG560" t="s">
        <v>25</v>
      </c>
      <c r="DH560" t="s">
        <v>49</v>
      </c>
      <c r="DI560" t="s">
        <v>25</v>
      </c>
      <c r="DJ560" s="76">
        <v>6.8900000303983994E-2</v>
      </c>
      <c r="DK560" s="73">
        <v>0</v>
      </c>
      <c r="DL560" s="73">
        <v>3328</v>
      </c>
      <c r="DM560" s="73">
        <v>-3328</v>
      </c>
      <c r="DU560"/>
      <c r="DZ560" s="73">
        <v>4354</v>
      </c>
      <c r="EA560" s="73">
        <v>0</v>
      </c>
      <c r="EB560" s="73">
        <v>4354</v>
      </c>
      <c r="EC560" s="65" t="s">
        <v>126</v>
      </c>
    </row>
    <row r="561" spans="1:133" ht="12" customHeight="1" x14ac:dyDescent="0.2">
      <c r="A561" t="s">
        <v>2936</v>
      </c>
      <c r="B561" t="s">
        <v>2946</v>
      </c>
      <c r="C561" t="str">
        <f t="shared" si="26"/>
        <v>Full</v>
      </c>
      <c r="D561" t="s">
        <v>2943</v>
      </c>
      <c r="E561" s="65">
        <v>6166</v>
      </c>
      <c r="F561" t="s">
        <v>2199</v>
      </c>
      <c r="G561" s="71" t="s">
        <v>150</v>
      </c>
      <c r="H561" s="67">
        <v>2.3000000044703501E-2</v>
      </c>
      <c r="I561" s="65">
        <v>527326</v>
      </c>
      <c r="J561" s="65">
        <v>171532</v>
      </c>
      <c r="L561" s="65" t="s">
        <v>600</v>
      </c>
      <c r="M561" s="65" t="s">
        <v>27</v>
      </c>
      <c r="N561" s="69">
        <v>42382</v>
      </c>
      <c r="O561" s="69">
        <v>42437</v>
      </c>
      <c r="R561" s="65" t="s">
        <v>28</v>
      </c>
      <c r="U561" t="s">
        <v>601</v>
      </c>
      <c r="V561" t="s">
        <v>3521</v>
      </c>
      <c r="W561" s="65" t="s">
        <v>29</v>
      </c>
      <c r="X561" s="65" t="s">
        <v>29</v>
      </c>
      <c r="Y561" s="65" t="s">
        <v>35</v>
      </c>
      <c r="AA561" s="69">
        <v>42620</v>
      </c>
      <c r="AB561" s="69">
        <v>42907</v>
      </c>
      <c r="AC561" s="69">
        <v>42907</v>
      </c>
      <c r="AD561" s="65" t="s">
        <v>23</v>
      </c>
      <c r="AE561" s="65" t="s">
        <v>24</v>
      </c>
      <c r="AH561" s="69">
        <f t="shared" si="24"/>
        <v>42620</v>
      </c>
      <c r="AI561" s="69">
        <f t="shared" si="25"/>
        <v>42907</v>
      </c>
      <c r="BO561" s="185" t="s">
        <v>3794</v>
      </c>
      <c r="BP561" s="185" t="s">
        <v>3794</v>
      </c>
      <c r="BQ561" s="185" t="s">
        <v>3794</v>
      </c>
      <c r="BW561" s="73"/>
      <c r="BY561" s="185" t="s">
        <v>3794</v>
      </c>
      <c r="CJ561" t="s">
        <v>25</v>
      </c>
      <c r="CK561" t="s">
        <v>25</v>
      </c>
      <c r="CL561" t="s">
        <v>25</v>
      </c>
      <c r="CM561" t="s">
        <v>25</v>
      </c>
      <c r="CN561" t="s">
        <v>25</v>
      </c>
      <c r="CO561" t="s">
        <v>25</v>
      </c>
      <c r="CP561" t="s">
        <v>25</v>
      </c>
      <c r="CQ561" t="s">
        <v>25</v>
      </c>
      <c r="CR561" t="s">
        <v>25</v>
      </c>
      <c r="CS561" t="s">
        <v>25</v>
      </c>
      <c r="CT561" t="s">
        <v>25</v>
      </c>
      <c r="CU561" t="s">
        <v>25</v>
      </c>
      <c r="CV561" t="s">
        <v>25</v>
      </c>
      <c r="CW561" t="s">
        <v>25</v>
      </c>
      <c r="CX561" t="s">
        <v>25</v>
      </c>
      <c r="CY561" t="s">
        <v>25</v>
      </c>
      <c r="CZ561" t="s">
        <v>25</v>
      </c>
      <c r="DA561" t="s">
        <v>25</v>
      </c>
      <c r="DB561" t="s">
        <v>25</v>
      </c>
      <c r="DC561" t="s">
        <v>25</v>
      </c>
      <c r="DD561" t="s">
        <v>25</v>
      </c>
      <c r="DE561" t="s">
        <v>25</v>
      </c>
      <c r="DF561" t="s">
        <v>25</v>
      </c>
      <c r="DG561" t="s">
        <v>25</v>
      </c>
      <c r="DH561" t="s">
        <v>25</v>
      </c>
      <c r="DI561" t="s">
        <v>25</v>
      </c>
      <c r="DJ561" s="76">
        <v>0</v>
      </c>
      <c r="DK561" s="73">
        <v>0</v>
      </c>
      <c r="DL561" s="73">
        <v>28</v>
      </c>
      <c r="DM561" s="73">
        <v>-28</v>
      </c>
      <c r="DU561"/>
      <c r="DZ561" s="73">
        <v>70</v>
      </c>
      <c r="EA561" s="73">
        <v>0</v>
      </c>
      <c r="EB561" s="73">
        <v>70</v>
      </c>
      <c r="EC561" s="65" t="s">
        <v>126</v>
      </c>
    </row>
    <row r="562" spans="1:133" ht="12" customHeight="1" x14ac:dyDescent="0.2">
      <c r="A562" t="s">
        <v>2936</v>
      </c>
      <c r="B562" t="s">
        <v>2946</v>
      </c>
      <c r="C562" t="str">
        <f t="shared" si="26"/>
        <v>Full</v>
      </c>
      <c r="D562" t="s">
        <v>2943</v>
      </c>
      <c r="E562" s="65">
        <v>6172</v>
      </c>
      <c r="F562" t="s">
        <v>2200</v>
      </c>
      <c r="G562" s="71" t="s">
        <v>3946</v>
      </c>
      <c r="H562" s="67">
        <v>1.09999999403954E-2</v>
      </c>
      <c r="I562" s="65">
        <v>524062</v>
      </c>
      <c r="J562" s="65">
        <v>175343</v>
      </c>
      <c r="L562" s="65" t="s">
        <v>612</v>
      </c>
      <c r="M562" s="65" t="s">
        <v>27</v>
      </c>
      <c r="N562" s="69">
        <v>42405</v>
      </c>
      <c r="O562" s="69">
        <v>42461</v>
      </c>
      <c r="R562" s="65" t="s">
        <v>28</v>
      </c>
      <c r="U562" t="s">
        <v>799</v>
      </c>
      <c r="V562" t="s">
        <v>3522</v>
      </c>
      <c r="W562" s="65" t="s">
        <v>21</v>
      </c>
      <c r="X562" s="65" t="s">
        <v>21</v>
      </c>
      <c r="Y562" s="65" t="s">
        <v>35</v>
      </c>
      <c r="AA562" s="69">
        <v>42522</v>
      </c>
      <c r="AB562" s="69">
        <v>43190</v>
      </c>
      <c r="AC562" s="69">
        <v>43190</v>
      </c>
      <c r="AD562" s="65" t="s">
        <v>23</v>
      </c>
      <c r="AE562" s="65" t="s">
        <v>24</v>
      </c>
      <c r="AH562" s="69">
        <f t="shared" si="24"/>
        <v>42522</v>
      </c>
      <c r="AI562" s="69">
        <f t="shared" si="25"/>
        <v>43190</v>
      </c>
      <c r="AL562" s="73">
        <v>140</v>
      </c>
      <c r="AO562" s="73">
        <v>140</v>
      </c>
      <c r="AZ562" s="73">
        <v>140</v>
      </c>
      <c r="BE562" s="73">
        <v>140</v>
      </c>
      <c r="BO562" s="185" t="s">
        <v>126</v>
      </c>
      <c r="BP562" s="185" t="s">
        <v>3794</v>
      </c>
      <c r="BQ562" s="185" t="s">
        <v>3794</v>
      </c>
      <c r="BR562" s="73">
        <v>-140</v>
      </c>
      <c r="BT562" s="73">
        <v>140</v>
      </c>
      <c r="BW562" s="73"/>
      <c r="BY562" s="185" t="s">
        <v>3794</v>
      </c>
      <c r="CJ562" t="s">
        <v>25</v>
      </c>
      <c r="CK562" t="s">
        <v>25</v>
      </c>
      <c r="CL562" t="s">
        <v>38</v>
      </c>
      <c r="CM562" t="s">
        <v>25</v>
      </c>
      <c r="CN562" t="s">
        <v>25</v>
      </c>
      <c r="CO562" t="s">
        <v>25</v>
      </c>
      <c r="CP562" t="s">
        <v>25</v>
      </c>
      <c r="CQ562" t="s">
        <v>25</v>
      </c>
      <c r="CR562" t="s">
        <v>25</v>
      </c>
      <c r="CS562" t="s">
        <v>25</v>
      </c>
      <c r="CT562" t="s">
        <v>25</v>
      </c>
      <c r="CU562" t="s">
        <v>25</v>
      </c>
      <c r="CV562" t="s">
        <v>25</v>
      </c>
      <c r="CW562" t="s">
        <v>31</v>
      </c>
      <c r="CX562" t="s">
        <v>25</v>
      </c>
      <c r="CY562" t="s">
        <v>25</v>
      </c>
      <c r="CZ562" t="s">
        <v>25</v>
      </c>
      <c r="DA562" t="s">
        <v>25</v>
      </c>
      <c r="DB562" t="s">
        <v>25</v>
      </c>
      <c r="DC562" t="s">
        <v>25</v>
      </c>
      <c r="DD562" t="s">
        <v>25</v>
      </c>
      <c r="DE562" t="s">
        <v>25</v>
      </c>
      <c r="DF562" t="s">
        <v>25</v>
      </c>
      <c r="DG562" t="s">
        <v>25</v>
      </c>
      <c r="DH562" t="s">
        <v>25</v>
      </c>
      <c r="DI562" t="s">
        <v>25</v>
      </c>
      <c r="DJ562" s="76">
        <v>1.09999999403954E-2</v>
      </c>
      <c r="DK562" s="73">
        <v>140</v>
      </c>
      <c r="DL562" s="73">
        <v>140</v>
      </c>
      <c r="DM562" s="73">
        <v>0</v>
      </c>
      <c r="DU562"/>
      <c r="DV562" s="65" t="s">
        <v>126</v>
      </c>
      <c r="DW562" t="s">
        <v>131</v>
      </c>
      <c r="DZ562" s="73">
        <v>0</v>
      </c>
      <c r="EA562" s="73">
        <v>0</v>
      </c>
      <c r="EB562" s="73">
        <v>0</v>
      </c>
    </row>
    <row r="563" spans="1:133" ht="12" customHeight="1" x14ac:dyDescent="0.2">
      <c r="A563" t="s">
        <v>2936</v>
      </c>
      <c r="B563" t="s">
        <v>2946</v>
      </c>
      <c r="C563" t="str">
        <f t="shared" si="26"/>
        <v>Full</v>
      </c>
      <c r="D563" t="s">
        <v>2943</v>
      </c>
      <c r="E563" s="65">
        <v>6179</v>
      </c>
      <c r="F563" t="s">
        <v>2201</v>
      </c>
      <c r="G563" s="71" t="s">
        <v>2907</v>
      </c>
      <c r="H563" s="67">
        <v>2.0999999716877899E-2</v>
      </c>
      <c r="I563" s="65">
        <v>525196</v>
      </c>
      <c r="J563" s="65">
        <v>173412</v>
      </c>
      <c r="L563" s="65" t="s">
        <v>572</v>
      </c>
      <c r="M563" s="65" t="s">
        <v>27</v>
      </c>
      <c r="N563" s="69">
        <v>42431</v>
      </c>
      <c r="O563" s="69">
        <v>42513</v>
      </c>
      <c r="R563" s="65" t="s">
        <v>28</v>
      </c>
      <c r="U563" t="s">
        <v>786</v>
      </c>
      <c r="V563" t="s">
        <v>3523</v>
      </c>
      <c r="W563" s="65" t="s">
        <v>21</v>
      </c>
      <c r="X563" s="65" t="s">
        <v>21</v>
      </c>
      <c r="Y563" s="65" t="s">
        <v>35</v>
      </c>
      <c r="AA563" s="69">
        <v>42825</v>
      </c>
      <c r="AB563" s="69">
        <v>43190</v>
      </c>
      <c r="AC563" s="69">
        <v>43190</v>
      </c>
      <c r="AD563" s="65" t="s">
        <v>23</v>
      </c>
      <c r="AE563" s="65" t="s">
        <v>24</v>
      </c>
      <c r="AH563" s="69">
        <f t="shared" si="24"/>
        <v>42825</v>
      </c>
      <c r="AI563" s="69">
        <f t="shared" si="25"/>
        <v>43190</v>
      </c>
      <c r="AL563" s="73">
        <v>119</v>
      </c>
      <c r="AM563" s="73">
        <v>60</v>
      </c>
      <c r="AO563" s="73">
        <v>179</v>
      </c>
      <c r="BB563" s="73">
        <v>179</v>
      </c>
      <c r="BE563" s="73">
        <v>179</v>
      </c>
      <c r="BO563" s="185" t="s">
        <v>126</v>
      </c>
      <c r="BP563" s="185" t="s">
        <v>3794</v>
      </c>
      <c r="BQ563" s="185" t="s">
        <v>3794</v>
      </c>
      <c r="BT563" s="73">
        <v>-60</v>
      </c>
      <c r="BU563" s="73">
        <v>60</v>
      </c>
      <c r="BW563" s="73"/>
      <c r="BY563" s="185" t="s">
        <v>3794</v>
      </c>
      <c r="CJ563" t="s">
        <v>25</v>
      </c>
      <c r="CK563" t="s">
        <v>25</v>
      </c>
      <c r="CL563" t="s">
        <v>38</v>
      </c>
      <c r="CM563" t="s">
        <v>175</v>
      </c>
      <c r="CN563" t="s">
        <v>25</v>
      </c>
      <c r="CO563" t="s">
        <v>25</v>
      </c>
      <c r="CP563" t="s">
        <v>25</v>
      </c>
      <c r="CQ563" t="s">
        <v>25</v>
      </c>
      <c r="CR563" t="s">
        <v>25</v>
      </c>
      <c r="CS563" t="s">
        <v>25</v>
      </c>
      <c r="CT563" t="s">
        <v>25</v>
      </c>
      <c r="CU563" t="s">
        <v>25</v>
      </c>
      <c r="CV563" t="s">
        <v>25</v>
      </c>
      <c r="CW563" t="s">
        <v>25</v>
      </c>
      <c r="CX563" t="s">
        <v>25</v>
      </c>
      <c r="CY563" t="s">
        <v>38</v>
      </c>
      <c r="CZ563" t="s">
        <v>25</v>
      </c>
      <c r="DA563" t="s">
        <v>25</v>
      </c>
      <c r="DB563" t="s">
        <v>25</v>
      </c>
      <c r="DC563" t="s">
        <v>25</v>
      </c>
      <c r="DD563" t="s">
        <v>25</v>
      </c>
      <c r="DE563" t="s">
        <v>25</v>
      </c>
      <c r="DF563" t="s">
        <v>25</v>
      </c>
      <c r="DG563" t="s">
        <v>25</v>
      </c>
      <c r="DH563" t="s">
        <v>25</v>
      </c>
      <c r="DI563" t="s">
        <v>25</v>
      </c>
      <c r="DJ563" s="76">
        <v>2.0999999716877899E-2</v>
      </c>
      <c r="DK563" s="73">
        <v>179</v>
      </c>
      <c r="DL563" s="73">
        <v>179</v>
      </c>
      <c r="DM563" s="73">
        <v>0</v>
      </c>
      <c r="DU563"/>
      <c r="DZ563" s="73">
        <v>0</v>
      </c>
      <c r="EA563" s="73">
        <v>0</v>
      </c>
      <c r="EB563" s="73">
        <v>0</v>
      </c>
    </row>
    <row r="564" spans="1:133" ht="12" customHeight="1" x14ac:dyDescent="0.2">
      <c r="A564" t="s">
        <v>2937</v>
      </c>
      <c r="B564" t="s">
        <v>2946</v>
      </c>
      <c r="C564" t="str">
        <f t="shared" si="26"/>
        <v>Full</v>
      </c>
      <c r="E564" s="65">
        <v>6180</v>
      </c>
      <c r="F564" t="s">
        <v>2202</v>
      </c>
      <c r="G564" s="71" t="s">
        <v>150</v>
      </c>
      <c r="H564" s="67">
        <v>1.7999999225139601E-2</v>
      </c>
      <c r="I564" s="65">
        <v>527804</v>
      </c>
      <c r="J564" s="65">
        <v>172172</v>
      </c>
      <c r="L564" s="65" t="s">
        <v>580</v>
      </c>
      <c r="M564" s="65" t="s">
        <v>27</v>
      </c>
      <c r="N564" s="69">
        <v>42409</v>
      </c>
      <c r="O564" s="69">
        <v>42535</v>
      </c>
      <c r="R564" s="65" t="s">
        <v>28</v>
      </c>
      <c r="U564" t="s">
        <v>581</v>
      </c>
      <c r="V564" t="s">
        <v>3524</v>
      </c>
      <c r="W564" s="65" t="s">
        <v>34</v>
      </c>
      <c r="X564" s="65" t="s">
        <v>29</v>
      </c>
      <c r="Y564" s="65" t="s">
        <v>69</v>
      </c>
      <c r="AD564" s="65" t="s">
        <v>23</v>
      </c>
      <c r="AE564" s="65" t="s">
        <v>24</v>
      </c>
      <c r="AJ564" s="73">
        <v>52</v>
      </c>
      <c r="AO564" s="73">
        <v>52</v>
      </c>
      <c r="AZ564" s="73">
        <v>84</v>
      </c>
      <c r="BE564" s="73">
        <v>84</v>
      </c>
      <c r="BO564" s="185" t="s">
        <v>126</v>
      </c>
      <c r="BP564" s="185" t="s">
        <v>3794</v>
      </c>
      <c r="BQ564" s="185" t="s">
        <v>3794</v>
      </c>
      <c r="BR564" s="73">
        <v>-32</v>
      </c>
      <c r="BW564" s="73">
        <v>-32</v>
      </c>
      <c r="BY564" s="185" t="s">
        <v>3794</v>
      </c>
      <c r="CJ564" t="s">
        <v>25</v>
      </c>
      <c r="CK564" t="s">
        <v>25</v>
      </c>
      <c r="CL564" t="s">
        <v>25</v>
      </c>
      <c r="CM564" t="s">
        <v>25</v>
      </c>
      <c r="CN564" t="s">
        <v>25</v>
      </c>
      <c r="CO564" t="s">
        <v>25</v>
      </c>
      <c r="CP564" t="s">
        <v>25</v>
      </c>
      <c r="CQ564" t="s">
        <v>25</v>
      </c>
      <c r="CR564" t="s">
        <v>25</v>
      </c>
      <c r="CS564" t="s">
        <v>25</v>
      </c>
      <c r="CT564" t="s">
        <v>25</v>
      </c>
      <c r="CU564" t="s">
        <v>25</v>
      </c>
      <c r="CV564" t="s">
        <v>25</v>
      </c>
      <c r="CW564" t="s">
        <v>31</v>
      </c>
      <c r="CX564" t="s">
        <v>25</v>
      </c>
      <c r="CY564" t="s">
        <v>25</v>
      </c>
      <c r="CZ564" t="s">
        <v>25</v>
      </c>
      <c r="DA564" t="s">
        <v>25</v>
      </c>
      <c r="DB564" t="s">
        <v>25</v>
      </c>
      <c r="DC564" t="s">
        <v>25</v>
      </c>
      <c r="DD564" t="s">
        <v>25</v>
      </c>
      <c r="DE564" t="s">
        <v>25</v>
      </c>
      <c r="DF564" t="s">
        <v>25</v>
      </c>
      <c r="DG564" t="s">
        <v>25</v>
      </c>
      <c r="DH564" t="s">
        <v>25</v>
      </c>
      <c r="DI564" t="s">
        <v>25</v>
      </c>
      <c r="DJ564" s="76">
        <v>1.199999917298554E-2</v>
      </c>
      <c r="DK564" s="73">
        <v>52</v>
      </c>
      <c r="DL564" s="73">
        <v>84</v>
      </c>
      <c r="DM564" s="73">
        <v>-32</v>
      </c>
      <c r="DU564"/>
      <c r="DZ564" s="73">
        <v>64</v>
      </c>
      <c r="EA564" s="73">
        <v>0</v>
      </c>
      <c r="EB564" s="73">
        <v>64</v>
      </c>
      <c r="EC564" s="65" t="s">
        <v>126</v>
      </c>
    </row>
    <row r="565" spans="1:133" ht="12" customHeight="1" x14ac:dyDescent="0.2">
      <c r="A565" t="s">
        <v>2937</v>
      </c>
      <c r="B565" t="s">
        <v>2946</v>
      </c>
      <c r="C565" t="str">
        <f t="shared" si="26"/>
        <v>Full</v>
      </c>
      <c r="E565" s="65">
        <v>6181</v>
      </c>
      <c r="F565" t="s">
        <v>2203</v>
      </c>
      <c r="G565" s="71" t="s">
        <v>3949</v>
      </c>
      <c r="H565" s="67">
        <v>1.2000000104308101E-2</v>
      </c>
      <c r="I565" s="65">
        <v>525098</v>
      </c>
      <c r="J565" s="65">
        <v>174605</v>
      </c>
      <c r="L565" s="65" t="s">
        <v>615</v>
      </c>
      <c r="M565" s="65" t="s">
        <v>27</v>
      </c>
      <c r="N565" s="69">
        <v>42410</v>
      </c>
      <c r="O565" s="69">
        <v>42542</v>
      </c>
      <c r="R565" s="65" t="s">
        <v>28</v>
      </c>
      <c r="U565" t="s">
        <v>616</v>
      </c>
      <c r="V565" t="s">
        <v>3525</v>
      </c>
      <c r="W565" s="65" t="s">
        <v>34</v>
      </c>
      <c r="X565" s="65" t="s">
        <v>29</v>
      </c>
      <c r="Y565" s="65" t="s">
        <v>69</v>
      </c>
      <c r="AD565" s="65" t="s">
        <v>23</v>
      </c>
      <c r="AE565" s="65" t="s">
        <v>24</v>
      </c>
      <c r="AZ565" s="73">
        <v>86</v>
      </c>
      <c r="BE565" s="73">
        <v>86</v>
      </c>
      <c r="BO565" s="185" t="s">
        <v>126</v>
      </c>
      <c r="BP565" s="185" t="s">
        <v>3794</v>
      </c>
      <c r="BQ565" s="185" t="s">
        <v>3794</v>
      </c>
      <c r="BR565" s="73">
        <v>-86</v>
      </c>
      <c r="BW565" s="73">
        <v>-86</v>
      </c>
      <c r="BY565" s="185" t="s">
        <v>3794</v>
      </c>
      <c r="CJ565" t="s">
        <v>25</v>
      </c>
      <c r="CK565" t="s">
        <v>25</v>
      </c>
      <c r="CL565" t="s">
        <v>25</v>
      </c>
      <c r="CM565" t="s">
        <v>25</v>
      </c>
      <c r="CN565" t="s">
        <v>25</v>
      </c>
      <c r="CO565" t="s">
        <v>25</v>
      </c>
      <c r="CP565" t="s">
        <v>25</v>
      </c>
      <c r="CQ565" t="s">
        <v>25</v>
      </c>
      <c r="CR565" t="s">
        <v>25</v>
      </c>
      <c r="CS565" t="s">
        <v>25</v>
      </c>
      <c r="CT565" t="s">
        <v>25</v>
      </c>
      <c r="CU565" t="s">
        <v>25</v>
      </c>
      <c r="CV565" t="s">
        <v>25</v>
      </c>
      <c r="CW565" t="s">
        <v>31</v>
      </c>
      <c r="CX565" t="s">
        <v>25</v>
      </c>
      <c r="CY565" t="s">
        <v>25</v>
      </c>
      <c r="CZ565" t="s">
        <v>25</v>
      </c>
      <c r="DA565" t="s">
        <v>25</v>
      </c>
      <c r="DB565" t="s">
        <v>25</v>
      </c>
      <c r="DC565" t="s">
        <v>25</v>
      </c>
      <c r="DD565" t="s">
        <v>25</v>
      </c>
      <c r="DE565" t="s">
        <v>25</v>
      </c>
      <c r="DF565" t="s">
        <v>25</v>
      </c>
      <c r="DG565" t="s">
        <v>25</v>
      </c>
      <c r="DH565" t="s">
        <v>25</v>
      </c>
      <c r="DI565" t="s">
        <v>25</v>
      </c>
      <c r="DJ565" s="76">
        <v>7.9999999143182902E-3</v>
      </c>
      <c r="DK565" s="73">
        <v>0</v>
      </c>
      <c r="DL565" s="73">
        <v>86</v>
      </c>
      <c r="DM565" s="73">
        <v>-86</v>
      </c>
      <c r="DU565"/>
      <c r="DZ565" s="73">
        <v>79</v>
      </c>
      <c r="EA565" s="73">
        <v>0</v>
      </c>
      <c r="EB565" s="73">
        <v>79</v>
      </c>
      <c r="EC565" s="65" t="s">
        <v>126</v>
      </c>
    </row>
    <row r="566" spans="1:133" ht="12" customHeight="1" x14ac:dyDescent="0.2">
      <c r="A566" t="s">
        <v>2937</v>
      </c>
      <c r="B566" t="s">
        <v>2946</v>
      </c>
      <c r="C566" t="str">
        <f t="shared" si="26"/>
        <v>Full</v>
      </c>
      <c r="E566" s="65">
        <v>6182</v>
      </c>
      <c r="F566" t="s">
        <v>2204</v>
      </c>
      <c r="G566" s="71" t="s">
        <v>3949</v>
      </c>
      <c r="H566" s="67">
        <v>1.09999999403954E-2</v>
      </c>
      <c r="I566" s="65">
        <v>525093</v>
      </c>
      <c r="J566" s="65">
        <v>174604</v>
      </c>
      <c r="L566" s="65" t="s">
        <v>617</v>
      </c>
      <c r="M566" s="65" t="s">
        <v>27</v>
      </c>
      <c r="N566" s="69">
        <v>42410</v>
      </c>
      <c r="O566" s="69">
        <v>42466</v>
      </c>
      <c r="R566" s="65" t="s">
        <v>28</v>
      </c>
      <c r="U566" t="s">
        <v>618</v>
      </c>
      <c r="V566" t="s">
        <v>3526</v>
      </c>
      <c r="W566" s="65" t="s">
        <v>34</v>
      </c>
      <c r="X566" s="65" t="s">
        <v>29</v>
      </c>
      <c r="Y566" s="65" t="s">
        <v>69</v>
      </c>
      <c r="AD566" s="65" t="s">
        <v>23</v>
      </c>
      <c r="AE566" s="65" t="s">
        <v>24</v>
      </c>
      <c r="AZ566" s="73">
        <v>62</v>
      </c>
      <c r="BE566" s="73">
        <v>62</v>
      </c>
      <c r="BO566" s="185" t="s">
        <v>126</v>
      </c>
      <c r="BP566" s="185" t="s">
        <v>3794</v>
      </c>
      <c r="BQ566" s="185" t="s">
        <v>3794</v>
      </c>
      <c r="BR566" s="73">
        <v>-62</v>
      </c>
      <c r="BW566" s="73">
        <v>-62</v>
      </c>
      <c r="BY566" s="185" t="s">
        <v>3794</v>
      </c>
      <c r="CJ566" t="s">
        <v>25</v>
      </c>
      <c r="CK566" t="s">
        <v>25</v>
      </c>
      <c r="CL566" t="s">
        <v>25</v>
      </c>
      <c r="CM566" t="s">
        <v>25</v>
      </c>
      <c r="CN566" t="s">
        <v>25</v>
      </c>
      <c r="CO566" t="s">
        <v>25</v>
      </c>
      <c r="CP566" t="s">
        <v>25</v>
      </c>
      <c r="CQ566" t="s">
        <v>25</v>
      </c>
      <c r="CR566" t="s">
        <v>25</v>
      </c>
      <c r="CS566" t="s">
        <v>25</v>
      </c>
      <c r="CT566" t="s">
        <v>25</v>
      </c>
      <c r="CU566" t="s">
        <v>25</v>
      </c>
      <c r="CV566" t="s">
        <v>25</v>
      </c>
      <c r="CW566" t="s">
        <v>31</v>
      </c>
      <c r="CX566" t="s">
        <v>25</v>
      </c>
      <c r="CY566" t="s">
        <v>25</v>
      </c>
      <c r="CZ566" t="s">
        <v>25</v>
      </c>
      <c r="DA566" t="s">
        <v>25</v>
      </c>
      <c r="DB566" t="s">
        <v>25</v>
      </c>
      <c r="DC566" t="s">
        <v>25</v>
      </c>
      <c r="DD566" t="s">
        <v>25</v>
      </c>
      <c r="DE566" t="s">
        <v>25</v>
      </c>
      <c r="DF566" t="s">
        <v>25</v>
      </c>
      <c r="DG566" t="s">
        <v>25</v>
      </c>
      <c r="DH566" t="s">
        <v>25</v>
      </c>
      <c r="DI566" t="s">
        <v>25</v>
      </c>
      <c r="DJ566" s="76">
        <v>6.9999997504055899E-3</v>
      </c>
      <c r="DK566" s="73">
        <v>0</v>
      </c>
      <c r="DL566" s="73">
        <v>62</v>
      </c>
      <c r="DM566" s="73">
        <v>-62</v>
      </c>
      <c r="DU566"/>
      <c r="DZ566" s="73">
        <v>62</v>
      </c>
      <c r="EA566" s="73">
        <v>0</v>
      </c>
      <c r="EB566" s="73">
        <v>62</v>
      </c>
      <c r="EC566" s="65" t="s">
        <v>126</v>
      </c>
    </row>
    <row r="567" spans="1:133" ht="12" customHeight="1" x14ac:dyDescent="0.2">
      <c r="A567" t="s">
        <v>2937</v>
      </c>
      <c r="B567" t="s">
        <v>2946</v>
      </c>
      <c r="C567" t="str">
        <f t="shared" si="26"/>
        <v>Full</v>
      </c>
      <c r="E567" s="65">
        <v>6183</v>
      </c>
      <c r="F567" t="s">
        <v>2205</v>
      </c>
      <c r="G567" s="71" t="s">
        <v>3949</v>
      </c>
      <c r="H567" s="67">
        <v>1.30000002682209E-2</v>
      </c>
      <c r="I567" s="65">
        <v>525104</v>
      </c>
      <c r="J567" s="65">
        <v>174606</v>
      </c>
      <c r="L567" s="65" t="s">
        <v>619</v>
      </c>
      <c r="M567" s="65" t="s">
        <v>27</v>
      </c>
      <c r="N567" s="69">
        <v>42401</v>
      </c>
      <c r="O567" s="69">
        <v>42542</v>
      </c>
      <c r="R567" s="65" t="s">
        <v>28</v>
      </c>
      <c r="U567" t="s">
        <v>620</v>
      </c>
      <c r="V567" t="s">
        <v>3527</v>
      </c>
      <c r="W567" s="65" t="s">
        <v>34</v>
      </c>
      <c r="X567" s="65" t="s">
        <v>29</v>
      </c>
      <c r="Y567" s="65" t="s">
        <v>69</v>
      </c>
      <c r="AD567" s="65" t="s">
        <v>23</v>
      </c>
      <c r="AE567" s="65" t="s">
        <v>24</v>
      </c>
      <c r="AZ567" s="73">
        <v>67</v>
      </c>
      <c r="BE567" s="73">
        <v>67</v>
      </c>
      <c r="BO567" s="185" t="s">
        <v>126</v>
      </c>
      <c r="BP567" s="185" t="s">
        <v>3794</v>
      </c>
      <c r="BQ567" s="185" t="s">
        <v>3794</v>
      </c>
      <c r="BR567" s="73">
        <v>-67</v>
      </c>
      <c r="BW567" s="73">
        <v>-67</v>
      </c>
      <c r="BY567" s="185" t="s">
        <v>3794</v>
      </c>
      <c r="CJ567" t="s">
        <v>25</v>
      </c>
      <c r="CK567" t="s">
        <v>25</v>
      </c>
      <c r="CL567" t="s">
        <v>25</v>
      </c>
      <c r="CM567" t="s">
        <v>25</v>
      </c>
      <c r="CN567" t="s">
        <v>25</v>
      </c>
      <c r="CO567" t="s">
        <v>25</v>
      </c>
      <c r="CP567" t="s">
        <v>25</v>
      </c>
      <c r="CQ567" t="s">
        <v>25</v>
      </c>
      <c r="CR567" t="s">
        <v>25</v>
      </c>
      <c r="CS567" t="s">
        <v>25</v>
      </c>
      <c r="CT567" t="s">
        <v>25</v>
      </c>
      <c r="CU567" t="s">
        <v>25</v>
      </c>
      <c r="CV567" t="s">
        <v>25</v>
      </c>
      <c r="CW567" t="s">
        <v>31</v>
      </c>
      <c r="CX567" t="s">
        <v>25</v>
      </c>
      <c r="CY567" t="s">
        <v>25</v>
      </c>
      <c r="CZ567" t="s">
        <v>25</v>
      </c>
      <c r="DA567" t="s">
        <v>25</v>
      </c>
      <c r="DB567" t="s">
        <v>25</v>
      </c>
      <c r="DC567" t="s">
        <v>25</v>
      </c>
      <c r="DD567" t="s">
        <v>25</v>
      </c>
      <c r="DE567" t="s">
        <v>25</v>
      </c>
      <c r="DF567" t="s">
        <v>25</v>
      </c>
      <c r="DG567" t="s">
        <v>25</v>
      </c>
      <c r="DH567" t="s">
        <v>25</v>
      </c>
      <c r="DI567" t="s">
        <v>25</v>
      </c>
      <c r="DJ567" s="76">
        <v>9.0000000782310893E-3</v>
      </c>
      <c r="DK567" s="73">
        <v>0</v>
      </c>
      <c r="DL567" s="73">
        <v>67</v>
      </c>
      <c r="DM567" s="73">
        <v>-67</v>
      </c>
      <c r="DU567"/>
      <c r="DZ567" s="73">
        <v>70</v>
      </c>
      <c r="EA567" s="73">
        <v>0</v>
      </c>
      <c r="EB567" s="73">
        <v>70</v>
      </c>
      <c r="EC567" s="65" t="s">
        <v>126</v>
      </c>
    </row>
    <row r="568" spans="1:133" ht="12" customHeight="1" x14ac:dyDescent="0.2">
      <c r="A568" t="s">
        <v>2937</v>
      </c>
      <c r="B568" t="s">
        <v>2946</v>
      </c>
      <c r="C568" t="str">
        <f t="shared" si="26"/>
        <v>Full</v>
      </c>
      <c r="E568" s="65">
        <v>6184</v>
      </c>
      <c r="F568" t="s">
        <v>2206</v>
      </c>
      <c r="G568" s="71" t="s">
        <v>3949</v>
      </c>
      <c r="H568" s="67">
        <v>9.9999997764825804E-3</v>
      </c>
      <c r="I568" s="65">
        <v>524026</v>
      </c>
      <c r="J568" s="65">
        <v>174714</v>
      </c>
      <c r="L568" s="65" t="s">
        <v>807</v>
      </c>
      <c r="M568" s="65" t="s">
        <v>27</v>
      </c>
      <c r="N568" s="69">
        <v>42418</v>
      </c>
      <c r="O568" s="69">
        <v>42537</v>
      </c>
      <c r="R568" s="65" t="s">
        <v>28</v>
      </c>
      <c r="U568" t="s">
        <v>808</v>
      </c>
      <c r="V568" t="s">
        <v>3528</v>
      </c>
      <c r="W568" s="65" t="s">
        <v>21</v>
      </c>
      <c r="X568" s="65" t="s">
        <v>21</v>
      </c>
      <c r="Y568" s="65" t="s">
        <v>69</v>
      </c>
      <c r="AD568" s="65" t="s">
        <v>23</v>
      </c>
      <c r="AE568" s="65" t="s">
        <v>24</v>
      </c>
      <c r="BJ568" s="73">
        <v>83</v>
      </c>
      <c r="BK568" s="73">
        <v>83</v>
      </c>
      <c r="BO568" s="185" t="s">
        <v>3794</v>
      </c>
      <c r="BP568" s="185" t="s">
        <v>126</v>
      </c>
      <c r="BQ568" s="185" t="s">
        <v>3794</v>
      </c>
      <c r="BW568" s="73"/>
      <c r="BY568" s="185" t="s">
        <v>3794</v>
      </c>
      <c r="CC568" s="73">
        <v>-83</v>
      </c>
      <c r="CD568" s="73">
        <v>-83</v>
      </c>
      <c r="CE568" s="65" t="s">
        <v>126</v>
      </c>
      <c r="CJ568" t="s">
        <v>25</v>
      </c>
      <c r="CK568" t="s">
        <v>25</v>
      </c>
      <c r="CL568" t="s">
        <v>25</v>
      </c>
      <c r="CM568" t="s">
        <v>25</v>
      </c>
      <c r="CN568" t="s">
        <v>25</v>
      </c>
      <c r="CO568" t="s">
        <v>25</v>
      </c>
      <c r="CP568" t="s">
        <v>25</v>
      </c>
      <c r="CQ568" t="s">
        <v>25</v>
      </c>
      <c r="CR568" t="s">
        <v>25</v>
      </c>
      <c r="CS568" t="s">
        <v>25</v>
      </c>
      <c r="CT568" t="s">
        <v>25</v>
      </c>
      <c r="CU568" t="s">
        <v>25</v>
      </c>
      <c r="CV568" t="s">
        <v>25</v>
      </c>
      <c r="CW568" t="s">
        <v>25</v>
      </c>
      <c r="CX568" t="s">
        <v>25</v>
      </c>
      <c r="CY568" t="s">
        <v>25</v>
      </c>
      <c r="CZ568" t="s">
        <v>25</v>
      </c>
      <c r="DA568" t="s">
        <v>25</v>
      </c>
      <c r="DB568" t="s">
        <v>25</v>
      </c>
      <c r="DC568" t="s">
        <v>25</v>
      </c>
      <c r="DD568" t="s">
        <v>25</v>
      </c>
      <c r="DE568" t="s">
        <v>25</v>
      </c>
      <c r="DF568" t="s">
        <v>49</v>
      </c>
      <c r="DG568" t="s">
        <v>25</v>
      </c>
      <c r="DH568" t="s">
        <v>25</v>
      </c>
      <c r="DI568" t="s">
        <v>25</v>
      </c>
      <c r="DJ568" s="76">
        <v>6.99999975040555E-3</v>
      </c>
      <c r="DK568" s="73">
        <v>0</v>
      </c>
      <c r="DL568" s="73">
        <v>83</v>
      </c>
      <c r="DM568" s="73">
        <v>-83</v>
      </c>
      <c r="DU568"/>
      <c r="DZ568" s="73">
        <v>66</v>
      </c>
      <c r="EA568" s="73">
        <v>0</v>
      </c>
      <c r="EB568" s="73">
        <v>66</v>
      </c>
      <c r="EC568" s="65" t="s">
        <v>126</v>
      </c>
    </row>
    <row r="569" spans="1:133" ht="12" customHeight="1" x14ac:dyDescent="0.2">
      <c r="A569" t="s">
        <v>2936</v>
      </c>
      <c r="B569" t="s">
        <v>2946</v>
      </c>
      <c r="C569" t="str">
        <f t="shared" si="26"/>
        <v>Full</v>
      </c>
      <c r="D569" t="s">
        <v>2942</v>
      </c>
      <c r="E569" s="65">
        <v>6187</v>
      </c>
      <c r="F569" t="s">
        <v>2207</v>
      </c>
      <c r="G569" s="71" t="s">
        <v>149</v>
      </c>
      <c r="H569" s="67">
        <v>2.9999999329447701E-2</v>
      </c>
      <c r="I569" s="65">
        <v>528827</v>
      </c>
      <c r="J569" s="65">
        <v>173841</v>
      </c>
      <c r="L569" s="65" t="s">
        <v>1285</v>
      </c>
      <c r="M569" s="65" t="s">
        <v>27</v>
      </c>
      <c r="N569" s="69">
        <v>42795</v>
      </c>
      <c r="O569" s="69">
        <v>42877</v>
      </c>
      <c r="P569" s="65" t="s">
        <v>126</v>
      </c>
      <c r="R569" s="65" t="s">
        <v>28</v>
      </c>
      <c r="U569" t="s">
        <v>1286</v>
      </c>
      <c r="V569" t="s">
        <v>3529</v>
      </c>
      <c r="W569" s="65" t="s">
        <v>34</v>
      </c>
      <c r="X569" s="65" t="s">
        <v>29</v>
      </c>
      <c r="Y569" s="65" t="s">
        <v>22</v>
      </c>
      <c r="AA569" s="69">
        <v>42936</v>
      </c>
      <c r="AB569" s="69">
        <v>43190</v>
      </c>
      <c r="AD569" s="65" t="s">
        <v>23</v>
      </c>
      <c r="AE569" s="65" t="s">
        <v>24</v>
      </c>
      <c r="AH569" s="69">
        <f t="shared" si="24"/>
        <v>42936</v>
      </c>
      <c r="AI569" s="69">
        <f t="shared" si="25"/>
        <v>43190</v>
      </c>
      <c r="BF569" s="73">
        <v>440</v>
      </c>
      <c r="BK569" s="73">
        <v>440</v>
      </c>
      <c r="BO569" s="185" t="s">
        <v>3794</v>
      </c>
      <c r="BP569" s="185" t="s">
        <v>126</v>
      </c>
      <c r="BQ569" s="185" t="s">
        <v>3794</v>
      </c>
      <c r="BW569" s="73"/>
      <c r="BX569" s="73">
        <v>-440</v>
      </c>
      <c r="BY569" s="185" t="s">
        <v>126</v>
      </c>
      <c r="CD569" s="73">
        <v>-440</v>
      </c>
      <c r="CE569" s="65" t="s">
        <v>126</v>
      </c>
      <c r="CJ569" t="s">
        <v>25</v>
      </c>
      <c r="CK569" t="s">
        <v>25</v>
      </c>
      <c r="CL569" t="s">
        <v>25</v>
      </c>
      <c r="CM569" t="s">
        <v>25</v>
      </c>
      <c r="CN569" t="s">
        <v>25</v>
      </c>
      <c r="CO569" t="s">
        <v>25</v>
      </c>
      <c r="CP569" t="s">
        <v>25</v>
      </c>
      <c r="CQ569" t="s">
        <v>25</v>
      </c>
      <c r="CR569" t="s">
        <v>25</v>
      </c>
      <c r="CS569" t="s">
        <v>25</v>
      </c>
      <c r="CT569" t="s">
        <v>25</v>
      </c>
      <c r="CU569" t="s">
        <v>25</v>
      </c>
      <c r="CV569" t="s">
        <v>25</v>
      </c>
      <c r="CW569" t="s">
        <v>25</v>
      </c>
      <c r="CX569" t="s">
        <v>25</v>
      </c>
      <c r="CY569" t="s">
        <v>25</v>
      </c>
      <c r="CZ569" t="s">
        <v>25</v>
      </c>
      <c r="DA569" t="s">
        <v>25</v>
      </c>
      <c r="DB569" t="s">
        <v>47</v>
      </c>
      <c r="DC569" t="s">
        <v>25</v>
      </c>
      <c r="DD569" t="s">
        <v>25</v>
      </c>
      <c r="DE569" t="s">
        <v>25</v>
      </c>
      <c r="DF569" t="s">
        <v>25</v>
      </c>
      <c r="DG569" t="s">
        <v>25</v>
      </c>
      <c r="DH569" t="s">
        <v>25</v>
      </c>
      <c r="DI569" t="s">
        <v>25</v>
      </c>
      <c r="DJ569" s="76">
        <v>0</v>
      </c>
      <c r="DK569" s="73">
        <v>0</v>
      </c>
      <c r="DL569" s="73">
        <v>440</v>
      </c>
      <c r="DM569" s="73">
        <v>-440</v>
      </c>
      <c r="DU569"/>
      <c r="DZ569" s="73">
        <v>621</v>
      </c>
      <c r="EA569" s="73">
        <v>0</v>
      </c>
      <c r="EB569" s="73">
        <v>621</v>
      </c>
      <c r="EC569" s="65" t="s">
        <v>126</v>
      </c>
    </row>
    <row r="570" spans="1:133" ht="12" customHeight="1" x14ac:dyDescent="0.2">
      <c r="A570" t="s">
        <v>2937</v>
      </c>
      <c r="B570" t="s">
        <v>2946</v>
      </c>
      <c r="C570" t="str">
        <f t="shared" si="26"/>
        <v>Full</v>
      </c>
      <c r="E570" s="65">
        <v>6188</v>
      </c>
      <c r="F570" t="s">
        <v>2208</v>
      </c>
      <c r="G570" s="71" t="s">
        <v>2904</v>
      </c>
      <c r="H570" s="67">
        <v>0.13400000333786</v>
      </c>
      <c r="I570" s="65">
        <v>525924</v>
      </c>
      <c r="J570" s="65">
        <v>173800</v>
      </c>
      <c r="L570" s="65" t="s">
        <v>2209</v>
      </c>
      <c r="M570" s="65" t="s">
        <v>27</v>
      </c>
      <c r="N570" s="69">
        <v>42961</v>
      </c>
      <c r="O570" s="69">
        <v>43027</v>
      </c>
      <c r="P570" s="65" t="s">
        <v>126</v>
      </c>
      <c r="R570" s="65" t="s">
        <v>28</v>
      </c>
      <c r="U570" t="s">
        <v>2210</v>
      </c>
      <c r="V570" t="s">
        <v>3530</v>
      </c>
      <c r="W570" s="65" t="s">
        <v>34</v>
      </c>
      <c r="X570" s="65" t="s">
        <v>29</v>
      </c>
      <c r="Y570" s="65" t="s">
        <v>69</v>
      </c>
      <c r="AD570" s="65" t="s">
        <v>23</v>
      </c>
      <c r="AE570" s="65" t="s">
        <v>24</v>
      </c>
      <c r="BF570" s="73">
        <v>233</v>
      </c>
      <c r="BK570" s="73">
        <v>233</v>
      </c>
      <c r="BO570" s="185" t="s">
        <v>3794</v>
      </c>
      <c r="BP570" s="185" t="s">
        <v>126</v>
      </c>
      <c r="BQ570" s="185" t="s">
        <v>3794</v>
      </c>
      <c r="BW570" s="73"/>
      <c r="BX570" s="73">
        <v>-233</v>
      </c>
      <c r="BY570" s="185" t="s">
        <v>126</v>
      </c>
      <c r="CD570" s="73">
        <v>-233</v>
      </c>
      <c r="CE570" s="65" t="s">
        <v>126</v>
      </c>
      <c r="CJ570" t="s">
        <v>25</v>
      </c>
      <c r="CK570" t="s">
        <v>25</v>
      </c>
      <c r="CL570" t="s">
        <v>25</v>
      </c>
      <c r="CM570" t="s">
        <v>25</v>
      </c>
      <c r="CN570" t="s">
        <v>25</v>
      </c>
      <c r="CO570" t="s">
        <v>25</v>
      </c>
      <c r="CP570" t="s">
        <v>25</v>
      </c>
      <c r="CQ570" t="s">
        <v>25</v>
      </c>
      <c r="CR570" t="s">
        <v>25</v>
      </c>
      <c r="CS570" t="s">
        <v>25</v>
      </c>
      <c r="CT570" t="s">
        <v>25</v>
      </c>
      <c r="CU570" t="s">
        <v>25</v>
      </c>
      <c r="CV570" t="s">
        <v>25</v>
      </c>
      <c r="CW570" t="s">
        <v>25</v>
      </c>
      <c r="CX570" t="s">
        <v>25</v>
      </c>
      <c r="CY570" t="s">
        <v>25</v>
      </c>
      <c r="CZ570" t="s">
        <v>25</v>
      </c>
      <c r="DA570" t="s">
        <v>25</v>
      </c>
      <c r="DB570" t="s">
        <v>47</v>
      </c>
      <c r="DC570" t="s">
        <v>25</v>
      </c>
      <c r="DD570" t="s">
        <v>25</v>
      </c>
      <c r="DE570" t="s">
        <v>25</v>
      </c>
      <c r="DF570" t="s">
        <v>25</v>
      </c>
      <c r="DG570" t="s">
        <v>25</v>
      </c>
      <c r="DH570" t="s">
        <v>25</v>
      </c>
      <c r="DI570" t="s">
        <v>25</v>
      </c>
      <c r="DJ570" s="76">
        <v>9.6000002697110093E-2</v>
      </c>
      <c r="DK570" s="73">
        <v>0</v>
      </c>
      <c r="DL570" s="73">
        <v>275</v>
      </c>
      <c r="DM570" s="73">
        <v>-275</v>
      </c>
      <c r="DU570"/>
      <c r="DZ570" s="73">
        <v>388</v>
      </c>
      <c r="EA570" s="73">
        <v>0</v>
      </c>
      <c r="EB570" s="73">
        <v>388</v>
      </c>
      <c r="EC570" s="65" t="s">
        <v>126</v>
      </c>
    </row>
    <row r="571" spans="1:133" ht="12" customHeight="1" x14ac:dyDescent="0.2">
      <c r="A571" t="s">
        <v>2937</v>
      </c>
      <c r="B571" t="s">
        <v>2946</v>
      </c>
      <c r="C571" t="str">
        <f t="shared" si="26"/>
        <v>Full</v>
      </c>
      <c r="E571" s="65">
        <v>6191</v>
      </c>
      <c r="F571" t="s">
        <v>2211</v>
      </c>
      <c r="G571" s="71" t="s">
        <v>3942</v>
      </c>
      <c r="H571" s="67">
        <v>4.0000001899898104E-3</v>
      </c>
      <c r="I571" s="65">
        <v>527606</v>
      </c>
      <c r="J571" s="65">
        <v>174610</v>
      </c>
      <c r="L571" s="65" t="s">
        <v>624</v>
      </c>
      <c r="M571" s="65" t="s">
        <v>27</v>
      </c>
      <c r="N571" s="69">
        <v>42415</v>
      </c>
      <c r="O571" s="69">
        <v>42527</v>
      </c>
      <c r="R571" s="65" t="s">
        <v>28</v>
      </c>
      <c r="U571" t="s">
        <v>625</v>
      </c>
      <c r="V571" t="s">
        <v>3531</v>
      </c>
      <c r="W571" s="65" t="s">
        <v>34</v>
      </c>
      <c r="X571" s="65" t="s">
        <v>29</v>
      </c>
      <c r="Y571" s="65" t="s">
        <v>69</v>
      </c>
      <c r="AD571" s="65" t="s">
        <v>23</v>
      </c>
      <c r="AE571" s="65" t="s">
        <v>24</v>
      </c>
      <c r="BF571" s="73">
        <v>43</v>
      </c>
      <c r="BK571" s="73">
        <v>43</v>
      </c>
      <c r="BO571" s="185" t="s">
        <v>3794</v>
      </c>
      <c r="BP571" s="185" t="s">
        <v>126</v>
      </c>
      <c r="BQ571" s="185" t="s">
        <v>3794</v>
      </c>
      <c r="BW571" s="73"/>
      <c r="BX571" s="73">
        <v>-43</v>
      </c>
      <c r="BY571" s="185" t="s">
        <v>126</v>
      </c>
      <c r="CD571" s="73">
        <v>-43</v>
      </c>
      <c r="CE571" s="65" t="s">
        <v>126</v>
      </c>
      <c r="CJ571" t="s">
        <v>25</v>
      </c>
      <c r="CK571" t="s">
        <v>25</v>
      </c>
      <c r="CL571" t="s">
        <v>25</v>
      </c>
      <c r="CM571" t="s">
        <v>25</v>
      </c>
      <c r="CN571" t="s">
        <v>25</v>
      </c>
      <c r="CO571" t="s">
        <v>25</v>
      </c>
      <c r="CP571" t="s">
        <v>25</v>
      </c>
      <c r="CQ571" t="s">
        <v>25</v>
      </c>
      <c r="CR571" t="s">
        <v>25</v>
      </c>
      <c r="CS571" t="s">
        <v>25</v>
      </c>
      <c r="CT571" t="s">
        <v>25</v>
      </c>
      <c r="CU571" t="s">
        <v>25</v>
      </c>
      <c r="CV571" t="s">
        <v>25</v>
      </c>
      <c r="CW571" t="s">
        <v>25</v>
      </c>
      <c r="CX571" t="s">
        <v>25</v>
      </c>
      <c r="CY571" t="s">
        <v>25</v>
      </c>
      <c r="CZ571" t="s">
        <v>25</v>
      </c>
      <c r="DA571" t="s">
        <v>25</v>
      </c>
      <c r="DB571" t="s">
        <v>31</v>
      </c>
      <c r="DC571" t="s">
        <v>25</v>
      </c>
      <c r="DD571" t="s">
        <v>25</v>
      </c>
      <c r="DE571" t="s">
        <v>25</v>
      </c>
      <c r="DF571" t="s">
        <v>25</v>
      </c>
      <c r="DG571" t="s">
        <v>25</v>
      </c>
      <c r="DH571" t="s">
        <v>25</v>
      </c>
      <c r="DI571" t="s">
        <v>25</v>
      </c>
      <c r="DJ571" s="76">
        <v>0</v>
      </c>
      <c r="DK571" s="73">
        <v>0</v>
      </c>
      <c r="DL571" s="73">
        <v>43</v>
      </c>
      <c r="DM571" s="73">
        <v>-43</v>
      </c>
      <c r="DU571"/>
      <c r="DZ571" s="73">
        <v>65</v>
      </c>
      <c r="EA571" s="73">
        <v>0</v>
      </c>
      <c r="EB571" s="73">
        <v>65</v>
      </c>
      <c r="EC571" s="65" t="s">
        <v>126</v>
      </c>
    </row>
    <row r="572" spans="1:133" ht="12" customHeight="1" x14ac:dyDescent="0.2">
      <c r="A572" t="s">
        <v>2936</v>
      </c>
      <c r="B572" t="s">
        <v>2946</v>
      </c>
      <c r="C572" t="str">
        <f t="shared" si="26"/>
        <v>Full</v>
      </c>
      <c r="D572" t="s">
        <v>2943</v>
      </c>
      <c r="E572" s="65">
        <v>6194</v>
      </c>
      <c r="F572" t="s">
        <v>2212</v>
      </c>
      <c r="G572" s="71" t="s">
        <v>3946</v>
      </c>
      <c r="H572" s="67">
        <v>6.0000000521540598E-3</v>
      </c>
      <c r="I572" s="65">
        <v>523639</v>
      </c>
      <c r="J572" s="65">
        <v>175824</v>
      </c>
      <c r="L572" s="65" t="s">
        <v>1231</v>
      </c>
      <c r="M572" s="65" t="s">
        <v>27</v>
      </c>
      <c r="N572" s="69">
        <v>42775</v>
      </c>
      <c r="O572" s="69">
        <v>42831</v>
      </c>
      <c r="P572" s="65" t="s">
        <v>126</v>
      </c>
      <c r="R572" s="65" t="s">
        <v>28</v>
      </c>
      <c r="U572" t="s">
        <v>1232</v>
      </c>
      <c r="V572" t="s">
        <v>3532</v>
      </c>
      <c r="W572" s="65" t="s">
        <v>21</v>
      </c>
      <c r="X572" s="65" t="s">
        <v>21</v>
      </c>
      <c r="Y572" s="65" t="s">
        <v>35</v>
      </c>
      <c r="AA572" s="69">
        <v>42125</v>
      </c>
      <c r="AB572" s="69">
        <v>42856</v>
      </c>
      <c r="AC572" s="69">
        <v>42856</v>
      </c>
      <c r="AD572" s="65" t="s">
        <v>23</v>
      </c>
      <c r="AE572" s="65" t="s">
        <v>24</v>
      </c>
      <c r="AH572" s="69">
        <f t="shared" ref="AH572:AH633" si="27">AA572</f>
        <v>42125</v>
      </c>
      <c r="AI572" s="69">
        <f t="shared" ref="AI572:AI633" si="28">AB572</f>
        <v>42856</v>
      </c>
      <c r="AL572" s="73">
        <v>35</v>
      </c>
      <c r="AO572" s="73">
        <v>35</v>
      </c>
      <c r="AZ572" s="73">
        <v>35</v>
      </c>
      <c r="BE572" s="73">
        <v>35</v>
      </c>
      <c r="BO572" s="185" t="s">
        <v>126</v>
      </c>
      <c r="BP572" s="185" t="s">
        <v>3794</v>
      </c>
      <c r="BQ572" s="185" t="s">
        <v>3794</v>
      </c>
      <c r="BR572" s="73">
        <v>-35</v>
      </c>
      <c r="BT572" s="73">
        <v>35</v>
      </c>
      <c r="BW572" s="73"/>
      <c r="BY572" s="185" t="s">
        <v>3794</v>
      </c>
      <c r="CJ572" t="s">
        <v>25</v>
      </c>
      <c r="CK572" t="s">
        <v>25</v>
      </c>
      <c r="CL572" t="s">
        <v>50</v>
      </c>
      <c r="CM572" t="s">
        <v>25</v>
      </c>
      <c r="CN572" t="s">
        <v>25</v>
      </c>
      <c r="CO572" t="s">
        <v>25</v>
      </c>
      <c r="CP572" t="s">
        <v>25</v>
      </c>
      <c r="CQ572" t="s">
        <v>25</v>
      </c>
      <c r="CR572" t="s">
        <v>25</v>
      </c>
      <c r="CS572" t="s">
        <v>25</v>
      </c>
      <c r="CT572" t="s">
        <v>25</v>
      </c>
      <c r="CU572" t="s">
        <v>25</v>
      </c>
      <c r="CV572" t="s">
        <v>25</v>
      </c>
      <c r="CW572" t="s">
        <v>31</v>
      </c>
      <c r="CX572" t="s">
        <v>25</v>
      </c>
      <c r="CY572" t="s">
        <v>25</v>
      </c>
      <c r="CZ572" t="s">
        <v>25</v>
      </c>
      <c r="DA572" t="s">
        <v>25</v>
      </c>
      <c r="DB572" t="s">
        <v>25</v>
      </c>
      <c r="DC572" t="s">
        <v>25</v>
      </c>
      <c r="DD572" t="s">
        <v>25</v>
      </c>
      <c r="DE572" t="s">
        <v>25</v>
      </c>
      <c r="DF572" t="s">
        <v>25</v>
      </c>
      <c r="DG572" t="s">
        <v>25</v>
      </c>
      <c r="DH572" t="s">
        <v>25</v>
      </c>
      <c r="DI572" t="s">
        <v>25</v>
      </c>
      <c r="DJ572" s="76">
        <v>6.0000000521540598E-3</v>
      </c>
      <c r="DK572" s="73">
        <v>35</v>
      </c>
      <c r="DL572" s="73">
        <v>35</v>
      </c>
      <c r="DM572" s="73">
        <v>0</v>
      </c>
      <c r="DU572"/>
      <c r="DZ572" s="73">
        <v>0</v>
      </c>
      <c r="EA572" s="73">
        <v>0</v>
      </c>
      <c r="EB572" s="73">
        <v>0</v>
      </c>
    </row>
    <row r="573" spans="1:133" ht="12" customHeight="1" x14ac:dyDescent="0.2">
      <c r="A573" t="s">
        <v>2937</v>
      </c>
      <c r="B573" t="s">
        <v>2946</v>
      </c>
      <c r="C573" t="str">
        <f t="shared" si="26"/>
        <v>Full</v>
      </c>
      <c r="E573" s="65">
        <v>6196</v>
      </c>
      <c r="F573" t="s">
        <v>2213</v>
      </c>
      <c r="G573" s="71" t="s">
        <v>3952</v>
      </c>
      <c r="H573" s="67">
        <v>8.9999996125698107E-3</v>
      </c>
      <c r="I573" s="65">
        <v>528701</v>
      </c>
      <c r="J573" s="65">
        <v>172342</v>
      </c>
      <c r="L573" s="65" t="s">
        <v>1050</v>
      </c>
      <c r="M573" s="65" t="s">
        <v>27</v>
      </c>
      <c r="N573" s="69">
        <v>42625</v>
      </c>
      <c r="O573" s="69">
        <v>42723</v>
      </c>
      <c r="R573" s="65" t="s">
        <v>28</v>
      </c>
      <c r="U573" t="s">
        <v>1051</v>
      </c>
      <c r="V573" t="s">
        <v>3533</v>
      </c>
      <c r="W573" s="65" t="s">
        <v>29</v>
      </c>
      <c r="X573" s="65" t="s">
        <v>29</v>
      </c>
      <c r="Y573" s="65" t="s">
        <v>69</v>
      </c>
      <c r="AD573" s="65" t="s">
        <v>23</v>
      </c>
      <c r="AE573" s="65" t="s">
        <v>24</v>
      </c>
      <c r="BO573" s="185" t="s">
        <v>3794</v>
      </c>
      <c r="BP573" s="185" t="s">
        <v>3794</v>
      </c>
      <c r="BQ573" s="185" t="s">
        <v>3794</v>
      </c>
      <c r="BW573" s="73"/>
      <c r="BY573" s="185" t="s">
        <v>3794</v>
      </c>
      <c r="CJ573" t="s">
        <v>25</v>
      </c>
      <c r="CK573" t="s">
        <v>25</v>
      </c>
      <c r="CL573" t="s">
        <v>25</v>
      </c>
      <c r="CM573" t="s">
        <v>25</v>
      </c>
      <c r="CN573" t="s">
        <v>25</v>
      </c>
      <c r="CO573" t="s">
        <v>25</v>
      </c>
      <c r="CP573" t="s">
        <v>25</v>
      </c>
      <c r="CQ573" t="s">
        <v>25</v>
      </c>
      <c r="CR573" t="s">
        <v>25</v>
      </c>
      <c r="CS573" t="s">
        <v>25</v>
      </c>
      <c r="CT573" t="s">
        <v>25</v>
      </c>
      <c r="CU573" t="s">
        <v>25</v>
      </c>
      <c r="CV573" t="s">
        <v>25</v>
      </c>
      <c r="CW573" t="s">
        <v>25</v>
      </c>
      <c r="CX573" t="s">
        <v>25</v>
      </c>
      <c r="CY573" t="s">
        <v>25</v>
      </c>
      <c r="CZ573" t="s">
        <v>25</v>
      </c>
      <c r="DA573" t="s">
        <v>25</v>
      </c>
      <c r="DB573" t="s">
        <v>25</v>
      </c>
      <c r="DC573" t="s">
        <v>25</v>
      </c>
      <c r="DD573" t="s">
        <v>25</v>
      </c>
      <c r="DE573" t="s">
        <v>25</v>
      </c>
      <c r="DF573" t="s">
        <v>25</v>
      </c>
      <c r="DG573" t="s">
        <v>25</v>
      </c>
      <c r="DH573" t="s">
        <v>25</v>
      </c>
      <c r="DI573" t="s">
        <v>25</v>
      </c>
      <c r="DJ573" s="76">
        <v>0</v>
      </c>
      <c r="DK573" s="73">
        <v>0</v>
      </c>
      <c r="DL573" s="73">
        <v>30</v>
      </c>
      <c r="DM573" s="73">
        <v>-30</v>
      </c>
      <c r="DU573"/>
      <c r="DZ573" s="73">
        <v>76</v>
      </c>
      <c r="EA573" s="73">
        <v>0</v>
      </c>
      <c r="EB573" s="73">
        <v>76</v>
      </c>
      <c r="EC573" s="65" t="s">
        <v>126</v>
      </c>
    </row>
    <row r="574" spans="1:133" ht="12" customHeight="1" x14ac:dyDescent="0.2">
      <c r="A574" t="s">
        <v>2938</v>
      </c>
      <c r="B574" t="s">
        <v>2949</v>
      </c>
      <c r="C574" t="str">
        <f t="shared" si="26"/>
        <v>Certificate of Lawful Development</v>
      </c>
      <c r="E574" s="65">
        <v>6204</v>
      </c>
      <c r="F574" t="s">
        <v>2214</v>
      </c>
      <c r="G574" s="71" t="s">
        <v>3951</v>
      </c>
      <c r="H574" s="67">
        <v>1.4999999664723899E-2</v>
      </c>
      <c r="I574" s="65">
        <v>527745</v>
      </c>
      <c r="J574" s="65">
        <v>171310</v>
      </c>
      <c r="L574" s="65" t="s">
        <v>2215</v>
      </c>
      <c r="M574" s="65" t="s">
        <v>182</v>
      </c>
      <c r="N574" s="69">
        <v>42970</v>
      </c>
      <c r="R574" s="65" t="s">
        <v>28</v>
      </c>
      <c r="U574" t="s">
        <v>2216</v>
      </c>
      <c r="V574" t="s">
        <v>3534</v>
      </c>
      <c r="W574" s="65" t="s">
        <v>21</v>
      </c>
      <c r="X574" s="65" t="s">
        <v>21</v>
      </c>
      <c r="Y574" s="65" t="s">
        <v>69</v>
      </c>
      <c r="AD574" s="65" t="s">
        <v>173</v>
      </c>
      <c r="AE574" s="65" t="s">
        <v>24</v>
      </c>
      <c r="BO574" s="185" t="s">
        <v>3794</v>
      </c>
      <c r="BP574" s="185" t="s">
        <v>3794</v>
      </c>
      <c r="BQ574" s="185" t="s">
        <v>3794</v>
      </c>
      <c r="BW574" s="73"/>
      <c r="BY574" s="185" t="s">
        <v>3794</v>
      </c>
      <c r="CF574" s="73">
        <v>113</v>
      </c>
      <c r="CJ574" t="s">
        <v>25</v>
      </c>
      <c r="CK574" t="s">
        <v>25</v>
      </c>
      <c r="CL574" t="s">
        <v>25</v>
      </c>
      <c r="CM574" t="s">
        <v>25</v>
      </c>
      <c r="CN574" t="s">
        <v>25</v>
      </c>
      <c r="CO574" t="s">
        <v>25</v>
      </c>
      <c r="CP574" t="s">
        <v>25</v>
      </c>
      <c r="CQ574" t="s">
        <v>25</v>
      </c>
      <c r="CR574" t="s">
        <v>25</v>
      </c>
      <c r="CS574" t="s">
        <v>25</v>
      </c>
      <c r="CT574" t="s">
        <v>49</v>
      </c>
      <c r="CU574" t="s">
        <v>25</v>
      </c>
      <c r="CV574" t="s">
        <v>25</v>
      </c>
      <c r="CW574" t="s">
        <v>25</v>
      </c>
      <c r="CX574" t="s">
        <v>25</v>
      </c>
      <c r="CY574" t="s">
        <v>25</v>
      </c>
      <c r="CZ574" t="s">
        <v>25</v>
      </c>
      <c r="DA574" t="s">
        <v>25</v>
      </c>
      <c r="DB574" t="s">
        <v>25</v>
      </c>
      <c r="DC574" t="s">
        <v>25</v>
      </c>
      <c r="DD574" t="s">
        <v>25</v>
      </c>
      <c r="DE574" t="s">
        <v>25</v>
      </c>
      <c r="DF574" t="s">
        <v>25</v>
      </c>
      <c r="DG574" t="s">
        <v>25</v>
      </c>
      <c r="DH574" t="s">
        <v>25</v>
      </c>
      <c r="DI574" t="s">
        <v>25</v>
      </c>
      <c r="DJ574" s="76">
        <v>0</v>
      </c>
      <c r="DK574" s="73">
        <v>113</v>
      </c>
      <c r="DL574" s="73">
        <v>0</v>
      </c>
      <c r="DM574" s="73">
        <v>113</v>
      </c>
      <c r="DU574"/>
      <c r="DZ574" s="73">
        <v>0</v>
      </c>
      <c r="EA574" s="73">
        <v>113</v>
      </c>
      <c r="EB574" s="73">
        <v>-113</v>
      </c>
    </row>
    <row r="575" spans="1:133" ht="12" customHeight="1" x14ac:dyDescent="0.2">
      <c r="A575" t="s">
        <v>2937</v>
      </c>
      <c r="B575" t="s">
        <v>2946</v>
      </c>
      <c r="C575" t="str">
        <f t="shared" si="26"/>
        <v>Full</v>
      </c>
      <c r="E575" s="65">
        <v>6207</v>
      </c>
      <c r="F575" t="s">
        <v>2217</v>
      </c>
      <c r="G575" s="71" t="s">
        <v>3939</v>
      </c>
      <c r="H575" s="67">
        <v>9.7999997437000302E-2</v>
      </c>
      <c r="I575" s="65">
        <v>524680</v>
      </c>
      <c r="J575" s="65">
        <v>173245</v>
      </c>
      <c r="L575" s="65" t="s">
        <v>579</v>
      </c>
      <c r="M575" s="65" t="s">
        <v>27</v>
      </c>
      <c r="N575" s="69">
        <v>42341</v>
      </c>
      <c r="O575" s="69">
        <v>42501</v>
      </c>
      <c r="R575" s="65" t="s">
        <v>28</v>
      </c>
      <c r="U575" t="s">
        <v>789</v>
      </c>
      <c r="V575" t="s">
        <v>3535</v>
      </c>
      <c r="W575" s="65" t="s">
        <v>29</v>
      </c>
      <c r="X575" s="65" t="s">
        <v>29</v>
      </c>
      <c r="Y575" s="65" t="s">
        <v>69</v>
      </c>
      <c r="AD575" s="65" t="s">
        <v>23</v>
      </c>
      <c r="AE575" s="65" t="s">
        <v>24</v>
      </c>
      <c r="AJ575" s="73">
        <v>774</v>
      </c>
      <c r="AO575" s="73">
        <v>774</v>
      </c>
      <c r="AZ575" s="73">
        <v>1230</v>
      </c>
      <c r="BE575" s="73">
        <v>1230</v>
      </c>
      <c r="BO575" s="185" t="s">
        <v>126</v>
      </c>
      <c r="BP575" s="185" t="s">
        <v>3794</v>
      </c>
      <c r="BQ575" s="185" t="s">
        <v>3794</v>
      </c>
      <c r="BR575" s="73">
        <v>-456</v>
      </c>
      <c r="BW575" s="73">
        <v>-456</v>
      </c>
      <c r="BY575" s="185" t="s">
        <v>3794</v>
      </c>
      <c r="CJ575" t="s">
        <v>46</v>
      </c>
      <c r="CK575" t="s">
        <v>25</v>
      </c>
      <c r="CL575" t="s">
        <v>25</v>
      </c>
      <c r="CM575" t="s">
        <v>25</v>
      </c>
      <c r="CN575" t="s">
        <v>25</v>
      </c>
      <c r="CO575" t="s">
        <v>25</v>
      </c>
      <c r="CP575" t="s">
        <v>25</v>
      </c>
      <c r="CQ575" t="s">
        <v>25</v>
      </c>
      <c r="CR575" t="s">
        <v>25</v>
      </c>
      <c r="CS575" t="s">
        <v>25</v>
      </c>
      <c r="CT575" t="s">
        <v>25</v>
      </c>
      <c r="CU575" t="s">
        <v>25</v>
      </c>
      <c r="CV575" t="s">
        <v>25</v>
      </c>
      <c r="CW575" t="s">
        <v>47</v>
      </c>
      <c r="CX575" t="s">
        <v>25</v>
      </c>
      <c r="CY575" t="s">
        <v>25</v>
      </c>
      <c r="CZ575" t="s">
        <v>25</v>
      </c>
      <c r="DA575" t="s">
        <v>25</v>
      </c>
      <c r="DB575" t="s">
        <v>25</v>
      </c>
      <c r="DC575" t="s">
        <v>25</v>
      </c>
      <c r="DD575" t="s">
        <v>25</v>
      </c>
      <c r="DE575" t="s">
        <v>25</v>
      </c>
      <c r="DF575" t="s">
        <v>25</v>
      </c>
      <c r="DG575" t="s">
        <v>25</v>
      </c>
      <c r="DH575" t="s">
        <v>25</v>
      </c>
      <c r="DI575" t="s">
        <v>25</v>
      </c>
      <c r="DJ575" s="76">
        <v>0</v>
      </c>
      <c r="DK575" s="73">
        <v>774</v>
      </c>
      <c r="DL575" s="73">
        <v>1230</v>
      </c>
      <c r="DM575" s="73">
        <v>-456</v>
      </c>
      <c r="DU575"/>
      <c r="DX575" s="65" t="s">
        <v>126</v>
      </c>
      <c r="DY575" t="s">
        <v>2907</v>
      </c>
      <c r="DZ575" s="73">
        <v>453</v>
      </c>
      <c r="EA575" s="73">
        <v>0</v>
      </c>
      <c r="EB575" s="73">
        <v>453</v>
      </c>
      <c r="EC575" s="65" t="s">
        <v>126</v>
      </c>
    </row>
    <row r="576" spans="1:133" ht="12" customHeight="1" x14ac:dyDescent="0.2">
      <c r="A576" t="s">
        <v>2937</v>
      </c>
      <c r="B576" t="s">
        <v>2946</v>
      </c>
      <c r="C576" t="str">
        <f t="shared" si="26"/>
        <v>Full</v>
      </c>
      <c r="E576" s="65">
        <v>6208</v>
      </c>
      <c r="F576" t="s">
        <v>2218</v>
      </c>
      <c r="G576" s="71" t="s">
        <v>3943</v>
      </c>
      <c r="H576" s="67">
        <v>0.144999995827675</v>
      </c>
      <c r="I576" s="65">
        <v>526352</v>
      </c>
      <c r="J576" s="65">
        <v>175489</v>
      </c>
      <c r="L576" s="65" t="s">
        <v>1052</v>
      </c>
      <c r="M576" s="65" t="s">
        <v>33</v>
      </c>
      <c r="N576" s="69">
        <v>42627</v>
      </c>
      <c r="O576" s="69">
        <v>42955</v>
      </c>
      <c r="P576" s="65" t="s">
        <v>126</v>
      </c>
      <c r="Q576" s="69">
        <v>42817</v>
      </c>
      <c r="R576" s="65" t="s">
        <v>28</v>
      </c>
      <c r="U576" t="s">
        <v>1053</v>
      </c>
      <c r="V576" t="s">
        <v>3536</v>
      </c>
      <c r="W576" s="65" t="s">
        <v>29</v>
      </c>
      <c r="X576" s="65" t="s">
        <v>29</v>
      </c>
      <c r="Y576" s="65" t="s">
        <v>69</v>
      </c>
      <c r="AD576" s="65" t="s">
        <v>23</v>
      </c>
      <c r="AE576" s="65" t="s">
        <v>24</v>
      </c>
      <c r="AJ576" s="73">
        <v>62</v>
      </c>
      <c r="AK576" s="73">
        <v>62</v>
      </c>
      <c r="AO576" s="73">
        <v>124</v>
      </c>
      <c r="AP576" s="73">
        <v>61</v>
      </c>
      <c r="AS576" s="73">
        <v>61</v>
      </c>
      <c r="AV576" s="73">
        <v>61</v>
      </c>
      <c r="AZ576" s="73">
        <v>1532</v>
      </c>
      <c r="BE576" s="73">
        <v>1532</v>
      </c>
      <c r="BO576" s="185" t="s">
        <v>126</v>
      </c>
      <c r="BP576" s="185" t="s">
        <v>126</v>
      </c>
      <c r="BQ576" s="185" t="s">
        <v>3794</v>
      </c>
      <c r="BR576" s="73">
        <v>-1470</v>
      </c>
      <c r="BS576" s="73">
        <v>62</v>
      </c>
      <c r="BW576" s="73">
        <v>-1408</v>
      </c>
      <c r="BX576" s="73">
        <v>61</v>
      </c>
      <c r="BY576" s="185" t="s">
        <v>3794</v>
      </c>
      <c r="CD576" s="73">
        <v>61</v>
      </c>
      <c r="CJ576" t="s">
        <v>31</v>
      </c>
      <c r="CK576" t="s">
        <v>31</v>
      </c>
      <c r="CL576" t="s">
        <v>25</v>
      </c>
      <c r="CM576" t="s">
        <v>25</v>
      </c>
      <c r="CN576" t="s">
        <v>25</v>
      </c>
      <c r="CO576" t="s">
        <v>31</v>
      </c>
      <c r="CP576" t="s">
        <v>25</v>
      </c>
      <c r="CQ576" t="s">
        <v>25</v>
      </c>
      <c r="CR576" t="s">
        <v>25</v>
      </c>
      <c r="CS576" t="s">
        <v>25</v>
      </c>
      <c r="CT576" t="s">
        <v>25</v>
      </c>
      <c r="CU576" t="s">
        <v>25</v>
      </c>
      <c r="CV576" t="s">
        <v>25</v>
      </c>
      <c r="CW576" t="s">
        <v>46</v>
      </c>
      <c r="CX576" t="s">
        <v>25</v>
      </c>
      <c r="CY576" t="s">
        <v>25</v>
      </c>
      <c r="CZ576" t="s">
        <v>25</v>
      </c>
      <c r="DA576" t="s">
        <v>25</v>
      </c>
      <c r="DB576" t="s">
        <v>25</v>
      </c>
      <c r="DC576" t="s">
        <v>25</v>
      </c>
      <c r="DD576" t="s">
        <v>25</v>
      </c>
      <c r="DE576" t="s">
        <v>25</v>
      </c>
      <c r="DF576" t="s">
        <v>25</v>
      </c>
      <c r="DG576" t="s">
        <v>25</v>
      </c>
      <c r="DH576" t="s">
        <v>25</v>
      </c>
      <c r="DI576" t="s">
        <v>25</v>
      </c>
      <c r="DJ576" s="76">
        <v>1.7999999225140006E-2</v>
      </c>
      <c r="DK576" s="73">
        <v>973</v>
      </c>
      <c r="DL576" s="73">
        <v>1532</v>
      </c>
      <c r="DM576" s="73">
        <v>-559</v>
      </c>
      <c r="DN576" s="65" t="s">
        <v>126</v>
      </c>
      <c r="DU576"/>
      <c r="DZ576" s="73">
        <v>10243</v>
      </c>
      <c r="EA576" s="73">
        <v>0</v>
      </c>
      <c r="EB576" s="73">
        <v>10243</v>
      </c>
      <c r="EC576" s="65" t="s">
        <v>126</v>
      </c>
    </row>
    <row r="577" spans="1:133" ht="12" customHeight="1" x14ac:dyDescent="0.2">
      <c r="A577" t="s">
        <v>2938</v>
      </c>
      <c r="B577" t="s">
        <v>2946</v>
      </c>
      <c r="C577" t="str">
        <f t="shared" si="26"/>
        <v>Full</v>
      </c>
      <c r="E577" s="65">
        <v>6212</v>
      </c>
      <c r="F577" t="s">
        <v>2219</v>
      </c>
      <c r="G577" s="71" t="s">
        <v>149</v>
      </c>
      <c r="H577" s="67">
        <v>2.5000000372528999E-2</v>
      </c>
      <c r="I577" s="65">
        <v>529084</v>
      </c>
      <c r="J577" s="65">
        <v>173102</v>
      </c>
      <c r="L577" s="65" t="s">
        <v>2220</v>
      </c>
      <c r="M577" s="65" t="s">
        <v>172</v>
      </c>
      <c r="N577" s="69">
        <v>43160</v>
      </c>
      <c r="R577" s="65" t="s">
        <v>28</v>
      </c>
      <c r="U577" t="s">
        <v>2221</v>
      </c>
      <c r="V577" t="s">
        <v>3537</v>
      </c>
      <c r="W577" s="65" t="s">
        <v>29</v>
      </c>
      <c r="X577" s="65" t="s">
        <v>29</v>
      </c>
      <c r="Y577" s="65" t="s">
        <v>69</v>
      </c>
      <c r="AD577" s="65" t="s">
        <v>173</v>
      </c>
      <c r="AE577" s="65" t="s">
        <v>24</v>
      </c>
      <c r="BO577" s="185" t="s">
        <v>3794</v>
      </c>
      <c r="BP577" s="185" t="s">
        <v>3794</v>
      </c>
      <c r="BQ577" s="185" t="s">
        <v>3794</v>
      </c>
      <c r="BW577" s="73"/>
      <c r="BY577" s="185" t="s">
        <v>3794</v>
      </c>
      <c r="CJ577" t="s">
        <v>25</v>
      </c>
      <c r="CK577" t="s">
        <v>25</v>
      </c>
      <c r="CL577" t="s">
        <v>25</v>
      </c>
      <c r="CM577" t="s">
        <v>25</v>
      </c>
      <c r="CN577" t="s">
        <v>25</v>
      </c>
      <c r="CO577" t="s">
        <v>25</v>
      </c>
      <c r="CP577" t="s">
        <v>25</v>
      </c>
      <c r="CQ577" t="s">
        <v>25</v>
      </c>
      <c r="CR577" t="s">
        <v>25</v>
      </c>
      <c r="CS577" t="s">
        <v>25</v>
      </c>
      <c r="CT577" t="s">
        <v>25</v>
      </c>
      <c r="CU577" t="s">
        <v>25</v>
      </c>
      <c r="CV577" t="s">
        <v>25</v>
      </c>
      <c r="CW577" t="s">
        <v>25</v>
      </c>
      <c r="CX577" t="s">
        <v>25</v>
      </c>
      <c r="CY577" t="s">
        <v>25</v>
      </c>
      <c r="CZ577" t="s">
        <v>25</v>
      </c>
      <c r="DA577" t="s">
        <v>25</v>
      </c>
      <c r="DB577" t="s">
        <v>25</v>
      </c>
      <c r="DC577" t="s">
        <v>25</v>
      </c>
      <c r="DD577" t="s">
        <v>25</v>
      </c>
      <c r="DE577" t="s">
        <v>25</v>
      </c>
      <c r="DF577" t="s">
        <v>25</v>
      </c>
      <c r="DG577" t="s">
        <v>25</v>
      </c>
      <c r="DH577" t="s">
        <v>25</v>
      </c>
      <c r="DI577" t="s">
        <v>25</v>
      </c>
      <c r="DJ577" s="76">
        <v>0</v>
      </c>
      <c r="DK577" s="73">
        <v>0</v>
      </c>
      <c r="DL577" s="73">
        <v>42</v>
      </c>
      <c r="DM577" s="73">
        <v>-42</v>
      </c>
      <c r="DU577"/>
      <c r="DZ577" s="73">
        <v>101</v>
      </c>
      <c r="EA577" s="73">
        <v>0</v>
      </c>
      <c r="EB577" s="73">
        <v>101</v>
      </c>
      <c r="EC577" s="65" t="s">
        <v>126</v>
      </c>
    </row>
    <row r="578" spans="1:133" ht="12" customHeight="1" x14ac:dyDescent="0.2">
      <c r="A578" t="s">
        <v>2936</v>
      </c>
      <c r="B578" t="s">
        <v>2946</v>
      </c>
      <c r="C578" t="str">
        <f t="shared" si="26"/>
        <v>Full</v>
      </c>
      <c r="D578" t="s">
        <v>2943</v>
      </c>
      <c r="E578" s="65">
        <v>6217</v>
      </c>
      <c r="F578" t="s">
        <v>2222</v>
      </c>
      <c r="G578" s="71" t="s">
        <v>3948</v>
      </c>
      <c r="H578" s="67">
        <v>1.4000000432133701E-2</v>
      </c>
      <c r="I578" s="65">
        <v>527469</v>
      </c>
      <c r="J578" s="65">
        <v>176355</v>
      </c>
      <c r="L578" s="65" t="s">
        <v>1001</v>
      </c>
      <c r="M578" s="65" t="s">
        <v>27</v>
      </c>
      <c r="N578" s="69">
        <v>42586</v>
      </c>
      <c r="O578" s="69">
        <v>42702</v>
      </c>
      <c r="R578" s="65" t="s">
        <v>28</v>
      </c>
      <c r="U578" t="s">
        <v>1002</v>
      </c>
      <c r="V578" t="s">
        <v>3538</v>
      </c>
      <c r="W578" s="65" t="s">
        <v>34</v>
      </c>
      <c r="X578" s="65" t="s">
        <v>29</v>
      </c>
      <c r="Y578" s="65" t="s">
        <v>35</v>
      </c>
      <c r="AA578" s="69">
        <v>42648</v>
      </c>
      <c r="AB578" s="69">
        <v>42928</v>
      </c>
      <c r="AC578" s="69">
        <v>42928</v>
      </c>
      <c r="AD578" s="65" t="s">
        <v>23</v>
      </c>
      <c r="AE578" s="65" t="s">
        <v>24</v>
      </c>
      <c r="AH578" s="69">
        <f t="shared" si="27"/>
        <v>42648</v>
      </c>
      <c r="AI578" s="69">
        <f t="shared" si="28"/>
        <v>42928</v>
      </c>
      <c r="AK578" s="73">
        <v>43</v>
      </c>
      <c r="AO578" s="73">
        <v>43</v>
      </c>
      <c r="AZ578" s="73">
        <v>107</v>
      </c>
      <c r="BE578" s="73">
        <v>107</v>
      </c>
      <c r="BO578" s="185" t="s">
        <v>126</v>
      </c>
      <c r="BP578" s="185" t="s">
        <v>3794</v>
      </c>
      <c r="BQ578" s="185" t="s">
        <v>3794</v>
      </c>
      <c r="BR578" s="73">
        <v>-107</v>
      </c>
      <c r="BS578" s="73">
        <v>43</v>
      </c>
      <c r="BW578" s="73">
        <v>-64</v>
      </c>
      <c r="BY578" s="185" t="s">
        <v>3794</v>
      </c>
      <c r="CJ578" t="s">
        <v>25</v>
      </c>
      <c r="CK578" t="s">
        <v>31</v>
      </c>
      <c r="CL578" t="s">
        <v>25</v>
      </c>
      <c r="CM578" t="s">
        <v>25</v>
      </c>
      <c r="CN578" t="s">
        <v>25</v>
      </c>
      <c r="CO578" t="s">
        <v>25</v>
      </c>
      <c r="CP578" t="s">
        <v>25</v>
      </c>
      <c r="CQ578" t="s">
        <v>25</v>
      </c>
      <c r="CR578" t="s">
        <v>25</v>
      </c>
      <c r="CS578" t="s">
        <v>25</v>
      </c>
      <c r="CT578" t="s">
        <v>25</v>
      </c>
      <c r="CU578" t="s">
        <v>25</v>
      </c>
      <c r="CV578" t="s">
        <v>25</v>
      </c>
      <c r="CW578" t="s">
        <v>31</v>
      </c>
      <c r="CX578" t="s">
        <v>25</v>
      </c>
      <c r="CY578" t="s">
        <v>25</v>
      </c>
      <c r="CZ578" t="s">
        <v>25</v>
      </c>
      <c r="DA578" t="s">
        <v>25</v>
      </c>
      <c r="DB578" t="s">
        <v>25</v>
      </c>
      <c r="DC578" t="s">
        <v>25</v>
      </c>
      <c r="DD578" t="s">
        <v>25</v>
      </c>
      <c r="DE578" t="s">
        <v>25</v>
      </c>
      <c r="DF578" t="s">
        <v>25</v>
      </c>
      <c r="DG578" t="s">
        <v>25</v>
      </c>
      <c r="DH578" t="s">
        <v>25</v>
      </c>
      <c r="DI578" t="s">
        <v>25</v>
      </c>
      <c r="DJ578" s="76">
        <v>5.0000008195638899E-3</v>
      </c>
      <c r="DK578" s="73">
        <v>43</v>
      </c>
      <c r="DL578" s="73">
        <v>107</v>
      </c>
      <c r="DM578" s="73">
        <v>-64</v>
      </c>
      <c r="DU578"/>
      <c r="DX578" s="65" t="s">
        <v>126</v>
      </c>
      <c r="DY578" t="s">
        <v>36</v>
      </c>
      <c r="DZ578" s="73">
        <v>319</v>
      </c>
      <c r="EA578" s="73">
        <v>85</v>
      </c>
      <c r="EB578" s="73">
        <v>234</v>
      </c>
      <c r="EC578" s="65" t="s">
        <v>126</v>
      </c>
    </row>
    <row r="579" spans="1:133" ht="12" customHeight="1" x14ac:dyDescent="0.2">
      <c r="A579" t="s">
        <v>2935</v>
      </c>
      <c r="B579" t="s">
        <v>2946</v>
      </c>
      <c r="C579" t="str">
        <f t="shared" ref="C579:C642" si="29">RIGHT(B579,LEN(B579)-3)</f>
        <v>Full</v>
      </c>
      <c r="E579" s="65">
        <v>6218</v>
      </c>
      <c r="F579" t="s">
        <v>2223</v>
      </c>
      <c r="G579" s="71" t="s">
        <v>3945</v>
      </c>
      <c r="H579" s="67">
        <v>5.2999999374151202E-2</v>
      </c>
      <c r="I579" s="65">
        <v>528378</v>
      </c>
      <c r="J579" s="65">
        <v>175632</v>
      </c>
      <c r="L579" s="65" t="s">
        <v>919</v>
      </c>
      <c r="M579" s="65" t="s">
        <v>27</v>
      </c>
      <c r="N579" s="69">
        <v>42530</v>
      </c>
      <c r="O579" s="69">
        <v>42586</v>
      </c>
      <c r="R579" s="65" t="s">
        <v>28</v>
      </c>
      <c r="U579" t="s">
        <v>920</v>
      </c>
      <c r="V579" t="s">
        <v>3539</v>
      </c>
      <c r="W579" s="65" t="s">
        <v>29</v>
      </c>
      <c r="X579" s="65" t="s">
        <v>29</v>
      </c>
      <c r="Y579" s="65" t="s">
        <v>30</v>
      </c>
      <c r="AA579" s="69">
        <v>42825</v>
      </c>
      <c r="AD579" s="65" t="s">
        <v>23</v>
      </c>
      <c r="AE579" s="65" t="s">
        <v>24</v>
      </c>
      <c r="AH579" s="69">
        <f t="shared" si="27"/>
        <v>42825</v>
      </c>
      <c r="BO579" s="185" t="s">
        <v>3794</v>
      </c>
      <c r="BP579" s="185" t="s">
        <v>3794</v>
      </c>
      <c r="BQ579" s="185" t="s">
        <v>3794</v>
      </c>
      <c r="BW579" s="73"/>
      <c r="BY579" s="185" t="s">
        <v>3794</v>
      </c>
      <c r="CJ579" t="s">
        <v>25</v>
      </c>
      <c r="CK579" t="s">
        <v>25</v>
      </c>
      <c r="CL579" t="s">
        <v>25</v>
      </c>
      <c r="CM579" t="s">
        <v>25</v>
      </c>
      <c r="CN579" t="s">
        <v>25</v>
      </c>
      <c r="CO579" t="s">
        <v>25</v>
      </c>
      <c r="CP579" t="s">
        <v>25</v>
      </c>
      <c r="CQ579" t="s">
        <v>25</v>
      </c>
      <c r="CR579" t="s">
        <v>25</v>
      </c>
      <c r="CS579" t="s">
        <v>25</v>
      </c>
      <c r="CT579" t="s">
        <v>25</v>
      </c>
      <c r="CU579" t="s">
        <v>25</v>
      </c>
      <c r="CV579" t="s">
        <v>25</v>
      </c>
      <c r="CW579" t="s">
        <v>25</v>
      </c>
      <c r="CX579" t="s">
        <v>25</v>
      </c>
      <c r="CY579" t="s">
        <v>25</v>
      </c>
      <c r="CZ579" t="s">
        <v>25</v>
      </c>
      <c r="DA579" t="s">
        <v>25</v>
      </c>
      <c r="DB579" t="s">
        <v>25</v>
      </c>
      <c r="DC579" t="s">
        <v>25</v>
      </c>
      <c r="DD579" t="s">
        <v>25</v>
      </c>
      <c r="DE579" t="s">
        <v>25</v>
      </c>
      <c r="DF579" t="s">
        <v>25</v>
      </c>
      <c r="DG579" t="s">
        <v>25</v>
      </c>
      <c r="DH579" t="s">
        <v>25</v>
      </c>
      <c r="DI579" t="s">
        <v>25</v>
      </c>
      <c r="DJ579" s="76">
        <v>0</v>
      </c>
      <c r="DK579" s="73">
        <v>0</v>
      </c>
      <c r="DL579" s="73">
        <v>45</v>
      </c>
      <c r="DM579" s="73">
        <v>-45</v>
      </c>
      <c r="DU579"/>
      <c r="DZ579" s="73">
        <v>323</v>
      </c>
      <c r="EA579" s="73">
        <v>0</v>
      </c>
      <c r="EB579" s="73">
        <v>323</v>
      </c>
      <c r="EC579" s="65" t="s">
        <v>126</v>
      </c>
    </row>
    <row r="580" spans="1:133" ht="12" customHeight="1" x14ac:dyDescent="0.2">
      <c r="A580" t="s">
        <v>2935</v>
      </c>
      <c r="B580" t="s">
        <v>2946</v>
      </c>
      <c r="C580" t="str">
        <f t="shared" si="29"/>
        <v>Full</v>
      </c>
      <c r="E580" s="65">
        <v>6219</v>
      </c>
      <c r="F580" t="s">
        <v>2224</v>
      </c>
      <c r="G580" s="71" t="s">
        <v>2907</v>
      </c>
      <c r="H580" s="67">
        <v>1.60000007599592E-2</v>
      </c>
      <c r="I580" s="65">
        <v>525163</v>
      </c>
      <c r="J580" s="65">
        <v>173918</v>
      </c>
      <c r="L580" s="65" t="s">
        <v>675</v>
      </c>
      <c r="M580" s="65" t="s">
        <v>27</v>
      </c>
      <c r="N580" s="69">
        <v>42615</v>
      </c>
      <c r="O580" s="69">
        <v>42671</v>
      </c>
      <c r="R580" s="65" t="s">
        <v>28</v>
      </c>
      <c r="U580" t="s">
        <v>676</v>
      </c>
      <c r="V580" t="s">
        <v>3540</v>
      </c>
      <c r="W580" s="65" t="s">
        <v>29</v>
      </c>
      <c r="X580" s="65" t="s">
        <v>29</v>
      </c>
      <c r="Y580" s="65" t="s">
        <v>30</v>
      </c>
      <c r="AA580" s="69">
        <v>43190</v>
      </c>
      <c r="AD580" s="65" t="s">
        <v>23</v>
      </c>
      <c r="AE580" s="65" t="s">
        <v>24</v>
      </c>
      <c r="AH580" s="69">
        <f t="shared" si="27"/>
        <v>43190</v>
      </c>
      <c r="BJ580" s="73">
        <v>128</v>
      </c>
      <c r="BK580" s="73">
        <v>128</v>
      </c>
      <c r="BO580" s="185" t="s">
        <v>3794</v>
      </c>
      <c r="BP580" s="185" t="s">
        <v>126</v>
      </c>
      <c r="BQ580" s="185" t="s">
        <v>3794</v>
      </c>
      <c r="BW580" s="73"/>
      <c r="BY580" s="185" t="s">
        <v>3794</v>
      </c>
      <c r="CC580" s="73">
        <v>-128</v>
      </c>
      <c r="CD580" s="73">
        <v>-128</v>
      </c>
      <c r="CE580" s="65" t="s">
        <v>126</v>
      </c>
      <c r="CJ580" t="s">
        <v>25</v>
      </c>
      <c r="CK580" t="s">
        <v>25</v>
      </c>
      <c r="CL580" t="s">
        <v>25</v>
      </c>
      <c r="CM580" t="s">
        <v>25</v>
      </c>
      <c r="CN580" t="s">
        <v>25</v>
      </c>
      <c r="CO580" t="s">
        <v>25</v>
      </c>
      <c r="CP580" t="s">
        <v>25</v>
      </c>
      <c r="CQ580" t="s">
        <v>25</v>
      </c>
      <c r="CR580" t="s">
        <v>25</v>
      </c>
      <c r="CS580" t="s">
        <v>25</v>
      </c>
      <c r="CT580" t="s">
        <v>25</v>
      </c>
      <c r="CU580" t="s">
        <v>25</v>
      </c>
      <c r="CV580" t="s">
        <v>25</v>
      </c>
      <c r="CW580" t="s">
        <v>25</v>
      </c>
      <c r="CX580" t="s">
        <v>25</v>
      </c>
      <c r="CY580" t="s">
        <v>25</v>
      </c>
      <c r="CZ580" t="s">
        <v>25</v>
      </c>
      <c r="DA580" t="s">
        <v>25</v>
      </c>
      <c r="DB580" t="s">
        <v>25</v>
      </c>
      <c r="DC580" t="s">
        <v>25</v>
      </c>
      <c r="DD580" t="s">
        <v>25</v>
      </c>
      <c r="DE580" t="s">
        <v>25</v>
      </c>
      <c r="DF580" t="s">
        <v>53</v>
      </c>
      <c r="DG580" t="s">
        <v>25</v>
      </c>
      <c r="DH580" t="s">
        <v>25</v>
      </c>
      <c r="DI580" t="s">
        <v>25</v>
      </c>
      <c r="DJ580" s="76">
        <v>0</v>
      </c>
      <c r="DK580" s="73">
        <v>0</v>
      </c>
      <c r="DL580" s="73">
        <v>128</v>
      </c>
      <c r="DM580" s="73">
        <v>-128</v>
      </c>
      <c r="DU580"/>
      <c r="DZ580" s="73">
        <v>128</v>
      </c>
      <c r="EA580" s="73">
        <v>0</v>
      </c>
      <c r="EB580" s="73">
        <v>128</v>
      </c>
      <c r="EC580" s="65" t="s">
        <v>126</v>
      </c>
    </row>
    <row r="581" spans="1:133" ht="12" customHeight="1" x14ac:dyDescent="0.2">
      <c r="A581" t="s">
        <v>2937</v>
      </c>
      <c r="B581" t="s">
        <v>2948</v>
      </c>
      <c r="C581" t="str">
        <f t="shared" si="29"/>
        <v>Prior Approval</v>
      </c>
      <c r="E581" s="65">
        <v>6223</v>
      </c>
      <c r="F581" t="s">
        <v>2225</v>
      </c>
      <c r="G581" s="71" t="s">
        <v>3943</v>
      </c>
      <c r="H581" s="67">
        <v>3.29999998211861E-2</v>
      </c>
      <c r="I581" s="65">
        <v>527302</v>
      </c>
      <c r="J581" s="65">
        <v>177164</v>
      </c>
      <c r="L581" s="65" t="s">
        <v>1022</v>
      </c>
      <c r="M581" s="65" t="s">
        <v>244</v>
      </c>
      <c r="N581" s="69">
        <v>42600</v>
      </c>
      <c r="O581" s="69">
        <v>42656</v>
      </c>
      <c r="R581" s="65" t="s">
        <v>28</v>
      </c>
      <c r="U581" t="s">
        <v>1023</v>
      </c>
      <c r="V581" t="s">
        <v>3541</v>
      </c>
      <c r="W581" s="65" t="s">
        <v>21</v>
      </c>
      <c r="X581" s="65" t="s">
        <v>21</v>
      </c>
      <c r="Y581" s="65" t="s">
        <v>69</v>
      </c>
      <c r="AD581" s="65" t="s">
        <v>23</v>
      </c>
      <c r="AE581" s="65" t="s">
        <v>24</v>
      </c>
      <c r="BF581" s="73">
        <v>283</v>
      </c>
      <c r="BK581" s="73">
        <v>283</v>
      </c>
      <c r="BO581" s="185" t="s">
        <v>3794</v>
      </c>
      <c r="BP581" s="185" t="s">
        <v>126</v>
      </c>
      <c r="BQ581" s="185" t="s">
        <v>3794</v>
      </c>
      <c r="BW581" s="73"/>
      <c r="BX581" s="73">
        <v>-283</v>
      </c>
      <c r="BY581" s="185" t="s">
        <v>126</v>
      </c>
      <c r="CD581" s="73">
        <v>-283</v>
      </c>
      <c r="CE581" s="65" t="s">
        <v>126</v>
      </c>
      <c r="CJ581" t="s">
        <v>25</v>
      </c>
      <c r="CK581" t="s">
        <v>25</v>
      </c>
      <c r="CL581" t="s">
        <v>25</v>
      </c>
      <c r="CM581" t="s">
        <v>25</v>
      </c>
      <c r="CN581" t="s">
        <v>25</v>
      </c>
      <c r="CO581" t="s">
        <v>25</v>
      </c>
      <c r="CP581" t="s">
        <v>25</v>
      </c>
      <c r="CQ581" t="s">
        <v>25</v>
      </c>
      <c r="CR581" t="s">
        <v>25</v>
      </c>
      <c r="CS581" t="s">
        <v>25</v>
      </c>
      <c r="CT581" t="s">
        <v>25</v>
      </c>
      <c r="CU581" t="s">
        <v>25</v>
      </c>
      <c r="CV581" t="s">
        <v>25</v>
      </c>
      <c r="CW581" t="s">
        <v>25</v>
      </c>
      <c r="CX581" t="s">
        <v>25</v>
      </c>
      <c r="CY581" t="s">
        <v>25</v>
      </c>
      <c r="CZ581" t="s">
        <v>25</v>
      </c>
      <c r="DA581" t="s">
        <v>25</v>
      </c>
      <c r="DB581" t="s">
        <v>47</v>
      </c>
      <c r="DC581" t="s">
        <v>25</v>
      </c>
      <c r="DD581" t="s">
        <v>25</v>
      </c>
      <c r="DE581" t="s">
        <v>25</v>
      </c>
      <c r="DF581" t="s">
        <v>25</v>
      </c>
      <c r="DG581" t="s">
        <v>25</v>
      </c>
      <c r="DH581" t="s">
        <v>25</v>
      </c>
      <c r="DI581" t="s">
        <v>25</v>
      </c>
      <c r="DJ581" s="76">
        <v>1.09999999403954E-2</v>
      </c>
      <c r="DK581" s="73">
        <v>0</v>
      </c>
      <c r="DL581" s="73">
        <v>283</v>
      </c>
      <c r="DM581" s="73">
        <v>-283</v>
      </c>
      <c r="DN581" s="65" t="s">
        <v>126</v>
      </c>
      <c r="DU581"/>
      <c r="DZ581" s="73">
        <v>283</v>
      </c>
      <c r="EA581" s="73">
        <v>0</v>
      </c>
      <c r="EB581" s="73">
        <v>283</v>
      </c>
      <c r="EC581" s="65" t="s">
        <v>126</v>
      </c>
    </row>
    <row r="582" spans="1:133" ht="12" customHeight="1" x14ac:dyDescent="0.2">
      <c r="A582" t="s">
        <v>2937</v>
      </c>
      <c r="B582" t="s">
        <v>2946</v>
      </c>
      <c r="C582" t="str">
        <f t="shared" si="29"/>
        <v>Full</v>
      </c>
      <c r="E582" s="65">
        <v>6225</v>
      </c>
      <c r="F582" t="s">
        <v>2226</v>
      </c>
      <c r="G582" s="71" t="s">
        <v>3949</v>
      </c>
      <c r="H582" s="67">
        <v>9.9999997764825804E-3</v>
      </c>
      <c r="I582" s="65">
        <v>525212</v>
      </c>
      <c r="J582" s="65">
        <v>174623</v>
      </c>
      <c r="L582" s="65" t="s">
        <v>849</v>
      </c>
      <c r="M582" s="65" t="s">
        <v>27</v>
      </c>
      <c r="N582" s="69">
        <v>42495</v>
      </c>
      <c r="O582" s="69">
        <v>42641</v>
      </c>
      <c r="R582" s="65" t="s">
        <v>28</v>
      </c>
      <c r="U582" t="s">
        <v>850</v>
      </c>
      <c r="V582" t="s">
        <v>3542</v>
      </c>
      <c r="W582" s="65" t="s">
        <v>34</v>
      </c>
      <c r="X582" s="65" t="s">
        <v>29</v>
      </c>
      <c r="Y582" s="65" t="s">
        <v>69</v>
      </c>
      <c r="AD582" s="65" t="s">
        <v>23</v>
      </c>
      <c r="AE582" s="65" t="s">
        <v>24</v>
      </c>
      <c r="BA582" s="73">
        <v>120</v>
      </c>
      <c r="BE582" s="73">
        <v>120</v>
      </c>
      <c r="BO582" s="185" t="s">
        <v>126</v>
      </c>
      <c r="BP582" s="185" t="s">
        <v>3794</v>
      </c>
      <c r="BQ582" s="185" t="s">
        <v>3794</v>
      </c>
      <c r="BS582" s="73">
        <v>-120</v>
      </c>
      <c r="BW582" s="73">
        <v>-120</v>
      </c>
      <c r="BY582" s="185" t="s">
        <v>3794</v>
      </c>
      <c r="CJ582" t="s">
        <v>25</v>
      </c>
      <c r="CK582" t="s">
        <v>25</v>
      </c>
      <c r="CL582" t="s">
        <v>25</v>
      </c>
      <c r="CM582" t="s">
        <v>25</v>
      </c>
      <c r="CN582" t="s">
        <v>25</v>
      </c>
      <c r="CO582" t="s">
        <v>25</v>
      </c>
      <c r="CP582" t="s">
        <v>25</v>
      </c>
      <c r="CQ582" t="s">
        <v>25</v>
      </c>
      <c r="CR582" t="s">
        <v>25</v>
      </c>
      <c r="CS582" t="s">
        <v>25</v>
      </c>
      <c r="CT582" t="s">
        <v>25</v>
      </c>
      <c r="CU582" t="s">
        <v>25</v>
      </c>
      <c r="CV582" t="s">
        <v>25</v>
      </c>
      <c r="CW582" t="s">
        <v>25</v>
      </c>
      <c r="CX582" t="s">
        <v>47</v>
      </c>
      <c r="CY582" t="s">
        <v>25</v>
      </c>
      <c r="CZ582" t="s">
        <v>25</v>
      </c>
      <c r="DA582" t="s">
        <v>25</v>
      </c>
      <c r="DB582" t="s">
        <v>25</v>
      </c>
      <c r="DC582" t="s">
        <v>25</v>
      </c>
      <c r="DD582" t="s">
        <v>25</v>
      </c>
      <c r="DE582" t="s">
        <v>25</v>
      </c>
      <c r="DF582" t="s">
        <v>25</v>
      </c>
      <c r="DG582" t="s">
        <v>25</v>
      </c>
      <c r="DH582" t="s">
        <v>25</v>
      </c>
      <c r="DI582" t="s">
        <v>25</v>
      </c>
      <c r="DJ582" s="76">
        <v>0</v>
      </c>
      <c r="DK582" s="73">
        <v>0</v>
      </c>
      <c r="DL582" s="73">
        <v>120</v>
      </c>
      <c r="DM582" s="73">
        <v>-120</v>
      </c>
      <c r="DU582"/>
      <c r="DZ582" s="73">
        <v>172</v>
      </c>
      <c r="EA582" s="73">
        <v>0</v>
      </c>
      <c r="EB582" s="73">
        <v>172</v>
      </c>
      <c r="EC582" s="65" t="s">
        <v>126</v>
      </c>
    </row>
    <row r="583" spans="1:133" ht="12" customHeight="1" x14ac:dyDescent="0.2">
      <c r="A583" t="s">
        <v>2936</v>
      </c>
      <c r="B583" t="s">
        <v>2946</v>
      </c>
      <c r="C583" t="str">
        <f t="shared" si="29"/>
        <v>Full</v>
      </c>
      <c r="D583" t="s">
        <v>2943</v>
      </c>
      <c r="E583" s="65">
        <v>6230</v>
      </c>
      <c r="F583" t="s">
        <v>2227</v>
      </c>
      <c r="G583" s="71" t="s">
        <v>3946</v>
      </c>
      <c r="H583" s="67">
        <v>4.80000004172325E-2</v>
      </c>
      <c r="I583" s="65">
        <v>524142</v>
      </c>
      <c r="J583" s="65">
        <v>175460</v>
      </c>
      <c r="K583" s="65" t="s">
        <v>1504</v>
      </c>
      <c r="L583" s="65" t="s">
        <v>838</v>
      </c>
      <c r="M583" s="65" t="s">
        <v>27</v>
      </c>
      <c r="N583" s="69">
        <v>42489</v>
      </c>
      <c r="O583" s="69">
        <v>42541</v>
      </c>
      <c r="R583" s="65" t="s">
        <v>28</v>
      </c>
      <c r="U583" t="s">
        <v>839</v>
      </c>
      <c r="V583" t="s">
        <v>3543</v>
      </c>
      <c r="W583" s="65" t="s">
        <v>21</v>
      </c>
      <c r="X583" s="65" t="s">
        <v>21</v>
      </c>
      <c r="Y583" s="65" t="s">
        <v>35</v>
      </c>
      <c r="AA583" s="69">
        <v>42826</v>
      </c>
      <c r="AB583" s="69">
        <v>43190</v>
      </c>
      <c r="AC583" s="69">
        <v>43190</v>
      </c>
      <c r="AD583" s="65" t="s">
        <v>23</v>
      </c>
      <c r="AE583" s="65" t="s">
        <v>24</v>
      </c>
      <c r="AH583" s="69">
        <f t="shared" si="27"/>
        <v>42826</v>
      </c>
      <c r="AI583" s="69">
        <f t="shared" si="28"/>
        <v>43190</v>
      </c>
      <c r="BF583" s="73">
        <v>12</v>
      </c>
      <c r="BK583" s="73">
        <v>12</v>
      </c>
      <c r="BO583" s="185" t="s">
        <v>3794</v>
      </c>
      <c r="BP583" s="185" t="s">
        <v>126</v>
      </c>
      <c r="BQ583" s="185" t="s">
        <v>3794</v>
      </c>
      <c r="BW583" s="73"/>
      <c r="BX583" s="73">
        <v>-12</v>
      </c>
      <c r="BY583" s="185" t="s">
        <v>126</v>
      </c>
      <c r="CD583" s="73">
        <v>-12</v>
      </c>
      <c r="CE583" s="65" t="s">
        <v>126</v>
      </c>
      <c r="CJ583" t="s">
        <v>25</v>
      </c>
      <c r="CK583" t="s">
        <v>25</v>
      </c>
      <c r="CL583" t="s">
        <v>25</v>
      </c>
      <c r="CM583" t="s">
        <v>25</v>
      </c>
      <c r="CN583" t="s">
        <v>25</v>
      </c>
      <c r="CO583" t="s">
        <v>25</v>
      </c>
      <c r="CP583" t="s">
        <v>25</v>
      </c>
      <c r="CQ583" t="s">
        <v>25</v>
      </c>
      <c r="CR583" t="s">
        <v>25</v>
      </c>
      <c r="CS583" t="s">
        <v>25</v>
      </c>
      <c r="CT583" t="s">
        <v>25</v>
      </c>
      <c r="CU583" t="s">
        <v>25</v>
      </c>
      <c r="CV583" t="s">
        <v>25</v>
      </c>
      <c r="CW583" t="s">
        <v>25</v>
      </c>
      <c r="CX583" t="s">
        <v>25</v>
      </c>
      <c r="CY583" t="s">
        <v>25</v>
      </c>
      <c r="CZ583" t="s">
        <v>25</v>
      </c>
      <c r="DA583" t="s">
        <v>25</v>
      </c>
      <c r="DB583" t="s">
        <v>31</v>
      </c>
      <c r="DC583" t="s">
        <v>25</v>
      </c>
      <c r="DD583" t="s">
        <v>25</v>
      </c>
      <c r="DE583" t="s">
        <v>25</v>
      </c>
      <c r="DF583" t="s">
        <v>25</v>
      </c>
      <c r="DG583" t="s">
        <v>25</v>
      </c>
      <c r="DH583" t="s">
        <v>25</v>
      </c>
      <c r="DI583" t="s">
        <v>25</v>
      </c>
      <c r="DJ583" s="76">
        <v>4.80000004172325E-2</v>
      </c>
      <c r="DK583" s="73">
        <v>12</v>
      </c>
      <c r="DL583" s="73">
        <v>12</v>
      </c>
      <c r="DM583" s="73">
        <v>0</v>
      </c>
      <c r="DU583"/>
      <c r="DV583" s="65" t="s">
        <v>126</v>
      </c>
      <c r="DW583" t="s">
        <v>131</v>
      </c>
      <c r="DZ583" s="73">
        <v>0</v>
      </c>
      <c r="EA583" s="73">
        <v>0</v>
      </c>
      <c r="EB583" s="73">
        <v>0</v>
      </c>
    </row>
    <row r="584" spans="1:133" ht="12" customHeight="1" x14ac:dyDescent="0.2">
      <c r="A584" t="s">
        <v>2936</v>
      </c>
      <c r="B584" t="s">
        <v>2946</v>
      </c>
      <c r="C584" t="str">
        <f t="shared" si="29"/>
        <v>Full</v>
      </c>
      <c r="D584" t="s">
        <v>2943</v>
      </c>
      <c r="E584" s="65">
        <v>6235</v>
      </c>
      <c r="F584" t="s">
        <v>2228</v>
      </c>
      <c r="G584" s="71" t="s">
        <v>2904</v>
      </c>
      <c r="H584" s="67">
        <v>3.29999998211861E-2</v>
      </c>
      <c r="I584" s="65">
        <v>526082</v>
      </c>
      <c r="J584" s="65">
        <v>172867</v>
      </c>
      <c r="L584" s="65" t="s">
        <v>872</v>
      </c>
      <c r="M584" s="65" t="s">
        <v>27</v>
      </c>
      <c r="N584" s="69">
        <v>42499</v>
      </c>
      <c r="O584" s="69">
        <v>42640</v>
      </c>
      <c r="R584" s="65" t="s">
        <v>28</v>
      </c>
      <c r="U584" t="s">
        <v>873</v>
      </c>
      <c r="V584" t="s">
        <v>3544</v>
      </c>
      <c r="W584" s="65" t="s">
        <v>34</v>
      </c>
      <c r="X584" s="65" t="s">
        <v>29</v>
      </c>
      <c r="Y584" s="65" t="s">
        <v>35</v>
      </c>
      <c r="AA584" s="69">
        <v>42758</v>
      </c>
      <c r="AB584" s="69">
        <v>42898</v>
      </c>
      <c r="AC584" s="69">
        <v>43190</v>
      </c>
      <c r="AD584" s="65" t="s">
        <v>23</v>
      </c>
      <c r="AE584" s="65" t="s">
        <v>24</v>
      </c>
      <c r="AH584" s="69">
        <f t="shared" si="27"/>
        <v>42758</v>
      </c>
      <c r="AI584" s="69">
        <f t="shared" si="28"/>
        <v>42898</v>
      </c>
      <c r="AJ584" s="73">
        <v>40</v>
      </c>
      <c r="AO584" s="73">
        <v>40</v>
      </c>
      <c r="BB584" s="73">
        <v>108</v>
      </c>
      <c r="BE584" s="73">
        <v>108</v>
      </c>
      <c r="BO584" s="185" t="s">
        <v>126</v>
      </c>
      <c r="BP584" s="185" t="s">
        <v>3794</v>
      </c>
      <c r="BQ584" s="185" t="s">
        <v>3794</v>
      </c>
      <c r="BR584" s="73">
        <v>40</v>
      </c>
      <c r="BT584" s="73">
        <v>-108</v>
      </c>
      <c r="BW584" s="73">
        <v>-68</v>
      </c>
      <c r="BY584" s="185" t="s">
        <v>3794</v>
      </c>
      <c r="CJ584" t="s">
        <v>31</v>
      </c>
      <c r="CK584" t="s">
        <v>25</v>
      </c>
      <c r="CL584" t="s">
        <v>25</v>
      </c>
      <c r="CM584" t="s">
        <v>25</v>
      </c>
      <c r="CN584" t="s">
        <v>25</v>
      </c>
      <c r="CO584" t="s">
        <v>25</v>
      </c>
      <c r="CP584" t="s">
        <v>25</v>
      </c>
      <c r="CQ584" t="s">
        <v>25</v>
      </c>
      <c r="CR584" t="s">
        <v>25</v>
      </c>
      <c r="CS584" t="s">
        <v>25</v>
      </c>
      <c r="CT584" t="s">
        <v>25</v>
      </c>
      <c r="CU584" t="s">
        <v>25</v>
      </c>
      <c r="CV584" t="s">
        <v>25</v>
      </c>
      <c r="CW584" t="s">
        <v>25</v>
      </c>
      <c r="CX584" t="s">
        <v>25</v>
      </c>
      <c r="CY584" t="s">
        <v>38</v>
      </c>
      <c r="CZ584" t="s">
        <v>25</v>
      </c>
      <c r="DA584" t="s">
        <v>25</v>
      </c>
      <c r="DB584" t="s">
        <v>25</v>
      </c>
      <c r="DC584" t="s">
        <v>25</v>
      </c>
      <c r="DD584" t="s">
        <v>25</v>
      </c>
      <c r="DE584" t="s">
        <v>25</v>
      </c>
      <c r="DF584" t="s">
        <v>25</v>
      </c>
      <c r="DG584" t="s">
        <v>25</v>
      </c>
      <c r="DH584" t="s">
        <v>25</v>
      </c>
      <c r="DI584" t="s">
        <v>25</v>
      </c>
      <c r="DJ584" s="76">
        <v>4.0000006556510995E-3</v>
      </c>
      <c r="DK584" s="73">
        <v>40</v>
      </c>
      <c r="DL584" s="73">
        <v>108</v>
      </c>
      <c r="DM584" s="73">
        <v>-68</v>
      </c>
      <c r="DU584"/>
      <c r="DX584" s="65" t="s">
        <v>126</v>
      </c>
      <c r="DY584" t="s">
        <v>2904</v>
      </c>
      <c r="DZ584" s="73">
        <v>211</v>
      </c>
      <c r="EA584" s="73">
        <v>88</v>
      </c>
      <c r="EB584" s="73">
        <v>123</v>
      </c>
      <c r="EC584" s="65" t="s">
        <v>126</v>
      </c>
    </row>
    <row r="585" spans="1:133" ht="12" customHeight="1" x14ac:dyDescent="0.2">
      <c r="A585" t="s">
        <v>2937</v>
      </c>
      <c r="B585" t="s">
        <v>2948</v>
      </c>
      <c r="C585" t="str">
        <f t="shared" si="29"/>
        <v>Prior Approval</v>
      </c>
      <c r="E585" s="65">
        <v>6237</v>
      </c>
      <c r="F585" t="s">
        <v>2229</v>
      </c>
      <c r="G585" s="71" t="s">
        <v>3942</v>
      </c>
      <c r="H585" s="67">
        <v>9.9999997764825804E-3</v>
      </c>
      <c r="I585" s="65">
        <v>527817</v>
      </c>
      <c r="J585" s="65">
        <v>174580</v>
      </c>
      <c r="L585" s="65" t="s">
        <v>874</v>
      </c>
      <c r="M585" s="65" t="s">
        <v>244</v>
      </c>
      <c r="N585" s="69">
        <v>42506</v>
      </c>
      <c r="O585" s="69">
        <v>42562</v>
      </c>
      <c r="R585" s="65" t="s">
        <v>28</v>
      </c>
      <c r="U585" t="s">
        <v>456</v>
      </c>
      <c r="V585" t="s">
        <v>3162</v>
      </c>
      <c r="W585" s="65" t="s">
        <v>21</v>
      </c>
      <c r="X585" s="65" t="s">
        <v>21</v>
      </c>
      <c r="Y585" s="65" t="s">
        <v>69</v>
      </c>
      <c r="AD585" s="65" t="s">
        <v>23</v>
      </c>
      <c r="AE585" s="65" t="s">
        <v>24</v>
      </c>
      <c r="BF585" s="73">
        <v>37</v>
      </c>
      <c r="BK585" s="73">
        <v>37</v>
      </c>
      <c r="BO585" s="185" t="s">
        <v>3794</v>
      </c>
      <c r="BP585" s="185" t="s">
        <v>126</v>
      </c>
      <c r="BQ585" s="185" t="s">
        <v>3794</v>
      </c>
      <c r="BW585" s="73"/>
      <c r="BX585" s="73">
        <v>-37</v>
      </c>
      <c r="BY585" s="185" t="s">
        <v>126</v>
      </c>
      <c r="CD585" s="73">
        <v>-37</v>
      </c>
      <c r="CE585" s="65" t="s">
        <v>126</v>
      </c>
      <c r="CJ585" t="s">
        <v>25</v>
      </c>
      <c r="CK585" t="s">
        <v>25</v>
      </c>
      <c r="CL585" t="s">
        <v>25</v>
      </c>
      <c r="CM585" t="s">
        <v>25</v>
      </c>
      <c r="CN585" t="s">
        <v>25</v>
      </c>
      <c r="CO585" t="s">
        <v>25</v>
      </c>
      <c r="CP585" t="s">
        <v>25</v>
      </c>
      <c r="CQ585" t="s">
        <v>25</v>
      </c>
      <c r="CR585" t="s">
        <v>25</v>
      </c>
      <c r="CS585" t="s">
        <v>25</v>
      </c>
      <c r="CT585" t="s">
        <v>25</v>
      </c>
      <c r="CU585" t="s">
        <v>25</v>
      </c>
      <c r="CV585" t="s">
        <v>25</v>
      </c>
      <c r="CW585" t="s">
        <v>25</v>
      </c>
      <c r="CX585" t="s">
        <v>25</v>
      </c>
      <c r="CY585" t="s">
        <v>25</v>
      </c>
      <c r="CZ585" t="s">
        <v>25</v>
      </c>
      <c r="DA585" t="s">
        <v>25</v>
      </c>
      <c r="DB585" t="s">
        <v>31</v>
      </c>
      <c r="DC585" t="s">
        <v>25</v>
      </c>
      <c r="DD585" t="s">
        <v>25</v>
      </c>
      <c r="DE585" t="s">
        <v>25</v>
      </c>
      <c r="DF585" t="s">
        <v>25</v>
      </c>
      <c r="DG585" t="s">
        <v>25</v>
      </c>
      <c r="DH585" t="s">
        <v>25</v>
      </c>
      <c r="DI585" t="s">
        <v>25</v>
      </c>
      <c r="DJ585" s="76">
        <v>0</v>
      </c>
      <c r="DK585" s="73">
        <v>0</v>
      </c>
      <c r="DL585" s="73">
        <v>37</v>
      </c>
      <c r="DM585" s="73">
        <v>-37</v>
      </c>
      <c r="DU585"/>
      <c r="DZ585" s="73">
        <v>37</v>
      </c>
      <c r="EA585" s="73">
        <v>0</v>
      </c>
      <c r="EB585" s="73">
        <v>37</v>
      </c>
      <c r="EC585" s="65" t="s">
        <v>126</v>
      </c>
    </row>
    <row r="586" spans="1:133" ht="12" customHeight="1" x14ac:dyDescent="0.2">
      <c r="A586" t="s">
        <v>2937</v>
      </c>
      <c r="B586" t="s">
        <v>2949</v>
      </c>
      <c r="C586" t="str">
        <f t="shared" si="29"/>
        <v>Certificate of Lawful Development</v>
      </c>
      <c r="E586" s="65">
        <v>6238</v>
      </c>
      <c r="F586" t="s">
        <v>2230</v>
      </c>
      <c r="G586" s="71" t="s">
        <v>2907</v>
      </c>
      <c r="H586" s="67">
        <v>1.4000000432133701E-2</v>
      </c>
      <c r="I586" s="65">
        <v>524777</v>
      </c>
      <c r="J586" s="65">
        <v>173324</v>
      </c>
      <c r="L586" s="65" t="s">
        <v>1026</v>
      </c>
      <c r="M586" s="65" t="s">
        <v>436</v>
      </c>
      <c r="N586" s="69">
        <v>42632</v>
      </c>
      <c r="O586" s="69">
        <v>42685</v>
      </c>
      <c r="R586" s="65" t="s">
        <v>28</v>
      </c>
      <c r="U586" t="s">
        <v>1027</v>
      </c>
      <c r="V586" t="s">
        <v>3545</v>
      </c>
      <c r="W586" s="65" t="s">
        <v>21</v>
      </c>
      <c r="X586" s="65" t="s">
        <v>21</v>
      </c>
      <c r="Y586" s="65" t="s">
        <v>69</v>
      </c>
      <c r="AD586" s="65" t="s">
        <v>23</v>
      </c>
      <c r="AE586" s="65" t="s">
        <v>24</v>
      </c>
      <c r="AJ586" s="73">
        <v>95</v>
      </c>
      <c r="AO586" s="73">
        <v>95</v>
      </c>
      <c r="BO586" s="185" t="s">
        <v>126</v>
      </c>
      <c r="BP586" s="185" t="s">
        <v>3794</v>
      </c>
      <c r="BQ586" s="185" t="s">
        <v>3794</v>
      </c>
      <c r="BR586" s="73">
        <v>95</v>
      </c>
      <c r="BW586" s="73">
        <v>95</v>
      </c>
      <c r="BY586" s="185" t="s">
        <v>3794</v>
      </c>
      <c r="CJ586" t="s">
        <v>31</v>
      </c>
      <c r="CK586" t="s">
        <v>25</v>
      </c>
      <c r="CL586" t="s">
        <v>25</v>
      </c>
      <c r="CM586" t="s">
        <v>25</v>
      </c>
      <c r="CN586" t="s">
        <v>25</v>
      </c>
      <c r="CO586" t="s">
        <v>25</v>
      </c>
      <c r="CP586" t="s">
        <v>25</v>
      </c>
      <c r="CQ586" t="s">
        <v>25</v>
      </c>
      <c r="CR586" t="s">
        <v>25</v>
      </c>
      <c r="CS586" t="s">
        <v>25</v>
      </c>
      <c r="CT586" t="s">
        <v>25</v>
      </c>
      <c r="CU586" t="s">
        <v>25</v>
      </c>
      <c r="CV586" t="s">
        <v>25</v>
      </c>
      <c r="CW586" t="s">
        <v>25</v>
      </c>
      <c r="CX586" t="s">
        <v>25</v>
      </c>
      <c r="CY586" t="s">
        <v>25</v>
      </c>
      <c r="CZ586" t="s">
        <v>25</v>
      </c>
      <c r="DA586" t="s">
        <v>25</v>
      </c>
      <c r="DB586" t="s">
        <v>25</v>
      </c>
      <c r="DC586" t="s">
        <v>25</v>
      </c>
      <c r="DD586" t="s">
        <v>25</v>
      </c>
      <c r="DE586" t="s">
        <v>25</v>
      </c>
      <c r="DF586" t="s">
        <v>25</v>
      </c>
      <c r="DG586" t="s">
        <v>25</v>
      </c>
      <c r="DH586" t="s">
        <v>25</v>
      </c>
      <c r="DI586" t="s">
        <v>25</v>
      </c>
      <c r="DJ586" s="76">
        <v>1.4000000432133701E-2</v>
      </c>
      <c r="DK586" s="73">
        <v>95</v>
      </c>
      <c r="DL586" s="73">
        <v>95</v>
      </c>
      <c r="DM586" s="73">
        <v>0</v>
      </c>
      <c r="DU586"/>
      <c r="DX586" s="65" t="s">
        <v>126</v>
      </c>
      <c r="DY586" t="s">
        <v>2907</v>
      </c>
      <c r="DZ586" s="73">
        <v>0</v>
      </c>
      <c r="EA586" s="73">
        <v>0</v>
      </c>
      <c r="EB586" s="73">
        <v>0</v>
      </c>
    </row>
    <row r="587" spans="1:133" ht="12" customHeight="1" x14ac:dyDescent="0.2">
      <c r="A587" t="s">
        <v>2936</v>
      </c>
      <c r="B587" t="s">
        <v>2946</v>
      </c>
      <c r="C587" t="str">
        <f t="shared" si="29"/>
        <v>Full</v>
      </c>
      <c r="D587" t="s">
        <v>2943</v>
      </c>
      <c r="E587" s="65">
        <v>6244</v>
      </c>
      <c r="F587" t="s">
        <v>2231</v>
      </c>
      <c r="G587" s="71" t="s">
        <v>3947</v>
      </c>
      <c r="H587" s="67">
        <v>1.2000000104308101E-2</v>
      </c>
      <c r="I587" s="65">
        <v>528679</v>
      </c>
      <c r="J587" s="65">
        <v>176906</v>
      </c>
      <c r="L587" s="65" t="s">
        <v>2232</v>
      </c>
      <c r="M587" s="65" t="s">
        <v>27</v>
      </c>
      <c r="N587" s="69">
        <v>43068</v>
      </c>
      <c r="O587" s="69">
        <v>43136</v>
      </c>
      <c r="P587" s="65" t="s">
        <v>126</v>
      </c>
      <c r="R587" s="65" t="s">
        <v>28</v>
      </c>
      <c r="U587" t="s">
        <v>2233</v>
      </c>
      <c r="V587" t="s">
        <v>3546</v>
      </c>
      <c r="W587" s="65" t="s">
        <v>34</v>
      </c>
      <c r="X587" s="65" t="s">
        <v>29</v>
      </c>
      <c r="Y587" s="65" t="s">
        <v>35</v>
      </c>
      <c r="AA587" s="69">
        <v>43136</v>
      </c>
      <c r="AB587" s="69">
        <v>43190</v>
      </c>
      <c r="AC587" s="69">
        <v>43190</v>
      </c>
      <c r="AD587" s="65" t="s">
        <v>23</v>
      </c>
      <c r="AE587" s="65" t="s">
        <v>24</v>
      </c>
      <c r="AH587" s="69">
        <f t="shared" si="27"/>
        <v>43136</v>
      </c>
      <c r="AI587" s="69">
        <f t="shared" si="28"/>
        <v>43190</v>
      </c>
      <c r="AW587" s="73">
        <v>357</v>
      </c>
      <c r="AY587" s="73">
        <v>357</v>
      </c>
      <c r="BA587" s="73">
        <v>299</v>
      </c>
      <c r="BE587" s="73">
        <v>299</v>
      </c>
      <c r="BO587" s="185" t="s">
        <v>126</v>
      </c>
      <c r="BP587" s="185" t="s">
        <v>3794</v>
      </c>
      <c r="BQ587" s="185" t="s">
        <v>126</v>
      </c>
      <c r="BS587" s="73">
        <v>-299</v>
      </c>
      <c r="BW587" s="73">
        <v>-299</v>
      </c>
      <c r="BY587" s="185" t="s">
        <v>3794</v>
      </c>
      <c r="CG587" s="73">
        <v>357</v>
      </c>
      <c r="CI587" s="73">
        <v>357</v>
      </c>
      <c r="CJ587" t="s">
        <v>25</v>
      </c>
      <c r="CK587" t="s">
        <v>25</v>
      </c>
      <c r="CL587" t="s">
        <v>25</v>
      </c>
      <c r="CM587" t="s">
        <v>25</v>
      </c>
      <c r="CN587" t="s">
        <v>25</v>
      </c>
      <c r="CO587" t="s">
        <v>25</v>
      </c>
      <c r="CP587" t="s">
        <v>25</v>
      </c>
      <c r="CQ587" t="s">
        <v>25</v>
      </c>
      <c r="CR587" t="s">
        <v>25</v>
      </c>
      <c r="CS587" t="s">
        <v>25</v>
      </c>
      <c r="CT587" t="s">
        <v>25</v>
      </c>
      <c r="CU587" t="s">
        <v>37</v>
      </c>
      <c r="CV587" t="s">
        <v>25</v>
      </c>
      <c r="CW587" t="s">
        <v>25</v>
      </c>
      <c r="CX587" t="s">
        <v>47</v>
      </c>
      <c r="CY587" t="s">
        <v>25</v>
      </c>
      <c r="CZ587" t="s">
        <v>25</v>
      </c>
      <c r="DA587" t="s">
        <v>25</v>
      </c>
      <c r="DB587" t="s">
        <v>25</v>
      </c>
      <c r="DC587" t="s">
        <v>25</v>
      </c>
      <c r="DD587" t="s">
        <v>25</v>
      </c>
      <c r="DE587" t="s">
        <v>25</v>
      </c>
      <c r="DF587" t="s">
        <v>25</v>
      </c>
      <c r="DG587" t="s">
        <v>25</v>
      </c>
      <c r="DH587" t="s">
        <v>25</v>
      </c>
      <c r="DI587" t="s">
        <v>25</v>
      </c>
      <c r="DJ587" s="76">
        <v>1.2000000104308101E-2</v>
      </c>
      <c r="DK587" s="73">
        <v>357</v>
      </c>
      <c r="DL587" s="73">
        <v>299</v>
      </c>
      <c r="DM587" s="73">
        <v>58</v>
      </c>
      <c r="DU587"/>
      <c r="DZ587" s="73">
        <v>0</v>
      </c>
      <c r="EA587" s="73">
        <v>0</v>
      </c>
      <c r="EB587" s="73">
        <v>0</v>
      </c>
    </row>
    <row r="588" spans="1:133" ht="12" customHeight="1" x14ac:dyDescent="0.2">
      <c r="A588" t="s">
        <v>2936</v>
      </c>
      <c r="B588" t="s">
        <v>2946</v>
      </c>
      <c r="C588" t="str">
        <f t="shared" si="29"/>
        <v>Full</v>
      </c>
      <c r="D588" t="s">
        <v>2943</v>
      </c>
      <c r="E588" s="65">
        <v>6245</v>
      </c>
      <c r="F588" t="s">
        <v>2234</v>
      </c>
      <c r="G588" s="71" t="s">
        <v>2904</v>
      </c>
      <c r="H588" s="67">
        <v>3.20000015199184E-2</v>
      </c>
      <c r="I588" s="65">
        <v>526018</v>
      </c>
      <c r="J588" s="65">
        <v>173059</v>
      </c>
      <c r="L588" s="65" t="s">
        <v>824</v>
      </c>
      <c r="M588" s="65" t="s">
        <v>27</v>
      </c>
      <c r="N588" s="69">
        <v>42480</v>
      </c>
      <c r="O588" s="69">
        <v>42536</v>
      </c>
      <c r="R588" s="65" t="s">
        <v>28</v>
      </c>
      <c r="U588" t="s">
        <v>825</v>
      </c>
      <c r="V588" t="s">
        <v>3547</v>
      </c>
      <c r="W588" s="65" t="s">
        <v>34</v>
      </c>
      <c r="X588" s="65" t="s">
        <v>29</v>
      </c>
      <c r="Y588" s="65" t="s">
        <v>35</v>
      </c>
      <c r="AA588" s="69">
        <v>42585</v>
      </c>
      <c r="AB588" s="69">
        <v>43190</v>
      </c>
      <c r="AC588" s="69">
        <v>43190</v>
      </c>
      <c r="AD588" s="65" t="s">
        <v>23</v>
      </c>
      <c r="AE588" s="65" t="s">
        <v>24</v>
      </c>
      <c r="AH588" s="69">
        <f t="shared" si="27"/>
        <v>42585</v>
      </c>
      <c r="AI588" s="69">
        <f t="shared" si="28"/>
        <v>43190</v>
      </c>
      <c r="AJ588" s="73">
        <v>404</v>
      </c>
      <c r="AO588" s="73">
        <v>404</v>
      </c>
      <c r="AZ588" s="73">
        <v>160</v>
      </c>
      <c r="BB588" s="73">
        <v>156</v>
      </c>
      <c r="BE588" s="73">
        <v>316</v>
      </c>
      <c r="BO588" s="185" t="s">
        <v>126</v>
      </c>
      <c r="BP588" s="185" t="s">
        <v>3794</v>
      </c>
      <c r="BQ588" s="185" t="s">
        <v>3794</v>
      </c>
      <c r="BR588" s="73">
        <v>244</v>
      </c>
      <c r="BT588" s="73">
        <v>-156</v>
      </c>
      <c r="BW588" s="73">
        <v>88</v>
      </c>
      <c r="BY588" s="185" t="s">
        <v>3794</v>
      </c>
      <c r="CJ588" t="s">
        <v>31</v>
      </c>
      <c r="CK588" t="s">
        <v>25</v>
      </c>
      <c r="CL588" t="s">
        <v>25</v>
      </c>
      <c r="CM588" t="s">
        <v>25</v>
      </c>
      <c r="CN588" t="s">
        <v>25</v>
      </c>
      <c r="CO588" t="s">
        <v>25</v>
      </c>
      <c r="CP588" t="s">
        <v>25</v>
      </c>
      <c r="CQ588" t="s">
        <v>25</v>
      </c>
      <c r="CR588" t="s">
        <v>25</v>
      </c>
      <c r="CS588" t="s">
        <v>25</v>
      </c>
      <c r="CT588" t="s">
        <v>25</v>
      </c>
      <c r="CU588" t="s">
        <v>25</v>
      </c>
      <c r="CV588" t="s">
        <v>25</v>
      </c>
      <c r="CW588" t="s">
        <v>47</v>
      </c>
      <c r="CX588" t="s">
        <v>25</v>
      </c>
      <c r="CY588" t="s">
        <v>47</v>
      </c>
      <c r="CZ588" t="s">
        <v>25</v>
      </c>
      <c r="DA588" t="s">
        <v>25</v>
      </c>
      <c r="DB588" t="s">
        <v>25</v>
      </c>
      <c r="DC588" t="s">
        <v>25</v>
      </c>
      <c r="DD588" t="s">
        <v>25</v>
      </c>
      <c r="DE588" t="s">
        <v>25</v>
      </c>
      <c r="DF588" t="s">
        <v>25</v>
      </c>
      <c r="DG588" t="s">
        <v>25</v>
      </c>
      <c r="DH588" t="s">
        <v>25</v>
      </c>
      <c r="DI588" t="s">
        <v>25</v>
      </c>
      <c r="DJ588" s="76">
        <v>1.1000001803040501E-2</v>
      </c>
      <c r="DK588" s="73">
        <v>404</v>
      </c>
      <c r="DL588" s="73">
        <v>316</v>
      </c>
      <c r="DM588" s="73">
        <v>88</v>
      </c>
      <c r="DU588"/>
      <c r="DX588" s="65" t="s">
        <v>126</v>
      </c>
      <c r="DY588" t="s">
        <v>2904</v>
      </c>
      <c r="DZ588" s="73">
        <v>578</v>
      </c>
      <c r="EA588" s="73">
        <v>352</v>
      </c>
      <c r="EB588" s="73">
        <v>226</v>
      </c>
      <c r="EC588" s="65" t="s">
        <v>126</v>
      </c>
    </row>
    <row r="589" spans="1:133" ht="12" customHeight="1" x14ac:dyDescent="0.2">
      <c r="A589" t="s">
        <v>2936</v>
      </c>
      <c r="B589" t="s">
        <v>2946</v>
      </c>
      <c r="C589" t="str">
        <f t="shared" si="29"/>
        <v>Full</v>
      </c>
      <c r="D589" t="s">
        <v>2943</v>
      </c>
      <c r="E589" s="65">
        <v>6245</v>
      </c>
      <c r="F589" t="s">
        <v>2234</v>
      </c>
      <c r="G589" s="71" t="s">
        <v>2904</v>
      </c>
      <c r="H589" s="67">
        <v>3.20000015199184E-2</v>
      </c>
      <c r="I589" s="65">
        <v>526018</v>
      </c>
      <c r="J589" s="65">
        <v>173059</v>
      </c>
      <c r="L589" s="65" t="s">
        <v>2235</v>
      </c>
      <c r="M589" s="65" t="s">
        <v>27</v>
      </c>
      <c r="N589" s="69">
        <v>42797</v>
      </c>
      <c r="O589" s="69">
        <v>42851</v>
      </c>
      <c r="P589" s="65" t="s">
        <v>126</v>
      </c>
      <c r="R589" s="65" t="s">
        <v>28</v>
      </c>
      <c r="U589" t="s">
        <v>2236</v>
      </c>
      <c r="V589" t="s">
        <v>3548</v>
      </c>
      <c r="W589" s="65" t="s">
        <v>21</v>
      </c>
      <c r="X589" s="65" t="s">
        <v>21</v>
      </c>
      <c r="Y589" s="65" t="s">
        <v>35</v>
      </c>
      <c r="AA589" s="69">
        <v>42852</v>
      </c>
      <c r="AB589" s="69">
        <v>43171</v>
      </c>
      <c r="AC589" s="69">
        <v>43190</v>
      </c>
      <c r="AD589" s="65" t="s">
        <v>23</v>
      </c>
      <c r="AE589" s="65" t="s">
        <v>24</v>
      </c>
      <c r="AH589" s="69">
        <f t="shared" si="27"/>
        <v>42852</v>
      </c>
      <c r="AI589" s="69">
        <f t="shared" si="28"/>
        <v>43171</v>
      </c>
      <c r="AJ589" s="73">
        <v>167</v>
      </c>
      <c r="AL589" s="73">
        <v>275</v>
      </c>
      <c r="AO589" s="73">
        <v>442</v>
      </c>
      <c r="AZ589" s="73">
        <v>442</v>
      </c>
      <c r="BE589" s="73">
        <v>442</v>
      </c>
      <c r="BO589" s="185" t="s">
        <v>126</v>
      </c>
      <c r="BP589" s="185" t="s">
        <v>3794</v>
      </c>
      <c r="BQ589" s="185" t="s">
        <v>3794</v>
      </c>
      <c r="BR589" s="73">
        <v>-275</v>
      </c>
      <c r="BT589" s="73">
        <v>275</v>
      </c>
      <c r="BW589" s="73"/>
      <c r="BY589" s="185" t="s">
        <v>3794</v>
      </c>
      <c r="CJ589" t="s">
        <v>31</v>
      </c>
      <c r="CK589" t="s">
        <v>25</v>
      </c>
      <c r="CL589" t="s">
        <v>31</v>
      </c>
      <c r="CM589" t="s">
        <v>25</v>
      </c>
      <c r="CN589" t="s">
        <v>25</v>
      </c>
      <c r="CO589" t="s">
        <v>25</v>
      </c>
      <c r="CP589" t="s">
        <v>25</v>
      </c>
      <c r="CQ589" t="s">
        <v>25</v>
      </c>
      <c r="CR589" t="s">
        <v>25</v>
      </c>
      <c r="CS589" t="s">
        <v>25</v>
      </c>
      <c r="CT589" t="s">
        <v>25</v>
      </c>
      <c r="CU589" t="s">
        <v>25</v>
      </c>
      <c r="CV589" t="s">
        <v>25</v>
      </c>
      <c r="CW589" t="s">
        <v>31</v>
      </c>
      <c r="CX589" t="s">
        <v>25</v>
      </c>
      <c r="CY589" t="s">
        <v>25</v>
      </c>
      <c r="CZ589" t="s">
        <v>25</v>
      </c>
      <c r="DA589" t="s">
        <v>25</v>
      </c>
      <c r="DB589" t="s">
        <v>25</v>
      </c>
      <c r="DC589" t="s">
        <v>25</v>
      </c>
      <c r="DD589" t="s">
        <v>25</v>
      </c>
      <c r="DE589" t="s">
        <v>25</v>
      </c>
      <c r="DF589" t="s">
        <v>25</v>
      </c>
      <c r="DG589" t="s">
        <v>25</v>
      </c>
      <c r="DH589" t="s">
        <v>25</v>
      </c>
      <c r="DI589" t="s">
        <v>25</v>
      </c>
      <c r="DJ589" s="76">
        <v>3.20000015199184E-2</v>
      </c>
      <c r="DK589" s="73">
        <v>442</v>
      </c>
      <c r="DL589" s="73">
        <v>442</v>
      </c>
      <c r="DM589" s="73">
        <v>0</v>
      </c>
      <c r="DU589"/>
      <c r="DX589" s="65" t="s">
        <v>126</v>
      </c>
      <c r="DY589" t="s">
        <v>2904</v>
      </c>
      <c r="DZ589" s="73">
        <v>0</v>
      </c>
      <c r="EA589" s="73">
        <v>0</v>
      </c>
      <c r="EB589" s="73">
        <v>0</v>
      </c>
    </row>
    <row r="590" spans="1:133" ht="12" customHeight="1" x14ac:dyDescent="0.2">
      <c r="A590" t="s">
        <v>2936</v>
      </c>
      <c r="B590" t="s">
        <v>2946</v>
      </c>
      <c r="C590" t="str">
        <f t="shared" si="29"/>
        <v>Full</v>
      </c>
      <c r="D590" t="s">
        <v>2943</v>
      </c>
      <c r="E590" s="65">
        <v>6246</v>
      </c>
      <c r="F590" t="s">
        <v>2237</v>
      </c>
      <c r="G590" s="71" t="s">
        <v>2907</v>
      </c>
      <c r="H590" s="67">
        <v>8.0000003799796104E-3</v>
      </c>
      <c r="I590" s="65">
        <v>525229</v>
      </c>
      <c r="J590" s="65">
        <v>173893</v>
      </c>
      <c r="L590" s="65" t="s">
        <v>826</v>
      </c>
      <c r="M590" s="65" t="s">
        <v>27</v>
      </c>
      <c r="N590" s="69">
        <v>42459</v>
      </c>
      <c r="O590" s="69">
        <v>42541</v>
      </c>
      <c r="R590" s="65" t="s">
        <v>28</v>
      </c>
      <c r="U590" t="s">
        <v>827</v>
      </c>
      <c r="V590" t="s">
        <v>3549</v>
      </c>
      <c r="W590" s="65" t="s">
        <v>34</v>
      </c>
      <c r="X590" s="65" t="s">
        <v>29</v>
      </c>
      <c r="Y590" s="65" t="s">
        <v>35</v>
      </c>
      <c r="AA590" s="69">
        <v>42675</v>
      </c>
      <c r="AB590" s="69">
        <v>42851</v>
      </c>
      <c r="AC590" s="69">
        <v>42851</v>
      </c>
      <c r="AD590" s="65" t="s">
        <v>23</v>
      </c>
      <c r="AE590" s="65" t="s">
        <v>24</v>
      </c>
      <c r="AH590" s="69">
        <f t="shared" si="27"/>
        <v>42675</v>
      </c>
      <c r="AI590" s="69">
        <f t="shared" si="28"/>
        <v>42851</v>
      </c>
      <c r="BO590" s="185" t="s">
        <v>3794</v>
      </c>
      <c r="BP590" s="185" t="s">
        <v>3794</v>
      </c>
      <c r="BQ590" s="185" t="s">
        <v>3794</v>
      </c>
      <c r="BW590" s="73"/>
      <c r="BY590" s="185" t="s">
        <v>3794</v>
      </c>
      <c r="CJ590" t="s">
        <v>25</v>
      </c>
      <c r="CK590" t="s">
        <v>25</v>
      </c>
      <c r="CL590" t="s">
        <v>25</v>
      </c>
      <c r="CM590" t="s">
        <v>25</v>
      </c>
      <c r="CN590" t="s">
        <v>25</v>
      </c>
      <c r="CO590" t="s">
        <v>25</v>
      </c>
      <c r="CP590" t="s">
        <v>25</v>
      </c>
      <c r="CQ590" t="s">
        <v>25</v>
      </c>
      <c r="CR590" t="s">
        <v>25</v>
      </c>
      <c r="CS590" t="s">
        <v>25</v>
      </c>
      <c r="CT590" t="s">
        <v>25</v>
      </c>
      <c r="CU590" t="s">
        <v>25</v>
      </c>
      <c r="CV590" t="s">
        <v>25</v>
      </c>
      <c r="CW590" t="s">
        <v>25</v>
      </c>
      <c r="CX590" t="s">
        <v>25</v>
      </c>
      <c r="CY590" t="s">
        <v>25</v>
      </c>
      <c r="CZ590" t="s">
        <v>25</v>
      </c>
      <c r="DA590" t="s">
        <v>25</v>
      </c>
      <c r="DB590" t="s">
        <v>25</v>
      </c>
      <c r="DC590" t="s">
        <v>25</v>
      </c>
      <c r="DD590" t="s">
        <v>25</v>
      </c>
      <c r="DE590" t="s">
        <v>25</v>
      </c>
      <c r="DF590" t="s">
        <v>25</v>
      </c>
      <c r="DG590" t="s">
        <v>25</v>
      </c>
      <c r="DH590" t="s">
        <v>25</v>
      </c>
      <c r="DI590" t="s">
        <v>25</v>
      </c>
      <c r="DJ590" s="76">
        <v>2.0000000949949009E-3</v>
      </c>
      <c r="DK590" s="73">
        <v>0</v>
      </c>
      <c r="DL590" s="73">
        <v>20</v>
      </c>
      <c r="DM590" s="73">
        <v>-20</v>
      </c>
      <c r="DU590"/>
      <c r="DZ590" s="73">
        <v>180</v>
      </c>
      <c r="EA590" s="73">
        <v>94</v>
      </c>
      <c r="EB590" s="73">
        <v>86</v>
      </c>
      <c r="EC590" s="65" t="s">
        <v>126</v>
      </c>
    </row>
    <row r="591" spans="1:133" ht="12" customHeight="1" x14ac:dyDescent="0.2">
      <c r="A591" t="s">
        <v>2936</v>
      </c>
      <c r="B591" t="s">
        <v>2946</v>
      </c>
      <c r="C591" t="str">
        <f t="shared" si="29"/>
        <v>Full</v>
      </c>
      <c r="D591" t="s">
        <v>2943</v>
      </c>
      <c r="E591" s="65">
        <v>6254</v>
      </c>
      <c r="F591" t="s">
        <v>2238</v>
      </c>
      <c r="G591" s="71" t="s">
        <v>3944</v>
      </c>
      <c r="H591" s="67">
        <v>6.1999998986720997E-2</v>
      </c>
      <c r="I591" s="65">
        <v>525880</v>
      </c>
      <c r="J591" s="65">
        <v>175296</v>
      </c>
      <c r="L591" s="65" t="s">
        <v>888</v>
      </c>
      <c r="M591" s="65" t="s">
        <v>27</v>
      </c>
      <c r="N591" s="69">
        <v>42591</v>
      </c>
      <c r="O591" s="69">
        <v>42626</v>
      </c>
      <c r="R591" s="65" t="s">
        <v>28</v>
      </c>
      <c r="U591" t="s">
        <v>889</v>
      </c>
      <c r="V591" t="s">
        <v>3550</v>
      </c>
      <c r="W591" s="65" t="s">
        <v>21</v>
      </c>
      <c r="X591" s="65" t="s">
        <v>21</v>
      </c>
      <c r="Y591" s="65" t="s">
        <v>35</v>
      </c>
      <c r="AA591" s="69">
        <v>42627</v>
      </c>
      <c r="AB591" s="69">
        <v>43190</v>
      </c>
      <c r="AC591" s="69">
        <v>43190</v>
      </c>
      <c r="AD591" s="65" t="s">
        <v>23</v>
      </c>
      <c r="AE591" s="65" t="s">
        <v>24</v>
      </c>
      <c r="AH591" s="69">
        <f t="shared" si="27"/>
        <v>42627</v>
      </c>
      <c r="AI591" s="69">
        <f t="shared" si="28"/>
        <v>43190</v>
      </c>
      <c r="AK591" s="73">
        <v>51</v>
      </c>
      <c r="AO591" s="73">
        <v>51</v>
      </c>
      <c r="BF591" s="73">
        <v>51</v>
      </c>
      <c r="BK591" s="73">
        <v>51</v>
      </c>
      <c r="BO591" s="185" t="s">
        <v>126</v>
      </c>
      <c r="BP591" s="185" t="s">
        <v>126</v>
      </c>
      <c r="BQ591" s="185" t="s">
        <v>3794</v>
      </c>
      <c r="BS591" s="73">
        <v>51</v>
      </c>
      <c r="BW591" s="73">
        <v>51</v>
      </c>
      <c r="BX591" s="73">
        <v>-51</v>
      </c>
      <c r="BY591" s="185" t="s">
        <v>126</v>
      </c>
      <c r="CD591" s="73">
        <v>-51</v>
      </c>
      <c r="CE591" s="65" t="s">
        <v>126</v>
      </c>
      <c r="CJ591" t="s">
        <v>25</v>
      </c>
      <c r="CK591" t="s">
        <v>64</v>
      </c>
      <c r="CL591" t="s">
        <v>25</v>
      </c>
      <c r="CM591" t="s">
        <v>25</v>
      </c>
      <c r="CN591" t="s">
        <v>25</v>
      </c>
      <c r="CO591" t="s">
        <v>25</v>
      </c>
      <c r="CP591" t="s">
        <v>25</v>
      </c>
      <c r="CQ591" t="s">
        <v>25</v>
      </c>
      <c r="CR591" t="s">
        <v>25</v>
      </c>
      <c r="CS591" t="s">
        <v>25</v>
      </c>
      <c r="CT591" t="s">
        <v>25</v>
      </c>
      <c r="CU591" t="s">
        <v>25</v>
      </c>
      <c r="CV591" t="s">
        <v>25</v>
      </c>
      <c r="CW591" t="s">
        <v>25</v>
      </c>
      <c r="CX591" t="s">
        <v>25</v>
      </c>
      <c r="CY591" t="s">
        <v>25</v>
      </c>
      <c r="CZ591" t="s">
        <v>25</v>
      </c>
      <c r="DA591" t="s">
        <v>25</v>
      </c>
      <c r="DB591" t="s">
        <v>47</v>
      </c>
      <c r="DC591" t="s">
        <v>25</v>
      </c>
      <c r="DD591" t="s">
        <v>25</v>
      </c>
      <c r="DE591" t="s">
        <v>25</v>
      </c>
      <c r="DF591" t="s">
        <v>25</v>
      </c>
      <c r="DG591" t="s">
        <v>25</v>
      </c>
      <c r="DH591" t="s">
        <v>25</v>
      </c>
      <c r="DI591" t="s">
        <v>25</v>
      </c>
      <c r="DJ591" s="76">
        <v>6.1999998986720997E-2</v>
      </c>
      <c r="DK591" s="73">
        <v>51</v>
      </c>
      <c r="DL591" s="73">
        <v>51</v>
      </c>
      <c r="DM591" s="73">
        <v>0</v>
      </c>
      <c r="DN591" s="65" t="s">
        <v>126</v>
      </c>
      <c r="DU591"/>
      <c r="DZ591" s="73">
        <v>0</v>
      </c>
      <c r="EA591" s="73">
        <v>0</v>
      </c>
      <c r="EB591" s="73">
        <v>0</v>
      </c>
    </row>
    <row r="592" spans="1:133" ht="12" customHeight="1" x14ac:dyDescent="0.2">
      <c r="A592" t="s">
        <v>2937</v>
      </c>
      <c r="B592" t="s">
        <v>2946</v>
      </c>
      <c r="C592" t="str">
        <f t="shared" si="29"/>
        <v>Full</v>
      </c>
      <c r="E592" s="65">
        <v>6255</v>
      </c>
      <c r="F592" t="s">
        <v>2239</v>
      </c>
      <c r="G592" s="71" t="s">
        <v>3948</v>
      </c>
      <c r="H592" s="67">
        <v>2.6919999122619598</v>
      </c>
      <c r="I592" s="65">
        <v>527569</v>
      </c>
      <c r="J592" s="65">
        <v>176046</v>
      </c>
      <c r="L592" s="65" t="s">
        <v>800</v>
      </c>
      <c r="M592" s="65" t="s">
        <v>27</v>
      </c>
      <c r="N592" s="69">
        <v>42530</v>
      </c>
      <c r="O592" s="69">
        <v>42704</v>
      </c>
      <c r="R592" s="65" t="s">
        <v>28</v>
      </c>
      <c r="U592" t="s">
        <v>801</v>
      </c>
      <c r="V592" t="s">
        <v>3551</v>
      </c>
      <c r="W592" s="65" t="s">
        <v>34</v>
      </c>
      <c r="X592" s="65" t="s">
        <v>29</v>
      </c>
      <c r="Y592" s="65" t="s">
        <v>59</v>
      </c>
      <c r="AD592" s="65" t="s">
        <v>23</v>
      </c>
      <c r="AE592" s="65" t="s">
        <v>24</v>
      </c>
      <c r="BO592" s="185" t="s">
        <v>3794</v>
      </c>
      <c r="BP592" s="185" t="s">
        <v>3794</v>
      </c>
      <c r="BQ592" s="185" t="s">
        <v>3794</v>
      </c>
      <c r="BW592" s="73"/>
      <c r="BY592" s="185" t="s">
        <v>3794</v>
      </c>
      <c r="CJ592" t="s">
        <v>25</v>
      </c>
      <c r="CK592" t="s">
        <v>25</v>
      </c>
      <c r="CL592" t="s">
        <v>25</v>
      </c>
      <c r="CM592" t="s">
        <v>25</v>
      </c>
      <c r="CN592" t="s">
        <v>25</v>
      </c>
      <c r="CO592" t="s">
        <v>25</v>
      </c>
      <c r="CP592" t="s">
        <v>25</v>
      </c>
      <c r="CQ592" t="s">
        <v>25</v>
      </c>
      <c r="CR592" t="s">
        <v>25</v>
      </c>
      <c r="CS592" t="s">
        <v>25</v>
      </c>
      <c r="CT592" t="s">
        <v>25</v>
      </c>
      <c r="CU592" t="s">
        <v>25</v>
      </c>
      <c r="CV592" t="s">
        <v>25</v>
      </c>
      <c r="CW592" t="s">
        <v>25</v>
      </c>
      <c r="CX592" t="s">
        <v>25</v>
      </c>
      <c r="CY592" t="s">
        <v>25</v>
      </c>
      <c r="CZ592" t="s">
        <v>25</v>
      </c>
      <c r="DA592" t="s">
        <v>25</v>
      </c>
      <c r="DB592" t="s">
        <v>25</v>
      </c>
      <c r="DC592" t="s">
        <v>25</v>
      </c>
      <c r="DD592" t="s">
        <v>25</v>
      </c>
      <c r="DE592" t="s">
        <v>25</v>
      </c>
      <c r="DF592" t="s">
        <v>25</v>
      </c>
      <c r="DG592" t="s">
        <v>25</v>
      </c>
      <c r="DH592" t="s">
        <v>25</v>
      </c>
      <c r="DI592" t="s">
        <v>25</v>
      </c>
      <c r="DJ592" s="76">
        <v>2.6919999122619598</v>
      </c>
      <c r="DK592" s="73">
        <v>5172</v>
      </c>
      <c r="DL592" s="73">
        <v>5172</v>
      </c>
      <c r="DM592" s="73">
        <v>0</v>
      </c>
      <c r="DU592"/>
      <c r="DZ592" s="73">
        <v>0</v>
      </c>
      <c r="EA592" s="73">
        <v>0</v>
      </c>
      <c r="EB592" s="73">
        <v>0</v>
      </c>
    </row>
    <row r="593" spans="1:133" ht="12" customHeight="1" x14ac:dyDescent="0.2">
      <c r="A593" t="s">
        <v>2937</v>
      </c>
      <c r="B593" t="s">
        <v>2946</v>
      </c>
      <c r="C593" t="str">
        <f t="shared" si="29"/>
        <v>Full</v>
      </c>
      <c r="E593" s="65">
        <v>6256</v>
      </c>
      <c r="F593" t="s">
        <v>2240</v>
      </c>
      <c r="G593" s="71" t="s">
        <v>3948</v>
      </c>
      <c r="H593" s="67">
        <v>3.5000000149011598E-2</v>
      </c>
      <c r="I593" s="65">
        <v>528092</v>
      </c>
      <c r="J593" s="65">
        <v>176612</v>
      </c>
      <c r="L593" s="65" t="s">
        <v>877</v>
      </c>
      <c r="M593" s="65" t="s">
        <v>27</v>
      </c>
      <c r="N593" s="69">
        <v>42515</v>
      </c>
      <c r="O593" s="69">
        <v>42605</v>
      </c>
      <c r="R593" s="65" t="s">
        <v>28</v>
      </c>
      <c r="U593" t="s">
        <v>878</v>
      </c>
      <c r="V593" t="s">
        <v>3552</v>
      </c>
      <c r="W593" s="65" t="s">
        <v>34</v>
      </c>
      <c r="X593" s="65" t="s">
        <v>29</v>
      </c>
      <c r="Y593" s="65" t="s">
        <v>69</v>
      </c>
      <c r="AD593" s="65" t="s">
        <v>23</v>
      </c>
      <c r="AE593" s="65" t="s">
        <v>24</v>
      </c>
      <c r="AM593" s="73">
        <v>351</v>
      </c>
      <c r="AO593" s="73">
        <v>351</v>
      </c>
      <c r="BC593" s="73">
        <v>488</v>
      </c>
      <c r="BE593" s="73">
        <v>488</v>
      </c>
      <c r="BO593" s="185" t="s">
        <v>126</v>
      </c>
      <c r="BP593" s="185" t="s">
        <v>3794</v>
      </c>
      <c r="BQ593" s="185" t="s">
        <v>3794</v>
      </c>
      <c r="BU593" s="73">
        <v>-137</v>
      </c>
      <c r="BW593" s="73">
        <v>-137</v>
      </c>
      <c r="BY593" s="185" t="s">
        <v>3794</v>
      </c>
      <c r="CJ593" t="s">
        <v>25</v>
      </c>
      <c r="CK593" t="s">
        <v>25</v>
      </c>
      <c r="CL593" t="s">
        <v>25</v>
      </c>
      <c r="CM593" t="s">
        <v>71</v>
      </c>
      <c r="CN593" t="s">
        <v>25</v>
      </c>
      <c r="CO593" t="s">
        <v>25</v>
      </c>
      <c r="CP593" t="s">
        <v>25</v>
      </c>
      <c r="CQ593" t="s">
        <v>25</v>
      </c>
      <c r="CR593" t="s">
        <v>25</v>
      </c>
      <c r="CS593" t="s">
        <v>25</v>
      </c>
      <c r="CT593" t="s">
        <v>25</v>
      </c>
      <c r="CU593" t="s">
        <v>25</v>
      </c>
      <c r="CV593" t="s">
        <v>25</v>
      </c>
      <c r="CW593" t="s">
        <v>25</v>
      </c>
      <c r="CX593" t="s">
        <v>25</v>
      </c>
      <c r="CY593" t="s">
        <v>25</v>
      </c>
      <c r="CZ593" t="s">
        <v>71</v>
      </c>
      <c r="DA593" t="s">
        <v>25</v>
      </c>
      <c r="DB593" t="s">
        <v>25</v>
      </c>
      <c r="DC593" t="s">
        <v>25</v>
      </c>
      <c r="DD593" t="s">
        <v>25</v>
      </c>
      <c r="DE593" t="s">
        <v>25</v>
      </c>
      <c r="DF593" t="s">
        <v>25</v>
      </c>
      <c r="DG593" t="s">
        <v>25</v>
      </c>
      <c r="DH593" t="s">
        <v>25</v>
      </c>
      <c r="DI593" t="s">
        <v>25</v>
      </c>
      <c r="DJ593" s="76">
        <v>1.2000000104308097E-2</v>
      </c>
      <c r="DK593" s="73">
        <v>351</v>
      </c>
      <c r="DL593" s="73">
        <v>488</v>
      </c>
      <c r="DM593" s="73">
        <v>-137</v>
      </c>
      <c r="DU593"/>
      <c r="DZ593" s="73">
        <v>432</v>
      </c>
      <c r="EA593" s="73">
        <v>0</v>
      </c>
      <c r="EB593" s="73">
        <v>432</v>
      </c>
      <c r="EC593" s="65" t="s">
        <v>126</v>
      </c>
    </row>
    <row r="594" spans="1:133" ht="12" customHeight="1" x14ac:dyDescent="0.2">
      <c r="A594" t="s">
        <v>2937</v>
      </c>
      <c r="B594" t="s">
        <v>2946</v>
      </c>
      <c r="C594" t="str">
        <f t="shared" si="29"/>
        <v>Full</v>
      </c>
      <c r="E594" s="65">
        <v>6256</v>
      </c>
      <c r="F594" t="s">
        <v>2240</v>
      </c>
      <c r="G594" s="71" t="s">
        <v>3948</v>
      </c>
      <c r="H594" s="67">
        <v>3.5000000149011598E-2</v>
      </c>
      <c r="I594" s="65">
        <v>528092</v>
      </c>
      <c r="J594" s="65">
        <v>176612</v>
      </c>
      <c r="L594" s="65" t="s">
        <v>1220</v>
      </c>
      <c r="M594" s="65" t="s">
        <v>27</v>
      </c>
      <c r="N594" s="69">
        <v>42752</v>
      </c>
      <c r="O594" s="69">
        <v>42793</v>
      </c>
      <c r="R594" s="65" t="s">
        <v>28</v>
      </c>
      <c r="U594" t="s">
        <v>1221</v>
      </c>
      <c r="V594" t="s">
        <v>3553</v>
      </c>
      <c r="W594" s="65" t="s">
        <v>29</v>
      </c>
      <c r="X594" s="65" t="s">
        <v>29</v>
      </c>
      <c r="Y594" s="65" t="s">
        <v>69</v>
      </c>
      <c r="AD594" s="65" t="s">
        <v>23</v>
      </c>
      <c r="AE594" s="65" t="s">
        <v>24</v>
      </c>
      <c r="AM594" s="73">
        <v>345</v>
      </c>
      <c r="AO594" s="73">
        <v>345</v>
      </c>
      <c r="BC594" s="73">
        <v>477</v>
      </c>
      <c r="BE594" s="73">
        <v>477</v>
      </c>
      <c r="BO594" s="185" t="s">
        <v>126</v>
      </c>
      <c r="BP594" s="185" t="s">
        <v>3794</v>
      </c>
      <c r="BQ594" s="185" t="s">
        <v>3794</v>
      </c>
      <c r="BU594" s="73">
        <v>-132</v>
      </c>
      <c r="BW594" s="73">
        <v>-132</v>
      </c>
      <c r="BY594" s="185" t="s">
        <v>3794</v>
      </c>
      <c r="CJ594" t="s">
        <v>25</v>
      </c>
      <c r="CK594" t="s">
        <v>25</v>
      </c>
      <c r="CL594" t="s">
        <v>25</v>
      </c>
      <c r="CM594" t="s">
        <v>71</v>
      </c>
      <c r="CN594" t="s">
        <v>25</v>
      </c>
      <c r="CO594" t="s">
        <v>25</v>
      </c>
      <c r="CP594" t="s">
        <v>25</v>
      </c>
      <c r="CQ594" t="s">
        <v>25</v>
      </c>
      <c r="CR594" t="s">
        <v>25</v>
      </c>
      <c r="CS594" t="s">
        <v>25</v>
      </c>
      <c r="CT594" t="s">
        <v>25</v>
      </c>
      <c r="CU594" t="s">
        <v>25</v>
      </c>
      <c r="CV594" t="s">
        <v>25</v>
      </c>
      <c r="CW594" t="s">
        <v>25</v>
      </c>
      <c r="CX594" t="s">
        <v>25</v>
      </c>
      <c r="CY594" t="s">
        <v>25</v>
      </c>
      <c r="CZ594" t="s">
        <v>71</v>
      </c>
      <c r="DA594" t="s">
        <v>25</v>
      </c>
      <c r="DB594" t="s">
        <v>25</v>
      </c>
      <c r="DC594" t="s">
        <v>25</v>
      </c>
      <c r="DD594" t="s">
        <v>25</v>
      </c>
      <c r="DE594" t="s">
        <v>25</v>
      </c>
      <c r="DF594" t="s">
        <v>25</v>
      </c>
      <c r="DG594" t="s">
        <v>25</v>
      </c>
      <c r="DH594" t="s">
        <v>25</v>
      </c>
      <c r="DI594" t="s">
        <v>25</v>
      </c>
      <c r="DJ594" s="76">
        <v>2.0999999716877896E-2</v>
      </c>
      <c r="DK594" s="73">
        <v>345</v>
      </c>
      <c r="DL594" s="73">
        <v>477</v>
      </c>
      <c r="DM594" s="73">
        <v>-132</v>
      </c>
      <c r="DU594"/>
      <c r="DZ594" s="73">
        <v>335</v>
      </c>
      <c r="EA594" s="73">
        <v>0</v>
      </c>
      <c r="EB594" s="73">
        <v>335</v>
      </c>
      <c r="EC594" s="65" t="s">
        <v>126</v>
      </c>
    </row>
    <row r="595" spans="1:133" ht="12" customHeight="1" x14ac:dyDescent="0.2">
      <c r="A595" t="s">
        <v>2937</v>
      </c>
      <c r="B595" t="s">
        <v>2948</v>
      </c>
      <c r="C595" t="str">
        <f t="shared" si="29"/>
        <v>Prior Approval</v>
      </c>
      <c r="E595" s="65">
        <v>6258</v>
      </c>
      <c r="F595" t="s">
        <v>2241</v>
      </c>
      <c r="G595" s="71" t="s">
        <v>3943</v>
      </c>
      <c r="H595" s="67">
        <v>1.7000000923872001E-2</v>
      </c>
      <c r="I595" s="65">
        <v>526425</v>
      </c>
      <c r="J595" s="65">
        <v>175766</v>
      </c>
      <c r="K595" s="65" t="s">
        <v>1342</v>
      </c>
      <c r="L595" s="65" t="s">
        <v>835</v>
      </c>
      <c r="M595" s="65" t="s">
        <v>243</v>
      </c>
      <c r="N595" s="69">
        <v>42522</v>
      </c>
      <c r="O595" s="69">
        <v>42578</v>
      </c>
      <c r="R595" s="65" t="s">
        <v>28</v>
      </c>
      <c r="U595" t="s">
        <v>836</v>
      </c>
      <c r="V595" t="s">
        <v>3554</v>
      </c>
      <c r="W595" s="65" t="s">
        <v>21</v>
      </c>
      <c r="X595" s="65" t="s">
        <v>21</v>
      </c>
      <c r="Y595" s="65" t="s">
        <v>69</v>
      </c>
      <c r="AD595" s="65" t="s">
        <v>23</v>
      </c>
      <c r="AE595" s="65" t="s">
        <v>24</v>
      </c>
      <c r="BF595" s="73">
        <v>79</v>
      </c>
      <c r="BK595" s="73">
        <v>79</v>
      </c>
      <c r="BO595" s="185" t="s">
        <v>3794</v>
      </c>
      <c r="BP595" s="185" t="s">
        <v>126</v>
      </c>
      <c r="BQ595" s="185" t="s">
        <v>3794</v>
      </c>
      <c r="BW595" s="73"/>
      <c r="BX595" s="73">
        <v>-79</v>
      </c>
      <c r="BY595" s="185" t="s">
        <v>126</v>
      </c>
      <c r="CD595" s="73">
        <v>-79</v>
      </c>
      <c r="CE595" s="65" t="s">
        <v>126</v>
      </c>
      <c r="CJ595" t="s">
        <v>25</v>
      </c>
      <c r="CK595" t="s">
        <v>25</v>
      </c>
      <c r="CL595" t="s">
        <v>25</v>
      </c>
      <c r="CM595" t="s">
        <v>25</v>
      </c>
      <c r="CN595" t="s">
        <v>25</v>
      </c>
      <c r="CO595" t="s">
        <v>25</v>
      </c>
      <c r="CP595" t="s">
        <v>25</v>
      </c>
      <c r="CQ595" t="s">
        <v>25</v>
      </c>
      <c r="CR595" t="s">
        <v>25</v>
      </c>
      <c r="CS595" t="s">
        <v>25</v>
      </c>
      <c r="CT595" t="s">
        <v>25</v>
      </c>
      <c r="CU595" t="s">
        <v>25</v>
      </c>
      <c r="CV595" t="s">
        <v>25</v>
      </c>
      <c r="CW595" t="s">
        <v>25</v>
      </c>
      <c r="CX595" t="s">
        <v>25</v>
      </c>
      <c r="CY595" t="s">
        <v>25</v>
      </c>
      <c r="CZ595" t="s">
        <v>25</v>
      </c>
      <c r="DA595" t="s">
        <v>25</v>
      </c>
      <c r="DB595" t="s">
        <v>72</v>
      </c>
      <c r="DC595" t="s">
        <v>25</v>
      </c>
      <c r="DD595" t="s">
        <v>25</v>
      </c>
      <c r="DE595" t="s">
        <v>25</v>
      </c>
      <c r="DF595" t="s">
        <v>25</v>
      </c>
      <c r="DG595" t="s">
        <v>25</v>
      </c>
      <c r="DH595" t="s">
        <v>25</v>
      </c>
      <c r="DI595" t="s">
        <v>25</v>
      </c>
      <c r="DJ595" s="76">
        <v>1.7000000923872001E-2</v>
      </c>
      <c r="DK595" s="73">
        <v>0</v>
      </c>
      <c r="DL595" s="73">
        <v>79</v>
      </c>
      <c r="DM595" s="73">
        <v>-79</v>
      </c>
      <c r="DN595" s="65" t="s">
        <v>126</v>
      </c>
      <c r="DU595"/>
      <c r="DZ595" s="73">
        <v>79</v>
      </c>
      <c r="EA595" s="73">
        <v>0</v>
      </c>
      <c r="EB595" s="73">
        <v>79</v>
      </c>
      <c r="EC595" s="65" t="s">
        <v>126</v>
      </c>
    </row>
    <row r="596" spans="1:133" ht="12" customHeight="1" x14ac:dyDescent="0.2">
      <c r="A596" t="s">
        <v>2937</v>
      </c>
      <c r="B596" t="s">
        <v>2948</v>
      </c>
      <c r="C596" t="str">
        <f t="shared" si="29"/>
        <v>Prior Approval</v>
      </c>
      <c r="E596" s="65">
        <v>6259</v>
      </c>
      <c r="F596" t="s">
        <v>2242</v>
      </c>
      <c r="G596" s="71" t="s">
        <v>3943</v>
      </c>
      <c r="H596" s="67">
        <v>1.60000007599592E-2</v>
      </c>
      <c r="I596" s="65">
        <v>526526</v>
      </c>
      <c r="J596" s="65">
        <v>175804</v>
      </c>
      <c r="K596" s="65" t="s">
        <v>1342</v>
      </c>
      <c r="L596" s="65" t="s">
        <v>892</v>
      </c>
      <c r="M596" s="65" t="s">
        <v>243</v>
      </c>
      <c r="N596" s="69">
        <v>42527</v>
      </c>
      <c r="O596" s="69">
        <v>42583</v>
      </c>
      <c r="R596" s="65" t="s">
        <v>28</v>
      </c>
      <c r="U596" t="s">
        <v>893</v>
      </c>
      <c r="V596" t="s">
        <v>3555</v>
      </c>
      <c r="W596" s="65" t="s">
        <v>21</v>
      </c>
      <c r="X596" s="65" t="s">
        <v>21</v>
      </c>
      <c r="Y596" s="65" t="s">
        <v>59</v>
      </c>
      <c r="AD596" s="65" t="s">
        <v>23</v>
      </c>
      <c r="AE596" s="65" t="s">
        <v>24</v>
      </c>
      <c r="BF596" s="73">
        <v>271</v>
      </c>
      <c r="BK596" s="73">
        <v>271</v>
      </c>
      <c r="BO596" s="185" t="s">
        <v>3794</v>
      </c>
      <c r="BP596" s="185" t="s">
        <v>126</v>
      </c>
      <c r="BQ596" s="185" t="s">
        <v>3794</v>
      </c>
      <c r="BW596" s="73"/>
      <c r="BX596" s="73">
        <v>-271</v>
      </c>
      <c r="BY596" s="185" t="s">
        <v>126</v>
      </c>
      <c r="CD596" s="73">
        <v>-271</v>
      </c>
      <c r="CE596" s="65" t="s">
        <v>126</v>
      </c>
      <c r="CJ596" t="s">
        <v>25</v>
      </c>
      <c r="CK596" t="s">
        <v>25</v>
      </c>
      <c r="CL596" t="s">
        <v>25</v>
      </c>
      <c r="CM596" t="s">
        <v>25</v>
      </c>
      <c r="CN596" t="s">
        <v>25</v>
      </c>
      <c r="CO596" t="s">
        <v>25</v>
      </c>
      <c r="CP596" t="s">
        <v>25</v>
      </c>
      <c r="CQ596" t="s">
        <v>25</v>
      </c>
      <c r="CR596" t="s">
        <v>25</v>
      </c>
      <c r="CS596" t="s">
        <v>25</v>
      </c>
      <c r="CT596" t="s">
        <v>25</v>
      </c>
      <c r="CU596" t="s">
        <v>25</v>
      </c>
      <c r="CV596" t="s">
        <v>25</v>
      </c>
      <c r="CW596" t="s">
        <v>25</v>
      </c>
      <c r="CX596" t="s">
        <v>25</v>
      </c>
      <c r="CY596" t="s">
        <v>25</v>
      </c>
      <c r="CZ596" t="s">
        <v>25</v>
      </c>
      <c r="DA596" t="s">
        <v>25</v>
      </c>
      <c r="DB596" t="s">
        <v>72</v>
      </c>
      <c r="DC596" t="s">
        <v>25</v>
      </c>
      <c r="DD596" t="s">
        <v>25</v>
      </c>
      <c r="DE596" t="s">
        <v>25</v>
      </c>
      <c r="DF596" t="s">
        <v>25</v>
      </c>
      <c r="DG596" t="s">
        <v>25</v>
      </c>
      <c r="DH596" t="s">
        <v>25</v>
      </c>
      <c r="DI596" t="s">
        <v>25</v>
      </c>
      <c r="DJ596" s="76">
        <v>0</v>
      </c>
      <c r="DK596" s="73">
        <v>0</v>
      </c>
      <c r="DL596" s="73">
        <v>271</v>
      </c>
      <c r="DM596" s="73">
        <v>-271</v>
      </c>
      <c r="DN596" s="65" t="s">
        <v>126</v>
      </c>
      <c r="DU596"/>
      <c r="DZ596" s="73">
        <v>271</v>
      </c>
      <c r="EA596" s="73">
        <v>0</v>
      </c>
      <c r="EB596" s="73">
        <v>271</v>
      </c>
      <c r="EC596" s="65" t="s">
        <v>126</v>
      </c>
    </row>
    <row r="597" spans="1:133" ht="12" customHeight="1" x14ac:dyDescent="0.2">
      <c r="A597" t="s">
        <v>2937</v>
      </c>
      <c r="B597" t="s">
        <v>2946</v>
      </c>
      <c r="C597" t="str">
        <f t="shared" si="29"/>
        <v>Full</v>
      </c>
      <c r="E597" s="65">
        <v>6261</v>
      </c>
      <c r="F597" t="s">
        <v>2243</v>
      </c>
      <c r="G597" s="71" t="s">
        <v>3946</v>
      </c>
      <c r="H597" s="67">
        <v>6.0000000521540598E-3</v>
      </c>
      <c r="I597" s="65">
        <v>525280</v>
      </c>
      <c r="J597" s="65">
        <v>175154</v>
      </c>
      <c r="K597" s="65" t="s">
        <v>1699</v>
      </c>
      <c r="L597" s="65" t="s">
        <v>894</v>
      </c>
      <c r="M597" s="65" t="s">
        <v>27</v>
      </c>
      <c r="N597" s="69">
        <v>42513</v>
      </c>
      <c r="O597" s="69">
        <v>42573</v>
      </c>
      <c r="R597" s="65" t="s">
        <v>28</v>
      </c>
      <c r="U597" t="s">
        <v>895</v>
      </c>
      <c r="V597" t="s">
        <v>3556</v>
      </c>
      <c r="W597" s="65" t="s">
        <v>21</v>
      </c>
      <c r="X597" s="65" t="s">
        <v>21</v>
      </c>
      <c r="Y597" s="65" t="s">
        <v>69</v>
      </c>
      <c r="AD597" s="65" t="s">
        <v>23</v>
      </c>
      <c r="AE597" s="65" t="s">
        <v>24</v>
      </c>
      <c r="AW597" s="73">
        <v>92</v>
      </c>
      <c r="AY597" s="73">
        <v>92</v>
      </c>
      <c r="BF597" s="73">
        <v>92</v>
      </c>
      <c r="BK597" s="73">
        <v>92</v>
      </c>
      <c r="BO597" s="185" t="s">
        <v>3794</v>
      </c>
      <c r="BP597" s="185" t="s">
        <v>126</v>
      </c>
      <c r="BQ597" s="185" t="s">
        <v>126</v>
      </c>
      <c r="BW597" s="73"/>
      <c r="BX597" s="73">
        <v>-92</v>
      </c>
      <c r="BY597" s="185" t="s">
        <v>126</v>
      </c>
      <c r="CD597" s="73">
        <v>-92</v>
      </c>
      <c r="CE597" s="65" t="s">
        <v>126</v>
      </c>
      <c r="CG597" s="73">
        <v>92</v>
      </c>
      <c r="CI597" s="73">
        <v>92</v>
      </c>
      <c r="CJ597" t="s">
        <v>25</v>
      </c>
      <c r="CK597" t="s">
        <v>25</v>
      </c>
      <c r="CL597" t="s">
        <v>25</v>
      </c>
      <c r="CM597" t="s">
        <v>25</v>
      </c>
      <c r="CN597" t="s">
        <v>25</v>
      </c>
      <c r="CO597" t="s">
        <v>25</v>
      </c>
      <c r="CP597" t="s">
        <v>25</v>
      </c>
      <c r="CQ597" t="s">
        <v>25</v>
      </c>
      <c r="CR597" t="s">
        <v>25</v>
      </c>
      <c r="CS597" t="s">
        <v>25</v>
      </c>
      <c r="CT597" t="s">
        <v>25</v>
      </c>
      <c r="CU597" t="s">
        <v>49</v>
      </c>
      <c r="CV597" t="s">
        <v>25</v>
      </c>
      <c r="CW597" t="s">
        <v>25</v>
      </c>
      <c r="CX597" t="s">
        <v>25</v>
      </c>
      <c r="CY597" t="s">
        <v>25</v>
      </c>
      <c r="CZ597" t="s">
        <v>25</v>
      </c>
      <c r="DA597" t="s">
        <v>25</v>
      </c>
      <c r="DB597" t="s">
        <v>47</v>
      </c>
      <c r="DC597" t="s">
        <v>25</v>
      </c>
      <c r="DD597" t="s">
        <v>25</v>
      </c>
      <c r="DE597" t="s">
        <v>25</v>
      </c>
      <c r="DF597" t="s">
        <v>25</v>
      </c>
      <c r="DG597" t="s">
        <v>25</v>
      </c>
      <c r="DH597" t="s">
        <v>25</v>
      </c>
      <c r="DI597" t="s">
        <v>25</v>
      </c>
      <c r="DJ597" s="76">
        <v>6.0000000521540598E-3</v>
      </c>
      <c r="DK597" s="73">
        <v>92</v>
      </c>
      <c r="DL597" s="73">
        <v>92</v>
      </c>
      <c r="DM597" s="73">
        <v>0</v>
      </c>
      <c r="DN597" s="65" t="s">
        <v>126</v>
      </c>
      <c r="DS597" s="65" t="s">
        <v>126</v>
      </c>
      <c r="DT597" t="s">
        <v>61</v>
      </c>
      <c r="DU597"/>
      <c r="DZ597" s="73">
        <v>0</v>
      </c>
      <c r="EA597" s="73">
        <v>0</v>
      </c>
      <c r="EB597" s="73">
        <v>0</v>
      </c>
    </row>
    <row r="598" spans="1:133" ht="12" customHeight="1" x14ac:dyDescent="0.2">
      <c r="A598" t="s">
        <v>2937</v>
      </c>
      <c r="B598" t="s">
        <v>2946</v>
      </c>
      <c r="C598" t="str">
        <f t="shared" si="29"/>
        <v>Full</v>
      </c>
      <c r="E598" s="65">
        <v>6262</v>
      </c>
      <c r="F598" t="s">
        <v>2244</v>
      </c>
      <c r="G598" s="71" t="s">
        <v>149</v>
      </c>
      <c r="H598" s="67">
        <v>7.5000002980232197E-2</v>
      </c>
      <c r="I598" s="65">
        <v>528646</v>
      </c>
      <c r="J598" s="65">
        <v>173547</v>
      </c>
      <c r="L598" s="65" t="s">
        <v>1305</v>
      </c>
      <c r="M598" s="65" t="s">
        <v>27</v>
      </c>
      <c r="N598" s="69">
        <v>42529</v>
      </c>
      <c r="O598" s="69">
        <v>42754</v>
      </c>
      <c r="R598" s="65" t="s">
        <v>28</v>
      </c>
      <c r="U598" t="s">
        <v>844</v>
      </c>
      <c r="V598" t="s">
        <v>3557</v>
      </c>
      <c r="W598" s="65" t="s">
        <v>34</v>
      </c>
      <c r="X598" s="65" t="s">
        <v>29</v>
      </c>
      <c r="Y598" s="65" t="s">
        <v>69</v>
      </c>
      <c r="AD598" s="65" t="s">
        <v>23</v>
      </c>
      <c r="AE598" s="65" t="s">
        <v>24</v>
      </c>
      <c r="AJ598" s="73">
        <v>383</v>
      </c>
      <c r="AO598" s="73">
        <v>383</v>
      </c>
      <c r="AZ598" s="73">
        <v>403</v>
      </c>
      <c r="BE598" s="73">
        <v>403</v>
      </c>
      <c r="BO598" s="185" t="s">
        <v>126</v>
      </c>
      <c r="BP598" s="185" t="s">
        <v>3794</v>
      </c>
      <c r="BQ598" s="185" t="s">
        <v>3794</v>
      </c>
      <c r="BR598" s="73">
        <v>-20</v>
      </c>
      <c r="BW598" s="73">
        <v>-20</v>
      </c>
      <c r="BY598" s="185" t="s">
        <v>3794</v>
      </c>
      <c r="CF598" s="73">
        <v>834</v>
      </c>
      <c r="CJ598" t="s">
        <v>46</v>
      </c>
      <c r="CK598" t="s">
        <v>25</v>
      </c>
      <c r="CL598" t="s">
        <v>25</v>
      </c>
      <c r="CM598" t="s">
        <v>25</v>
      </c>
      <c r="CN598" t="s">
        <v>25</v>
      </c>
      <c r="CO598" t="s">
        <v>25</v>
      </c>
      <c r="CP598" t="s">
        <v>25</v>
      </c>
      <c r="CQ598" t="s">
        <v>25</v>
      </c>
      <c r="CR598" t="s">
        <v>25</v>
      </c>
      <c r="CS598" t="s">
        <v>25</v>
      </c>
      <c r="CT598" t="s">
        <v>63</v>
      </c>
      <c r="CU598" t="s">
        <v>25</v>
      </c>
      <c r="CV598" t="s">
        <v>25</v>
      </c>
      <c r="CW598" t="s">
        <v>46</v>
      </c>
      <c r="CX598" t="s">
        <v>25</v>
      </c>
      <c r="CY598" t="s">
        <v>25</v>
      </c>
      <c r="CZ598" t="s">
        <v>25</v>
      </c>
      <c r="DA598" t="s">
        <v>25</v>
      </c>
      <c r="DB598" t="s">
        <v>25</v>
      </c>
      <c r="DC598" t="s">
        <v>25</v>
      </c>
      <c r="DD598" t="s">
        <v>25</v>
      </c>
      <c r="DE598" t="s">
        <v>25</v>
      </c>
      <c r="DF598" t="s">
        <v>25</v>
      </c>
      <c r="DG598" t="s">
        <v>25</v>
      </c>
      <c r="DH598" t="s">
        <v>25</v>
      </c>
      <c r="DI598" t="s">
        <v>25</v>
      </c>
      <c r="DJ598" s="76">
        <v>7.5000002980232197E-2</v>
      </c>
      <c r="DK598" s="73">
        <v>1217</v>
      </c>
      <c r="DL598" s="73">
        <v>403</v>
      </c>
      <c r="DM598" s="73">
        <v>814</v>
      </c>
      <c r="DU598"/>
      <c r="DV598" s="65" t="s">
        <v>126</v>
      </c>
      <c r="DW598" t="s">
        <v>149</v>
      </c>
      <c r="DZ598" s="73">
        <v>0</v>
      </c>
      <c r="EA598" s="73">
        <v>0</v>
      </c>
      <c r="EB598" s="73">
        <v>0</v>
      </c>
    </row>
    <row r="599" spans="1:133" ht="12" customHeight="1" x14ac:dyDescent="0.2">
      <c r="A599" t="s">
        <v>2936</v>
      </c>
      <c r="B599" t="s">
        <v>2948</v>
      </c>
      <c r="C599" t="str">
        <f t="shared" si="29"/>
        <v>Prior Approval</v>
      </c>
      <c r="D599" t="s">
        <v>2943</v>
      </c>
      <c r="E599" s="65">
        <v>6271</v>
      </c>
      <c r="F599" t="s">
        <v>2246</v>
      </c>
      <c r="G599" s="71" t="s">
        <v>3947</v>
      </c>
      <c r="H599" s="67">
        <v>8.2000002264976501E-2</v>
      </c>
      <c r="I599" s="65">
        <v>528068</v>
      </c>
      <c r="J599" s="65">
        <v>176644</v>
      </c>
      <c r="L599" s="65" t="s">
        <v>921</v>
      </c>
      <c r="M599" s="65" t="s">
        <v>243</v>
      </c>
      <c r="N599" s="69">
        <v>42528</v>
      </c>
      <c r="O599" s="69">
        <v>42584</v>
      </c>
      <c r="R599" s="65" t="s">
        <v>28</v>
      </c>
      <c r="U599" t="s">
        <v>922</v>
      </c>
      <c r="V599" t="s">
        <v>3477</v>
      </c>
      <c r="W599" s="65" t="s">
        <v>21</v>
      </c>
      <c r="X599" s="65" t="s">
        <v>21</v>
      </c>
      <c r="Y599" s="65" t="s">
        <v>35</v>
      </c>
      <c r="AA599" s="69">
        <v>42635</v>
      </c>
      <c r="AB599" s="69">
        <v>42993</v>
      </c>
      <c r="AC599" s="69">
        <v>42993</v>
      </c>
      <c r="AD599" s="65" t="s">
        <v>23</v>
      </c>
      <c r="AE599" s="65" t="s">
        <v>24</v>
      </c>
      <c r="AH599" s="69">
        <f t="shared" si="27"/>
        <v>42635</v>
      </c>
      <c r="AI599" s="69">
        <f t="shared" si="28"/>
        <v>42993</v>
      </c>
      <c r="BF599" s="73">
        <v>103</v>
      </c>
      <c r="BK599" s="73">
        <v>103</v>
      </c>
      <c r="BO599" s="185" t="s">
        <v>3794</v>
      </c>
      <c r="BP599" s="185" t="s">
        <v>126</v>
      </c>
      <c r="BQ599" s="185" t="s">
        <v>3794</v>
      </c>
      <c r="BW599" s="73"/>
      <c r="BX599" s="73">
        <v>-103</v>
      </c>
      <c r="BY599" s="185" t="s">
        <v>126</v>
      </c>
      <c r="CD599" s="73">
        <v>-103</v>
      </c>
      <c r="CE599" s="65" t="s">
        <v>126</v>
      </c>
      <c r="CJ599" t="s">
        <v>25</v>
      </c>
      <c r="CK599" t="s">
        <v>25</v>
      </c>
      <c r="CL599" t="s">
        <v>25</v>
      </c>
      <c r="CM599" t="s">
        <v>25</v>
      </c>
      <c r="CN599" t="s">
        <v>25</v>
      </c>
      <c r="CO599" t="s">
        <v>25</v>
      </c>
      <c r="CP599" t="s">
        <v>25</v>
      </c>
      <c r="CQ599" t="s">
        <v>25</v>
      </c>
      <c r="CR599" t="s">
        <v>25</v>
      </c>
      <c r="CS599" t="s">
        <v>25</v>
      </c>
      <c r="CT599" t="s">
        <v>25</v>
      </c>
      <c r="CU599" t="s">
        <v>25</v>
      </c>
      <c r="CV599" t="s">
        <v>25</v>
      </c>
      <c r="CW599" t="s">
        <v>25</v>
      </c>
      <c r="CX599" t="s">
        <v>25</v>
      </c>
      <c r="CY599" t="s">
        <v>25</v>
      </c>
      <c r="CZ599" t="s">
        <v>25</v>
      </c>
      <c r="DA599" t="s">
        <v>25</v>
      </c>
      <c r="DB599" t="s">
        <v>31</v>
      </c>
      <c r="DC599" t="s">
        <v>25</v>
      </c>
      <c r="DD599" t="s">
        <v>25</v>
      </c>
      <c r="DE599" t="s">
        <v>25</v>
      </c>
      <c r="DF599" t="s">
        <v>25</v>
      </c>
      <c r="DG599" t="s">
        <v>25</v>
      </c>
      <c r="DH599" t="s">
        <v>25</v>
      </c>
      <c r="DI599" t="s">
        <v>25</v>
      </c>
      <c r="DJ599" s="76">
        <v>5.5000001564621898E-2</v>
      </c>
      <c r="DK599" s="73">
        <v>0</v>
      </c>
      <c r="DL599" s="73">
        <v>103</v>
      </c>
      <c r="DM599" s="73">
        <v>-103</v>
      </c>
      <c r="DU599"/>
      <c r="DZ599" s="73">
        <v>103</v>
      </c>
      <c r="EA599" s="73">
        <v>0</v>
      </c>
      <c r="EB599" s="73">
        <v>103</v>
      </c>
      <c r="EC599" s="65" t="s">
        <v>126</v>
      </c>
    </row>
    <row r="600" spans="1:133" ht="12" customHeight="1" x14ac:dyDescent="0.2">
      <c r="A600" t="s">
        <v>2937</v>
      </c>
      <c r="B600" t="s">
        <v>2946</v>
      </c>
      <c r="C600" t="str">
        <f t="shared" si="29"/>
        <v>Full</v>
      </c>
      <c r="E600" s="65">
        <v>6272</v>
      </c>
      <c r="F600" t="s">
        <v>2247</v>
      </c>
      <c r="G600" s="71" t="s">
        <v>3940</v>
      </c>
      <c r="H600" s="67">
        <v>4.6000000089407002E-2</v>
      </c>
      <c r="I600" s="65">
        <v>522345</v>
      </c>
      <c r="J600" s="65">
        <v>174051</v>
      </c>
      <c r="L600" s="65" t="s">
        <v>2248</v>
      </c>
      <c r="M600" s="65" t="s">
        <v>27</v>
      </c>
      <c r="N600" s="69">
        <v>43013</v>
      </c>
      <c r="O600" s="69">
        <v>43068</v>
      </c>
      <c r="P600" s="65" t="s">
        <v>126</v>
      </c>
      <c r="R600" s="65" t="s">
        <v>28</v>
      </c>
      <c r="U600" t="s">
        <v>2249</v>
      </c>
      <c r="V600" t="s">
        <v>3558</v>
      </c>
      <c r="W600" s="65" t="s">
        <v>34</v>
      </c>
      <c r="X600" s="65" t="s">
        <v>29</v>
      </c>
      <c r="Y600" s="65" t="s">
        <v>69</v>
      </c>
      <c r="AD600" s="65" t="s">
        <v>23</v>
      </c>
      <c r="AE600" s="65" t="s">
        <v>24</v>
      </c>
      <c r="BJ600" s="73">
        <v>73</v>
      </c>
      <c r="BK600" s="73">
        <v>73</v>
      </c>
      <c r="BO600" s="185" t="s">
        <v>3794</v>
      </c>
      <c r="BP600" s="185" t="s">
        <v>126</v>
      </c>
      <c r="BQ600" s="185" t="s">
        <v>3794</v>
      </c>
      <c r="BW600" s="73"/>
      <c r="BY600" s="185" t="s">
        <v>3794</v>
      </c>
      <c r="CC600" s="73">
        <v>-73</v>
      </c>
      <c r="CD600" s="73">
        <v>-73</v>
      </c>
      <c r="CE600" s="65" t="s">
        <v>126</v>
      </c>
      <c r="CJ600" t="s">
        <v>25</v>
      </c>
      <c r="CK600" t="s">
        <v>25</v>
      </c>
      <c r="CL600" t="s">
        <v>25</v>
      </c>
      <c r="CM600" t="s">
        <v>25</v>
      </c>
      <c r="CN600" t="s">
        <v>25</v>
      </c>
      <c r="CO600" t="s">
        <v>25</v>
      </c>
      <c r="CP600" t="s">
        <v>25</v>
      </c>
      <c r="CQ600" t="s">
        <v>25</v>
      </c>
      <c r="CR600" t="s">
        <v>25</v>
      </c>
      <c r="CS600" t="s">
        <v>25</v>
      </c>
      <c r="CT600" t="s">
        <v>25</v>
      </c>
      <c r="CU600" t="s">
        <v>25</v>
      </c>
      <c r="CV600" t="s">
        <v>25</v>
      </c>
      <c r="CW600" t="s">
        <v>25</v>
      </c>
      <c r="CX600" t="s">
        <v>25</v>
      </c>
      <c r="CY600" t="s">
        <v>25</v>
      </c>
      <c r="CZ600" t="s">
        <v>25</v>
      </c>
      <c r="DA600" t="s">
        <v>25</v>
      </c>
      <c r="DB600" t="s">
        <v>25</v>
      </c>
      <c r="DC600" t="s">
        <v>25</v>
      </c>
      <c r="DD600" t="s">
        <v>25</v>
      </c>
      <c r="DE600" t="s">
        <v>25</v>
      </c>
      <c r="DF600" t="s">
        <v>232</v>
      </c>
      <c r="DG600" t="s">
        <v>25</v>
      </c>
      <c r="DH600" t="s">
        <v>25</v>
      </c>
      <c r="DI600" t="s">
        <v>25</v>
      </c>
      <c r="DJ600" s="76">
        <v>0</v>
      </c>
      <c r="DK600" s="73">
        <v>0</v>
      </c>
      <c r="DL600" s="73">
        <v>73</v>
      </c>
      <c r="DM600" s="73">
        <v>-73</v>
      </c>
      <c r="DU600"/>
      <c r="DZ600" s="73">
        <v>147</v>
      </c>
      <c r="EA600" s="73">
        <v>0</v>
      </c>
      <c r="EB600" s="73">
        <v>147</v>
      </c>
      <c r="EC600" s="65" t="s">
        <v>126</v>
      </c>
    </row>
    <row r="601" spans="1:133" ht="12" customHeight="1" x14ac:dyDescent="0.2">
      <c r="A601" t="s">
        <v>2936</v>
      </c>
      <c r="B601" t="s">
        <v>2946</v>
      </c>
      <c r="C601" t="str">
        <f t="shared" si="29"/>
        <v>Full</v>
      </c>
      <c r="D601" t="s">
        <v>2943</v>
      </c>
      <c r="E601" s="65">
        <v>6274</v>
      </c>
      <c r="F601" t="s">
        <v>2250</v>
      </c>
      <c r="G601" s="71" t="s">
        <v>3952</v>
      </c>
      <c r="H601" s="67">
        <v>3.5000000149011598E-2</v>
      </c>
      <c r="I601" s="65">
        <v>528002</v>
      </c>
      <c r="J601" s="65">
        <v>172307</v>
      </c>
      <c r="L601" s="65" t="s">
        <v>817</v>
      </c>
      <c r="M601" s="65" t="s">
        <v>27</v>
      </c>
      <c r="N601" s="69">
        <v>42479</v>
      </c>
      <c r="O601" s="69">
        <v>42535</v>
      </c>
      <c r="R601" s="65" t="s">
        <v>28</v>
      </c>
      <c r="U601" t="s">
        <v>818</v>
      </c>
      <c r="V601" t="s">
        <v>3410</v>
      </c>
      <c r="W601" s="65" t="s">
        <v>21</v>
      </c>
      <c r="X601" s="65" t="s">
        <v>21</v>
      </c>
      <c r="Y601" s="65" t="s">
        <v>35</v>
      </c>
      <c r="AA601" s="69">
        <v>42826</v>
      </c>
      <c r="AB601" s="69">
        <v>43190</v>
      </c>
      <c r="AC601" s="69">
        <v>43190</v>
      </c>
      <c r="AD601" s="65" t="s">
        <v>23</v>
      </c>
      <c r="AE601" s="65" t="s">
        <v>24</v>
      </c>
      <c r="AH601" s="69">
        <f t="shared" si="27"/>
        <v>42826</v>
      </c>
      <c r="AI601" s="69">
        <f t="shared" si="28"/>
        <v>43190</v>
      </c>
      <c r="AL601" s="73">
        <v>98</v>
      </c>
      <c r="AO601" s="73">
        <v>98</v>
      </c>
      <c r="AZ601" s="73">
        <v>98</v>
      </c>
      <c r="BE601" s="73">
        <v>98</v>
      </c>
      <c r="BO601" s="185" t="s">
        <v>126</v>
      </c>
      <c r="BP601" s="185" t="s">
        <v>3794</v>
      </c>
      <c r="BQ601" s="185" t="s">
        <v>3794</v>
      </c>
      <c r="BR601" s="73">
        <v>-98</v>
      </c>
      <c r="BT601" s="73">
        <v>98</v>
      </c>
      <c r="BW601" s="73"/>
      <c r="BY601" s="185" t="s">
        <v>3794</v>
      </c>
      <c r="CJ601" t="s">
        <v>25</v>
      </c>
      <c r="CK601" t="s">
        <v>25</v>
      </c>
      <c r="CL601" t="s">
        <v>38</v>
      </c>
      <c r="CM601" t="s">
        <v>25</v>
      </c>
      <c r="CN601" t="s">
        <v>25</v>
      </c>
      <c r="CO601" t="s">
        <v>25</v>
      </c>
      <c r="CP601" t="s">
        <v>25</v>
      </c>
      <c r="CQ601" t="s">
        <v>25</v>
      </c>
      <c r="CR601" t="s">
        <v>25</v>
      </c>
      <c r="CS601" t="s">
        <v>25</v>
      </c>
      <c r="CT601" t="s">
        <v>25</v>
      </c>
      <c r="CU601" t="s">
        <v>25</v>
      </c>
      <c r="CV601" t="s">
        <v>25</v>
      </c>
      <c r="CW601" t="s">
        <v>31</v>
      </c>
      <c r="CX601" t="s">
        <v>25</v>
      </c>
      <c r="CY601" t="s">
        <v>25</v>
      </c>
      <c r="CZ601" t="s">
        <v>25</v>
      </c>
      <c r="DA601" t="s">
        <v>25</v>
      </c>
      <c r="DB601" t="s">
        <v>25</v>
      </c>
      <c r="DC601" t="s">
        <v>25</v>
      </c>
      <c r="DD601" t="s">
        <v>25</v>
      </c>
      <c r="DE601" t="s">
        <v>25</v>
      </c>
      <c r="DF601" t="s">
        <v>25</v>
      </c>
      <c r="DG601" t="s">
        <v>25</v>
      </c>
      <c r="DH601" t="s">
        <v>25</v>
      </c>
      <c r="DI601" t="s">
        <v>25</v>
      </c>
      <c r="DJ601" s="76">
        <v>3.5000000149011598E-2</v>
      </c>
      <c r="DK601" s="73">
        <v>98</v>
      </c>
      <c r="DL601" s="73">
        <v>98</v>
      </c>
      <c r="DM601" s="73">
        <v>0</v>
      </c>
      <c r="DU601"/>
      <c r="DZ601" s="73">
        <v>0</v>
      </c>
      <c r="EA601" s="73">
        <v>0</v>
      </c>
      <c r="EB601" s="73">
        <v>0</v>
      </c>
    </row>
    <row r="602" spans="1:133" ht="12" customHeight="1" x14ac:dyDescent="0.2">
      <c r="A602" t="s">
        <v>2937</v>
      </c>
      <c r="B602" t="s">
        <v>2946</v>
      </c>
      <c r="C602" t="str">
        <f t="shared" si="29"/>
        <v>Full</v>
      </c>
      <c r="E602" s="65">
        <v>6276</v>
      </c>
      <c r="F602" t="s">
        <v>2251</v>
      </c>
      <c r="G602" s="71" t="s">
        <v>3951</v>
      </c>
      <c r="H602" s="67">
        <v>4.8999998718500103E-2</v>
      </c>
      <c r="I602" s="65">
        <v>527521</v>
      </c>
      <c r="J602" s="65">
        <v>171508</v>
      </c>
      <c r="K602" s="65" t="s">
        <v>1824</v>
      </c>
      <c r="L602" s="65" t="s">
        <v>915</v>
      </c>
      <c r="M602" s="65" t="s">
        <v>27</v>
      </c>
      <c r="N602" s="69">
        <v>42542</v>
      </c>
      <c r="O602" s="69">
        <v>42598</v>
      </c>
      <c r="R602" s="65" t="s">
        <v>28</v>
      </c>
      <c r="U602" t="s">
        <v>916</v>
      </c>
      <c r="V602" t="s">
        <v>3559</v>
      </c>
      <c r="W602" s="65" t="s">
        <v>21</v>
      </c>
      <c r="X602" s="65" t="s">
        <v>21</v>
      </c>
      <c r="Y602" s="65" t="s">
        <v>69</v>
      </c>
      <c r="AD602" s="65" t="s">
        <v>23</v>
      </c>
      <c r="AE602" s="65" t="s">
        <v>24</v>
      </c>
      <c r="BF602" s="73">
        <v>155</v>
      </c>
      <c r="BK602" s="73">
        <v>155</v>
      </c>
      <c r="BO602" s="185" t="s">
        <v>3794</v>
      </c>
      <c r="BP602" s="185" t="s">
        <v>126</v>
      </c>
      <c r="BQ602" s="185" t="s">
        <v>3794</v>
      </c>
      <c r="BW602" s="73"/>
      <c r="BX602" s="73">
        <v>-155</v>
      </c>
      <c r="BY602" s="185" t="s">
        <v>126</v>
      </c>
      <c r="CD602" s="73">
        <v>-155</v>
      </c>
      <c r="CE602" s="65" t="s">
        <v>126</v>
      </c>
      <c r="CJ602" t="s">
        <v>25</v>
      </c>
      <c r="CK602" t="s">
        <v>25</v>
      </c>
      <c r="CL602" t="s">
        <v>25</v>
      </c>
      <c r="CM602" t="s">
        <v>25</v>
      </c>
      <c r="CN602" t="s">
        <v>25</v>
      </c>
      <c r="CO602" t="s">
        <v>25</v>
      </c>
      <c r="CP602" t="s">
        <v>25</v>
      </c>
      <c r="CQ602" t="s">
        <v>25</v>
      </c>
      <c r="CR602" t="s">
        <v>25</v>
      </c>
      <c r="CS602" t="s">
        <v>25</v>
      </c>
      <c r="CT602" t="s">
        <v>25</v>
      </c>
      <c r="CU602" t="s">
        <v>25</v>
      </c>
      <c r="CV602" t="s">
        <v>25</v>
      </c>
      <c r="CW602" t="s">
        <v>25</v>
      </c>
      <c r="CX602" t="s">
        <v>25</v>
      </c>
      <c r="CY602" t="s">
        <v>25</v>
      </c>
      <c r="CZ602" t="s">
        <v>25</v>
      </c>
      <c r="DA602" t="s">
        <v>25</v>
      </c>
      <c r="DB602" t="s">
        <v>49</v>
      </c>
      <c r="DC602" t="s">
        <v>25</v>
      </c>
      <c r="DD602" t="s">
        <v>25</v>
      </c>
      <c r="DE602" t="s">
        <v>25</v>
      </c>
      <c r="DF602" t="s">
        <v>25</v>
      </c>
      <c r="DG602" t="s">
        <v>25</v>
      </c>
      <c r="DH602" t="s">
        <v>25</v>
      </c>
      <c r="DI602" t="s">
        <v>25</v>
      </c>
      <c r="DJ602" s="76">
        <v>3.2999997958540903E-2</v>
      </c>
      <c r="DK602" s="73">
        <v>0</v>
      </c>
      <c r="DL602" s="73">
        <v>155</v>
      </c>
      <c r="DM602" s="73">
        <v>-155</v>
      </c>
      <c r="DU602"/>
      <c r="DV602" s="65" t="s">
        <v>126</v>
      </c>
      <c r="DW602" t="s">
        <v>150</v>
      </c>
      <c r="DZ602" s="73">
        <v>155</v>
      </c>
      <c r="EA602" s="73">
        <v>0</v>
      </c>
      <c r="EB602" s="73">
        <v>155</v>
      </c>
      <c r="EC602" s="65" t="s">
        <v>126</v>
      </c>
    </row>
    <row r="603" spans="1:133" ht="12" customHeight="1" x14ac:dyDescent="0.2">
      <c r="A603" t="s">
        <v>2937</v>
      </c>
      <c r="B603" t="s">
        <v>2946</v>
      </c>
      <c r="C603" t="str">
        <f t="shared" si="29"/>
        <v>Full</v>
      </c>
      <c r="E603" s="65">
        <v>6283</v>
      </c>
      <c r="F603" t="s">
        <v>2252</v>
      </c>
      <c r="G603" s="71" t="s">
        <v>3949</v>
      </c>
      <c r="H603" s="67">
        <v>2.0000000949949E-3</v>
      </c>
      <c r="I603" s="65">
        <v>523727</v>
      </c>
      <c r="J603" s="65">
        <v>175114</v>
      </c>
      <c r="L603" s="65" t="s">
        <v>911</v>
      </c>
      <c r="M603" s="65" t="s">
        <v>27</v>
      </c>
      <c r="N603" s="69">
        <v>42543</v>
      </c>
      <c r="O603" s="69">
        <v>42597</v>
      </c>
      <c r="R603" s="65" t="s">
        <v>28</v>
      </c>
      <c r="U603" t="s">
        <v>912</v>
      </c>
      <c r="V603" t="s">
        <v>3560</v>
      </c>
      <c r="W603" s="65" t="s">
        <v>21</v>
      </c>
      <c r="X603" s="65" t="s">
        <v>21</v>
      </c>
      <c r="Y603" s="65" t="s">
        <v>69</v>
      </c>
      <c r="AD603" s="65" t="s">
        <v>23</v>
      </c>
      <c r="AE603" s="65" t="s">
        <v>24</v>
      </c>
      <c r="BB603" s="73">
        <v>56</v>
      </c>
      <c r="BE603" s="73">
        <v>56</v>
      </c>
      <c r="BO603" s="185" t="s">
        <v>126</v>
      </c>
      <c r="BP603" s="185" t="s">
        <v>3794</v>
      </c>
      <c r="BQ603" s="185" t="s">
        <v>3794</v>
      </c>
      <c r="BT603" s="73">
        <v>-56</v>
      </c>
      <c r="BW603" s="73">
        <v>-56</v>
      </c>
      <c r="BY603" s="185" t="s">
        <v>3794</v>
      </c>
      <c r="CJ603" t="s">
        <v>25</v>
      </c>
      <c r="CK603" t="s">
        <v>25</v>
      </c>
      <c r="CL603" t="s">
        <v>25</v>
      </c>
      <c r="CM603" t="s">
        <v>25</v>
      </c>
      <c r="CN603" t="s">
        <v>25</v>
      </c>
      <c r="CO603" t="s">
        <v>25</v>
      </c>
      <c r="CP603" t="s">
        <v>25</v>
      </c>
      <c r="CQ603" t="s">
        <v>25</v>
      </c>
      <c r="CR603" t="s">
        <v>25</v>
      </c>
      <c r="CS603" t="s">
        <v>25</v>
      </c>
      <c r="CT603" t="s">
        <v>25</v>
      </c>
      <c r="CU603" t="s">
        <v>25</v>
      </c>
      <c r="CV603" t="s">
        <v>25</v>
      </c>
      <c r="CW603" t="s">
        <v>25</v>
      </c>
      <c r="CX603" t="s">
        <v>25</v>
      </c>
      <c r="CY603" t="s">
        <v>47</v>
      </c>
      <c r="CZ603" t="s">
        <v>25</v>
      </c>
      <c r="DA603" t="s">
        <v>25</v>
      </c>
      <c r="DB603" t="s">
        <v>25</v>
      </c>
      <c r="DC603" t="s">
        <v>25</v>
      </c>
      <c r="DD603" t="s">
        <v>25</v>
      </c>
      <c r="DE603" t="s">
        <v>25</v>
      </c>
      <c r="DF603" t="s">
        <v>25</v>
      </c>
      <c r="DG603" t="s">
        <v>25</v>
      </c>
      <c r="DH603" t="s">
        <v>25</v>
      </c>
      <c r="DI603" t="s">
        <v>25</v>
      </c>
      <c r="DJ603" s="76">
        <v>2.0000000949949E-3</v>
      </c>
      <c r="DK603" s="73">
        <v>56</v>
      </c>
      <c r="DL603" s="73">
        <v>56</v>
      </c>
      <c r="DM603" s="73">
        <v>0</v>
      </c>
      <c r="DU603"/>
      <c r="DV603" s="65" t="s">
        <v>126</v>
      </c>
      <c r="DW603" t="s">
        <v>131</v>
      </c>
      <c r="DZ603" s="73">
        <v>0</v>
      </c>
      <c r="EA603" s="73">
        <v>0</v>
      </c>
      <c r="EB603" s="73">
        <v>0</v>
      </c>
    </row>
    <row r="604" spans="1:133" ht="12" customHeight="1" x14ac:dyDescent="0.2">
      <c r="A604" t="s">
        <v>2937</v>
      </c>
      <c r="B604" t="s">
        <v>2946</v>
      </c>
      <c r="C604" t="str">
        <f t="shared" si="29"/>
        <v>Full</v>
      </c>
      <c r="E604" s="65">
        <v>6284</v>
      </c>
      <c r="F604" t="s">
        <v>2253</v>
      </c>
      <c r="G604" s="71" t="s">
        <v>3944</v>
      </c>
      <c r="H604" s="67">
        <v>0.29199999570846602</v>
      </c>
      <c r="I604" s="65">
        <v>525537</v>
      </c>
      <c r="J604" s="65">
        <v>174739</v>
      </c>
      <c r="K604" s="65" t="s">
        <v>1714</v>
      </c>
      <c r="L604" s="65" t="s">
        <v>1290</v>
      </c>
      <c r="M604" s="65" t="s">
        <v>33</v>
      </c>
      <c r="N604" s="69">
        <v>42804</v>
      </c>
      <c r="O604" s="69">
        <v>43069</v>
      </c>
      <c r="P604" s="65" t="s">
        <v>126</v>
      </c>
      <c r="Q604" s="69">
        <v>42936</v>
      </c>
      <c r="R604" s="65" t="s">
        <v>28</v>
      </c>
      <c r="U604" t="s">
        <v>1291</v>
      </c>
      <c r="V604" t="s">
        <v>3561</v>
      </c>
      <c r="W604" s="65" t="s">
        <v>29</v>
      </c>
      <c r="X604" s="65" t="s">
        <v>29</v>
      </c>
      <c r="Y604" s="65" t="s">
        <v>69</v>
      </c>
      <c r="AD604" s="65" t="s">
        <v>23</v>
      </c>
      <c r="AE604" s="65" t="s">
        <v>24</v>
      </c>
      <c r="AJ604" s="73">
        <v>72</v>
      </c>
      <c r="AK604" s="73">
        <v>72</v>
      </c>
      <c r="AL604" s="73">
        <v>72</v>
      </c>
      <c r="AM604" s="73">
        <v>72</v>
      </c>
      <c r="AO604" s="73">
        <v>288</v>
      </c>
      <c r="AP604" s="73">
        <v>288</v>
      </c>
      <c r="AS604" s="73">
        <v>288</v>
      </c>
      <c r="AV604" s="73">
        <v>288</v>
      </c>
      <c r="BF604" s="73">
        <v>2866</v>
      </c>
      <c r="BK604" s="73">
        <v>2866</v>
      </c>
      <c r="BO604" s="185" t="s">
        <v>126</v>
      </c>
      <c r="BP604" s="185" t="s">
        <v>126</v>
      </c>
      <c r="BQ604" s="185" t="s">
        <v>3794</v>
      </c>
      <c r="BR604" s="73">
        <v>72</v>
      </c>
      <c r="BS604" s="73">
        <v>72</v>
      </c>
      <c r="BT604" s="73">
        <v>72</v>
      </c>
      <c r="BU604" s="73">
        <v>72</v>
      </c>
      <c r="BW604" s="73">
        <v>288</v>
      </c>
      <c r="BX604" s="73">
        <v>-2578</v>
      </c>
      <c r="BY604" s="185" t="s">
        <v>126</v>
      </c>
      <c r="CD604" s="73">
        <v>-2578</v>
      </c>
      <c r="CE604" s="65" t="s">
        <v>126</v>
      </c>
      <c r="CJ604" t="s">
        <v>31</v>
      </c>
      <c r="CK604" t="s">
        <v>31</v>
      </c>
      <c r="CL604" t="s">
        <v>31</v>
      </c>
      <c r="CM604" t="s">
        <v>31</v>
      </c>
      <c r="CN604" t="s">
        <v>25</v>
      </c>
      <c r="CO604" t="s">
        <v>31</v>
      </c>
      <c r="CP604" t="s">
        <v>25</v>
      </c>
      <c r="CQ604" t="s">
        <v>25</v>
      </c>
      <c r="CR604" t="s">
        <v>25</v>
      </c>
      <c r="CS604" t="s">
        <v>25</v>
      </c>
      <c r="CT604" t="s">
        <v>25</v>
      </c>
      <c r="CU604" t="s">
        <v>25</v>
      </c>
      <c r="CV604" t="s">
        <v>25</v>
      </c>
      <c r="CW604" t="s">
        <v>25</v>
      </c>
      <c r="CX604" t="s">
        <v>25</v>
      </c>
      <c r="CY604" t="s">
        <v>25</v>
      </c>
      <c r="CZ604" t="s">
        <v>25</v>
      </c>
      <c r="DA604" t="s">
        <v>25</v>
      </c>
      <c r="DB604" t="s">
        <v>49</v>
      </c>
      <c r="DC604" t="s">
        <v>25</v>
      </c>
      <c r="DD604" t="s">
        <v>25</v>
      </c>
      <c r="DE604" t="s">
        <v>25</v>
      </c>
      <c r="DF604" t="s">
        <v>25</v>
      </c>
      <c r="DG604" t="s">
        <v>25</v>
      </c>
      <c r="DH604" t="s">
        <v>25</v>
      </c>
      <c r="DI604" t="s">
        <v>25</v>
      </c>
      <c r="DJ604" s="76">
        <v>3.4000001847744044E-2</v>
      </c>
      <c r="DK604" s="73">
        <v>611</v>
      </c>
      <c r="DL604" s="73">
        <v>2866</v>
      </c>
      <c r="DM604" s="73">
        <v>-2255</v>
      </c>
      <c r="DU604"/>
      <c r="DV604" s="65" t="s">
        <v>126</v>
      </c>
      <c r="DW604" t="s">
        <v>151</v>
      </c>
      <c r="DZ604" s="73">
        <v>4685</v>
      </c>
      <c r="EA604" s="73">
        <v>0</v>
      </c>
      <c r="EB604" s="73">
        <v>4685</v>
      </c>
      <c r="EC604" s="65" t="s">
        <v>126</v>
      </c>
    </row>
    <row r="605" spans="1:133" ht="12" customHeight="1" x14ac:dyDescent="0.2">
      <c r="A605" t="s">
        <v>2936</v>
      </c>
      <c r="B605" t="s">
        <v>2946</v>
      </c>
      <c r="C605" t="str">
        <f t="shared" si="29"/>
        <v>Full</v>
      </c>
      <c r="D605" t="s">
        <v>2943</v>
      </c>
      <c r="E605" s="65">
        <v>6288</v>
      </c>
      <c r="F605" t="s">
        <v>2254</v>
      </c>
      <c r="G605" s="71" t="s">
        <v>3947</v>
      </c>
      <c r="H605" s="67">
        <v>8.0000003799796104E-3</v>
      </c>
      <c r="I605" s="65">
        <v>528742</v>
      </c>
      <c r="J605" s="65">
        <v>176723</v>
      </c>
      <c r="L605" s="65" t="s">
        <v>1013</v>
      </c>
      <c r="M605" s="65" t="s">
        <v>27</v>
      </c>
      <c r="N605" s="69">
        <v>42591</v>
      </c>
      <c r="O605" s="69">
        <v>42647</v>
      </c>
      <c r="R605" s="65" t="s">
        <v>28</v>
      </c>
      <c r="U605" t="s">
        <v>1014</v>
      </c>
      <c r="V605" t="s">
        <v>3562</v>
      </c>
      <c r="W605" s="65" t="s">
        <v>34</v>
      </c>
      <c r="X605" s="65" t="s">
        <v>29</v>
      </c>
      <c r="Y605" s="65" t="s">
        <v>35</v>
      </c>
      <c r="AA605" s="69">
        <v>42741</v>
      </c>
      <c r="AB605" s="69">
        <v>42944</v>
      </c>
      <c r="AC605" s="69">
        <v>42944</v>
      </c>
      <c r="AD605" s="65" t="s">
        <v>23</v>
      </c>
      <c r="AE605" s="65" t="s">
        <v>24</v>
      </c>
      <c r="AH605" s="69">
        <f t="shared" si="27"/>
        <v>42741</v>
      </c>
      <c r="AI605" s="69">
        <f t="shared" si="28"/>
        <v>42944</v>
      </c>
      <c r="BO605" s="185" t="s">
        <v>3794</v>
      </c>
      <c r="BP605" s="185" t="s">
        <v>3794</v>
      </c>
      <c r="BQ605" s="185" t="s">
        <v>3794</v>
      </c>
      <c r="BW605" s="73"/>
      <c r="BY605" s="185" t="s">
        <v>3794</v>
      </c>
      <c r="CJ605" t="s">
        <v>25</v>
      </c>
      <c r="CK605" t="s">
        <v>25</v>
      </c>
      <c r="CL605" t="s">
        <v>25</v>
      </c>
      <c r="CM605" t="s">
        <v>25</v>
      </c>
      <c r="CN605" t="s">
        <v>25</v>
      </c>
      <c r="CO605" t="s">
        <v>25</v>
      </c>
      <c r="CP605" t="s">
        <v>25</v>
      </c>
      <c r="CQ605" t="s">
        <v>25</v>
      </c>
      <c r="CR605" t="s">
        <v>25</v>
      </c>
      <c r="CS605" t="s">
        <v>25</v>
      </c>
      <c r="CT605" t="s">
        <v>25</v>
      </c>
      <c r="CU605" t="s">
        <v>25</v>
      </c>
      <c r="CV605" t="s">
        <v>25</v>
      </c>
      <c r="CW605" t="s">
        <v>25</v>
      </c>
      <c r="CX605" t="s">
        <v>25</v>
      </c>
      <c r="CY605" t="s">
        <v>25</v>
      </c>
      <c r="CZ605" t="s">
        <v>25</v>
      </c>
      <c r="DA605" t="s">
        <v>25</v>
      </c>
      <c r="DB605" t="s">
        <v>25</v>
      </c>
      <c r="DC605" t="s">
        <v>25</v>
      </c>
      <c r="DD605" t="s">
        <v>25</v>
      </c>
      <c r="DE605" t="s">
        <v>25</v>
      </c>
      <c r="DF605" t="s">
        <v>25</v>
      </c>
      <c r="DG605" t="s">
        <v>25</v>
      </c>
      <c r="DH605" t="s">
        <v>25</v>
      </c>
      <c r="DI605" t="s">
        <v>25</v>
      </c>
      <c r="DJ605" s="76">
        <v>0</v>
      </c>
      <c r="DK605" s="73">
        <v>160</v>
      </c>
      <c r="DL605" s="73">
        <v>0</v>
      </c>
      <c r="DM605" s="73">
        <v>160</v>
      </c>
      <c r="DU605"/>
      <c r="DZ605" s="73">
        <v>0</v>
      </c>
      <c r="EA605" s="73">
        <v>147</v>
      </c>
      <c r="EB605" s="73">
        <v>-147</v>
      </c>
    </row>
    <row r="606" spans="1:133" ht="12" customHeight="1" x14ac:dyDescent="0.2">
      <c r="A606" t="s">
        <v>2935</v>
      </c>
      <c r="B606" t="s">
        <v>2946</v>
      </c>
      <c r="C606" t="str">
        <f t="shared" si="29"/>
        <v>Full</v>
      </c>
      <c r="E606" s="65">
        <v>6290</v>
      </c>
      <c r="F606" t="s">
        <v>2255</v>
      </c>
      <c r="G606" s="71" t="s">
        <v>3940</v>
      </c>
      <c r="H606" s="67">
        <v>0.15700000524520899</v>
      </c>
      <c r="I606" s="65">
        <v>521162</v>
      </c>
      <c r="J606" s="65">
        <v>174661</v>
      </c>
      <c r="L606" s="65" t="s">
        <v>2256</v>
      </c>
      <c r="M606" s="65" t="s">
        <v>27</v>
      </c>
      <c r="N606" s="69">
        <v>42843</v>
      </c>
      <c r="O606" s="69">
        <v>42909</v>
      </c>
      <c r="P606" s="65" t="s">
        <v>126</v>
      </c>
      <c r="R606" s="65" t="s">
        <v>28</v>
      </c>
      <c r="U606" t="s">
        <v>2257</v>
      </c>
      <c r="V606" t="s">
        <v>3563</v>
      </c>
      <c r="W606" s="65" t="s">
        <v>29</v>
      </c>
      <c r="X606" s="65" t="s">
        <v>29</v>
      </c>
      <c r="Y606" s="65" t="s">
        <v>30</v>
      </c>
      <c r="Z606" s="69">
        <v>42940</v>
      </c>
      <c r="AA606" s="69">
        <v>42940</v>
      </c>
      <c r="AD606" s="65" t="s">
        <v>23</v>
      </c>
      <c r="AE606" s="65" t="s">
        <v>24</v>
      </c>
      <c r="AH606" s="69">
        <f t="shared" si="27"/>
        <v>42940</v>
      </c>
      <c r="BO606" s="185" t="s">
        <v>3794</v>
      </c>
      <c r="BP606" s="185" t="s">
        <v>3794</v>
      </c>
      <c r="BQ606" s="185" t="s">
        <v>3794</v>
      </c>
      <c r="BW606" s="73"/>
      <c r="BY606" s="185" t="s">
        <v>3794</v>
      </c>
      <c r="CJ606" t="s">
        <v>25</v>
      </c>
      <c r="CK606" t="s">
        <v>25</v>
      </c>
      <c r="CL606" t="s">
        <v>25</v>
      </c>
      <c r="CM606" t="s">
        <v>25</v>
      </c>
      <c r="CN606" t="s">
        <v>25</v>
      </c>
      <c r="CO606" t="s">
        <v>25</v>
      </c>
      <c r="CP606" t="s">
        <v>25</v>
      </c>
      <c r="CQ606" t="s">
        <v>25</v>
      </c>
      <c r="CR606" t="s">
        <v>25</v>
      </c>
      <c r="CS606" t="s">
        <v>25</v>
      </c>
      <c r="CT606" t="s">
        <v>25</v>
      </c>
      <c r="CU606" t="s">
        <v>25</v>
      </c>
      <c r="CV606" t="s">
        <v>25</v>
      </c>
      <c r="CW606" t="s">
        <v>25</v>
      </c>
      <c r="CX606" t="s">
        <v>25</v>
      </c>
      <c r="CY606" t="s">
        <v>25</v>
      </c>
      <c r="CZ606" t="s">
        <v>25</v>
      </c>
      <c r="DA606" t="s">
        <v>25</v>
      </c>
      <c r="DB606" t="s">
        <v>25</v>
      </c>
      <c r="DC606" t="s">
        <v>25</v>
      </c>
      <c r="DD606" t="s">
        <v>25</v>
      </c>
      <c r="DE606" t="s">
        <v>25</v>
      </c>
      <c r="DF606" t="s">
        <v>25</v>
      </c>
      <c r="DG606" t="s">
        <v>25</v>
      </c>
      <c r="DH606" t="s">
        <v>25</v>
      </c>
      <c r="DI606" t="s">
        <v>25</v>
      </c>
      <c r="DJ606" s="76">
        <v>0</v>
      </c>
      <c r="DK606" s="73">
        <v>0</v>
      </c>
      <c r="DL606" s="73">
        <v>494</v>
      </c>
      <c r="DM606" s="73">
        <v>-494</v>
      </c>
      <c r="DU606"/>
      <c r="DZ606" s="73">
        <v>994</v>
      </c>
      <c r="EA606" s="73">
        <v>0</v>
      </c>
      <c r="EB606" s="73">
        <v>994</v>
      </c>
      <c r="EC606" s="65" t="s">
        <v>126</v>
      </c>
    </row>
    <row r="607" spans="1:133" ht="12" customHeight="1" x14ac:dyDescent="0.2">
      <c r="A607" t="s">
        <v>2937</v>
      </c>
      <c r="B607" t="s">
        <v>2946</v>
      </c>
      <c r="C607" t="str">
        <f t="shared" si="29"/>
        <v>Full</v>
      </c>
      <c r="E607" s="65">
        <v>6291</v>
      </c>
      <c r="F607" t="s">
        <v>2258</v>
      </c>
      <c r="G607" s="71" t="s">
        <v>2907</v>
      </c>
      <c r="H607" s="67">
        <v>2.0999999716877899E-2</v>
      </c>
      <c r="I607" s="65">
        <v>525235</v>
      </c>
      <c r="J607" s="65">
        <v>173834</v>
      </c>
      <c r="L607" s="65" t="s">
        <v>952</v>
      </c>
      <c r="M607" s="65" t="s">
        <v>27</v>
      </c>
      <c r="N607" s="69">
        <v>42548</v>
      </c>
      <c r="O607" s="69">
        <v>42604</v>
      </c>
      <c r="R607" s="65" t="s">
        <v>28</v>
      </c>
      <c r="U607" t="s">
        <v>953</v>
      </c>
      <c r="V607" t="s">
        <v>3564</v>
      </c>
      <c r="W607" s="65" t="s">
        <v>29</v>
      </c>
      <c r="X607" s="65" t="s">
        <v>29</v>
      </c>
      <c r="Y607" s="65" t="s">
        <v>69</v>
      </c>
      <c r="AD607" s="65" t="s">
        <v>23</v>
      </c>
      <c r="AE607" s="65" t="s">
        <v>24</v>
      </c>
      <c r="AW607" s="73">
        <v>133</v>
      </c>
      <c r="AY607" s="73">
        <v>133</v>
      </c>
      <c r="BL607" s="73">
        <v>126</v>
      </c>
      <c r="BN607" s="73">
        <v>126</v>
      </c>
      <c r="BO607" s="185" t="s">
        <v>3794</v>
      </c>
      <c r="BP607" s="185" t="s">
        <v>3794</v>
      </c>
      <c r="BQ607" s="185" t="s">
        <v>126</v>
      </c>
      <c r="BW607" s="73"/>
      <c r="BY607" s="185" t="s">
        <v>3794</v>
      </c>
      <c r="CG607" s="73">
        <v>7</v>
      </c>
      <c r="CI607" s="73">
        <v>7</v>
      </c>
      <c r="CJ607" t="s">
        <v>25</v>
      </c>
      <c r="CK607" t="s">
        <v>25</v>
      </c>
      <c r="CL607" t="s">
        <v>25</v>
      </c>
      <c r="CM607" t="s">
        <v>25</v>
      </c>
      <c r="CN607" t="s">
        <v>25</v>
      </c>
      <c r="CO607" t="s">
        <v>25</v>
      </c>
      <c r="CP607" t="s">
        <v>25</v>
      </c>
      <c r="CQ607" t="s">
        <v>25</v>
      </c>
      <c r="CR607" t="s">
        <v>25</v>
      </c>
      <c r="CS607" t="s">
        <v>25</v>
      </c>
      <c r="CT607" t="s">
        <v>25</v>
      </c>
      <c r="CU607" t="s">
        <v>37</v>
      </c>
      <c r="CV607" t="s">
        <v>25</v>
      </c>
      <c r="CW607" t="s">
        <v>25</v>
      </c>
      <c r="CX607" t="s">
        <v>25</v>
      </c>
      <c r="CY607" t="s">
        <v>25</v>
      </c>
      <c r="CZ607" t="s">
        <v>25</v>
      </c>
      <c r="DA607" t="s">
        <v>25</v>
      </c>
      <c r="DB607" t="s">
        <v>25</v>
      </c>
      <c r="DC607" t="s">
        <v>25</v>
      </c>
      <c r="DD607" t="s">
        <v>25</v>
      </c>
      <c r="DE607" t="s">
        <v>25</v>
      </c>
      <c r="DF607" t="s">
        <v>25</v>
      </c>
      <c r="DG607" t="s">
        <v>25</v>
      </c>
      <c r="DH607" t="s">
        <v>37</v>
      </c>
      <c r="DI607" t="s">
        <v>25</v>
      </c>
      <c r="DJ607" s="76">
        <v>6.9999992847441985E-3</v>
      </c>
      <c r="DK607" s="73">
        <v>133</v>
      </c>
      <c r="DL607" s="73">
        <v>126</v>
      </c>
      <c r="DM607" s="73">
        <v>7</v>
      </c>
      <c r="DU607"/>
      <c r="DZ607" s="73">
        <v>197</v>
      </c>
      <c r="EA607" s="73">
        <v>0</v>
      </c>
      <c r="EB607" s="73">
        <v>197</v>
      </c>
      <c r="EC607" s="65" t="s">
        <v>126</v>
      </c>
    </row>
    <row r="608" spans="1:133" ht="12" customHeight="1" x14ac:dyDescent="0.2">
      <c r="A608" t="s">
        <v>2937</v>
      </c>
      <c r="B608" t="s">
        <v>2946</v>
      </c>
      <c r="C608" t="str">
        <f t="shared" si="29"/>
        <v>Full</v>
      </c>
      <c r="E608" s="65">
        <v>6293</v>
      </c>
      <c r="F608" t="s">
        <v>2259</v>
      </c>
      <c r="G608" s="71" t="s">
        <v>3950</v>
      </c>
      <c r="H608" s="67">
        <v>2.70000007003546E-2</v>
      </c>
      <c r="I608" s="65">
        <v>529372</v>
      </c>
      <c r="J608" s="65">
        <v>171169</v>
      </c>
      <c r="L608" s="65" t="s">
        <v>970</v>
      </c>
      <c r="M608" s="65" t="s">
        <v>27</v>
      </c>
      <c r="N608" s="69">
        <v>42550</v>
      </c>
      <c r="O608" s="69">
        <v>42606</v>
      </c>
      <c r="R608" s="65" t="s">
        <v>28</v>
      </c>
      <c r="U608" t="s">
        <v>971</v>
      </c>
      <c r="V608" t="s">
        <v>3565</v>
      </c>
      <c r="W608" s="65" t="s">
        <v>21</v>
      </c>
      <c r="X608" s="65" t="s">
        <v>21</v>
      </c>
      <c r="Y608" s="65" t="s">
        <v>69</v>
      </c>
      <c r="AD608" s="65" t="s">
        <v>23</v>
      </c>
      <c r="AE608" s="65" t="s">
        <v>24</v>
      </c>
      <c r="AK608" s="73">
        <v>40</v>
      </c>
      <c r="AO608" s="73">
        <v>40</v>
      </c>
      <c r="AZ608" s="73">
        <v>96</v>
      </c>
      <c r="BE608" s="73">
        <v>96</v>
      </c>
      <c r="BO608" s="185" t="s">
        <v>126</v>
      </c>
      <c r="BP608" s="185" t="s">
        <v>3794</v>
      </c>
      <c r="BQ608" s="185" t="s">
        <v>3794</v>
      </c>
      <c r="BR608" s="73">
        <v>-96</v>
      </c>
      <c r="BS608" s="73">
        <v>40</v>
      </c>
      <c r="BW608" s="73">
        <v>-56</v>
      </c>
      <c r="BY608" s="185" t="s">
        <v>3794</v>
      </c>
      <c r="CJ608" t="s">
        <v>25</v>
      </c>
      <c r="CK608" t="s">
        <v>31</v>
      </c>
      <c r="CL608" t="s">
        <v>25</v>
      </c>
      <c r="CM608" t="s">
        <v>25</v>
      </c>
      <c r="CN608" t="s">
        <v>25</v>
      </c>
      <c r="CO608" t="s">
        <v>25</v>
      </c>
      <c r="CP608" t="s">
        <v>25</v>
      </c>
      <c r="CQ608" t="s">
        <v>25</v>
      </c>
      <c r="CR608" t="s">
        <v>25</v>
      </c>
      <c r="CS608" t="s">
        <v>25</v>
      </c>
      <c r="CT608" t="s">
        <v>25</v>
      </c>
      <c r="CU608" t="s">
        <v>25</v>
      </c>
      <c r="CV608" t="s">
        <v>25</v>
      </c>
      <c r="CW608" t="s">
        <v>47</v>
      </c>
      <c r="CX608" t="s">
        <v>25</v>
      </c>
      <c r="CY608" t="s">
        <v>25</v>
      </c>
      <c r="CZ608" t="s">
        <v>25</v>
      </c>
      <c r="DA608" t="s">
        <v>25</v>
      </c>
      <c r="DB608" t="s">
        <v>25</v>
      </c>
      <c r="DC608" t="s">
        <v>25</v>
      </c>
      <c r="DD608" t="s">
        <v>25</v>
      </c>
      <c r="DE608" t="s">
        <v>25</v>
      </c>
      <c r="DF608" t="s">
        <v>25</v>
      </c>
      <c r="DG608" t="s">
        <v>25</v>
      </c>
      <c r="DH608" t="s">
        <v>25</v>
      </c>
      <c r="DI608" t="s">
        <v>25</v>
      </c>
      <c r="DJ608" s="76">
        <v>1.8000001087784788E-2</v>
      </c>
      <c r="DK608" s="73">
        <v>40</v>
      </c>
      <c r="DL608" s="73">
        <v>96</v>
      </c>
      <c r="DM608" s="73">
        <v>-56</v>
      </c>
      <c r="DU608"/>
      <c r="DX608" s="65" t="s">
        <v>126</v>
      </c>
      <c r="DY608" t="s">
        <v>183</v>
      </c>
      <c r="DZ608" s="73">
        <v>56</v>
      </c>
      <c r="EA608" s="73">
        <v>0</v>
      </c>
      <c r="EB608" s="73">
        <v>56</v>
      </c>
      <c r="EC608" s="65" t="s">
        <v>126</v>
      </c>
    </row>
    <row r="609" spans="1:133" ht="12" customHeight="1" x14ac:dyDescent="0.2">
      <c r="A609" t="s">
        <v>2936</v>
      </c>
      <c r="B609" t="s">
        <v>2946</v>
      </c>
      <c r="C609" t="str">
        <f t="shared" si="29"/>
        <v>Full</v>
      </c>
      <c r="D609" t="s">
        <v>2943</v>
      </c>
      <c r="E609" s="65">
        <v>6296</v>
      </c>
      <c r="F609" t="s">
        <v>2260</v>
      </c>
      <c r="G609" s="71" t="s">
        <v>3943</v>
      </c>
      <c r="H609" s="67">
        <v>8.79999995231628E-2</v>
      </c>
      <c r="I609" s="65">
        <v>527359</v>
      </c>
      <c r="J609" s="65">
        <v>177169</v>
      </c>
      <c r="L609" s="65" t="s">
        <v>2261</v>
      </c>
      <c r="M609" s="65" t="s">
        <v>19</v>
      </c>
      <c r="N609" s="69">
        <v>42634</v>
      </c>
      <c r="O609" s="69">
        <v>42702</v>
      </c>
      <c r="R609" s="65" t="s">
        <v>20</v>
      </c>
      <c r="S609" s="69">
        <v>42866</v>
      </c>
      <c r="T609" s="69">
        <v>42964</v>
      </c>
      <c r="U609" t="s">
        <v>2262</v>
      </c>
      <c r="V609" t="s">
        <v>3566</v>
      </c>
      <c r="W609" s="65" t="s">
        <v>21</v>
      </c>
      <c r="X609" s="65" t="s">
        <v>21</v>
      </c>
      <c r="Y609" s="65" t="s">
        <v>35</v>
      </c>
      <c r="AA609" s="69">
        <v>42886</v>
      </c>
      <c r="AB609" s="69">
        <v>43075</v>
      </c>
      <c r="AC609" s="69">
        <v>43075</v>
      </c>
      <c r="AD609" s="65" t="s">
        <v>23</v>
      </c>
      <c r="AE609" s="65" t="s">
        <v>24</v>
      </c>
      <c r="AH609" s="69">
        <f t="shared" si="27"/>
        <v>42886</v>
      </c>
      <c r="AI609" s="69">
        <f t="shared" si="28"/>
        <v>43075</v>
      </c>
      <c r="AP609" s="73">
        <v>236</v>
      </c>
      <c r="AS609" s="73">
        <v>236</v>
      </c>
      <c r="AV609" s="73">
        <v>236</v>
      </c>
      <c r="AZ609" s="73">
        <v>236</v>
      </c>
      <c r="BE609" s="73">
        <v>236</v>
      </c>
      <c r="BO609" s="185" t="s">
        <v>126</v>
      </c>
      <c r="BP609" s="185" t="s">
        <v>126</v>
      </c>
      <c r="BQ609" s="185" t="s">
        <v>3794</v>
      </c>
      <c r="BR609" s="73">
        <v>-236</v>
      </c>
      <c r="BW609" s="73">
        <v>-236</v>
      </c>
      <c r="BX609" s="73">
        <v>236</v>
      </c>
      <c r="BY609" s="185" t="s">
        <v>3794</v>
      </c>
      <c r="CD609" s="73">
        <v>236</v>
      </c>
      <c r="CJ609" t="s">
        <v>25</v>
      </c>
      <c r="CK609" t="s">
        <v>25</v>
      </c>
      <c r="CL609" t="s">
        <v>25</v>
      </c>
      <c r="CM609" t="s">
        <v>25</v>
      </c>
      <c r="CN609" t="s">
        <v>25</v>
      </c>
      <c r="CO609" t="s">
        <v>31</v>
      </c>
      <c r="CP609" t="s">
        <v>25</v>
      </c>
      <c r="CQ609" t="s">
        <v>25</v>
      </c>
      <c r="CR609" t="s">
        <v>25</v>
      </c>
      <c r="CS609" t="s">
        <v>25</v>
      </c>
      <c r="CT609" t="s">
        <v>25</v>
      </c>
      <c r="CU609" t="s">
        <v>25</v>
      </c>
      <c r="CV609" t="s">
        <v>25</v>
      </c>
      <c r="CW609" t="s">
        <v>47</v>
      </c>
      <c r="CX609" t="s">
        <v>25</v>
      </c>
      <c r="CY609" t="s">
        <v>25</v>
      </c>
      <c r="CZ609" t="s">
        <v>25</v>
      </c>
      <c r="DA609" t="s">
        <v>25</v>
      </c>
      <c r="DB609" t="s">
        <v>25</v>
      </c>
      <c r="DC609" t="s">
        <v>25</v>
      </c>
      <c r="DD609" t="s">
        <v>25</v>
      </c>
      <c r="DE609" t="s">
        <v>25</v>
      </c>
      <c r="DF609" t="s">
        <v>25</v>
      </c>
      <c r="DG609" t="s">
        <v>25</v>
      </c>
      <c r="DH609" t="s">
        <v>25</v>
      </c>
      <c r="DI609" t="s">
        <v>25</v>
      </c>
      <c r="DJ609" s="76">
        <v>8.79999995231628E-2</v>
      </c>
      <c r="DK609" s="73">
        <v>236</v>
      </c>
      <c r="DL609" s="73">
        <v>236</v>
      </c>
      <c r="DM609" s="73">
        <v>0</v>
      </c>
      <c r="DN609" s="65" t="s">
        <v>126</v>
      </c>
      <c r="DU609"/>
      <c r="DZ609" s="73">
        <v>0</v>
      </c>
      <c r="EA609" s="73">
        <v>0</v>
      </c>
      <c r="EB609" s="73">
        <v>0</v>
      </c>
    </row>
    <row r="610" spans="1:133" ht="12" customHeight="1" x14ac:dyDescent="0.2">
      <c r="A610" t="s">
        <v>2935</v>
      </c>
      <c r="B610" t="s">
        <v>2946</v>
      </c>
      <c r="C610" t="str">
        <f t="shared" si="29"/>
        <v>Full</v>
      </c>
      <c r="E610" s="65">
        <v>6300</v>
      </c>
      <c r="F610" t="s">
        <v>2263</v>
      </c>
      <c r="G610" s="71" t="s">
        <v>3947</v>
      </c>
      <c r="H610" s="67">
        <v>3.9999999105930301E-2</v>
      </c>
      <c r="I610" s="65">
        <v>528379</v>
      </c>
      <c r="J610" s="65">
        <v>176658</v>
      </c>
      <c r="L610" s="65" t="s">
        <v>913</v>
      </c>
      <c r="M610" s="65" t="s">
        <v>27</v>
      </c>
      <c r="N610" s="69">
        <v>42549</v>
      </c>
      <c r="O610" s="69">
        <v>42634</v>
      </c>
      <c r="R610" s="65" t="s">
        <v>28</v>
      </c>
      <c r="U610" t="s">
        <v>914</v>
      </c>
      <c r="V610" t="s">
        <v>3567</v>
      </c>
      <c r="W610" s="65" t="s">
        <v>21</v>
      </c>
      <c r="X610" s="65" t="s">
        <v>21</v>
      </c>
      <c r="Y610" s="65" t="s">
        <v>30</v>
      </c>
      <c r="AA610" s="69">
        <v>43179</v>
      </c>
      <c r="AD610" s="65" t="s">
        <v>23</v>
      </c>
      <c r="AE610" s="65" t="s">
        <v>24</v>
      </c>
      <c r="AH610" s="69">
        <f t="shared" si="27"/>
        <v>43179</v>
      </c>
      <c r="AW610" s="73">
        <v>303</v>
      </c>
      <c r="AY610" s="73">
        <v>303</v>
      </c>
      <c r="AZ610" s="73">
        <v>303</v>
      </c>
      <c r="BE610" s="73">
        <v>303</v>
      </c>
      <c r="BO610" s="185" t="s">
        <v>126</v>
      </c>
      <c r="BP610" s="185" t="s">
        <v>3794</v>
      </c>
      <c r="BQ610" s="185" t="s">
        <v>126</v>
      </c>
      <c r="BR610" s="73">
        <v>-303</v>
      </c>
      <c r="BW610" s="73">
        <v>-303</v>
      </c>
      <c r="BY610" s="185" t="s">
        <v>3794</v>
      </c>
      <c r="CG610" s="73">
        <v>303</v>
      </c>
      <c r="CI610" s="73">
        <v>303</v>
      </c>
      <c r="CJ610" t="s">
        <v>25</v>
      </c>
      <c r="CK610" t="s">
        <v>25</v>
      </c>
      <c r="CL610" t="s">
        <v>25</v>
      </c>
      <c r="CM610" t="s">
        <v>25</v>
      </c>
      <c r="CN610" t="s">
        <v>25</v>
      </c>
      <c r="CO610" t="s">
        <v>25</v>
      </c>
      <c r="CP610" t="s">
        <v>25</v>
      </c>
      <c r="CQ610" t="s">
        <v>25</v>
      </c>
      <c r="CR610" t="s">
        <v>25</v>
      </c>
      <c r="CS610" t="s">
        <v>25</v>
      </c>
      <c r="CT610" t="s">
        <v>25</v>
      </c>
      <c r="CU610" t="s">
        <v>49</v>
      </c>
      <c r="CV610" t="s">
        <v>25</v>
      </c>
      <c r="CW610" t="s">
        <v>47</v>
      </c>
      <c r="CX610" t="s">
        <v>25</v>
      </c>
      <c r="CY610" t="s">
        <v>25</v>
      </c>
      <c r="CZ610" t="s">
        <v>25</v>
      </c>
      <c r="DA610" t="s">
        <v>25</v>
      </c>
      <c r="DB610" t="s">
        <v>25</v>
      </c>
      <c r="DC610" t="s">
        <v>25</v>
      </c>
      <c r="DD610" t="s">
        <v>25</v>
      </c>
      <c r="DE610" t="s">
        <v>25</v>
      </c>
      <c r="DF610" t="s">
        <v>25</v>
      </c>
      <c r="DG610" t="s">
        <v>25</v>
      </c>
      <c r="DH610" t="s">
        <v>25</v>
      </c>
      <c r="DI610" t="s">
        <v>25</v>
      </c>
      <c r="DJ610" s="76">
        <v>3.9999999105930301E-2</v>
      </c>
      <c r="DK610" s="73">
        <v>303</v>
      </c>
      <c r="DL610" s="73">
        <v>303</v>
      </c>
      <c r="DM610" s="73">
        <v>0</v>
      </c>
      <c r="DU610"/>
      <c r="DZ610" s="73">
        <v>0</v>
      </c>
      <c r="EA610" s="73">
        <v>0</v>
      </c>
      <c r="EB610" s="73">
        <v>0</v>
      </c>
    </row>
    <row r="611" spans="1:133" ht="12" customHeight="1" x14ac:dyDescent="0.2">
      <c r="A611" t="s">
        <v>2937</v>
      </c>
      <c r="B611" t="s">
        <v>2948</v>
      </c>
      <c r="C611" t="str">
        <f t="shared" si="29"/>
        <v>Prior Approval</v>
      </c>
      <c r="E611" s="65">
        <v>6303</v>
      </c>
      <c r="F611" t="s">
        <v>2264</v>
      </c>
      <c r="G611" s="71" t="s">
        <v>3943</v>
      </c>
      <c r="H611" s="67">
        <v>3.4000001847744002E-2</v>
      </c>
      <c r="I611" s="65">
        <v>527362</v>
      </c>
      <c r="J611" s="65">
        <v>176577</v>
      </c>
      <c r="L611" s="65" t="s">
        <v>984</v>
      </c>
      <c r="M611" s="65" t="s">
        <v>243</v>
      </c>
      <c r="N611" s="69">
        <v>42562</v>
      </c>
      <c r="O611" s="69">
        <v>42618</v>
      </c>
      <c r="R611" s="65" t="s">
        <v>28</v>
      </c>
      <c r="U611" t="s">
        <v>985</v>
      </c>
      <c r="V611" t="s">
        <v>3568</v>
      </c>
      <c r="W611" s="65" t="s">
        <v>21</v>
      </c>
      <c r="X611" s="65" t="s">
        <v>21</v>
      </c>
      <c r="Y611" s="65" t="s">
        <v>69</v>
      </c>
      <c r="AD611" s="65" t="s">
        <v>23</v>
      </c>
      <c r="AE611" s="65" t="s">
        <v>24</v>
      </c>
      <c r="BF611" s="73">
        <v>54</v>
      </c>
      <c r="BK611" s="73">
        <v>54</v>
      </c>
      <c r="BO611" s="185" t="s">
        <v>3794</v>
      </c>
      <c r="BP611" s="185" t="s">
        <v>126</v>
      </c>
      <c r="BQ611" s="185" t="s">
        <v>3794</v>
      </c>
      <c r="BW611" s="73"/>
      <c r="BX611" s="73">
        <v>-54</v>
      </c>
      <c r="BY611" s="185" t="s">
        <v>126</v>
      </c>
      <c r="CD611" s="73">
        <v>-54</v>
      </c>
      <c r="CE611" s="65" t="s">
        <v>126</v>
      </c>
      <c r="CJ611" t="s">
        <v>25</v>
      </c>
      <c r="CK611" t="s">
        <v>25</v>
      </c>
      <c r="CL611" t="s">
        <v>25</v>
      </c>
      <c r="CM611" t="s">
        <v>25</v>
      </c>
      <c r="CN611" t="s">
        <v>25</v>
      </c>
      <c r="CO611" t="s">
        <v>25</v>
      </c>
      <c r="CP611" t="s">
        <v>25</v>
      </c>
      <c r="CQ611" t="s">
        <v>25</v>
      </c>
      <c r="CR611" t="s">
        <v>25</v>
      </c>
      <c r="CS611" t="s">
        <v>25</v>
      </c>
      <c r="CT611" t="s">
        <v>25</v>
      </c>
      <c r="CU611" t="s">
        <v>25</v>
      </c>
      <c r="CV611" t="s">
        <v>25</v>
      </c>
      <c r="CW611" t="s">
        <v>25</v>
      </c>
      <c r="CX611" t="s">
        <v>25</v>
      </c>
      <c r="CY611" t="s">
        <v>25</v>
      </c>
      <c r="CZ611" t="s">
        <v>25</v>
      </c>
      <c r="DA611" t="s">
        <v>25</v>
      </c>
      <c r="DB611" t="s">
        <v>31</v>
      </c>
      <c r="DC611" t="s">
        <v>25</v>
      </c>
      <c r="DD611" t="s">
        <v>25</v>
      </c>
      <c r="DE611" t="s">
        <v>25</v>
      </c>
      <c r="DF611" t="s">
        <v>25</v>
      </c>
      <c r="DG611" t="s">
        <v>25</v>
      </c>
      <c r="DH611" t="s">
        <v>25</v>
      </c>
      <c r="DI611" t="s">
        <v>25</v>
      </c>
      <c r="DJ611" s="76">
        <v>2.8000001795589941E-2</v>
      </c>
      <c r="DK611" s="73">
        <v>0</v>
      </c>
      <c r="DL611" s="73">
        <v>54</v>
      </c>
      <c r="DM611" s="73">
        <v>-54</v>
      </c>
      <c r="DU611"/>
      <c r="DZ611" s="73">
        <v>54</v>
      </c>
      <c r="EA611" s="73">
        <v>0</v>
      </c>
      <c r="EB611" s="73">
        <v>54</v>
      </c>
      <c r="EC611" s="65" t="s">
        <v>126</v>
      </c>
    </row>
    <row r="612" spans="1:133" ht="12" customHeight="1" x14ac:dyDescent="0.2">
      <c r="A612" t="s">
        <v>2936</v>
      </c>
      <c r="B612" t="s">
        <v>2946</v>
      </c>
      <c r="C612" t="str">
        <f t="shared" si="29"/>
        <v>Full</v>
      </c>
      <c r="D612" t="s">
        <v>2943</v>
      </c>
      <c r="E612" s="65">
        <v>6309</v>
      </c>
      <c r="F612" t="s">
        <v>2265</v>
      </c>
      <c r="G612" s="71" t="s">
        <v>3944</v>
      </c>
      <c r="H612" s="67">
        <v>1.7999999225139601E-2</v>
      </c>
      <c r="I612" s="65">
        <v>526019</v>
      </c>
      <c r="J612" s="65">
        <v>174719</v>
      </c>
      <c r="L612" s="65" t="s">
        <v>2266</v>
      </c>
      <c r="M612" s="65" t="s">
        <v>27</v>
      </c>
      <c r="N612" s="69">
        <v>42781</v>
      </c>
      <c r="O612" s="69">
        <v>42872</v>
      </c>
      <c r="P612" s="65" t="s">
        <v>126</v>
      </c>
      <c r="R612" s="65" t="s">
        <v>28</v>
      </c>
      <c r="U612" t="s">
        <v>2267</v>
      </c>
      <c r="V612" t="s">
        <v>3569</v>
      </c>
      <c r="W612" s="65" t="s">
        <v>34</v>
      </c>
      <c r="X612" s="65" t="s">
        <v>29</v>
      </c>
      <c r="Y612" s="65" t="s">
        <v>35</v>
      </c>
      <c r="AA612" s="69">
        <v>42825</v>
      </c>
      <c r="AB612" s="69">
        <v>43053</v>
      </c>
      <c r="AC612" s="69">
        <v>43053</v>
      </c>
      <c r="AD612" s="65" t="s">
        <v>23</v>
      </c>
      <c r="AE612" s="65" t="s">
        <v>24</v>
      </c>
      <c r="AH612" s="69">
        <f t="shared" si="27"/>
        <v>42825</v>
      </c>
      <c r="AI612" s="69">
        <f t="shared" si="28"/>
        <v>43053</v>
      </c>
      <c r="BO612" s="185" t="s">
        <v>3794</v>
      </c>
      <c r="BP612" s="185" t="s">
        <v>3794</v>
      </c>
      <c r="BQ612" s="185" t="s">
        <v>3794</v>
      </c>
      <c r="BW612" s="73"/>
      <c r="BY612" s="185" t="s">
        <v>3794</v>
      </c>
      <c r="CJ612" t="s">
        <v>25</v>
      </c>
      <c r="CK612" t="s">
        <v>25</v>
      </c>
      <c r="CL612" t="s">
        <v>25</v>
      </c>
      <c r="CM612" t="s">
        <v>25</v>
      </c>
      <c r="CN612" t="s">
        <v>25</v>
      </c>
      <c r="CO612" t="s">
        <v>25</v>
      </c>
      <c r="CP612" t="s">
        <v>25</v>
      </c>
      <c r="CQ612" t="s">
        <v>25</v>
      </c>
      <c r="CR612" t="s">
        <v>25</v>
      </c>
      <c r="CS612" t="s">
        <v>25</v>
      </c>
      <c r="CT612" t="s">
        <v>25</v>
      </c>
      <c r="CU612" t="s">
        <v>25</v>
      </c>
      <c r="CV612" t="s">
        <v>25</v>
      </c>
      <c r="CW612" t="s">
        <v>25</v>
      </c>
      <c r="CX612" t="s">
        <v>25</v>
      </c>
      <c r="CY612" t="s">
        <v>25</v>
      </c>
      <c r="CZ612" t="s">
        <v>25</v>
      </c>
      <c r="DA612" t="s">
        <v>25</v>
      </c>
      <c r="DB612" t="s">
        <v>25</v>
      </c>
      <c r="DC612" t="s">
        <v>25</v>
      </c>
      <c r="DD612" t="s">
        <v>25</v>
      </c>
      <c r="DE612" t="s">
        <v>25</v>
      </c>
      <c r="DF612" t="s">
        <v>25</v>
      </c>
      <c r="DG612" t="s">
        <v>25</v>
      </c>
      <c r="DH612" t="s">
        <v>25</v>
      </c>
      <c r="DI612" t="s">
        <v>25</v>
      </c>
      <c r="DJ612" s="76">
        <v>0</v>
      </c>
      <c r="DK612" s="73">
        <v>0</v>
      </c>
      <c r="DL612" s="73">
        <v>259</v>
      </c>
      <c r="DM612" s="73">
        <v>-259</v>
      </c>
      <c r="DU612"/>
      <c r="DZ612" s="73">
        <v>300</v>
      </c>
      <c r="EA612" s="73">
        <v>0</v>
      </c>
      <c r="EB612" s="73">
        <v>300</v>
      </c>
      <c r="EC612" s="65" t="s">
        <v>126</v>
      </c>
    </row>
    <row r="613" spans="1:133" ht="12" customHeight="1" x14ac:dyDescent="0.2">
      <c r="A613" t="s">
        <v>2936</v>
      </c>
      <c r="B613" t="s">
        <v>2948</v>
      </c>
      <c r="C613" t="str">
        <f t="shared" si="29"/>
        <v>Prior Approval</v>
      </c>
      <c r="D613" t="s">
        <v>2943</v>
      </c>
      <c r="E613" s="65">
        <v>6313</v>
      </c>
      <c r="F613" t="s">
        <v>2268</v>
      </c>
      <c r="G613" s="71" t="s">
        <v>3947</v>
      </c>
      <c r="H613" s="67">
        <v>8.1000000238418607E-2</v>
      </c>
      <c r="I613" s="65">
        <v>528068</v>
      </c>
      <c r="J613" s="65">
        <v>176657</v>
      </c>
      <c r="L613" s="65" t="s">
        <v>993</v>
      </c>
      <c r="M613" s="65" t="s">
        <v>243</v>
      </c>
      <c r="N613" s="69">
        <v>42577</v>
      </c>
      <c r="O613" s="69">
        <v>42633</v>
      </c>
      <c r="R613" s="65" t="s">
        <v>28</v>
      </c>
      <c r="U613" t="s">
        <v>994</v>
      </c>
      <c r="V613" t="s">
        <v>3570</v>
      </c>
      <c r="W613" s="65" t="s">
        <v>21</v>
      </c>
      <c r="X613" s="65" t="s">
        <v>21</v>
      </c>
      <c r="Y613" s="65" t="s">
        <v>35</v>
      </c>
      <c r="AA613" s="69">
        <v>42755</v>
      </c>
      <c r="AB613" s="69">
        <v>43017</v>
      </c>
      <c r="AC613" s="69">
        <v>43017</v>
      </c>
      <c r="AD613" s="65" t="s">
        <v>23</v>
      </c>
      <c r="AE613" s="65" t="s">
        <v>24</v>
      </c>
      <c r="AH613" s="69">
        <f t="shared" si="27"/>
        <v>42755</v>
      </c>
      <c r="AI613" s="69">
        <f t="shared" si="28"/>
        <v>43017</v>
      </c>
      <c r="BF613" s="73">
        <v>112</v>
      </c>
      <c r="BK613" s="73">
        <v>112</v>
      </c>
      <c r="BO613" s="185" t="s">
        <v>3794</v>
      </c>
      <c r="BP613" s="185" t="s">
        <v>126</v>
      </c>
      <c r="BQ613" s="185" t="s">
        <v>3794</v>
      </c>
      <c r="BW613" s="73"/>
      <c r="BX613" s="73">
        <v>-112</v>
      </c>
      <c r="BY613" s="185" t="s">
        <v>126</v>
      </c>
      <c r="CD613" s="73">
        <v>-112</v>
      </c>
      <c r="CE613" s="65" t="s">
        <v>126</v>
      </c>
      <c r="CJ613" t="s">
        <v>25</v>
      </c>
      <c r="CK613" t="s">
        <v>25</v>
      </c>
      <c r="CL613" t="s">
        <v>25</v>
      </c>
      <c r="CM613" t="s">
        <v>25</v>
      </c>
      <c r="CN613" t="s">
        <v>25</v>
      </c>
      <c r="CO613" t="s">
        <v>25</v>
      </c>
      <c r="CP613" t="s">
        <v>25</v>
      </c>
      <c r="CQ613" t="s">
        <v>25</v>
      </c>
      <c r="CR613" t="s">
        <v>25</v>
      </c>
      <c r="CS613" t="s">
        <v>25</v>
      </c>
      <c r="CT613" t="s">
        <v>25</v>
      </c>
      <c r="CU613" t="s">
        <v>25</v>
      </c>
      <c r="CV613" t="s">
        <v>25</v>
      </c>
      <c r="CW613" t="s">
        <v>25</v>
      </c>
      <c r="CX613" t="s">
        <v>25</v>
      </c>
      <c r="CY613" t="s">
        <v>25</v>
      </c>
      <c r="CZ613" t="s">
        <v>25</v>
      </c>
      <c r="DA613" t="s">
        <v>25</v>
      </c>
      <c r="DB613" t="s">
        <v>31</v>
      </c>
      <c r="DC613" t="s">
        <v>25</v>
      </c>
      <c r="DD613" t="s">
        <v>25</v>
      </c>
      <c r="DE613" t="s">
        <v>25</v>
      </c>
      <c r="DF613" t="s">
        <v>25</v>
      </c>
      <c r="DG613" t="s">
        <v>25</v>
      </c>
      <c r="DH613" t="s">
        <v>25</v>
      </c>
      <c r="DI613" t="s">
        <v>25</v>
      </c>
      <c r="DJ613" s="76">
        <v>2.6999998837709406E-2</v>
      </c>
      <c r="DK613" s="73">
        <v>0</v>
      </c>
      <c r="DL613" s="73">
        <v>112</v>
      </c>
      <c r="DM613" s="73">
        <v>-112</v>
      </c>
      <c r="DU613"/>
      <c r="DZ613" s="73">
        <v>112</v>
      </c>
      <c r="EA613" s="73">
        <v>0</v>
      </c>
      <c r="EB613" s="73">
        <v>112</v>
      </c>
      <c r="EC613" s="65" t="s">
        <v>126</v>
      </c>
    </row>
    <row r="614" spans="1:133" ht="12" customHeight="1" x14ac:dyDescent="0.2">
      <c r="A614" t="s">
        <v>2937</v>
      </c>
      <c r="B614" t="s">
        <v>2946</v>
      </c>
      <c r="C614" t="str">
        <f t="shared" si="29"/>
        <v>Full</v>
      </c>
      <c r="E614" s="65">
        <v>6315</v>
      </c>
      <c r="F614" t="s">
        <v>2269</v>
      </c>
      <c r="G614" s="71" t="s">
        <v>150</v>
      </c>
      <c r="H614" s="67">
        <v>8.0000003799796104E-3</v>
      </c>
      <c r="I614" s="65">
        <v>527754</v>
      </c>
      <c r="J614" s="65">
        <v>172112</v>
      </c>
      <c r="L614" s="65" t="s">
        <v>955</v>
      </c>
      <c r="M614" s="65" t="s">
        <v>27</v>
      </c>
      <c r="N614" s="69">
        <v>42566</v>
      </c>
      <c r="O614" s="69">
        <v>42719</v>
      </c>
      <c r="R614" s="65" t="s">
        <v>28</v>
      </c>
      <c r="U614" t="s">
        <v>956</v>
      </c>
      <c r="V614" t="s">
        <v>3571</v>
      </c>
      <c r="W614" s="65" t="s">
        <v>29</v>
      </c>
      <c r="X614" s="65" t="s">
        <v>29</v>
      </c>
      <c r="Y614" s="65" t="s">
        <v>69</v>
      </c>
      <c r="AD614" s="65" t="s">
        <v>23</v>
      </c>
      <c r="AE614" s="65" t="s">
        <v>24</v>
      </c>
      <c r="BO614" s="185" t="s">
        <v>3794</v>
      </c>
      <c r="BP614" s="185" t="s">
        <v>3794</v>
      </c>
      <c r="BQ614" s="185" t="s">
        <v>3794</v>
      </c>
      <c r="BW614" s="73"/>
      <c r="BY614" s="185" t="s">
        <v>3794</v>
      </c>
      <c r="CJ614" t="s">
        <v>25</v>
      </c>
      <c r="CK614" t="s">
        <v>25</v>
      </c>
      <c r="CL614" t="s">
        <v>25</v>
      </c>
      <c r="CM614" t="s">
        <v>25</v>
      </c>
      <c r="CN614" t="s">
        <v>25</v>
      </c>
      <c r="CO614" t="s">
        <v>25</v>
      </c>
      <c r="CP614" t="s">
        <v>25</v>
      </c>
      <c r="CQ614" t="s">
        <v>25</v>
      </c>
      <c r="CR614" t="s">
        <v>25</v>
      </c>
      <c r="CS614" t="s">
        <v>25</v>
      </c>
      <c r="CT614" t="s">
        <v>25</v>
      </c>
      <c r="CU614" t="s">
        <v>25</v>
      </c>
      <c r="CV614" t="s">
        <v>25</v>
      </c>
      <c r="CW614" t="s">
        <v>25</v>
      </c>
      <c r="CX614" t="s">
        <v>25</v>
      </c>
      <c r="CY614" t="s">
        <v>25</v>
      </c>
      <c r="CZ614" t="s">
        <v>25</v>
      </c>
      <c r="DA614" t="s">
        <v>25</v>
      </c>
      <c r="DB614" t="s">
        <v>25</v>
      </c>
      <c r="DC614" t="s">
        <v>25</v>
      </c>
      <c r="DD614" t="s">
        <v>25</v>
      </c>
      <c r="DE614" t="s">
        <v>25</v>
      </c>
      <c r="DF614" t="s">
        <v>25</v>
      </c>
      <c r="DG614" t="s">
        <v>25</v>
      </c>
      <c r="DH614" t="s">
        <v>25</v>
      </c>
      <c r="DI614" t="s">
        <v>25</v>
      </c>
      <c r="DJ614" s="76">
        <v>0</v>
      </c>
      <c r="DK614" s="73">
        <v>0</v>
      </c>
      <c r="DL614" s="73">
        <v>25</v>
      </c>
      <c r="DM614" s="73">
        <v>-25</v>
      </c>
      <c r="DU614"/>
      <c r="DZ614" s="73">
        <v>82</v>
      </c>
      <c r="EA614" s="73">
        <v>0</v>
      </c>
      <c r="EB614" s="73">
        <v>82</v>
      </c>
      <c r="EC614" s="65" t="s">
        <v>126</v>
      </c>
    </row>
    <row r="615" spans="1:133" ht="12" customHeight="1" x14ac:dyDescent="0.2">
      <c r="A615" t="s">
        <v>2937</v>
      </c>
      <c r="B615" t="s">
        <v>2946</v>
      </c>
      <c r="C615" t="str">
        <f t="shared" si="29"/>
        <v>Full</v>
      </c>
      <c r="E615" s="65">
        <v>6317</v>
      </c>
      <c r="F615" t="s">
        <v>2270</v>
      </c>
      <c r="G615" s="71" t="s">
        <v>3954</v>
      </c>
      <c r="H615" s="67">
        <v>5.7000000029802302E-2</v>
      </c>
      <c r="I615" s="65">
        <v>522879</v>
      </c>
      <c r="J615" s="65">
        <v>174549</v>
      </c>
      <c r="L615" s="65" t="s">
        <v>1133</v>
      </c>
      <c r="M615" s="65" t="s">
        <v>27</v>
      </c>
      <c r="N615" s="69">
        <v>42681</v>
      </c>
      <c r="O615" s="69">
        <v>42790</v>
      </c>
      <c r="R615" s="65" t="s">
        <v>28</v>
      </c>
      <c r="U615" t="s">
        <v>1134</v>
      </c>
      <c r="V615" t="s">
        <v>3572</v>
      </c>
      <c r="W615" s="65" t="s">
        <v>29</v>
      </c>
      <c r="X615" s="65" t="s">
        <v>29</v>
      </c>
      <c r="Y615" s="65" t="s">
        <v>69</v>
      </c>
      <c r="AD615" s="65" t="s">
        <v>23</v>
      </c>
      <c r="AE615" s="65" t="s">
        <v>24</v>
      </c>
      <c r="BO615" s="185" t="s">
        <v>3794</v>
      </c>
      <c r="BP615" s="185" t="s">
        <v>3794</v>
      </c>
      <c r="BQ615" s="185" t="s">
        <v>3794</v>
      </c>
      <c r="BW615" s="73"/>
      <c r="BY615" s="185" t="s">
        <v>3794</v>
      </c>
      <c r="CJ615" t="s">
        <v>25</v>
      </c>
      <c r="CK615" t="s">
        <v>25</v>
      </c>
      <c r="CL615" t="s">
        <v>25</v>
      </c>
      <c r="CM615" t="s">
        <v>25</v>
      </c>
      <c r="CN615" t="s">
        <v>25</v>
      </c>
      <c r="CO615" t="s">
        <v>25</v>
      </c>
      <c r="CP615" t="s">
        <v>25</v>
      </c>
      <c r="CQ615" t="s">
        <v>25</v>
      </c>
      <c r="CR615" t="s">
        <v>25</v>
      </c>
      <c r="CS615" t="s">
        <v>25</v>
      </c>
      <c r="CT615" t="s">
        <v>25</v>
      </c>
      <c r="CU615" t="s">
        <v>25</v>
      </c>
      <c r="CV615" t="s">
        <v>25</v>
      </c>
      <c r="CW615" t="s">
        <v>25</v>
      </c>
      <c r="CX615" t="s">
        <v>25</v>
      </c>
      <c r="CY615" t="s">
        <v>25</v>
      </c>
      <c r="CZ615" t="s">
        <v>25</v>
      </c>
      <c r="DA615" t="s">
        <v>25</v>
      </c>
      <c r="DB615" t="s">
        <v>25</v>
      </c>
      <c r="DC615" t="s">
        <v>25</v>
      </c>
      <c r="DD615" t="s">
        <v>25</v>
      </c>
      <c r="DE615" t="s">
        <v>25</v>
      </c>
      <c r="DF615" t="s">
        <v>25</v>
      </c>
      <c r="DG615" t="s">
        <v>25</v>
      </c>
      <c r="DH615" t="s">
        <v>25</v>
      </c>
      <c r="DI615" t="s">
        <v>25</v>
      </c>
      <c r="DJ615" s="76">
        <v>9.9999830126760308E-4</v>
      </c>
      <c r="DK615" s="73">
        <v>108</v>
      </c>
      <c r="DL615" s="73">
        <v>0</v>
      </c>
      <c r="DM615" s="73">
        <v>108</v>
      </c>
      <c r="DU615"/>
      <c r="DZ615" s="73">
        <v>365</v>
      </c>
      <c r="EA615" s="73">
        <v>165</v>
      </c>
      <c r="EB615" s="73">
        <v>200</v>
      </c>
      <c r="EC615" s="65" t="s">
        <v>126</v>
      </c>
    </row>
    <row r="616" spans="1:133" ht="12" customHeight="1" x14ac:dyDescent="0.2">
      <c r="A616" t="s">
        <v>2937</v>
      </c>
      <c r="B616" t="s">
        <v>2946</v>
      </c>
      <c r="C616" t="str">
        <f t="shared" si="29"/>
        <v>Full</v>
      </c>
      <c r="E616" s="65">
        <v>6318</v>
      </c>
      <c r="F616" t="s">
        <v>2271</v>
      </c>
      <c r="G616" s="71" t="s">
        <v>149</v>
      </c>
      <c r="H616" s="67">
        <v>9.9999997764825804E-3</v>
      </c>
      <c r="I616" s="65">
        <v>528567</v>
      </c>
      <c r="J616" s="65">
        <v>173770</v>
      </c>
      <c r="L616" s="65" t="s">
        <v>2272</v>
      </c>
      <c r="M616" s="65" t="s">
        <v>27</v>
      </c>
      <c r="N616" s="69">
        <v>42891</v>
      </c>
      <c r="O616" s="69">
        <v>43032</v>
      </c>
      <c r="P616" s="65" t="s">
        <v>126</v>
      </c>
      <c r="R616" s="65" t="s">
        <v>28</v>
      </c>
      <c r="U616" t="s">
        <v>2273</v>
      </c>
      <c r="V616" t="s">
        <v>3573</v>
      </c>
      <c r="W616" s="65" t="s">
        <v>29</v>
      </c>
      <c r="X616" s="65" t="s">
        <v>29</v>
      </c>
      <c r="Y616" s="65" t="s">
        <v>69</v>
      </c>
      <c r="AD616" s="65" t="s">
        <v>23</v>
      </c>
      <c r="AE616" s="65" t="s">
        <v>24</v>
      </c>
      <c r="BH616" s="73">
        <v>196</v>
      </c>
      <c r="BK616" s="73">
        <v>196</v>
      </c>
      <c r="BO616" s="185" t="s">
        <v>3794</v>
      </c>
      <c r="BP616" s="185" t="s">
        <v>126</v>
      </c>
      <c r="BQ616" s="185" t="s">
        <v>3794</v>
      </c>
      <c r="BW616" s="73"/>
      <c r="BY616" s="185" t="s">
        <v>3794</v>
      </c>
      <c r="CA616" s="73">
        <v>-196</v>
      </c>
      <c r="CD616" s="73">
        <v>-196</v>
      </c>
      <c r="CE616" s="65" t="s">
        <v>126</v>
      </c>
      <c r="CJ616" t="s">
        <v>25</v>
      </c>
      <c r="CK616" t="s">
        <v>25</v>
      </c>
      <c r="CL616" t="s">
        <v>25</v>
      </c>
      <c r="CM616" t="s">
        <v>25</v>
      </c>
      <c r="CN616" t="s">
        <v>25</v>
      </c>
      <c r="CO616" t="s">
        <v>25</v>
      </c>
      <c r="CP616" t="s">
        <v>25</v>
      </c>
      <c r="CQ616" t="s">
        <v>25</v>
      </c>
      <c r="CR616" t="s">
        <v>25</v>
      </c>
      <c r="CS616" t="s">
        <v>25</v>
      </c>
      <c r="CT616" t="s">
        <v>25</v>
      </c>
      <c r="CU616" t="s">
        <v>25</v>
      </c>
      <c r="CV616" t="s">
        <v>25</v>
      </c>
      <c r="CW616" t="s">
        <v>25</v>
      </c>
      <c r="CX616" t="s">
        <v>25</v>
      </c>
      <c r="CY616" t="s">
        <v>25</v>
      </c>
      <c r="CZ616" t="s">
        <v>25</v>
      </c>
      <c r="DA616" t="s">
        <v>25</v>
      </c>
      <c r="DB616" t="s">
        <v>25</v>
      </c>
      <c r="DC616" t="s">
        <v>25</v>
      </c>
      <c r="DD616" t="s">
        <v>51</v>
      </c>
      <c r="DE616" t="s">
        <v>25</v>
      </c>
      <c r="DF616" t="s">
        <v>25</v>
      </c>
      <c r="DG616" t="s">
        <v>25</v>
      </c>
      <c r="DH616" t="s">
        <v>25</v>
      </c>
      <c r="DI616" t="s">
        <v>25</v>
      </c>
      <c r="DJ616" s="76">
        <v>0</v>
      </c>
      <c r="DK616" s="73">
        <v>0</v>
      </c>
      <c r="DL616" s="73">
        <v>196</v>
      </c>
      <c r="DM616" s="73">
        <v>-196</v>
      </c>
      <c r="DU616"/>
      <c r="DZ616" s="73">
        <v>299</v>
      </c>
      <c r="EA616" s="73">
        <v>65</v>
      </c>
      <c r="EB616" s="73">
        <v>234</v>
      </c>
      <c r="EC616" s="65" t="s">
        <v>126</v>
      </c>
    </row>
    <row r="617" spans="1:133" ht="12" customHeight="1" x14ac:dyDescent="0.2">
      <c r="A617" t="s">
        <v>2937</v>
      </c>
      <c r="B617" t="s">
        <v>2946</v>
      </c>
      <c r="C617" t="str">
        <f t="shared" si="29"/>
        <v>Full</v>
      </c>
      <c r="E617" s="65">
        <v>6319</v>
      </c>
      <c r="F617" t="s">
        <v>2274</v>
      </c>
      <c r="G617" s="71" t="s">
        <v>2904</v>
      </c>
      <c r="H617" s="67">
        <v>4.39999997615814E-2</v>
      </c>
      <c r="I617" s="65">
        <v>526016</v>
      </c>
      <c r="J617" s="65">
        <v>172137</v>
      </c>
      <c r="L617" s="65" t="s">
        <v>2275</v>
      </c>
      <c r="M617" s="65" t="s">
        <v>27</v>
      </c>
      <c r="N617" s="69">
        <v>42829</v>
      </c>
      <c r="O617" s="69">
        <v>42941</v>
      </c>
      <c r="P617" s="65" t="s">
        <v>126</v>
      </c>
      <c r="R617" s="65" t="s">
        <v>28</v>
      </c>
      <c r="U617" t="s">
        <v>2276</v>
      </c>
      <c r="V617" t="s">
        <v>3574</v>
      </c>
      <c r="W617" s="65" t="s">
        <v>29</v>
      </c>
      <c r="X617" s="65" t="s">
        <v>29</v>
      </c>
      <c r="Y617" s="65" t="s">
        <v>69</v>
      </c>
      <c r="AD617" s="65" t="s">
        <v>23</v>
      </c>
      <c r="AE617" s="65" t="s">
        <v>24</v>
      </c>
      <c r="AR617" s="73">
        <v>107</v>
      </c>
      <c r="AS617" s="73">
        <v>107</v>
      </c>
      <c r="AT617" s="73">
        <v>107</v>
      </c>
      <c r="AU617" s="73">
        <v>108</v>
      </c>
      <c r="AV617" s="73">
        <v>322</v>
      </c>
      <c r="BO617" s="185" t="s">
        <v>3794</v>
      </c>
      <c r="BP617" s="185" t="s">
        <v>126</v>
      </c>
      <c r="BQ617" s="185" t="s">
        <v>3794</v>
      </c>
      <c r="BW617" s="73"/>
      <c r="BY617" s="185" t="s">
        <v>3794</v>
      </c>
      <c r="CA617" s="73">
        <v>107</v>
      </c>
      <c r="CB617" s="73">
        <v>107</v>
      </c>
      <c r="CC617" s="73">
        <v>108</v>
      </c>
      <c r="CD617" s="73">
        <v>322</v>
      </c>
      <c r="CJ617" t="s">
        <v>25</v>
      </c>
      <c r="CK617" t="s">
        <v>25</v>
      </c>
      <c r="CL617" t="s">
        <v>25</v>
      </c>
      <c r="CM617" t="s">
        <v>25</v>
      </c>
      <c r="CN617" t="s">
        <v>25</v>
      </c>
      <c r="CO617" t="s">
        <v>25</v>
      </c>
      <c r="CP617" t="s">
        <v>25</v>
      </c>
      <c r="CQ617" t="s">
        <v>51</v>
      </c>
      <c r="CR617" t="s">
        <v>32</v>
      </c>
      <c r="CS617" t="s">
        <v>53</v>
      </c>
      <c r="CT617" t="s">
        <v>25</v>
      </c>
      <c r="CU617" t="s">
        <v>25</v>
      </c>
      <c r="CV617" t="s">
        <v>25</v>
      </c>
      <c r="CW617" t="s">
        <v>25</v>
      </c>
      <c r="CX617" t="s">
        <v>25</v>
      </c>
      <c r="CY617" t="s">
        <v>25</v>
      </c>
      <c r="CZ617" t="s">
        <v>25</v>
      </c>
      <c r="DA617" t="s">
        <v>25</v>
      </c>
      <c r="DB617" t="s">
        <v>25</v>
      </c>
      <c r="DC617" t="s">
        <v>25</v>
      </c>
      <c r="DD617" t="s">
        <v>25</v>
      </c>
      <c r="DE617" t="s">
        <v>25</v>
      </c>
      <c r="DF617" t="s">
        <v>25</v>
      </c>
      <c r="DG617" t="s">
        <v>25</v>
      </c>
      <c r="DH617" t="s">
        <v>25</v>
      </c>
      <c r="DI617" t="s">
        <v>25</v>
      </c>
      <c r="DJ617" s="76">
        <v>4.39999997615814E-2</v>
      </c>
      <c r="DK617" s="73">
        <v>322</v>
      </c>
      <c r="DL617" s="73">
        <v>0</v>
      </c>
      <c r="DM617" s="73">
        <v>322</v>
      </c>
      <c r="DQ617" s="65" t="s">
        <v>126</v>
      </c>
      <c r="DR617" t="s">
        <v>2903</v>
      </c>
      <c r="DU617"/>
      <c r="DZ617" s="73">
        <v>0</v>
      </c>
      <c r="EA617" s="73">
        <v>0</v>
      </c>
      <c r="EB617" s="73">
        <v>0</v>
      </c>
    </row>
    <row r="618" spans="1:133" ht="12" customHeight="1" x14ac:dyDescent="0.2">
      <c r="A618" t="s">
        <v>2936</v>
      </c>
      <c r="B618" t="s">
        <v>2948</v>
      </c>
      <c r="C618" t="str">
        <f t="shared" si="29"/>
        <v>Prior Approval</v>
      </c>
      <c r="D618" t="s">
        <v>2942</v>
      </c>
      <c r="E618" s="65">
        <v>6327</v>
      </c>
      <c r="F618" t="s">
        <v>2277</v>
      </c>
      <c r="G618" s="71" t="s">
        <v>149</v>
      </c>
      <c r="H618" s="67">
        <v>1.30000002682209E-2</v>
      </c>
      <c r="I618" s="65">
        <v>528751</v>
      </c>
      <c r="J618" s="65">
        <v>173670</v>
      </c>
      <c r="L618" s="65" t="s">
        <v>1011</v>
      </c>
      <c r="M618" s="65" t="s">
        <v>243</v>
      </c>
      <c r="N618" s="69">
        <v>42593</v>
      </c>
      <c r="O618" s="69">
        <v>42649</v>
      </c>
      <c r="R618" s="65" t="s">
        <v>28</v>
      </c>
      <c r="U618" t="s">
        <v>1012</v>
      </c>
      <c r="V618" t="s">
        <v>3575</v>
      </c>
      <c r="W618" s="65" t="s">
        <v>21</v>
      </c>
      <c r="X618" s="65" t="s">
        <v>21</v>
      </c>
      <c r="Y618" s="65" t="s">
        <v>22</v>
      </c>
      <c r="AA618" s="69">
        <v>42726</v>
      </c>
      <c r="AB618" s="69">
        <v>43052</v>
      </c>
      <c r="AD618" s="65" t="s">
        <v>23</v>
      </c>
      <c r="AE618" s="65" t="s">
        <v>24</v>
      </c>
      <c r="AH618" s="69">
        <f t="shared" si="27"/>
        <v>42726</v>
      </c>
      <c r="AI618" s="69">
        <f t="shared" si="28"/>
        <v>43052</v>
      </c>
      <c r="AK618" s="73">
        <v>72</v>
      </c>
      <c r="AO618" s="73">
        <v>72</v>
      </c>
      <c r="BA618" s="73">
        <v>127</v>
      </c>
      <c r="BE618" s="73">
        <v>127</v>
      </c>
      <c r="BO618" s="185" t="s">
        <v>126</v>
      </c>
      <c r="BP618" s="185" t="s">
        <v>3794</v>
      </c>
      <c r="BQ618" s="185" t="s">
        <v>3794</v>
      </c>
      <c r="BS618" s="73">
        <v>-55</v>
      </c>
      <c r="BW618" s="73">
        <v>-55</v>
      </c>
      <c r="BY618" s="185" t="s">
        <v>3794</v>
      </c>
      <c r="CJ618" t="s">
        <v>25</v>
      </c>
      <c r="CK618" t="s">
        <v>49</v>
      </c>
      <c r="CL618" t="s">
        <v>25</v>
      </c>
      <c r="CM618" t="s">
        <v>25</v>
      </c>
      <c r="CN618" t="s">
        <v>25</v>
      </c>
      <c r="CO618" t="s">
        <v>25</v>
      </c>
      <c r="CP618" t="s">
        <v>25</v>
      </c>
      <c r="CQ618" t="s">
        <v>25</v>
      </c>
      <c r="CR618" t="s">
        <v>25</v>
      </c>
      <c r="CS618" t="s">
        <v>25</v>
      </c>
      <c r="CT618" t="s">
        <v>25</v>
      </c>
      <c r="CU618" t="s">
        <v>25</v>
      </c>
      <c r="CV618" t="s">
        <v>25</v>
      </c>
      <c r="CW618" t="s">
        <v>25</v>
      </c>
      <c r="CX618" t="s">
        <v>49</v>
      </c>
      <c r="CY618" t="s">
        <v>25</v>
      </c>
      <c r="CZ618" t="s">
        <v>25</v>
      </c>
      <c r="DA618" t="s">
        <v>25</v>
      </c>
      <c r="DB618" t="s">
        <v>25</v>
      </c>
      <c r="DC618" t="s">
        <v>25</v>
      </c>
      <c r="DD618" t="s">
        <v>25</v>
      </c>
      <c r="DE618" t="s">
        <v>25</v>
      </c>
      <c r="DF618" t="s">
        <v>25</v>
      </c>
      <c r="DG618" t="s">
        <v>25</v>
      </c>
      <c r="DH618" t="s">
        <v>25</v>
      </c>
      <c r="DI618" t="s">
        <v>25</v>
      </c>
      <c r="DJ618" s="76">
        <v>7.0000002160668399E-3</v>
      </c>
      <c r="DK618" s="73">
        <v>72</v>
      </c>
      <c r="DL618" s="73">
        <v>127</v>
      </c>
      <c r="DM618" s="73">
        <v>-55</v>
      </c>
      <c r="DU618"/>
      <c r="DV618" s="65" t="s">
        <v>126</v>
      </c>
      <c r="DW618" t="s">
        <v>149</v>
      </c>
      <c r="DZ618" s="73">
        <v>55</v>
      </c>
      <c r="EA618" s="73">
        <v>0</v>
      </c>
      <c r="EB618" s="73">
        <v>55</v>
      </c>
      <c r="EC618" s="65" t="s">
        <v>126</v>
      </c>
    </row>
    <row r="619" spans="1:133" ht="12" customHeight="1" x14ac:dyDescent="0.2">
      <c r="A619" t="s">
        <v>2937</v>
      </c>
      <c r="B619" t="s">
        <v>2948</v>
      </c>
      <c r="C619" t="str">
        <f t="shared" si="29"/>
        <v>Prior Approval</v>
      </c>
      <c r="E619" s="65">
        <v>6332</v>
      </c>
      <c r="F619" t="s">
        <v>2278</v>
      </c>
      <c r="G619" s="71" t="s">
        <v>3946</v>
      </c>
      <c r="H619" s="67">
        <v>2.0999999716877899E-2</v>
      </c>
      <c r="I619" s="65">
        <v>524599</v>
      </c>
      <c r="J619" s="65">
        <v>175302</v>
      </c>
      <c r="L619" s="65" t="s">
        <v>990</v>
      </c>
      <c r="M619" s="65" t="s">
        <v>243</v>
      </c>
      <c r="N619" s="69">
        <v>42573</v>
      </c>
      <c r="O619" s="69">
        <v>42629</v>
      </c>
      <c r="R619" s="65" t="s">
        <v>28</v>
      </c>
      <c r="U619" t="s">
        <v>991</v>
      </c>
      <c r="V619" t="s">
        <v>3576</v>
      </c>
      <c r="W619" s="65" t="s">
        <v>21</v>
      </c>
      <c r="X619" s="65" t="s">
        <v>21</v>
      </c>
      <c r="Y619" s="65" t="s">
        <v>69</v>
      </c>
      <c r="AD619" s="65" t="s">
        <v>23</v>
      </c>
      <c r="AE619" s="65" t="s">
        <v>24</v>
      </c>
      <c r="BF619" s="73">
        <v>534</v>
      </c>
      <c r="BK619" s="73">
        <v>534</v>
      </c>
      <c r="BO619" s="185" t="s">
        <v>3794</v>
      </c>
      <c r="BP619" s="185" t="s">
        <v>126</v>
      </c>
      <c r="BQ619" s="185" t="s">
        <v>3794</v>
      </c>
      <c r="BW619" s="73"/>
      <c r="BX619" s="73">
        <v>-534</v>
      </c>
      <c r="BY619" s="185" t="s">
        <v>126</v>
      </c>
      <c r="CD619" s="73">
        <v>-534</v>
      </c>
      <c r="CE619" s="65" t="s">
        <v>126</v>
      </c>
      <c r="CJ619" t="s">
        <v>25</v>
      </c>
      <c r="CK619" t="s">
        <v>25</v>
      </c>
      <c r="CL619" t="s">
        <v>25</v>
      </c>
      <c r="CM619" t="s">
        <v>25</v>
      </c>
      <c r="CN619" t="s">
        <v>25</v>
      </c>
      <c r="CO619" t="s">
        <v>25</v>
      </c>
      <c r="CP619" t="s">
        <v>25</v>
      </c>
      <c r="CQ619" t="s">
        <v>25</v>
      </c>
      <c r="CR619" t="s">
        <v>25</v>
      </c>
      <c r="CS619" t="s">
        <v>25</v>
      </c>
      <c r="CT619" t="s">
        <v>25</v>
      </c>
      <c r="CU619" t="s">
        <v>25</v>
      </c>
      <c r="CV619" t="s">
        <v>25</v>
      </c>
      <c r="CW619" t="s">
        <v>25</v>
      </c>
      <c r="CX619" t="s">
        <v>25</v>
      </c>
      <c r="CY619" t="s">
        <v>25</v>
      </c>
      <c r="CZ619" t="s">
        <v>25</v>
      </c>
      <c r="DA619" t="s">
        <v>25</v>
      </c>
      <c r="DB619" t="s">
        <v>49</v>
      </c>
      <c r="DC619" t="s">
        <v>25</v>
      </c>
      <c r="DD619" t="s">
        <v>25</v>
      </c>
      <c r="DE619" t="s">
        <v>25</v>
      </c>
      <c r="DF619" t="s">
        <v>25</v>
      </c>
      <c r="DG619" t="s">
        <v>25</v>
      </c>
      <c r="DH619" t="s">
        <v>25</v>
      </c>
      <c r="DI619" t="s">
        <v>25</v>
      </c>
      <c r="DJ619" s="76">
        <v>0</v>
      </c>
      <c r="DK619" s="73">
        <v>0</v>
      </c>
      <c r="DL619" s="73">
        <v>534</v>
      </c>
      <c r="DM619" s="73">
        <v>-534</v>
      </c>
      <c r="DN619" s="65" t="s">
        <v>126</v>
      </c>
      <c r="DU619"/>
      <c r="DZ619" s="73">
        <v>534</v>
      </c>
      <c r="EA619" s="73">
        <v>0</v>
      </c>
      <c r="EB619" s="73">
        <v>534</v>
      </c>
      <c r="EC619" s="65" t="s">
        <v>126</v>
      </c>
    </row>
    <row r="620" spans="1:133" ht="12" customHeight="1" x14ac:dyDescent="0.2">
      <c r="A620" t="s">
        <v>2938</v>
      </c>
      <c r="B620" t="s">
        <v>2948</v>
      </c>
      <c r="C620" t="str">
        <f t="shared" si="29"/>
        <v>Prior Approval</v>
      </c>
      <c r="E620" s="65">
        <v>6335</v>
      </c>
      <c r="F620" t="s">
        <v>2279</v>
      </c>
      <c r="G620" s="71" t="s">
        <v>3943</v>
      </c>
      <c r="H620" s="67">
        <v>4.6999998390674598E-2</v>
      </c>
      <c r="I620" s="65">
        <v>527310</v>
      </c>
      <c r="J620" s="65">
        <v>177196</v>
      </c>
      <c r="K620" s="65" t="s">
        <v>1518</v>
      </c>
      <c r="L620" s="65" t="s">
        <v>2280</v>
      </c>
      <c r="M620" s="65" t="s">
        <v>227</v>
      </c>
      <c r="N620" s="69">
        <v>43151</v>
      </c>
      <c r="R620" s="65" t="s">
        <v>28</v>
      </c>
      <c r="U620" t="s">
        <v>2281</v>
      </c>
      <c r="V620" t="s">
        <v>3577</v>
      </c>
      <c r="W620" s="65" t="s">
        <v>21</v>
      </c>
      <c r="X620" s="65" t="s">
        <v>21</v>
      </c>
      <c r="Y620" s="65" t="s">
        <v>69</v>
      </c>
      <c r="AD620" s="65" t="s">
        <v>173</v>
      </c>
      <c r="AE620" s="65" t="s">
        <v>24</v>
      </c>
      <c r="BF620" s="73">
        <v>414</v>
      </c>
      <c r="BK620" s="73">
        <v>414</v>
      </c>
      <c r="BO620" s="185" t="s">
        <v>3794</v>
      </c>
      <c r="BP620" s="185" t="s">
        <v>126</v>
      </c>
      <c r="BQ620" s="185" t="s">
        <v>3794</v>
      </c>
      <c r="BW620" s="73"/>
      <c r="BX620" s="73">
        <v>-414</v>
      </c>
      <c r="BY620" s="185" t="s">
        <v>126</v>
      </c>
      <c r="CD620" s="73">
        <v>-414</v>
      </c>
      <c r="CE620" s="65" t="s">
        <v>126</v>
      </c>
      <c r="CJ620" t="s">
        <v>25</v>
      </c>
      <c r="CK620" t="s">
        <v>25</v>
      </c>
      <c r="CL620" t="s">
        <v>25</v>
      </c>
      <c r="CM620" t="s">
        <v>25</v>
      </c>
      <c r="CN620" t="s">
        <v>25</v>
      </c>
      <c r="CO620" t="s">
        <v>25</v>
      </c>
      <c r="CP620" t="s">
        <v>25</v>
      </c>
      <c r="CQ620" t="s">
        <v>25</v>
      </c>
      <c r="CR620" t="s">
        <v>25</v>
      </c>
      <c r="CS620" t="s">
        <v>25</v>
      </c>
      <c r="CT620" t="s">
        <v>25</v>
      </c>
      <c r="CU620" t="s">
        <v>25</v>
      </c>
      <c r="CV620" t="s">
        <v>25</v>
      </c>
      <c r="CW620" t="s">
        <v>25</v>
      </c>
      <c r="CX620" t="s">
        <v>25</v>
      </c>
      <c r="CY620" t="s">
        <v>25</v>
      </c>
      <c r="CZ620" t="s">
        <v>25</v>
      </c>
      <c r="DA620" t="s">
        <v>25</v>
      </c>
      <c r="DB620" t="s">
        <v>31</v>
      </c>
      <c r="DC620" t="s">
        <v>25</v>
      </c>
      <c r="DD620" t="s">
        <v>25</v>
      </c>
      <c r="DE620" t="s">
        <v>25</v>
      </c>
      <c r="DF620" t="s">
        <v>25</v>
      </c>
      <c r="DG620" t="s">
        <v>25</v>
      </c>
      <c r="DH620" t="s">
        <v>25</v>
      </c>
      <c r="DI620" t="s">
        <v>25</v>
      </c>
      <c r="DJ620" s="76">
        <v>4.0999998338520541E-2</v>
      </c>
      <c r="DK620" s="73">
        <v>0</v>
      </c>
      <c r="DL620" s="73">
        <v>414</v>
      </c>
      <c r="DM620" s="73">
        <v>-414</v>
      </c>
      <c r="DN620" s="65" t="s">
        <v>126</v>
      </c>
      <c r="DU620"/>
      <c r="DZ620" s="73">
        <v>414</v>
      </c>
      <c r="EA620" s="73">
        <v>0</v>
      </c>
      <c r="EB620" s="73">
        <v>414</v>
      </c>
      <c r="EC620" s="65" t="s">
        <v>126</v>
      </c>
    </row>
    <row r="621" spans="1:133" ht="12" customHeight="1" x14ac:dyDescent="0.2">
      <c r="A621" t="s">
        <v>2937</v>
      </c>
      <c r="B621" t="s">
        <v>2948</v>
      </c>
      <c r="C621" t="str">
        <f t="shared" si="29"/>
        <v>Prior Approval</v>
      </c>
      <c r="E621" s="65">
        <v>6336</v>
      </c>
      <c r="F621" t="s">
        <v>2282</v>
      </c>
      <c r="G621" s="71" t="s">
        <v>3948</v>
      </c>
      <c r="H621" s="67">
        <v>4.1999999433755902E-2</v>
      </c>
      <c r="I621" s="65">
        <v>527649</v>
      </c>
      <c r="J621" s="65">
        <v>176406</v>
      </c>
      <c r="L621" s="65" t="s">
        <v>1040</v>
      </c>
      <c r="M621" s="65" t="s">
        <v>243</v>
      </c>
      <c r="N621" s="69">
        <v>42627</v>
      </c>
      <c r="O621" s="69">
        <v>42682</v>
      </c>
      <c r="R621" s="65" t="s">
        <v>28</v>
      </c>
      <c r="U621" t="s">
        <v>1041</v>
      </c>
      <c r="V621" t="s">
        <v>3477</v>
      </c>
      <c r="W621" s="65" t="s">
        <v>21</v>
      </c>
      <c r="X621" s="65" t="s">
        <v>21</v>
      </c>
      <c r="Y621" s="65" t="s">
        <v>69</v>
      </c>
      <c r="AD621" s="65" t="s">
        <v>23</v>
      </c>
      <c r="AE621" s="65" t="s">
        <v>24</v>
      </c>
      <c r="BF621" s="73">
        <v>83</v>
      </c>
      <c r="BK621" s="73">
        <v>83</v>
      </c>
      <c r="BO621" s="185" t="s">
        <v>3794</v>
      </c>
      <c r="BP621" s="185" t="s">
        <v>126</v>
      </c>
      <c r="BQ621" s="185" t="s">
        <v>3794</v>
      </c>
      <c r="BW621" s="73"/>
      <c r="BX621" s="73">
        <v>-83</v>
      </c>
      <c r="BY621" s="185" t="s">
        <v>126</v>
      </c>
      <c r="CD621" s="73">
        <v>-83</v>
      </c>
      <c r="CE621" s="65" t="s">
        <v>126</v>
      </c>
      <c r="CJ621" t="s">
        <v>25</v>
      </c>
      <c r="CK621" t="s">
        <v>25</v>
      </c>
      <c r="CL621" t="s">
        <v>25</v>
      </c>
      <c r="CM621" t="s">
        <v>25</v>
      </c>
      <c r="CN621" t="s">
        <v>25</v>
      </c>
      <c r="CO621" t="s">
        <v>25</v>
      </c>
      <c r="CP621" t="s">
        <v>25</v>
      </c>
      <c r="CQ621" t="s">
        <v>25</v>
      </c>
      <c r="CR621" t="s">
        <v>25</v>
      </c>
      <c r="CS621" t="s">
        <v>25</v>
      </c>
      <c r="CT621" t="s">
        <v>25</v>
      </c>
      <c r="CU621" t="s">
        <v>25</v>
      </c>
      <c r="CV621" t="s">
        <v>25</v>
      </c>
      <c r="CW621" t="s">
        <v>25</v>
      </c>
      <c r="CX621" t="s">
        <v>25</v>
      </c>
      <c r="CY621" t="s">
        <v>25</v>
      </c>
      <c r="CZ621" t="s">
        <v>25</v>
      </c>
      <c r="DA621" t="s">
        <v>25</v>
      </c>
      <c r="DB621" t="s">
        <v>49</v>
      </c>
      <c r="DC621" t="s">
        <v>25</v>
      </c>
      <c r="DD621" t="s">
        <v>25</v>
      </c>
      <c r="DE621" t="s">
        <v>25</v>
      </c>
      <c r="DF621" t="s">
        <v>25</v>
      </c>
      <c r="DG621" t="s">
        <v>25</v>
      </c>
      <c r="DH621" t="s">
        <v>25</v>
      </c>
      <c r="DI621" t="s">
        <v>25</v>
      </c>
      <c r="DJ621" s="76">
        <v>3.3999999053776292E-2</v>
      </c>
      <c r="DK621" s="73">
        <v>0</v>
      </c>
      <c r="DL621" s="73">
        <v>83</v>
      </c>
      <c r="DM621" s="73">
        <v>-83</v>
      </c>
      <c r="DU621"/>
      <c r="DZ621" s="73">
        <v>83</v>
      </c>
      <c r="EA621" s="73">
        <v>0</v>
      </c>
      <c r="EB621" s="73">
        <v>83</v>
      </c>
      <c r="EC621" s="65" t="s">
        <v>126</v>
      </c>
    </row>
    <row r="622" spans="1:133" ht="12" customHeight="1" x14ac:dyDescent="0.2">
      <c r="A622" t="s">
        <v>2937</v>
      </c>
      <c r="B622" t="s">
        <v>2948</v>
      </c>
      <c r="C622" t="str">
        <f t="shared" si="29"/>
        <v>Prior Approval</v>
      </c>
      <c r="E622" s="65">
        <v>6337</v>
      </c>
      <c r="F622" t="s">
        <v>2283</v>
      </c>
      <c r="G622" s="71" t="s">
        <v>3948</v>
      </c>
      <c r="H622" s="67">
        <v>4.1999999433755902E-2</v>
      </c>
      <c r="I622" s="65">
        <v>527649</v>
      </c>
      <c r="J622" s="65">
        <v>176406</v>
      </c>
      <c r="L622" s="65" t="s">
        <v>1042</v>
      </c>
      <c r="M622" s="65" t="s">
        <v>243</v>
      </c>
      <c r="N622" s="69">
        <v>42627</v>
      </c>
      <c r="O622" s="69">
        <v>42683</v>
      </c>
      <c r="R622" s="65" t="s">
        <v>28</v>
      </c>
      <c r="U622" t="s">
        <v>1043</v>
      </c>
      <c r="V622" t="s">
        <v>3578</v>
      </c>
      <c r="W622" s="65" t="s">
        <v>21</v>
      </c>
      <c r="X622" s="65" t="s">
        <v>21</v>
      </c>
      <c r="Y622" s="65" t="s">
        <v>69</v>
      </c>
      <c r="AD622" s="65" t="s">
        <v>23</v>
      </c>
      <c r="AE622" s="65" t="s">
        <v>24</v>
      </c>
      <c r="BF622" s="73">
        <v>101</v>
      </c>
      <c r="BK622" s="73">
        <v>101</v>
      </c>
      <c r="BO622" s="185" t="s">
        <v>3794</v>
      </c>
      <c r="BP622" s="185" t="s">
        <v>126</v>
      </c>
      <c r="BQ622" s="185" t="s">
        <v>3794</v>
      </c>
      <c r="BW622" s="73"/>
      <c r="BX622" s="73">
        <v>-101</v>
      </c>
      <c r="BY622" s="185" t="s">
        <v>126</v>
      </c>
      <c r="CD622" s="73">
        <v>-101</v>
      </c>
      <c r="CE622" s="65" t="s">
        <v>126</v>
      </c>
      <c r="CJ622" t="s">
        <v>25</v>
      </c>
      <c r="CK622" t="s">
        <v>25</v>
      </c>
      <c r="CL622" t="s">
        <v>25</v>
      </c>
      <c r="CM622" t="s">
        <v>25</v>
      </c>
      <c r="CN622" t="s">
        <v>25</v>
      </c>
      <c r="CO622" t="s">
        <v>25</v>
      </c>
      <c r="CP622" t="s">
        <v>25</v>
      </c>
      <c r="CQ622" t="s">
        <v>25</v>
      </c>
      <c r="CR622" t="s">
        <v>25</v>
      </c>
      <c r="CS622" t="s">
        <v>25</v>
      </c>
      <c r="CT622" t="s">
        <v>25</v>
      </c>
      <c r="CU622" t="s">
        <v>25</v>
      </c>
      <c r="CV622" t="s">
        <v>25</v>
      </c>
      <c r="CW622" t="s">
        <v>25</v>
      </c>
      <c r="CX622" t="s">
        <v>25</v>
      </c>
      <c r="CY622" t="s">
        <v>25</v>
      </c>
      <c r="CZ622" t="s">
        <v>25</v>
      </c>
      <c r="DA622" t="s">
        <v>25</v>
      </c>
      <c r="DB622" t="s">
        <v>49</v>
      </c>
      <c r="DC622" t="s">
        <v>25</v>
      </c>
      <c r="DD622" t="s">
        <v>25</v>
      </c>
      <c r="DE622" t="s">
        <v>25</v>
      </c>
      <c r="DF622" t="s">
        <v>25</v>
      </c>
      <c r="DG622" t="s">
        <v>25</v>
      </c>
      <c r="DH622" t="s">
        <v>25</v>
      </c>
      <c r="DI622" t="s">
        <v>25</v>
      </c>
      <c r="DJ622" s="76">
        <v>3.199999965727332E-2</v>
      </c>
      <c r="DK622" s="73">
        <v>0</v>
      </c>
      <c r="DL622" s="73">
        <v>101</v>
      </c>
      <c r="DM622" s="73">
        <v>-101</v>
      </c>
      <c r="DU622"/>
      <c r="DZ622" s="73">
        <v>101</v>
      </c>
      <c r="EA622" s="73">
        <v>0</v>
      </c>
      <c r="EB622" s="73">
        <v>101</v>
      </c>
      <c r="EC622" s="65" t="s">
        <v>126</v>
      </c>
    </row>
    <row r="623" spans="1:133" ht="12" customHeight="1" x14ac:dyDescent="0.2">
      <c r="A623" t="s">
        <v>2937</v>
      </c>
      <c r="B623" t="s">
        <v>2948</v>
      </c>
      <c r="C623" t="str">
        <f t="shared" si="29"/>
        <v>Prior Approval</v>
      </c>
      <c r="E623" s="65">
        <v>6338</v>
      </c>
      <c r="F623" t="s">
        <v>2284</v>
      </c>
      <c r="G623" s="71" t="s">
        <v>3948</v>
      </c>
      <c r="H623" s="67">
        <v>4.1999999433755902E-2</v>
      </c>
      <c r="I623" s="65">
        <v>527649</v>
      </c>
      <c r="J623" s="65">
        <v>176406</v>
      </c>
      <c r="L623" s="65" t="s">
        <v>1044</v>
      </c>
      <c r="M623" s="65" t="s">
        <v>243</v>
      </c>
      <c r="N623" s="69">
        <v>42627</v>
      </c>
      <c r="O623" s="69">
        <v>42683</v>
      </c>
      <c r="R623" s="65" t="s">
        <v>28</v>
      </c>
      <c r="U623" t="s">
        <v>1041</v>
      </c>
      <c r="V623" t="s">
        <v>3579</v>
      </c>
      <c r="W623" s="65" t="s">
        <v>21</v>
      </c>
      <c r="X623" s="65" t="s">
        <v>21</v>
      </c>
      <c r="Y623" s="65" t="s">
        <v>69</v>
      </c>
      <c r="AD623" s="65" t="s">
        <v>23</v>
      </c>
      <c r="AE623" s="65" t="s">
        <v>24</v>
      </c>
      <c r="BF623" s="73">
        <v>58</v>
      </c>
      <c r="BK623" s="73">
        <v>58</v>
      </c>
      <c r="BO623" s="185" t="s">
        <v>3794</v>
      </c>
      <c r="BP623" s="185" t="s">
        <v>126</v>
      </c>
      <c r="BQ623" s="185" t="s">
        <v>3794</v>
      </c>
      <c r="BW623" s="73"/>
      <c r="BX623" s="73">
        <v>-58</v>
      </c>
      <c r="BY623" s="185" t="s">
        <v>126</v>
      </c>
      <c r="CD623" s="73">
        <v>-58</v>
      </c>
      <c r="CE623" s="65" t="s">
        <v>126</v>
      </c>
      <c r="CJ623" t="s">
        <v>25</v>
      </c>
      <c r="CK623" t="s">
        <v>25</v>
      </c>
      <c r="CL623" t="s">
        <v>25</v>
      </c>
      <c r="CM623" t="s">
        <v>25</v>
      </c>
      <c r="CN623" t="s">
        <v>25</v>
      </c>
      <c r="CO623" t="s">
        <v>25</v>
      </c>
      <c r="CP623" t="s">
        <v>25</v>
      </c>
      <c r="CQ623" t="s">
        <v>25</v>
      </c>
      <c r="CR623" t="s">
        <v>25</v>
      </c>
      <c r="CS623" t="s">
        <v>25</v>
      </c>
      <c r="CT623" t="s">
        <v>25</v>
      </c>
      <c r="CU623" t="s">
        <v>25</v>
      </c>
      <c r="CV623" t="s">
        <v>25</v>
      </c>
      <c r="CW623" t="s">
        <v>25</v>
      </c>
      <c r="CX623" t="s">
        <v>25</v>
      </c>
      <c r="CY623" t="s">
        <v>25</v>
      </c>
      <c r="CZ623" t="s">
        <v>25</v>
      </c>
      <c r="DA623" t="s">
        <v>25</v>
      </c>
      <c r="DB623" t="s">
        <v>49</v>
      </c>
      <c r="DC623" t="s">
        <v>25</v>
      </c>
      <c r="DD623" t="s">
        <v>25</v>
      </c>
      <c r="DE623" t="s">
        <v>25</v>
      </c>
      <c r="DF623" t="s">
        <v>25</v>
      </c>
      <c r="DG623" t="s">
        <v>25</v>
      </c>
      <c r="DH623" t="s">
        <v>25</v>
      </c>
      <c r="DI623" t="s">
        <v>25</v>
      </c>
      <c r="DJ623" s="76">
        <v>3.5999999381601845E-2</v>
      </c>
      <c r="DK623" s="73">
        <v>0</v>
      </c>
      <c r="DL623" s="73">
        <v>58</v>
      </c>
      <c r="DM623" s="73">
        <v>-58</v>
      </c>
      <c r="DU623"/>
      <c r="DZ623" s="73">
        <v>58</v>
      </c>
      <c r="EA623" s="73">
        <v>0</v>
      </c>
      <c r="EB623" s="73">
        <v>58</v>
      </c>
      <c r="EC623" s="65" t="s">
        <v>126</v>
      </c>
    </row>
    <row r="624" spans="1:133" ht="12" customHeight="1" x14ac:dyDescent="0.2">
      <c r="A624" t="s">
        <v>2937</v>
      </c>
      <c r="B624" t="s">
        <v>2948</v>
      </c>
      <c r="C624" t="str">
        <f t="shared" si="29"/>
        <v>Prior Approval</v>
      </c>
      <c r="E624" s="65">
        <v>6339</v>
      </c>
      <c r="F624" t="s">
        <v>2285</v>
      </c>
      <c r="G624" s="71" t="s">
        <v>3948</v>
      </c>
      <c r="H624" s="67">
        <v>4.1999999433755902E-2</v>
      </c>
      <c r="I624" s="65">
        <v>527649</v>
      </c>
      <c r="J624" s="65">
        <v>176406</v>
      </c>
      <c r="L624" s="65" t="s">
        <v>1045</v>
      </c>
      <c r="M624" s="65" t="s">
        <v>243</v>
      </c>
      <c r="N624" s="69">
        <v>42627</v>
      </c>
      <c r="O624" s="69">
        <v>42683</v>
      </c>
      <c r="R624" s="65" t="s">
        <v>28</v>
      </c>
      <c r="U624" t="s">
        <v>1041</v>
      </c>
      <c r="V624" t="s">
        <v>3477</v>
      </c>
      <c r="W624" s="65" t="s">
        <v>21</v>
      </c>
      <c r="X624" s="65" t="s">
        <v>21</v>
      </c>
      <c r="Y624" s="65" t="s">
        <v>69</v>
      </c>
      <c r="AD624" s="65" t="s">
        <v>23</v>
      </c>
      <c r="AE624" s="65" t="s">
        <v>24</v>
      </c>
      <c r="BF624" s="73">
        <v>59</v>
      </c>
      <c r="BK624" s="73">
        <v>59</v>
      </c>
      <c r="BO624" s="185" t="s">
        <v>3794</v>
      </c>
      <c r="BP624" s="185" t="s">
        <v>126</v>
      </c>
      <c r="BQ624" s="185" t="s">
        <v>3794</v>
      </c>
      <c r="BW624" s="73"/>
      <c r="BX624" s="73">
        <v>-59</v>
      </c>
      <c r="BY624" s="185" t="s">
        <v>126</v>
      </c>
      <c r="CD624" s="73">
        <v>-59</v>
      </c>
      <c r="CE624" s="65" t="s">
        <v>126</v>
      </c>
      <c r="CJ624" t="s">
        <v>25</v>
      </c>
      <c r="CK624" t="s">
        <v>25</v>
      </c>
      <c r="CL624" t="s">
        <v>25</v>
      </c>
      <c r="CM624" t="s">
        <v>25</v>
      </c>
      <c r="CN624" t="s">
        <v>25</v>
      </c>
      <c r="CO624" t="s">
        <v>25</v>
      </c>
      <c r="CP624" t="s">
        <v>25</v>
      </c>
      <c r="CQ624" t="s">
        <v>25</v>
      </c>
      <c r="CR624" t="s">
        <v>25</v>
      </c>
      <c r="CS624" t="s">
        <v>25</v>
      </c>
      <c r="CT624" t="s">
        <v>25</v>
      </c>
      <c r="CU624" t="s">
        <v>25</v>
      </c>
      <c r="CV624" t="s">
        <v>25</v>
      </c>
      <c r="CW624" t="s">
        <v>25</v>
      </c>
      <c r="CX624" t="s">
        <v>25</v>
      </c>
      <c r="CY624" t="s">
        <v>25</v>
      </c>
      <c r="CZ624" t="s">
        <v>25</v>
      </c>
      <c r="DA624" t="s">
        <v>25</v>
      </c>
      <c r="DB624" t="s">
        <v>49</v>
      </c>
      <c r="DC624" t="s">
        <v>25</v>
      </c>
      <c r="DD624" t="s">
        <v>25</v>
      </c>
      <c r="DE624" t="s">
        <v>25</v>
      </c>
      <c r="DF624" t="s">
        <v>25</v>
      </c>
      <c r="DG624" t="s">
        <v>25</v>
      </c>
      <c r="DH624" t="s">
        <v>25</v>
      </c>
      <c r="DI624" t="s">
        <v>25</v>
      </c>
      <c r="DJ624" s="76">
        <v>3.5999999381601845E-2</v>
      </c>
      <c r="DK624" s="73">
        <v>0</v>
      </c>
      <c r="DL624" s="73">
        <v>59</v>
      </c>
      <c r="DM624" s="73">
        <v>-59</v>
      </c>
      <c r="DU624"/>
      <c r="DZ624" s="73">
        <v>59</v>
      </c>
      <c r="EA624" s="73">
        <v>0</v>
      </c>
      <c r="EB624" s="73">
        <v>59</v>
      </c>
      <c r="EC624" s="65" t="s">
        <v>126</v>
      </c>
    </row>
    <row r="625" spans="1:133" ht="12" customHeight="1" x14ac:dyDescent="0.2">
      <c r="A625" t="s">
        <v>2937</v>
      </c>
      <c r="B625" t="s">
        <v>2948</v>
      </c>
      <c r="C625" t="str">
        <f t="shared" si="29"/>
        <v>Prior Approval</v>
      </c>
      <c r="E625" s="65">
        <v>6343</v>
      </c>
      <c r="F625" t="s">
        <v>2286</v>
      </c>
      <c r="G625" s="71" t="s">
        <v>3947</v>
      </c>
      <c r="H625" s="67">
        <v>1.09999999403954E-2</v>
      </c>
      <c r="I625" s="65">
        <v>528554</v>
      </c>
      <c r="J625" s="65">
        <v>175987</v>
      </c>
      <c r="L625" s="65" t="s">
        <v>1024</v>
      </c>
      <c r="M625" s="65" t="s">
        <v>243</v>
      </c>
      <c r="N625" s="69">
        <v>42597</v>
      </c>
      <c r="O625" s="69">
        <v>42653</v>
      </c>
      <c r="R625" s="65" t="s">
        <v>28</v>
      </c>
      <c r="U625" t="s">
        <v>1025</v>
      </c>
      <c r="V625" t="s">
        <v>3580</v>
      </c>
      <c r="W625" s="65" t="s">
        <v>21</v>
      </c>
      <c r="X625" s="65" t="s">
        <v>21</v>
      </c>
      <c r="Y625" s="65" t="s">
        <v>59</v>
      </c>
      <c r="AD625" s="65" t="s">
        <v>23</v>
      </c>
      <c r="AE625" s="65" t="s">
        <v>24</v>
      </c>
      <c r="AL625" s="73">
        <v>80</v>
      </c>
      <c r="AO625" s="73">
        <v>80</v>
      </c>
      <c r="AZ625" s="73">
        <v>80</v>
      </c>
      <c r="BE625" s="73">
        <v>80</v>
      </c>
      <c r="BO625" s="185" t="s">
        <v>126</v>
      </c>
      <c r="BP625" s="185" t="s">
        <v>3794</v>
      </c>
      <c r="BQ625" s="185" t="s">
        <v>3794</v>
      </c>
      <c r="BR625" s="73">
        <v>-80</v>
      </c>
      <c r="BT625" s="73">
        <v>80</v>
      </c>
      <c r="BW625" s="73"/>
      <c r="BY625" s="185" t="s">
        <v>3794</v>
      </c>
      <c r="CJ625" t="s">
        <v>25</v>
      </c>
      <c r="CK625" t="s">
        <v>25</v>
      </c>
      <c r="CL625" t="s">
        <v>38</v>
      </c>
      <c r="CM625" t="s">
        <v>25</v>
      </c>
      <c r="CN625" t="s">
        <v>25</v>
      </c>
      <c r="CO625" t="s">
        <v>25</v>
      </c>
      <c r="CP625" t="s">
        <v>25</v>
      </c>
      <c r="CQ625" t="s">
        <v>25</v>
      </c>
      <c r="CR625" t="s">
        <v>25</v>
      </c>
      <c r="CS625" t="s">
        <v>25</v>
      </c>
      <c r="CT625" t="s">
        <v>25</v>
      </c>
      <c r="CU625" t="s">
        <v>25</v>
      </c>
      <c r="CV625" t="s">
        <v>25</v>
      </c>
      <c r="CW625" t="s">
        <v>47</v>
      </c>
      <c r="CX625" t="s">
        <v>25</v>
      </c>
      <c r="CY625" t="s">
        <v>25</v>
      </c>
      <c r="CZ625" t="s">
        <v>25</v>
      </c>
      <c r="DA625" t="s">
        <v>25</v>
      </c>
      <c r="DB625" t="s">
        <v>25</v>
      </c>
      <c r="DC625" t="s">
        <v>25</v>
      </c>
      <c r="DD625" t="s">
        <v>25</v>
      </c>
      <c r="DE625" t="s">
        <v>25</v>
      </c>
      <c r="DF625" t="s">
        <v>25</v>
      </c>
      <c r="DG625" t="s">
        <v>25</v>
      </c>
      <c r="DH625" t="s">
        <v>25</v>
      </c>
      <c r="DI625" t="s">
        <v>25</v>
      </c>
      <c r="DJ625" s="76">
        <v>1.09999999403954E-2</v>
      </c>
      <c r="DK625" s="73">
        <v>80</v>
      </c>
      <c r="DL625" s="73">
        <v>80</v>
      </c>
      <c r="DM625" s="73">
        <v>0</v>
      </c>
      <c r="DU625"/>
      <c r="DZ625" s="73">
        <v>0</v>
      </c>
      <c r="EA625" s="73">
        <v>0</v>
      </c>
      <c r="EB625" s="73">
        <v>0</v>
      </c>
    </row>
    <row r="626" spans="1:133" ht="12" customHeight="1" x14ac:dyDescent="0.2">
      <c r="A626" t="s">
        <v>2935</v>
      </c>
      <c r="B626" t="s">
        <v>2946</v>
      </c>
      <c r="C626" t="str">
        <f t="shared" si="29"/>
        <v>Full</v>
      </c>
      <c r="E626" s="65">
        <v>6344</v>
      </c>
      <c r="F626" t="s">
        <v>2287</v>
      </c>
      <c r="G626" s="71" t="s">
        <v>150</v>
      </c>
      <c r="H626" s="67">
        <v>3.70000004768372E-2</v>
      </c>
      <c r="I626" s="65">
        <v>527166</v>
      </c>
      <c r="J626" s="65">
        <v>171035</v>
      </c>
      <c r="L626" s="65" t="s">
        <v>999</v>
      </c>
      <c r="M626" s="65" t="s">
        <v>27</v>
      </c>
      <c r="N626" s="69">
        <v>42599</v>
      </c>
      <c r="O626" s="69">
        <v>42793</v>
      </c>
      <c r="R626" s="65" t="s">
        <v>28</v>
      </c>
      <c r="U626" t="s">
        <v>1000</v>
      </c>
      <c r="V626" t="s">
        <v>3581</v>
      </c>
      <c r="W626" s="65" t="s">
        <v>34</v>
      </c>
      <c r="X626" s="65" t="s">
        <v>29</v>
      </c>
      <c r="Y626" s="65" t="s">
        <v>30</v>
      </c>
      <c r="AA626" s="69">
        <v>43190</v>
      </c>
      <c r="AD626" s="65" t="s">
        <v>23</v>
      </c>
      <c r="AE626" s="65" t="s">
        <v>24</v>
      </c>
      <c r="AH626" s="69">
        <f t="shared" si="27"/>
        <v>43190</v>
      </c>
      <c r="AL626" s="73">
        <v>257</v>
      </c>
      <c r="AO626" s="73">
        <v>257</v>
      </c>
      <c r="BB626" s="73">
        <v>290</v>
      </c>
      <c r="BE626" s="73">
        <v>290</v>
      </c>
      <c r="BO626" s="185" t="s">
        <v>126</v>
      </c>
      <c r="BP626" s="185" t="s">
        <v>3794</v>
      </c>
      <c r="BQ626" s="185" t="s">
        <v>3794</v>
      </c>
      <c r="BT626" s="73">
        <v>-33</v>
      </c>
      <c r="BW626" s="73">
        <v>-33</v>
      </c>
      <c r="BY626" s="185" t="s">
        <v>3794</v>
      </c>
      <c r="CJ626" t="s">
        <v>25</v>
      </c>
      <c r="CK626" t="s">
        <v>25</v>
      </c>
      <c r="CL626" t="s">
        <v>38</v>
      </c>
      <c r="CM626" t="s">
        <v>25</v>
      </c>
      <c r="CN626" t="s">
        <v>25</v>
      </c>
      <c r="CO626" t="s">
        <v>25</v>
      </c>
      <c r="CP626" t="s">
        <v>25</v>
      </c>
      <c r="CQ626" t="s">
        <v>25</v>
      </c>
      <c r="CR626" t="s">
        <v>25</v>
      </c>
      <c r="CS626" t="s">
        <v>25</v>
      </c>
      <c r="CT626" t="s">
        <v>25</v>
      </c>
      <c r="CU626" t="s">
        <v>25</v>
      </c>
      <c r="CV626" t="s">
        <v>25</v>
      </c>
      <c r="CW626" t="s">
        <v>25</v>
      </c>
      <c r="CX626" t="s">
        <v>25</v>
      </c>
      <c r="CY626" t="s">
        <v>47</v>
      </c>
      <c r="CZ626" t="s">
        <v>25</v>
      </c>
      <c r="DA626" t="s">
        <v>25</v>
      </c>
      <c r="DB626" t="s">
        <v>25</v>
      </c>
      <c r="DC626" t="s">
        <v>25</v>
      </c>
      <c r="DD626" t="s">
        <v>25</v>
      </c>
      <c r="DE626" t="s">
        <v>25</v>
      </c>
      <c r="DF626" t="s">
        <v>25</v>
      </c>
      <c r="DG626" t="s">
        <v>25</v>
      </c>
      <c r="DH626" t="s">
        <v>25</v>
      </c>
      <c r="DI626" t="s">
        <v>25</v>
      </c>
      <c r="DJ626" s="76">
        <v>1.6000000759959301E-2</v>
      </c>
      <c r="DK626" s="73">
        <v>257</v>
      </c>
      <c r="DU626"/>
      <c r="DZ626" s="73">
        <v>424</v>
      </c>
      <c r="EA626" s="73">
        <v>214</v>
      </c>
      <c r="EB626" s="73">
        <v>210</v>
      </c>
      <c r="EC626" s="65" t="s">
        <v>126</v>
      </c>
    </row>
    <row r="627" spans="1:133" ht="12" customHeight="1" x14ac:dyDescent="0.2">
      <c r="A627" t="s">
        <v>2937</v>
      </c>
      <c r="B627" t="s">
        <v>2946</v>
      </c>
      <c r="C627" t="str">
        <f t="shared" si="29"/>
        <v>Full</v>
      </c>
      <c r="E627" s="65">
        <v>6346</v>
      </c>
      <c r="F627" t="s">
        <v>2288</v>
      </c>
      <c r="G627" s="71" t="s">
        <v>3951</v>
      </c>
      <c r="H627" s="67">
        <v>1.60000007599592E-2</v>
      </c>
      <c r="I627" s="65">
        <v>527661</v>
      </c>
      <c r="J627" s="65">
        <v>171202</v>
      </c>
      <c r="L627" s="65" t="s">
        <v>898</v>
      </c>
      <c r="M627" s="65" t="s">
        <v>27</v>
      </c>
      <c r="N627" s="69">
        <v>42530</v>
      </c>
      <c r="O627" s="69">
        <v>42586</v>
      </c>
      <c r="R627" s="65" t="s">
        <v>28</v>
      </c>
      <c r="U627" t="s">
        <v>899</v>
      </c>
      <c r="V627" t="s">
        <v>3582</v>
      </c>
      <c r="W627" s="65" t="s">
        <v>29</v>
      </c>
      <c r="X627" s="65" t="s">
        <v>29</v>
      </c>
      <c r="Y627" s="65" t="s">
        <v>69</v>
      </c>
      <c r="AD627" s="65" t="s">
        <v>23</v>
      </c>
      <c r="AE627" s="65" t="s">
        <v>24</v>
      </c>
      <c r="AJ627" s="73">
        <v>82</v>
      </c>
      <c r="AO627" s="73">
        <v>82</v>
      </c>
      <c r="AZ627" s="73">
        <v>72</v>
      </c>
      <c r="BE627" s="73">
        <v>72</v>
      </c>
      <c r="BO627" s="185" t="s">
        <v>126</v>
      </c>
      <c r="BP627" s="185" t="s">
        <v>3794</v>
      </c>
      <c r="BQ627" s="185" t="s">
        <v>3794</v>
      </c>
      <c r="BR627" s="73">
        <v>10</v>
      </c>
      <c r="BW627" s="73">
        <v>10</v>
      </c>
      <c r="BY627" s="185" t="s">
        <v>3794</v>
      </c>
      <c r="CJ627" t="s">
        <v>31</v>
      </c>
      <c r="CK627" t="s">
        <v>25</v>
      </c>
      <c r="CL627" t="s">
        <v>25</v>
      </c>
      <c r="CM627" t="s">
        <v>25</v>
      </c>
      <c r="CN627" t="s">
        <v>25</v>
      </c>
      <c r="CO627" t="s">
        <v>25</v>
      </c>
      <c r="CP627" t="s">
        <v>25</v>
      </c>
      <c r="CQ627" t="s">
        <v>25</v>
      </c>
      <c r="CR627" t="s">
        <v>25</v>
      </c>
      <c r="CS627" t="s">
        <v>25</v>
      </c>
      <c r="CT627" t="s">
        <v>25</v>
      </c>
      <c r="CU627" t="s">
        <v>25</v>
      </c>
      <c r="CV627" t="s">
        <v>25</v>
      </c>
      <c r="CW627" t="s">
        <v>31</v>
      </c>
      <c r="CX627" t="s">
        <v>25</v>
      </c>
      <c r="CY627" t="s">
        <v>25</v>
      </c>
      <c r="CZ627" t="s">
        <v>25</v>
      </c>
      <c r="DA627" t="s">
        <v>25</v>
      </c>
      <c r="DB627" t="s">
        <v>25</v>
      </c>
      <c r="DC627" t="s">
        <v>25</v>
      </c>
      <c r="DD627" t="s">
        <v>25</v>
      </c>
      <c r="DE627" t="s">
        <v>25</v>
      </c>
      <c r="DF627" t="s">
        <v>25</v>
      </c>
      <c r="DG627" t="s">
        <v>25</v>
      </c>
      <c r="DH627" t="s">
        <v>25</v>
      </c>
      <c r="DI627" t="s">
        <v>25</v>
      </c>
      <c r="DJ627" s="76">
        <v>1.60000007599592E-2</v>
      </c>
      <c r="DK627" s="73">
        <v>82</v>
      </c>
      <c r="DL627" s="73">
        <v>72</v>
      </c>
      <c r="DM627" s="73">
        <v>10</v>
      </c>
      <c r="DU627"/>
      <c r="DV627" s="65" t="s">
        <v>126</v>
      </c>
      <c r="DW627" t="s">
        <v>150</v>
      </c>
      <c r="DZ627" s="73">
        <v>0</v>
      </c>
      <c r="EA627" s="73">
        <v>0</v>
      </c>
      <c r="EB627" s="73">
        <v>0</v>
      </c>
    </row>
    <row r="628" spans="1:133" ht="12" customHeight="1" x14ac:dyDescent="0.2">
      <c r="A628" t="s">
        <v>2937</v>
      </c>
      <c r="B628" t="s">
        <v>2946</v>
      </c>
      <c r="C628" t="str">
        <f t="shared" si="29"/>
        <v>Full</v>
      </c>
      <c r="E628" s="65">
        <v>6348</v>
      </c>
      <c r="F628" t="s">
        <v>2289</v>
      </c>
      <c r="G628" s="71" t="s">
        <v>3949</v>
      </c>
      <c r="H628" s="67">
        <v>3.5000000149011598E-2</v>
      </c>
      <c r="I628" s="65">
        <v>525098</v>
      </c>
      <c r="J628" s="65">
        <v>174608</v>
      </c>
      <c r="L628" s="65" t="s">
        <v>1124</v>
      </c>
      <c r="M628" s="65" t="s">
        <v>27</v>
      </c>
      <c r="N628" s="69">
        <v>42710</v>
      </c>
      <c r="O628" s="69">
        <v>42766</v>
      </c>
      <c r="R628" s="65" t="s">
        <v>28</v>
      </c>
      <c r="U628" t="s">
        <v>1125</v>
      </c>
      <c r="V628" t="s">
        <v>3583</v>
      </c>
      <c r="W628" s="65" t="s">
        <v>34</v>
      </c>
      <c r="X628" s="65" t="s">
        <v>29</v>
      </c>
      <c r="Y628" s="65" t="s">
        <v>69</v>
      </c>
      <c r="AD628" s="65" t="s">
        <v>23</v>
      </c>
      <c r="AE628" s="65" t="s">
        <v>24</v>
      </c>
      <c r="AZ628" s="73">
        <v>279</v>
      </c>
      <c r="BE628" s="73">
        <v>279</v>
      </c>
      <c r="BO628" s="185" t="s">
        <v>126</v>
      </c>
      <c r="BP628" s="185" t="s">
        <v>3794</v>
      </c>
      <c r="BQ628" s="185" t="s">
        <v>3794</v>
      </c>
      <c r="BR628" s="73">
        <v>-279</v>
      </c>
      <c r="BW628" s="73">
        <v>-279</v>
      </c>
      <c r="BY628" s="185" t="s">
        <v>3794</v>
      </c>
      <c r="CJ628" t="s">
        <v>25</v>
      </c>
      <c r="CK628" t="s">
        <v>25</v>
      </c>
      <c r="CL628" t="s">
        <v>25</v>
      </c>
      <c r="CM628" t="s">
        <v>25</v>
      </c>
      <c r="CN628" t="s">
        <v>25</v>
      </c>
      <c r="CO628" t="s">
        <v>25</v>
      </c>
      <c r="CP628" t="s">
        <v>25</v>
      </c>
      <c r="CQ628" t="s">
        <v>25</v>
      </c>
      <c r="CR628" t="s">
        <v>25</v>
      </c>
      <c r="CS628" t="s">
        <v>25</v>
      </c>
      <c r="CT628" t="s">
        <v>25</v>
      </c>
      <c r="CU628" t="s">
        <v>25</v>
      </c>
      <c r="CV628" t="s">
        <v>25</v>
      </c>
      <c r="CW628" t="s">
        <v>46</v>
      </c>
      <c r="CX628" t="s">
        <v>25</v>
      </c>
      <c r="CY628" t="s">
        <v>25</v>
      </c>
      <c r="CZ628" t="s">
        <v>25</v>
      </c>
      <c r="DA628" t="s">
        <v>25</v>
      </c>
      <c r="DB628" t="s">
        <v>25</v>
      </c>
      <c r="DC628" t="s">
        <v>25</v>
      </c>
      <c r="DD628" t="s">
        <v>25</v>
      </c>
      <c r="DE628" t="s">
        <v>25</v>
      </c>
      <c r="DF628" t="s">
        <v>25</v>
      </c>
      <c r="DG628" t="s">
        <v>25</v>
      </c>
      <c r="DH628" t="s">
        <v>25</v>
      </c>
      <c r="DI628" t="s">
        <v>25</v>
      </c>
      <c r="DJ628" s="76">
        <v>0</v>
      </c>
      <c r="DK628" s="73">
        <v>0</v>
      </c>
      <c r="DL628" s="73">
        <v>279</v>
      </c>
      <c r="DM628" s="73">
        <v>-279</v>
      </c>
      <c r="DU628"/>
      <c r="DZ628" s="73">
        <v>491</v>
      </c>
      <c r="EA628" s="73">
        <v>0</v>
      </c>
      <c r="EB628" s="73">
        <v>491</v>
      </c>
      <c r="EC628" s="65" t="s">
        <v>126</v>
      </c>
    </row>
    <row r="629" spans="1:133" ht="12" customHeight="1" x14ac:dyDescent="0.2">
      <c r="A629" t="s">
        <v>2937</v>
      </c>
      <c r="B629" t="s">
        <v>2946</v>
      </c>
      <c r="C629" t="str">
        <f t="shared" si="29"/>
        <v>Full</v>
      </c>
      <c r="E629" s="65">
        <v>6350</v>
      </c>
      <c r="F629" t="s">
        <v>2290</v>
      </c>
      <c r="G629" s="71" t="s">
        <v>3945</v>
      </c>
      <c r="H629" s="67">
        <v>0.164000004529953</v>
      </c>
      <c r="I629" s="65">
        <v>527637</v>
      </c>
      <c r="J629" s="65">
        <v>175472</v>
      </c>
      <c r="L629" s="65" t="s">
        <v>1019</v>
      </c>
      <c r="M629" s="65" t="s">
        <v>27</v>
      </c>
      <c r="N629" s="69">
        <v>42606</v>
      </c>
      <c r="O629" s="69">
        <v>42751</v>
      </c>
      <c r="R629" s="65" t="s">
        <v>28</v>
      </c>
      <c r="U629" t="s">
        <v>1020</v>
      </c>
      <c r="V629" t="s">
        <v>3584</v>
      </c>
      <c r="W629" s="65" t="s">
        <v>29</v>
      </c>
      <c r="X629" s="65" t="s">
        <v>29</v>
      </c>
      <c r="Y629" s="65" t="s">
        <v>69</v>
      </c>
      <c r="AD629" s="65" t="s">
        <v>23</v>
      </c>
      <c r="AE629" s="65" t="s">
        <v>24</v>
      </c>
      <c r="AW629" s="73">
        <v>20</v>
      </c>
      <c r="AY629" s="73">
        <v>20</v>
      </c>
      <c r="BO629" s="185" t="s">
        <v>3794</v>
      </c>
      <c r="BP629" s="185" t="s">
        <v>3794</v>
      </c>
      <c r="BQ629" s="185" t="s">
        <v>126</v>
      </c>
      <c r="BW629" s="73"/>
      <c r="BY629" s="185" t="s">
        <v>3794</v>
      </c>
      <c r="CG629" s="73">
        <v>20</v>
      </c>
      <c r="CI629" s="73">
        <v>20</v>
      </c>
      <c r="CJ629" t="s">
        <v>25</v>
      </c>
      <c r="CK629" t="s">
        <v>25</v>
      </c>
      <c r="CL629" t="s">
        <v>25</v>
      </c>
      <c r="CM629" t="s">
        <v>25</v>
      </c>
      <c r="CN629" t="s">
        <v>25</v>
      </c>
      <c r="CO629" t="s">
        <v>25</v>
      </c>
      <c r="CP629" t="s">
        <v>25</v>
      </c>
      <c r="CQ629" t="s">
        <v>25</v>
      </c>
      <c r="CR629" t="s">
        <v>25</v>
      </c>
      <c r="CS629" t="s">
        <v>25</v>
      </c>
      <c r="CT629" t="s">
        <v>25</v>
      </c>
      <c r="CU629" t="s">
        <v>1021</v>
      </c>
      <c r="CV629" t="s">
        <v>25</v>
      </c>
      <c r="CW629" t="s">
        <v>25</v>
      </c>
      <c r="CX629" t="s">
        <v>25</v>
      </c>
      <c r="CY629" t="s">
        <v>25</v>
      </c>
      <c r="CZ629" t="s">
        <v>25</v>
      </c>
      <c r="DA629" t="s">
        <v>25</v>
      </c>
      <c r="DB629" t="s">
        <v>25</v>
      </c>
      <c r="DC629" t="s">
        <v>25</v>
      </c>
      <c r="DD629" t="s">
        <v>25</v>
      </c>
      <c r="DE629" t="s">
        <v>25</v>
      </c>
      <c r="DF629" t="s">
        <v>25</v>
      </c>
      <c r="DG629" t="s">
        <v>25</v>
      </c>
      <c r="DH629" t="s">
        <v>25</v>
      </c>
      <c r="DI629" t="s">
        <v>25</v>
      </c>
      <c r="DJ629" s="76">
        <v>0.164000004529953</v>
      </c>
      <c r="DK629" s="73">
        <v>20</v>
      </c>
      <c r="DL629" s="73">
        <v>0</v>
      </c>
      <c r="DM629" s="73">
        <v>20</v>
      </c>
      <c r="DU629"/>
      <c r="DV629" s="65" t="s">
        <v>126</v>
      </c>
      <c r="DW629" t="s">
        <v>132</v>
      </c>
      <c r="DZ629" s="73">
        <v>0</v>
      </c>
      <c r="EA629" s="73">
        <v>0</v>
      </c>
      <c r="EB629" s="73">
        <v>0</v>
      </c>
    </row>
    <row r="630" spans="1:133" ht="12" customHeight="1" x14ac:dyDescent="0.2">
      <c r="A630" t="s">
        <v>2937</v>
      </c>
      <c r="B630" t="s">
        <v>2946</v>
      </c>
      <c r="C630" t="str">
        <f t="shared" si="29"/>
        <v>Full</v>
      </c>
      <c r="E630" s="65">
        <v>6355</v>
      </c>
      <c r="F630" t="s">
        <v>2291</v>
      </c>
      <c r="G630" s="71" t="s">
        <v>149</v>
      </c>
      <c r="H630" s="67">
        <v>1.7000000923872001E-2</v>
      </c>
      <c r="I630" s="65">
        <v>529010</v>
      </c>
      <c r="J630" s="65">
        <v>173294</v>
      </c>
      <c r="L630" s="65" t="s">
        <v>1030</v>
      </c>
      <c r="M630" s="65" t="s">
        <v>27</v>
      </c>
      <c r="N630" s="69">
        <v>42601</v>
      </c>
      <c r="O630" s="69">
        <v>42706</v>
      </c>
      <c r="R630" s="65" t="s">
        <v>28</v>
      </c>
      <c r="U630" t="s">
        <v>1031</v>
      </c>
      <c r="V630" t="s">
        <v>3585</v>
      </c>
      <c r="W630" s="65" t="s">
        <v>34</v>
      </c>
      <c r="X630" s="65" t="s">
        <v>29</v>
      </c>
      <c r="Y630" s="65" t="s">
        <v>69</v>
      </c>
      <c r="AD630" s="65" t="s">
        <v>23</v>
      </c>
      <c r="AE630" s="65" t="s">
        <v>24</v>
      </c>
      <c r="AZ630" s="73">
        <v>112</v>
      </c>
      <c r="BE630" s="73">
        <v>112</v>
      </c>
      <c r="BO630" s="185" t="s">
        <v>126</v>
      </c>
      <c r="BP630" s="185" t="s">
        <v>3794</v>
      </c>
      <c r="BQ630" s="185" t="s">
        <v>3794</v>
      </c>
      <c r="BR630" s="73">
        <v>-112</v>
      </c>
      <c r="BW630" s="73">
        <v>-112</v>
      </c>
      <c r="BY630" s="185" t="s">
        <v>3794</v>
      </c>
      <c r="CJ630" t="s">
        <v>25</v>
      </c>
      <c r="CK630" t="s">
        <v>25</v>
      </c>
      <c r="CL630" t="s">
        <v>25</v>
      </c>
      <c r="CM630" t="s">
        <v>25</v>
      </c>
      <c r="CN630" t="s">
        <v>25</v>
      </c>
      <c r="CO630" t="s">
        <v>25</v>
      </c>
      <c r="CP630" t="s">
        <v>25</v>
      </c>
      <c r="CQ630" t="s">
        <v>25</v>
      </c>
      <c r="CR630" t="s">
        <v>25</v>
      </c>
      <c r="CS630" t="s">
        <v>25</v>
      </c>
      <c r="CT630" t="s">
        <v>25</v>
      </c>
      <c r="CU630" t="s">
        <v>25</v>
      </c>
      <c r="CV630" t="s">
        <v>25</v>
      </c>
      <c r="CW630" t="s">
        <v>49</v>
      </c>
      <c r="CX630" t="s">
        <v>25</v>
      </c>
      <c r="CY630" t="s">
        <v>25</v>
      </c>
      <c r="CZ630" t="s">
        <v>25</v>
      </c>
      <c r="DA630" t="s">
        <v>25</v>
      </c>
      <c r="DB630" t="s">
        <v>25</v>
      </c>
      <c r="DC630" t="s">
        <v>25</v>
      </c>
      <c r="DD630" t="s">
        <v>25</v>
      </c>
      <c r="DE630" t="s">
        <v>25</v>
      </c>
      <c r="DF630" t="s">
        <v>25</v>
      </c>
      <c r="DG630" t="s">
        <v>25</v>
      </c>
      <c r="DH630" t="s">
        <v>25</v>
      </c>
      <c r="DI630" t="s">
        <v>25</v>
      </c>
      <c r="DJ630" s="76">
        <v>6.0000009834766006E-3</v>
      </c>
      <c r="DK630" s="73">
        <v>0</v>
      </c>
      <c r="DL630" s="73">
        <v>112</v>
      </c>
      <c r="DM630" s="73">
        <v>-112</v>
      </c>
      <c r="DU630"/>
      <c r="DZ630" s="73">
        <v>245</v>
      </c>
      <c r="EA630" s="73">
        <v>89</v>
      </c>
      <c r="EB630" s="73">
        <v>156</v>
      </c>
      <c r="EC630" s="65" t="s">
        <v>126</v>
      </c>
    </row>
    <row r="631" spans="1:133" ht="12" customHeight="1" x14ac:dyDescent="0.2">
      <c r="A631" t="s">
        <v>2935</v>
      </c>
      <c r="B631" t="s">
        <v>2946</v>
      </c>
      <c r="C631" t="str">
        <f t="shared" si="29"/>
        <v>Full</v>
      </c>
      <c r="E631" s="65">
        <v>6356</v>
      </c>
      <c r="F631" t="s">
        <v>2292</v>
      </c>
      <c r="G631" s="71" t="s">
        <v>2904</v>
      </c>
      <c r="H631" s="67">
        <v>2.4000000208616298E-2</v>
      </c>
      <c r="I631" s="65">
        <v>525993</v>
      </c>
      <c r="J631" s="65">
        <v>172744</v>
      </c>
      <c r="L631" s="65" t="s">
        <v>1048</v>
      </c>
      <c r="M631" s="65" t="s">
        <v>27</v>
      </c>
      <c r="N631" s="69">
        <v>42619</v>
      </c>
      <c r="O631" s="69">
        <v>42674</v>
      </c>
      <c r="R631" s="65" t="s">
        <v>28</v>
      </c>
      <c r="U631" t="s">
        <v>1049</v>
      </c>
      <c r="V631" t="s">
        <v>3586</v>
      </c>
      <c r="W631" s="65" t="s">
        <v>29</v>
      </c>
      <c r="X631" s="65" t="s">
        <v>29</v>
      </c>
      <c r="Y631" s="65" t="s">
        <v>30</v>
      </c>
      <c r="Z631" s="69">
        <v>42825</v>
      </c>
      <c r="AA631" s="69">
        <v>42825</v>
      </c>
      <c r="AD631" s="65" t="s">
        <v>23</v>
      </c>
      <c r="AE631" s="65" t="s">
        <v>24</v>
      </c>
      <c r="AH631" s="69">
        <f t="shared" si="27"/>
        <v>42825</v>
      </c>
      <c r="BO631" s="185" t="s">
        <v>3794</v>
      </c>
      <c r="BP631" s="185" t="s">
        <v>3794</v>
      </c>
      <c r="BQ631" s="185" t="s">
        <v>3794</v>
      </c>
      <c r="BW631" s="73"/>
      <c r="BY631" s="185" t="s">
        <v>3794</v>
      </c>
      <c r="CJ631" t="s">
        <v>25</v>
      </c>
      <c r="CK631" t="s">
        <v>25</v>
      </c>
      <c r="CL631" t="s">
        <v>25</v>
      </c>
      <c r="CM631" t="s">
        <v>25</v>
      </c>
      <c r="CN631" t="s">
        <v>25</v>
      </c>
      <c r="CO631" t="s">
        <v>25</v>
      </c>
      <c r="CP631" t="s">
        <v>25</v>
      </c>
      <c r="CQ631" t="s">
        <v>25</v>
      </c>
      <c r="CR631" t="s">
        <v>25</v>
      </c>
      <c r="CS631" t="s">
        <v>25</v>
      </c>
      <c r="CT631" t="s">
        <v>25</v>
      </c>
      <c r="CU631" t="s">
        <v>25</v>
      </c>
      <c r="CV631" t="s">
        <v>25</v>
      </c>
      <c r="CW631" t="s">
        <v>25</v>
      </c>
      <c r="CX631" t="s">
        <v>25</v>
      </c>
      <c r="CY631" t="s">
        <v>25</v>
      </c>
      <c r="CZ631" t="s">
        <v>25</v>
      </c>
      <c r="DA631" t="s">
        <v>25</v>
      </c>
      <c r="DB631" t="s">
        <v>25</v>
      </c>
      <c r="DC631" t="s">
        <v>25</v>
      </c>
      <c r="DD631" t="s">
        <v>25</v>
      </c>
      <c r="DE631" t="s">
        <v>25</v>
      </c>
      <c r="DF631" t="s">
        <v>25</v>
      </c>
      <c r="DG631" t="s">
        <v>25</v>
      </c>
      <c r="DH631" t="s">
        <v>25</v>
      </c>
      <c r="DI631" t="s">
        <v>25</v>
      </c>
      <c r="DJ631" s="76">
        <v>0</v>
      </c>
      <c r="DK631" s="73">
        <v>0</v>
      </c>
      <c r="DL631" s="73">
        <v>71</v>
      </c>
      <c r="DM631" s="73">
        <v>-71</v>
      </c>
      <c r="DU631"/>
      <c r="DZ631" s="73">
        <v>219</v>
      </c>
      <c r="EA631" s="73">
        <v>0</v>
      </c>
      <c r="EB631" s="73">
        <v>219</v>
      </c>
      <c r="EC631" s="65" t="s">
        <v>126</v>
      </c>
    </row>
    <row r="632" spans="1:133" ht="12" customHeight="1" x14ac:dyDescent="0.2">
      <c r="A632" t="s">
        <v>2937</v>
      </c>
      <c r="B632" t="s">
        <v>2946</v>
      </c>
      <c r="C632" t="str">
        <f t="shared" si="29"/>
        <v>Full</v>
      </c>
      <c r="E632" s="65">
        <v>6359</v>
      </c>
      <c r="F632" t="s">
        <v>2293</v>
      </c>
      <c r="G632" s="71" t="s">
        <v>3947</v>
      </c>
      <c r="H632" s="67">
        <v>5.0999999046325697E-2</v>
      </c>
      <c r="I632" s="65">
        <v>528797</v>
      </c>
      <c r="J632" s="65">
        <v>176694</v>
      </c>
      <c r="L632" s="65" t="s">
        <v>673</v>
      </c>
      <c r="M632" s="65" t="s">
        <v>27</v>
      </c>
      <c r="N632" s="69">
        <v>42618</v>
      </c>
      <c r="O632" s="69">
        <v>42674</v>
      </c>
      <c r="R632" s="65" t="s">
        <v>28</v>
      </c>
      <c r="U632" t="s">
        <v>674</v>
      </c>
      <c r="V632" t="s">
        <v>3587</v>
      </c>
      <c r="W632" s="65" t="s">
        <v>34</v>
      </c>
      <c r="X632" s="65" t="s">
        <v>29</v>
      </c>
      <c r="Y632" s="65" t="s">
        <v>69</v>
      </c>
      <c r="AD632" s="65" t="s">
        <v>23</v>
      </c>
      <c r="AE632" s="65" t="s">
        <v>24</v>
      </c>
      <c r="AP632" s="73">
        <v>61</v>
      </c>
      <c r="AS632" s="73">
        <v>61</v>
      </c>
      <c r="AV632" s="73">
        <v>61</v>
      </c>
      <c r="BO632" s="185" t="s">
        <v>3794</v>
      </c>
      <c r="BP632" s="185" t="s">
        <v>126</v>
      </c>
      <c r="BQ632" s="185" t="s">
        <v>3794</v>
      </c>
      <c r="BW632" s="73"/>
      <c r="BX632" s="73">
        <v>61</v>
      </c>
      <c r="BY632" s="185" t="s">
        <v>3794</v>
      </c>
      <c r="CD632" s="73">
        <v>61</v>
      </c>
      <c r="CJ632" t="s">
        <v>25</v>
      </c>
      <c r="CK632" t="s">
        <v>25</v>
      </c>
      <c r="CL632" t="s">
        <v>25</v>
      </c>
      <c r="CM632" t="s">
        <v>25</v>
      </c>
      <c r="CN632" t="s">
        <v>25</v>
      </c>
      <c r="CO632" t="s">
        <v>31</v>
      </c>
      <c r="CP632" t="s">
        <v>25</v>
      </c>
      <c r="CQ632" t="s">
        <v>25</v>
      </c>
      <c r="CR632" t="s">
        <v>25</v>
      </c>
      <c r="CS632" t="s">
        <v>25</v>
      </c>
      <c r="CT632" t="s">
        <v>25</v>
      </c>
      <c r="CU632" t="s">
        <v>25</v>
      </c>
      <c r="CV632" t="s">
        <v>25</v>
      </c>
      <c r="CW632" t="s">
        <v>25</v>
      </c>
      <c r="CX632" t="s">
        <v>25</v>
      </c>
      <c r="CY632" t="s">
        <v>25</v>
      </c>
      <c r="CZ632" t="s">
        <v>25</v>
      </c>
      <c r="DA632" t="s">
        <v>25</v>
      </c>
      <c r="DB632" t="s">
        <v>25</v>
      </c>
      <c r="DC632" t="s">
        <v>25</v>
      </c>
      <c r="DD632" t="s">
        <v>25</v>
      </c>
      <c r="DE632" t="s">
        <v>25</v>
      </c>
      <c r="DF632" t="s">
        <v>25</v>
      </c>
      <c r="DG632" t="s">
        <v>25</v>
      </c>
      <c r="DH632" t="s">
        <v>25</v>
      </c>
      <c r="DI632" t="s">
        <v>25</v>
      </c>
      <c r="DJ632" s="76">
        <v>5.0999999046325697E-2</v>
      </c>
      <c r="DK632" s="73">
        <v>61</v>
      </c>
      <c r="DL632" s="73">
        <v>61</v>
      </c>
      <c r="DM632" s="73">
        <v>0</v>
      </c>
      <c r="DU632"/>
      <c r="DZ632" s="73">
        <v>0</v>
      </c>
      <c r="EA632" s="73">
        <v>0</v>
      </c>
      <c r="EB632" s="73">
        <v>0</v>
      </c>
    </row>
    <row r="633" spans="1:133" ht="12" customHeight="1" x14ac:dyDescent="0.2">
      <c r="A633" t="s">
        <v>2936</v>
      </c>
      <c r="B633" t="s">
        <v>2946</v>
      </c>
      <c r="C633" t="str">
        <f t="shared" si="29"/>
        <v>Full</v>
      </c>
      <c r="D633" t="s">
        <v>2943</v>
      </c>
      <c r="E633" s="65">
        <v>6360</v>
      </c>
      <c r="F633" t="s">
        <v>2294</v>
      </c>
      <c r="G633" s="71" t="s">
        <v>3947</v>
      </c>
      <c r="H633" s="67">
        <v>0.172999992966652</v>
      </c>
      <c r="I633" s="65">
        <v>528717</v>
      </c>
      <c r="J633" s="65">
        <v>177449</v>
      </c>
      <c r="L633" s="65" t="s">
        <v>1186</v>
      </c>
      <c r="M633" s="65" t="s">
        <v>27</v>
      </c>
      <c r="N633" s="69">
        <v>42718</v>
      </c>
      <c r="O633" s="69">
        <v>42915</v>
      </c>
      <c r="P633" s="65" t="s">
        <v>126</v>
      </c>
      <c r="R633" s="65" t="s">
        <v>28</v>
      </c>
      <c r="U633" t="s">
        <v>1187</v>
      </c>
      <c r="V633" t="s">
        <v>3588</v>
      </c>
      <c r="W633" s="65" t="s">
        <v>21</v>
      </c>
      <c r="X633" s="65" t="s">
        <v>21</v>
      </c>
      <c r="Y633" s="65" t="s">
        <v>35</v>
      </c>
      <c r="AA633" s="69">
        <v>42915</v>
      </c>
      <c r="AB633" s="69">
        <v>43190</v>
      </c>
      <c r="AC633" s="69">
        <v>43190</v>
      </c>
      <c r="AD633" s="65" t="s">
        <v>23</v>
      </c>
      <c r="AE633" s="65" t="s">
        <v>24</v>
      </c>
      <c r="AH633" s="69">
        <f t="shared" si="27"/>
        <v>42915</v>
      </c>
      <c r="AI633" s="69">
        <f t="shared" si="28"/>
        <v>43190</v>
      </c>
      <c r="AU633" s="73">
        <v>1685</v>
      </c>
      <c r="AV633" s="73">
        <v>1685</v>
      </c>
      <c r="BO633" s="185" t="s">
        <v>3794</v>
      </c>
      <c r="BP633" s="185" t="s">
        <v>126</v>
      </c>
      <c r="BQ633" s="185" t="s">
        <v>3794</v>
      </c>
      <c r="BW633" s="73"/>
      <c r="BY633" s="185" t="s">
        <v>3794</v>
      </c>
      <c r="CC633" s="73">
        <v>1685</v>
      </c>
      <c r="CD633" s="73">
        <v>1685</v>
      </c>
      <c r="CJ633" t="s">
        <v>25</v>
      </c>
      <c r="CK633" t="s">
        <v>25</v>
      </c>
      <c r="CL633" t="s">
        <v>25</v>
      </c>
      <c r="CM633" t="s">
        <v>25</v>
      </c>
      <c r="CN633" t="s">
        <v>25</v>
      </c>
      <c r="CO633" t="s">
        <v>25</v>
      </c>
      <c r="CP633" t="s">
        <v>25</v>
      </c>
      <c r="CQ633" t="s">
        <v>25</v>
      </c>
      <c r="CR633" t="s">
        <v>25</v>
      </c>
      <c r="CS633" t="s">
        <v>53</v>
      </c>
      <c r="CT633" t="s">
        <v>25</v>
      </c>
      <c r="CU633" t="s">
        <v>25</v>
      </c>
      <c r="CV633" t="s">
        <v>25</v>
      </c>
      <c r="CW633" t="s">
        <v>25</v>
      </c>
      <c r="CX633" t="s">
        <v>25</v>
      </c>
      <c r="CY633" t="s">
        <v>25</v>
      </c>
      <c r="CZ633" t="s">
        <v>25</v>
      </c>
      <c r="DA633" t="s">
        <v>25</v>
      </c>
      <c r="DB633" t="s">
        <v>25</v>
      </c>
      <c r="DC633" t="s">
        <v>25</v>
      </c>
      <c r="DD633" t="s">
        <v>25</v>
      </c>
      <c r="DE633" t="s">
        <v>25</v>
      </c>
      <c r="DF633" t="s">
        <v>25</v>
      </c>
      <c r="DG633" t="s">
        <v>25</v>
      </c>
      <c r="DH633" t="s">
        <v>25</v>
      </c>
      <c r="DI633" t="s">
        <v>25</v>
      </c>
      <c r="DJ633" s="76">
        <v>0.172999992966652</v>
      </c>
      <c r="DK633" s="73">
        <v>1685</v>
      </c>
      <c r="DL633" s="73">
        <v>1685</v>
      </c>
      <c r="DM633" s="73">
        <v>0</v>
      </c>
      <c r="DN633" s="65" t="s">
        <v>126</v>
      </c>
      <c r="DU633" s="65" t="s">
        <v>126</v>
      </c>
      <c r="DZ633" s="73">
        <v>0</v>
      </c>
      <c r="EA633" s="73">
        <v>0</v>
      </c>
      <c r="EB633" s="73">
        <v>0</v>
      </c>
    </row>
    <row r="634" spans="1:133" ht="12" customHeight="1" x14ac:dyDescent="0.2">
      <c r="A634" t="s">
        <v>2937</v>
      </c>
      <c r="B634" t="s">
        <v>2946</v>
      </c>
      <c r="C634" t="str">
        <f t="shared" si="29"/>
        <v>Full</v>
      </c>
      <c r="E634" s="65">
        <v>6365</v>
      </c>
      <c r="F634" t="s">
        <v>2295</v>
      </c>
      <c r="G634" s="71" t="s">
        <v>3948</v>
      </c>
      <c r="H634" s="67">
        <v>1.4000000432133701E-2</v>
      </c>
      <c r="I634" s="65">
        <v>527536</v>
      </c>
      <c r="J634" s="65">
        <v>176382</v>
      </c>
      <c r="L634" s="65" t="s">
        <v>2296</v>
      </c>
      <c r="M634" s="65" t="s">
        <v>27</v>
      </c>
      <c r="N634" s="69">
        <v>42824</v>
      </c>
      <c r="O634" s="69">
        <v>43003</v>
      </c>
      <c r="P634" s="65" t="s">
        <v>126</v>
      </c>
      <c r="R634" s="65" t="s">
        <v>28</v>
      </c>
      <c r="U634" t="s">
        <v>2297</v>
      </c>
      <c r="V634" t="s">
        <v>3589</v>
      </c>
      <c r="W634" s="65" t="s">
        <v>34</v>
      </c>
      <c r="X634" s="65" t="s">
        <v>29</v>
      </c>
      <c r="Y634" s="65" t="s">
        <v>69</v>
      </c>
      <c r="AD634" s="65" t="s">
        <v>23</v>
      </c>
      <c r="AE634" s="65" t="s">
        <v>24</v>
      </c>
      <c r="AK634" s="73">
        <v>154</v>
      </c>
      <c r="AO634" s="73">
        <v>154</v>
      </c>
      <c r="BA634" s="73">
        <v>133</v>
      </c>
      <c r="BE634" s="73">
        <v>133</v>
      </c>
      <c r="BO634" s="185" t="s">
        <v>126</v>
      </c>
      <c r="BP634" s="185" t="s">
        <v>3794</v>
      </c>
      <c r="BQ634" s="185" t="s">
        <v>3794</v>
      </c>
      <c r="BS634" s="73">
        <v>21</v>
      </c>
      <c r="BW634" s="73">
        <v>21</v>
      </c>
      <c r="BY634" s="185" t="s">
        <v>3794</v>
      </c>
      <c r="CJ634" t="s">
        <v>25</v>
      </c>
      <c r="CK634" t="s">
        <v>64</v>
      </c>
      <c r="CL634" t="s">
        <v>25</v>
      </c>
      <c r="CM634" t="s">
        <v>25</v>
      </c>
      <c r="CN634" t="s">
        <v>25</v>
      </c>
      <c r="CO634" t="s">
        <v>25</v>
      </c>
      <c r="CP634" t="s">
        <v>25</v>
      </c>
      <c r="CQ634" t="s">
        <v>25</v>
      </c>
      <c r="CR634" t="s">
        <v>25</v>
      </c>
      <c r="CS634" t="s">
        <v>25</v>
      </c>
      <c r="CT634" t="s">
        <v>25</v>
      </c>
      <c r="CU634" t="s">
        <v>25</v>
      </c>
      <c r="CV634" t="s">
        <v>25</v>
      </c>
      <c r="CW634" t="s">
        <v>25</v>
      </c>
      <c r="CX634" t="s">
        <v>64</v>
      </c>
      <c r="CY634" t="s">
        <v>25</v>
      </c>
      <c r="CZ634" t="s">
        <v>25</v>
      </c>
      <c r="DA634" t="s">
        <v>25</v>
      </c>
      <c r="DB634" t="s">
        <v>25</v>
      </c>
      <c r="DC634" t="s">
        <v>25</v>
      </c>
      <c r="DD634" t="s">
        <v>25</v>
      </c>
      <c r="DE634" t="s">
        <v>25</v>
      </c>
      <c r="DF634" t="s">
        <v>25</v>
      </c>
      <c r="DG634" t="s">
        <v>25</v>
      </c>
      <c r="DH634" t="s">
        <v>25</v>
      </c>
      <c r="DI634" t="s">
        <v>25</v>
      </c>
      <c r="DJ634" s="76">
        <v>3.0000004917383003E-3</v>
      </c>
      <c r="DK634" s="73">
        <v>154</v>
      </c>
      <c r="DL634" s="73">
        <v>133</v>
      </c>
      <c r="DM634" s="73">
        <v>21</v>
      </c>
      <c r="DU634"/>
      <c r="DZ634" s="73">
        <v>324</v>
      </c>
      <c r="EA634" s="73">
        <v>109</v>
      </c>
      <c r="EB634" s="73">
        <v>215</v>
      </c>
      <c r="EC634" s="65" t="s">
        <v>126</v>
      </c>
    </row>
    <row r="635" spans="1:133" ht="12" customHeight="1" x14ac:dyDescent="0.2">
      <c r="A635" t="s">
        <v>2935</v>
      </c>
      <c r="B635" t="s">
        <v>2946</v>
      </c>
      <c r="C635" t="str">
        <f t="shared" si="29"/>
        <v>Full</v>
      </c>
      <c r="E635" s="65">
        <v>6371</v>
      </c>
      <c r="F635" t="s">
        <v>2298</v>
      </c>
      <c r="G635" s="71" t="s">
        <v>3944</v>
      </c>
      <c r="H635" s="67">
        <v>1.30000002682209E-2</v>
      </c>
      <c r="I635" s="65">
        <v>525949</v>
      </c>
      <c r="J635" s="65">
        <v>174999</v>
      </c>
      <c r="L635" s="65" t="s">
        <v>1137</v>
      </c>
      <c r="M635" s="65" t="s">
        <v>27</v>
      </c>
      <c r="N635" s="69">
        <v>42683</v>
      </c>
      <c r="O635" s="69">
        <v>42823</v>
      </c>
      <c r="R635" s="65" t="s">
        <v>28</v>
      </c>
      <c r="U635" t="s">
        <v>1138</v>
      </c>
      <c r="V635" t="s">
        <v>3590</v>
      </c>
      <c r="W635" s="65" t="s">
        <v>34</v>
      </c>
      <c r="X635" s="65" t="s">
        <v>29</v>
      </c>
      <c r="Y635" s="65" t="s">
        <v>30</v>
      </c>
      <c r="AA635" s="69">
        <v>43190</v>
      </c>
      <c r="AD635" s="65" t="s">
        <v>23</v>
      </c>
      <c r="AE635" s="65" t="s">
        <v>24</v>
      </c>
      <c r="AH635" s="69">
        <f t="shared" ref="AH635:AH690" si="30">AA635</f>
        <v>43190</v>
      </c>
      <c r="AP635" s="73">
        <v>56</v>
      </c>
      <c r="AS635" s="73">
        <v>56</v>
      </c>
      <c r="AV635" s="73">
        <v>56</v>
      </c>
      <c r="BF635" s="73">
        <v>228</v>
      </c>
      <c r="BK635" s="73">
        <v>228</v>
      </c>
      <c r="BO635" s="185" t="s">
        <v>3794</v>
      </c>
      <c r="BP635" s="185" t="s">
        <v>126</v>
      </c>
      <c r="BQ635" s="185" t="s">
        <v>3794</v>
      </c>
      <c r="BW635" s="73"/>
      <c r="BX635" s="73">
        <v>-172</v>
      </c>
      <c r="BY635" s="185" t="s">
        <v>126</v>
      </c>
      <c r="CD635" s="73">
        <v>-172</v>
      </c>
      <c r="CE635" s="65" t="s">
        <v>126</v>
      </c>
      <c r="CJ635" t="s">
        <v>25</v>
      </c>
      <c r="CK635" t="s">
        <v>25</v>
      </c>
      <c r="CL635" t="s">
        <v>25</v>
      </c>
      <c r="CM635" t="s">
        <v>25</v>
      </c>
      <c r="CN635" t="s">
        <v>25</v>
      </c>
      <c r="CO635" t="s">
        <v>31</v>
      </c>
      <c r="CP635" t="s">
        <v>25</v>
      </c>
      <c r="CQ635" t="s">
        <v>25</v>
      </c>
      <c r="CR635" t="s">
        <v>25</v>
      </c>
      <c r="CS635" t="s">
        <v>25</v>
      </c>
      <c r="CT635" t="s">
        <v>25</v>
      </c>
      <c r="CU635" t="s">
        <v>25</v>
      </c>
      <c r="CV635" t="s">
        <v>25</v>
      </c>
      <c r="CW635" t="s">
        <v>25</v>
      </c>
      <c r="CX635" t="s">
        <v>25</v>
      </c>
      <c r="CY635" t="s">
        <v>25</v>
      </c>
      <c r="CZ635" t="s">
        <v>25</v>
      </c>
      <c r="DA635" t="s">
        <v>25</v>
      </c>
      <c r="DB635" t="s">
        <v>49</v>
      </c>
      <c r="DC635" t="s">
        <v>25</v>
      </c>
      <c r="DD635" t="s">
        <v>25</v>
      </c>
      <c r="DE635" t="s">
        <v>25</v>
      </c>
      <c r="DF635" t="s">
        <v>25</v>
      </c>
      <c r="DG635" t="s">
        <v>25</v>
      </c>
      <c r="DH635" t="s">
        <v>25</v>
      </c>
      <c r="DI635" t="s">
        <v>25</v>
      </c>
      <c r="DJ635" s="76">
        <v>6.0000000521540598E-3</v>
      </c>
      <c r="DK635" s="73">
        <v>56</v>
      </c>
      <c r="DL635" s="73">
        <v>228</v>
      </c>
      <c r="DM635" s="73">
        <v>-172</v>
      </c>
      <c r="DU635"/>
      <c r="DZ635" s="73">
        <v>218</v>
      </c>
      <c r="EA635" s="73">
        <v>0</v>
      </c>
      <c r="EB635" s="73">
        <v>218</v>
      </c>
      <c r="EC635" s="65" t="s">
        <v>126</v>
      </c>
    </row>
    <row r="636" spans="1:133" ht="12" customHeight="1" x14ac:dyDescent="0.2">
      <c r="A636" t="s">
        <v>2935</v>
      </c>
      <c r="B636" t="s">
        <v>2948</v>
      </c>
      <c r="C636" t="str">
        <f t="shared" si="29"/>
        <v>Prior Approval</v>
      </c>
      <c r="E636" s="65">
        <v>6371</v>
      </c>
      <c r="F636" t="s">
        <v>2298</v>
      </c>
      <c r="G636" s="71" t="s">
        <v>3944</v>
      </c>
      <c r="H636" s="67">
        <v>1.30000002682209E-2</v>
      </c>
      <c r="I636" s="65">
        <v>525949</v>
      </c>
      <c r="J636" s="65">
        <v>174999</v>
      </c>
      <c r="L636" s="65" t="s">
        <v>1141</v>
      </c>
      <c r="M636" s="65" t="s">
        <v>244</v>
      </c>
      <c r="N636" s="69">
        <v>42683</v>
      </c>
      <c r="O636" s="69">
        <v>42739</v>
      </c>
      <c r="R636" s="65" t="s">
        <v>28</v>
      </c>
      <c r="U636" t="s">
        <v>1142</v>
      </c>
      <c r="V636" t="s">
        <v>3591</v>
      </c>
      <c r="W636" s="65" t="s">
        <v>21</v>
      </c>
      <c r="X636" s="65" t="s">
        <v>21</v>
      </c>
      <c r="Y636" s="65" t="s">
        <v>30</v>
      </c>
      <c r="AA636" s="69">
        <v>43190</v>
      </c>
      <c r="AD636" s="65" t="s">
        <v>23</v>
      </c>
      <c r="AE636" s="65" t="s">
        <v>24</v>
      </c>
      <c r="AH636" s="69">
        <f t="shared" si="30"/>
        <v>43190</v>
      </c>
      <c r="BF636" s="73">
        <v>50</v>
      </c>
      <c r="BK636" s="73">
        <v>50</v>
      </c>
      <c r="BO636" s="185" t="s">
        <v>3794</v>
      </c>
      <c r="BP636" s="185" t="s">
        <v>126</v>
      </c>
      <c r="BQ636" s="185" t="s">
        <v>3794</v>
      </c>
      <c r="BW636" s="73"/>
      <c r="BX636" s="73">
        <v>-50</v>
      </c>
      <c r="BY636" s="185" t="s">
        <v>126</v>
      </c>
      <c r="CD636" s="73">
        <v>-50</v>
      </c>
      <c r="CE636" s="65" t="s">
        <v>126</v>
      </c>
      <c r="CJ636" t="s">
        <v>25</v>
      </c>
      <c r="CK636" t="s">
        <v>25</v>
      </c>
      <c r="CL636" t="s">
        <v>25</v>
      </c>
      <c r="CM636" t="s">
        <v>25</v>
      </c>
      <c r="CN636" t="s">
        <v>25</v>
      </c>
      <c r="CO636" t="s">
        <v>25</v>
      </c>
      <c r="CP636" t="s">
        <v>25</v>
      </c>
      <c r="CQ636" t="s">
        <v>25</v>
      </c>
      <c r="CR636" t="s">
        <v>25</v>
      </c>
      <c r="CS636" t="s">
        <v>25</v>
      </c>
      <c r="CT636" t="s">
        <v>25</v>
      </c>
      <c r="CU636" t="s">
        <v>25</v>
      </c>
      <c r="CV636" t="s">
        <v>25</v>
      </c>
      <c r="CW636" t="s">
        <v>25</v>
      </c>
      <c r="CX636" t="s">
        <v>25</v>
      </c>
      <c r="CY636" t="s">
        <v>25</v>
      </c>
      <c r="CZ636" t="s">
        <v>25</v>
      </c>
      <c r="DA636" t="s">
        <v>25</v>
      </c>
      <c r="DB636" t="s">
        <v>49</v>
      </c>
      <c r="DC636" t="s">
        <v>25</v>
      </c>
      <c r="DD636" t="s">
        <v>25</v>
      </c>
      <c r="DE636" t="s">
        <v>25</v>
      </c>
      <c r="DF636" t="s">
        <v>25</v>
      </c>
      <c r="DG636" t="s">
        <v>25</v>
      </c>
      <c r="DH636" t="s">
        <v>25</v>
      </c>
      <c r="DI636" t="s">
        <v>25</v>
      </c>
      <c r="DJ636" s="76">
        <v>6.0000000521540598E-3</v>
      </c>
      <c r="DK636" s="73">
        <v>0</v>
      </c>
      <c r="DL636" s="73">
        <v>50</v>
      </c>
      <c r="DM636" s="73">
        <v>-50</v>
      </c>
      <c r="DU636"/>
      <c r="DZ636" s="73">
        <v>50</v>
      </c>
      <c r="EA636" s="73">
        <v>0</v>
      </c>
      <c r="EB636" s="73">
        <v>50</v>
      </c>
      <c r="EC636" s="65" t="s">
        <v>126</v>
      </c>
    </row>
    <row r="637" spans="1:133" ht="12" customHeight="1" x14ac:dyDescent="0.2">
      <c r="A637" t="s">
        <v>2937</v>
      </c>
      <c r="B637" t="s">
        <v>2948</v>
      </c>
      <c r="C637" t="str">
        <f t="shared" si="29"/>
        <v>Prior Approval</v>
      </c>
      <c r="E637" s="65">
        <v>6372</v>
      </c>
      <c r="F637" t="s">
        <v>2299</v>
      </c>
      <c r="G637" s="71" t="s">
        <v>149</v>
      </c>
      <c r="H637" s="67">
        <v>2.60000005364418E-2</v>
      </c>
      <c r="I637" s="65">
        <v>528591</v>
      </c>
      <c r="J637" s="65">
        <v>173471</v>
      </c>
      <c r="L637" s="65" t="s">
        <v>1237</v>
      </c>
      <c r="M637" s="65" t="s">
        <v>244</v>
      </c>
      <c r="N637" s="69">
        <v>42762</v>
      </c>
      <c r="O637" s="69">
        <v>42815</v>
      </c>
      <c r="R637" s="65" t="s">
        <v>28</v>
      </c>
      <c r="U637" t="s">
        <v>1238</v>
      </c>
      <c r="V637" t="s">
        <v>3592</v>
      </c>
      <c r="W637" s="65" t="s">
        <v>21</v>
      </c>
      <c r="X637" s="65" t="s">
        <v>21</v>
      </c>
      <c r="Y637" s="65" t="s">
        <v>69</v>
      </c>
      <c r="AD637" s="65" t="s">
        <v>23</v>
      </c>
      <c r="AE637" s="65" t="s">
        <v>24</v>
      </c>
      <c r="BA637" s="73">
        <v>79</v>
      </c>
      <c r="BE637" s="73">
        <v>79</v>
      </c>
      <c r="BO637" s="185" t="s">
        <v>126</v>
      </c>
      <c r="BP637" s="185" t="s">
        <v>3794</v>
      </c>
      <c r="BQ637" s="185" t="s">
        <v>3794</v>
      </c>
      <c r="BS637" s="73">
        <v>-79</v>
      </c>
      <c r="BW637" s="73">
        <v>-79</v>
      </c>
      <c r="BY637" s="185" t="s">
        <v>3794</v>
      </c>
      <c r="CJ637" t="s">
        <v>25</v>
      </c>
      <c r="CK637" t="s">
        <v>25</v>
      </c>
      <c r="CL637" t="s">
        <v>25</v>
      </c>
      <c r="CM637" t="s">
        <v>25</v>
      </c>
      <c r="CN637" t="s">
        <v>25</v>
      </c>
      <c r="CO637" t="s">
        <v>25</v>
      </c>
      <c r="CP637" t="s">
        <v>25</v>
      </c>
      <c r="CQ637" t="s">
        <v>25</v>
      </c>
      <c r="CR637" t="s">
        <v>25</v>
      </c>
      <c r="CS637" t="s">
        <v>25</v>
      </c>
      <c r="CT637" t="s">
        <v>25</v>
      </c>
      <c r="CU637" t="s">
        <v>25</v>
      </c>
      <c r="CV637" t="s">
        <v>25</v>
      </c>
      <c r="CW637" t="s">
        <v>25</v>
      </c>
      <c r="CX637" t="s">
        <v>178</v>
      </c>
      <c r="CY637" t="s">
        <v>25</v>
      </c>
      <c r="CZ637" t="s">
        <v>25</v>
      </c>
      <c r="DA637" t="s">
        <v>25</v>
      </c>
      <c r="DB637" t="s">
        <v>25</v>
      </c>
      <c r="DC637" t="s">
        <v>25</v>
      </c>
      <c r="DD637" t="s">
        <v>25</v>
      </c>
      <c r="DE637" t="s">
        <v>25</v>
      </c>
      <c r="DF637" t="s">
        <v>25</v>
      </c>
      <c r="DG637" t="s">
        <v>25</v>
      </c>
      <c r="DH637" t="s">
        <v>25</v>
      </c>
      <c r="DI637" t="s">
        <v>25</v>
      </c>
      <c r="DJ637" s="76">
        <v>1.8000000156462189E-2</v>
      </c>
      <c r="DK637" s="73">
        <v>0</v>
      </c>
      <c r="DL637" s="73">
        <v>79</v>
      </c>
      <c r="DM637" s="73">
        <v>-79</v>
      </c>
      <c r="DU637"/>
      <c r="DV637" s="65" t="s">
        <v>126</v>
      </c>
      <c r="DW637" t="s">
        <v>149</v>
      </c>
      <c r="DZ637" s="73">
        <v>79</v>
      </c>
      <c r="EA637" s="73">
        <v>0</v>
      </c>
      <c r="EB637" s="73">
        <v>79</v>
      </c>
      <c r="EC637" s="65" t="s">
        <v>126</v>
      </c>
    </row>
    <row r="638" spans="1:133" ht="12" customHeight="1" x14ac:dyDescent="0.2">
      <c r="A638" t="s">
        <v>2937</v>
      </c>
      <c r="B638" t="s">
        <v>2948</v>
      </c>
      <c r="C638" t="str">
        <f t="shared" si="29"/>
        <v>Prior Approval</v>
      </c>
      <c r="E638" s="65">
        <v>6373</v>
      </c>
      <c r="F638" t="s">
        <v>2300</v>
      </c>
      <c r="G638" s="71" t="s">
        <v>3942</v>
      </c>
      <c r="H638" s="67">
        <v>0.15199999511241899</v>
      </c>
      <c r="I638" s="65">
        <v>527327</v>
      </c>
      <c r="J638" s="65">
        <v>175384</v>
      </c>
      <c r="L638" s="65" t="s">
        <v>1168</v>
      </c>
      <c r="M638" s="65" t="s">
        <v>243</v>
      </c>
      <c r="N638" s="69">
        <v>42716</v>
      </c>
      <c r="O638" s="69">
        <v>42772</v>
      </c>
      <c r="R638" s="65" t="s">
        <v>28</v>
      </c>
      <c r="U638" t="s">
        <v>1169</v>
      </c>
      <c r="V638" t="s">
        <v>3593</v>
      </c>
      <c r="W638" s="65" t="s">
        <v>21</v>
      </c>
      <c r="X638" s="65" t="s">
        <v>21</v>
      </c>
      <c r="Y638" s="65" t="s">
        <v>59</v>
      </c>
      <c r="AD638" s="65" t="s">
        <v>23</v>
      </c>
      <c r="AE638" s="65" t="s">
        <v>24</v>
      </c>
      <c r="BF638" s="73">
        <v>1446</v>
      </c>
      <c r="BK638" s="73">
        <v>1446</v>
      </c>
      <c r="BO638" s="185" t="s">
        <v>3794</v>
      </c>
      <c r="BP638" s="185" t="s">
        <v>126</v>
      </c>
      <c r="BQ638" s="185" t="s">
        <v>3794</v>
      </c>
      <c r="BW638" s="73"/>
      <c r="BX638" s="73">
        <v>-1446</v>
      </c>
      <c r="BY638" s="185" t="s">
        <v>126</v>
      </c>
      <c r="CD638" s="73">
        <v>-1446</v>
      </c>
      <c r="CE638" s="65" t="s">
        <v>126</v>
      </c>
      <c r="CJ638" t="s">
        <v>25</v>
      </c>
      <c r="CK638" t="s">
        <v>25</v>
      </c>
      <c r="CL638" t="s">
        <v>25</v>
      </c>
      <c r="CM638" t="s">
        <v>25</v>
      </c>
      <c r="CN638" t="s">
        <v>25</v>
      </c>
      <c r="CO638" t="s">
        <v>25</v>
      </c>
      <c r="CP638" t="s">
        <v>25</v>
      </c>
      <c r="CQ638" t="s">
        <v>25</v>
      </c>
      <c r="CR638" t="s">
        <v>25</v>
      </c>
      <c r="CS638" t="s">
        <v>25</v>
      </c>
      <c r="CT638" t="s">
        <v>25</v>
      </c>
      <c r="CU638" t="s">
        <v>25</v>
      </c>
      <c r="CV638" t="s">
        <v>25</v>
      </c>
      <c r="CW638" t="s">
        <v>25</v>
      </c>
      <c r="CX638" t="s">
        <v>25</v>
      </c>
      <c r="CY638" t="s">
        <v>25</v>
      </c>
      <c r="CZ638" t="s">
        <v>25</v>
      </c>
      <c r="DA638" t="s">
        <v>25</v>
      </c>
      <c r="DB638" t="s">
        <v>49</v>
      </c>
      <c r="DC638" t="s">
        <v>25</v>
      </c>
      <c r="DD638" t="s">
        <v>25</v>
      </c>
      <c r="DE638" t="s">
        <v>25</v>
      </c>
      <c r="DF638" t="s">
        <v>25</v>
      </c>
      <c r="DG638" t="s">
        <v>25</v>
      </c>
      <c r="DH638" t="s">
        <v>25</v>
      </c>
      <c r="DI638" t="s">
        <v>25</v>
      </c>
      <c r="DJ638" s="76">
        <v>6.9999918341639988E-3</v>
      </c>
      <c r="DK638" s="73">
        <v>0</v>
      </c>
      <c r="DL638" s="73">
        <v>1446</v>
      </c>
      <c r="DM638" s="73">
        <v>-1446</v>
      </c>
      <c r="DU638"/>
      <c r="DV638" s="65" t="s">
        <v>126</v>
      </c>
      <c r="DW638" t="s">
        <v>132</v>
      </c>
      <c r="DZ638" s="73">
        <v>1446</v>
      </c>
      <c r="EA638" s="73">
        <v>0</v>
      </c>
      <c r="EB638" s="73">
        <v>1446</v>
      </c>
      <c r="EC638" s="65" t="s">
        <v>126</v>
      </c>
    </row>
    <row r="639" spans="1:133" ht="12" customHeight="1" x14ac:dyDescent="0.2">
      <c r="A639" t="s">
        <v>2937</v>
      </c>
      <c r="B639" t="s">
        <v>2946</v>
      </c>
      <c r="C639" t="str">
        <f t="shared" si="29"/>
        <v>Full</v>
      </c>
      <c r="E639" s="65">
        <v>6374</v>
      </c>
      <c r="F639" t="s">
        <v>2301</v>
      </c>
      <c r="G639" s="71" t="s">
        <v>3943</v>
      </c>
      <c r="H639" s="67">
        <v>2.8000000864267301E-2</v>
      </c>
      <c r="I639" s="65">
        <v>526468</v>
      </c>
      <c r="J639" s="65">
        <v>175853</v>
      </c>
      <c r="K639" s="65" t="s">
        <v>1342</v>
      </c>
      <c r="L639" s="65" t="s">
        <v>655</v>
      </c>
      <c r="M639" s="65" t="s">
        <v>27</v>
      </c>
      <c r="N639" s="69">
        <v>42464</v>
      </c>
      <c r="O639" s="69">
        <v>42640</v>
      </c>
      <c r="R639" s="65" t="s">
        <v>28</v>
      </c>
      <c r="U639" t="s">
        <v>656</v>
      </c>
      <c r="V639" t="s">
        <v>3594</v>
      </c>
      <c r="W639" s="65" t="s">
        <v>21</v>
      </c>
      <c r="X639" s="65" t="s">
        <v>21</v>
      </c>
      <c r="Y639" s="65" t="s">
        <v>69</v>
      </c>
      <c r="AD639" s="65" t="s">
        <v>23</v>
      </c>
      <c r="AE639" s="65" t="s">
        <v>24</v>
      </c>
      <c r="AP639" s="73">
        <v>310</v>
      </c>
      <c r="AS639" s="73">
        <v>310</v>
      </c>
      <c r="AV639" s="73">
        <v>310</v>
      </c>
      <c r="BB639" s="73">
        <v>310</v>
      </c>
      <c r="BE639" s="73">
        <v>310</v>
      </c>
      <c r="BO639" s="185" t="s">
        <v>126</v>
      </c>
      <c r="BP639" s="185" t="s">
        <v>126</v>
      </c>
      <c r="BQ639" s="185" t="s">
        <v>3794</v>
      </c>
      <c r="BT639" s="73">
        <v>-310</v>
      </c>
      <c r="BW639" s="73">
        <v>-310</v>
      </c>
      <c r="BX639" s="73">
        <v>310</v>
      </c>
      <c r="BY639" s="185" t="s">
        <v>3794</v>
      </c>
      <c r="CD639" s="73">
        <v>310</v>
      </c>
      <c r="CJ639" t="s">
        <v>25</v>
      </c>
      <c r="CK639" t="s">
        <v>25</v>
      </c>
      <c r="CL639" t="s">
        <v>25</v>
      </c>
      <c r="CM639" t="s">
        <v>25</v>
      </c>
      <c r="CN639" t="s">
        <v>25</v>
      </c>
      <c r="CO639" t="s">
        <v>31</v>
      </c>
      <c r="CP639" t="s">
        <v>25</v>
      </c>
      <c r="CQ639" t="s">
        <v>25</v>
      </c>
      <c r="CR639" t="s">
        <v>25</v>
      </c>
      <c r="CS639" t="s">
        <v>25</v>
      </c>
      <c r="CT639" t="s">
        <v>25</v>
      </c>
      <c r="CU639" t="s">
        <v>25</v>
      </c>
      <c r="CV639" t="s">
        <v>25</v>
      </c>
      <c r="CW639" t="s">
        <v>25</v>
      </c>
      <c r="CX639" t="s">
        <v>25</v>
      </c>
      <c r="CY639" t="s">
        <v>38</v>
      </c>
      <c r="CZ639" t="s">
        <v>25</v>
      </c>
      <c r="DA639" t="s">
        <v>25</v>
      </c>
      <c r="DB639" t="s">
        <v>25</v>
      </c>
      <c r="DC639" t="s">
        <v>25</v>
      </c>
      <c r="DD639" t="s">
        <v>25</v>
      </c>
      <c r="DE639" t="s">
        <v>25</v>
      </c>
      <c r="DF639" t="s">
        <v>25</v>
      </c>
      <c r="DG639" t="s">
        <v>25</v>
      </c>
      <c r="DH639" t="s">
        <v>25</v>
      </c>
      <c r="DI639" t="s">
        <v>25</v>
      </c>
      <c r="DJ639" s="76">
        <v>2.8000000864267301E-2</v>
      </c>
      <c r="DK639" s="73">
        <v>310</v>
      </c>
      <c r="DL639" s="73">
        <v>310</v>
      </c>
      <c r="DM639" s="73">
        <v>0</v>
      </c>
      <c r="DN639" s="65" t="s">
        <v>126</v>
      </c>
      <c r="DU639"/>
      <c r="DZ639" s="73">
        <v>0</v>
      </c>
      <c r="EA639" s="73">
        <v>0</v>
      </c>
      <c r="EB639" s="73">
        <v>0</v>
      </c>
    </row>
    <row r="640" spans="1:133" ht="12" customHeight="1" x14ac:dyDescent="0.2">
      <c r="A640" t="s">
        <v>2936</v>
      </c>
      <c r="B640" t="s">
        <v>2948</v>
      </c>
      <c r="C640" t="str">
        <f t="shared" si="29"/>
        <v>Prior Approval</v>
      </c>
      <c r="D640" t="s">
        <v>2943</v>
      </c>
      <c r="E640" s="65">
        <v>6375</v>
      </c>
      <c r="F640" t="s">
        <v>2302</v>
      </c>
      <c r="G640" s="71" t="s">
        <v>3946</v>
      </c>
      <c r="H640" s="67">
        <v>9.9999997764825804E-3</v>
      </c>
      <c r="I640" s="65">
        <v>523565</v>
      </c>
      <c r="J640" s="65">
        <v>175816</v>
      </c>
      <c r="L640" s="65" t="s">
        <v>1113</v>
      </c>
      <c r="M640" s="65" t="s">
        <v>243</v>
      </c>
      <c r="N640" s="69">
        <v>42669</v>
      </c>
      <c r="O640" s="69">
        <v>42725</v>
      </c>
      <c r="R640" s="65" t="s">
        <v>28</v>
      </c>
      <c r="U640" t="s">
        <v>1114</v>
      </c>
      <c r="V640" t="s">
        <v>3595</v>
      </c>
      <c r="W640" s="65" t="s">
        <v>21</v>
      </c>
      <c r="X640" s="65" t="s">
        <v>21</v>
      </c>
      <c r="Y640" s="65" t="s">
        <v>35</v>
      </c>
      <c r="AA640" s="69">
        <v>42983</v>
      </c>
      <c r="AB640" s="69">
        <v>43190</v>
      </c>
      <c r="AC640" s="69">
        <v>43190</v>
      </c>
      <c r="AD640" s="65" t="s">
        <v>23</v>
      </c>
      <c r="AE640" s="65" t="s">
        <v>24</v>
      </c>
      <c r="AH640" s="69">
        <f t="shared" si="30"/>
        <v>42983</v>
      </c>
      <c r="AI640" s="69">
        <f t="shared" ref="AI640:AI690" si="31">AB640</f>
        <v>43190</v>
      </c>
      <c r="AZ640" s="73">
        <v>85</v>
      </c>
      <c r="BE640" s="73">
        <v>85</v>
      </c>
      <c r="BO640" s="185" t="s">
        <v>126</v>
      </c>
      <c r="BP640" s="185" t="s">
        <v>3794</v>
      </c>
      <c r="BQ640" s="185" t="s">
        <v>3794</v>
      </c>
      <c r="BR640" s="73">
        <v>-85</v>
      </c>
      <c r="BW640" s="73">
        <v>-85</v>
      </c>
      <c r="BY640" s="185" t="s">
        <v>3794</v>
      </c>
      <c r="CJ640" t="s">
        <v>25</v>
      </c>
      <c r="CK640" t="s">
        <v>25</v>
      </c>
      <c r="CL640" t="s">
        <v>25</v>
      </c>
      <c r="CM640" t="s">
        <v>25</v>
      </c>
      <c r="CN640" t="s">
        <v>25</v>
      </c>
      <c r="CO640" t="s">
        <v>25</v>
      </c>
      <c r="CP640" t="s">
        <v>25</v>
      </c>
      <c r="CQ640" t="s">
        <v>25</v>
      </c>
      <c r="CR640" t="s">
        <v>25</v>
      </c>
      <c r="CS640" t="s">
        <v>25</v>
      </c>
      <c r="CT640" t="s">
        <v>25</v>
      </c>
      <c r="CU640" t="s">
        <v>25</v>
      </c>
      <c r="CV640" t="s">
        <v>25</v>
      </c>
      <c r="CW640" t="s">
        <v>40</v>
      </c>
      <c r="CX640" t="s">
        <v>25</v>
      </c>
      <c r="CY640" t="s">
        <v>25</v>
      </c>
      <c r="CZ640" t="s">
        <v>25</v>
      </c>
      <c r="DA640" t="s">
        <v>25</v>
      </c>
      <c r="DB640" t="s">
        <v>25</v>
      </c>
      <c r="DC640" t="s">
        <v>25</v>
      </c>
      <c r="DD640" t="s">
        <v>25</v>
      </c>
      <c r="DE640" t="s">
        <v>25</v>
      </c>
      <c r="DF640" t="s">
        <v>25</v>
      </c>
      <c r="DG640" t="s">
        <v>25</v>
      </c>
      <c r="DH640" t="s">
        <v>25</v>
      </c>
      <c r="DI640" t="s">
        <v>25</v>
      </c>
      <c r="DJ640" s="76">
        <v>2.9999995604157404E-3</v>
      </c>
      <c r="DK640" s="73">
        <v>0</v>
      </c>
      <c r="DL640" s="73">
        <v>85</v>
      </c>
      <c r="DM640" s="73">
        <v>-85</v>
      </c>
      <c r="DU640"/>
      <c r="DZ640" s="73">
        <v>85</v>
      </c>
      <c r="EA640" s="73">
        <v>0</v>
      </c>
      <c r="EB640" s="73">
        <v>85</v>
      </c>
      <c r="EC640" s="65" t="s">
        <v>126</v>
      </c>
    </row>
    <row r="641" spans="1:133" ht="12" customHeight="1" x14ac:dyDescent="0.2">
      <c r="A641" t="s">
        <v>2937</v>
      </c>
      <c r="B641" t="s">
        <v>2946</v>
      </c>
      <c r="C641" t="str">
        <f t="shared" si="29"/>
        <v>Full</v>
      </c>
      <c r="E641" s="65">
        <v>6381</v>
      </c>
      <c r="F641" t="s">
        <v>2303</v>
      </c>
      <c r="G641" s="71" t="s">
        <v>3952</v>
      </c>
      <c r="H641" s="67">
        <v>6.0000000521540598E-3</v>
      </c>
      <c r="I641" s="65">
        <v>528420</v>
      </c>
      <c r="J641" s="65">
        <v>173036</v>
      </c>
      <c r="L641" s="65" t="s">
        <v>1084</v>
      </c>
      <c r="M641" s="65" t="s">
        <v>27</v>
      </c>
      <c r="N641" s="69">
        <v>42648</v>
      </c>
      <c r="O641" s="69">
        <v>42704</v>
      </c>
      <c r="R641" s="65" t="s">
        <v>28</v>
      </c>
      <c r="U641" t="s">
        <v>1085</v>
      </c>
      <c r="V641" t="s">
        <v>3596</v>
      </c>
      <c r="W641" s="65" t="s">
        <v>21</v>
      </c>
      <c r="X641" s="65" t="s">
        <v>21</v>
      </c>
      <c r="Y641" s="65" t="s">
        <v>69</v>
      </c>
      <c r="AD641" s="65" t="s">
        <v>23</v>
      </c>
      <c r="AE641" s="65" t="s">
        <v>24</v>
      </c>
      <c r="BJ641" s="73">
        <v>131</v>
      </c>
      <c r="BK641" s="73">
        <v>131</v>
      </c>
      <c r="BO641" s="185" t="s">
        <v>3794</v>
      </c>
      <c r="BP641" s="185" t="s">
        <v>126</v>
      </c>
      <c r="BQ641" s="185" t="s">
        <v>3794</v>
      </c>
      <c r="BW641" s="73"/>
      <c r="BY641" s="185" t="s">
        <v>3794</v>
      </c>
      <c r="CC641" s="73">
        <v>-131</v>
      </c>
      <c r="CD641" s="73">
        <v>-131</v>
      </c>
      <c r="CE641" s="65" t="s">
        <v>126</v>
      </c>
      <c r="CJ641" t="s">
        <v>25</v>
      </c>
      <c r="CK641" t="s">
        <v>25</v>
      </c>
      <c r="CL641" t="s">
        <v>25</v>
      </c>
      <c r="CM641" t="s">
        <v>25</v>
      </c>
      <c r="CN641" t="s">
        <v>25</v>
      </c>
      <c r="CO641" t="s">
        <v>25</v>
      </c>
      <c r="CP641" t="s">
        <v>25</v>
      </c>
      <c r="CQ641" t="s">
        <v>25</v>
      </c>
      <c r="CR641" t="s">
        <v>25</v>
      </c>
      <c r="CS641" t="s">
        <v>25</v>
      </c>
      <c r="CT641" t="s">
        <v>25</v>
      </c>
      <c r="CU641" t="s">
        <v>25</v>
      </c>
      <c r="CV641" t="s">
        <v>25</v>
      </c>
      <c r="CW641" t="s">
        <v>25</v>
      </c>
      <c r="CX641" t="s">
        <v>25</v>
      </c>
      <c r="CY641" t="s">
        <v>25</v>
      </c>
      <c r="CZ641" t="s">
        <v>25</v>
      </c>
      <c r="DA641" t="s">
        <v>25</v>
      </c>
      <c r="DB641" t="s">
        <v>25</v>
      </c>
      <c r="DC641" t="s">
        <v>25</v>
      </c>
      <c r="DD641" t="s">
        <v>25</v>
      </c>
      <c r="DE641" t="s">
        <v>25</v>
      </c>
      <c r="DF641" t="s">
        <v>47</v>
      </c>
      <c r="DG641" t="s">
        <v>25</v>
      </c>
      <c r="DH641" t="s">
        <v>25</v>
      </c>
      <c r="DI641" t="s">
        <v>25</v>
      </c>
      <c r="DJ641" s="76">
        <v>0</v>
      </c>
      <c r="DK641" s="73">
        <v>0</v>
      </c>
      <c r="DL641" s="73">
        <v>131</v>
      </c>
      <c r="DM641" s="73">
        <v>-131</v>
      </c>
      <c r="DU641"/>
      <c r="DZ641" s="73">
        <v>122</v>
      </c>
      <c r="EA641" s="73">
        <v>0</v>
      </c>
      <c r="EB641" s="73">
        <v>122</v>
      </c>
      <c r="EC641" s="65" t="s">
        <v>126</v>
      </c>
    </row>
    <row r="642" spans="1:133" ht="12" customHeight="1" x14ac:dyDescent="0.2">
      <c r="A642" t="s">
        <v>2937</v>
      </c>
      <c r="B642" t="s">
        <v>2946</v>
      </c>
      <c r="C642" t="str">
        <f t="shared" si="29"/>
        <v>Full</v>
      </c>
      <c r="E642" s="65">
        <v>6396</v>
      </c>
      <c r="F642" t="s">
        <v>2304</v>
      </c>
      <c r="G642" s="71" t="s">
        <v>2907</v>
      </c>
      <c r="H642" s="67">
        <v>1.2000000104308101E-2</v>
      </c>
      <c r="I642" s="65">
        <v>524769</v>
      </c>
      <c r="J642" s="65">
        <v>173310</v>
      </c>
      <c r="L642" s="65" t="s">
        <v>1086</v>
      </c>
      <c r="M642" s="65" t="s">
        <v>27</v>
      </c>
      <c r="N642" s="69">
        <v>42654</v>
      </c>
      <c r="O642" s="69">
        <v>42703</v>
      </c>
      <c r="R642" s="65" t="s">
        <v>28</v>
      </c>
      <c r="U642" t="s">
        <v>1087</v>
      </c>
      <c r="V642" t="s">
        <v>3597</v>
      </c>
      <c r="W642" s="65" t="s">
        <v>34</v>
      </c>
      <c r="X642" s="65" t="s">
        <v>29</v>
      </c>
      <c r="Y642" s="65" t="s">
        <v>69</v>
      </c>
      <c r="AD642" s="65" t="s">
        <v>23</v>
      </c>
      <c r="AE642" s="65" t="s">
        <v>24</v>
      </c>
      <c r="AJ642" s="73">
        <v>88</v>
      </c>
      <c r="AO642" s="73">
        <v>88</v>
      </c>
      <c r="BA642" s="73">
        <v>88</v>
      </c>
      <c r="BE642" s="73">
        <v>88</v>
      </c>
      <c r="BO642" s="185" t="s">
        <v>126</v>
      </c>
      <c r="BP642" s="185" t="s">
        <v>3794</v>
      </c>
      <c r="BQ642" s="185" t="s">
        <v>3794</v>
      </c>
      <c r="BR642" s="73">
        <v>88</v>
      </c>
      <c r="BS642" s="73">
        <v>-88</v>
      </c>
      <c r="BW642" s="73"/>
      <c r="BY642" s="185" t="s">
        <v>3794</v>
      </c>
      <c r="CJ642" t="s">
        <v>31</v>
      </c>
      <c r="CK642" t="s">
        <v>25</v>
      </c>
      <c r="CL642" t="s">
        <v>25</v>
      </c>
      <c r="CM642" t="s">
        <v>25</v>
      </c>
      <c r="CN642" t="s">
        <v>25</v>
      </c>
      <c r="CO642" t="s">
        <v>25</v>
      </c>
      <c r="CP642" t="s">
        <v>25</v>
      </c>
      <c r="CQ642" t="s">
        <v>25</v>
      </c>
      <c r="CR642" t="s">
        <v>25</v>
      </c>
      <c r="CS642" t="s">
        <v>25</v>
      </c>
      <c r="CT642" t="s">
        <v>25</v>
      </c>
      <c r="CU642" t="s">
        <v>25</v>
      </c>
      <c r="CV642" t="s">
        <v>25</v>
      </c>
      <c r="CW642" t="s">
        <v>25</v>
      </c>
      <c r="CX642" t="s">
        <v>64</v>
      </c>
      <c r="CY642" t="s">
        <v>25</v>
      </c>
      <c r="CZ642" t="s">
        <v>25</v>
      </c>
      <c r="DA642" t="s">
        <v>25</v>
      </c>
      <c r="DB642" t="s">
        <v>25</v>
      </c>
      <c r="DC642" t="s">
        <v>25</v>
      </c>
      <c r="DD642" t="s">
        <v>25</v>
      </c>
      <c r="DE642" t="s">
        <v>25</v>
      </c>
      <c r="DF642" t="s">
        <v>25</v>
      </c>
      <c r="DG642" t="s">
        <v>25</v>
      </c>
      <c r="DH642" t="s">
        <v>25</v>
      </c>
      <c r="DI642" t="s">
        <v>25</v>
      </c>
      <c r="DJ642" s="76">
        <v>1.2000000104308101E-2</v>
      </c>
      <c r="DK642" s="73">
        <v>88</v>
      </c>
      <c r="DL642" s="73">
        <v>88</v>
      </c>
      <c r="DM642" s="73">
        <v>0</v>
      </c>
      <c r="DU642"/>
      <c r="DX642" s="65" t="s">
        <v>126</v>
      </c>
      <c r="DY642" t="s">
        <v>2907</v>
      </c>
      <c r="DZ642" s="73">
        <v>0</v>
      </c>
      <c r="EA642" s="73">
        <v>0</v>
      </c>
      <c r="EB642" s="73">
        <v>0</v>
      </c>
    </row>
    <row r="643" spans="1:133" ht="12" customHeight="1" x14ac:dyDescent="0.2">
      <c r="A643" t="s">
        <v>2935</v>
      </c>
      <c r="B643" t="s">
        <v>2946</v>
      </c>
      <c r="C643" t="str">
        <f t="shared" ref="C643:C706" si="32">RIGHT(B643,LEN(B643)-3)</f>
        <v>Full</v>
      </c>
      <c r="E643" s="65">
        <v>6400</v>
      </c>
      <c r="F643" t="s">
        <v>2305</v>
      </c>
      <c r="G643" s="71" t="s">
        <v>3950</v>
      </c>
      <c r="H643" s="67">
        <v>2.52000000327826E-2</v>
      </c>
      <c r="I643" s="65">
        <v>529268</v>
      </c>
      <c r="J643" s="65">
        <v>171015</v>
      </c>
      <c r="L643" s="65" t="s">
        <v>2306</v>
      </c>
      <c r="M643" s="65" t="s">
        <v>27</v>
      </c>
      <c r="N643" s="69">
        <v>42851</v>
      </c>
      <c r="O643" s="69">
        <v>43006</v>
      </c>
      <c r="P643" s="65" t="s">
        <v>126</v>
      </c>
      <c r="R643" s="65" t="s">
        <v>28</v>
      </c>
      <c r="U643" t="s">
        <v>2307</v>
      </c>
      <c r="V643" t="s">
        <v>3598</v>
      </c>
      <c r="W643" s="65" t="s">
        <v>34</v>
      </c>
      <c r="X643" s="65" t="s">
        <v>29</v>
      </c>
      <c r="Y643" s="65" t="s">
        <v>30</v>
      </c>
      <c r="AA643" s="69">
        <v>43190</v>
      </c>
      <c r="AD643" s="65" t="s">
        <v>23</v>
      </c>
      <c r="AE643" s="65" t="s">
        <v>24</v>
      </c>
      <c r="AH643" s="69">
        <f t="shared" si="30"/>
        <v>43190</v>
      </c>
      <c r="AJ643" s="73">
        <v>121</v>
      </c>
      <c r="AO643" s="73">
        <v>121</v>
      </c>
      <c r="AZ643" s="73">
        <v>217</v>
      </c>
      <c r="BE643" s="73">
        <v>217</v>
      </c>
      <c r="BO643" s="185" t="s">
        <v>126</v>
      </c>
      <c r="BP643" s="185" t="s">
        <v>3794</v>
      </c>
      <c r="BQ643" s="185" t="s">
        <v>3794</v>
      </c>
      <c r="BR643" s="73">
        <v>-96</v>
      </c>
      <c r="BW643" s="73">
        <v>-96</v>
      </c>
      <c r="BY643" s="185" t="s">
        <v>3794</v>
      </c>
      <c r="CJ643" t="s">
        <v>26</v>
      </c>
      <c r="CK643" t="s">
        <v>25</v>
      </c>
      <c r="CL643" t="s">
        <v>25</v>
      </c>
      <c r="CM643" t="s">
        <v>25</v>
      </c>
      <c r="CN643" t="s">
        <v>25</v>
      </c>
      <c r="CO643" t="s">
        <v>25</v>
      </c>
      <c r="CP643" t="s">
        <v>25</v>
      </c>
      <c r="CQ643" t="s">
        <v>25</v>
      </c>
      <c r="CR643" t="s">
        <v>25</v>
      </c>
      <c r="CS643" t="s">
        <v>25</v>
      </c>
      <c r="CT643" t="s">
        <v>25</v>
      </c>
      <c r="CU643" t="s">
        <v>25</v>
      </c>
      <c r="CV643" t="s">
        <v>25</v>
      </c>
      <c r="CW643" t="s">
        <v>49</v>
      </c>
      <c r="CX643" t="s">
        <v>25</v>
      </c>
      <c r="CY643" t="s">
        <v>25</v>
      </c>
      <c r="CZ643" t="s">
        <v>25</v>
      </c>
      <c r="DA643" t="s">
        <v>25</v>
      </c>
      <c r="DB643" t="s">
        <v>25</v>
      </c>
      <c r="DC643" t="s">
        <v>25</v>
      </c>
      <c r="DD643" t="s">
        <v>25</v>
      </c>
      <c r="DE643" t="s">
        <v>25</v>
      </c>
      <c r="DF643" t="s">
        <v>25</v>
      </c>
      <c r="DG643" t="s">
        <v>25</v>
      </c>
      <c r="DH643" t="s">
        <v>25</v>
      </c>
      <c r="DI643" t="s">
        <v>25</v>
      </c>
      <c r="DJ643" s="76">
        <v>7.1999998763204003E-3</v>
      </c>
      <c r="DK643" s="73">
        <v>121</v>
      </c>
      <c r="DL643" s="73">
        <v>217</v>
      </c>
      <c r="DM643" s="73">
        <v>-96</v>
      </c>
      <c r="DU643"/>
      <c r="DX643" s="65" t="s">
        <v>126</v>
      </c>
      <c r="DY643" t="s">
        <v>183</v>
      </c>
      <c r="DZ643" s="73">
        <v>250</v>
      </c>
      <c r="EA643" s="73">
        <v>80</v>
      </c>
      <c r="EB643" s="73">
        <v>170</v>
      </c>
      <c r="EC643" s="65" t="s">
        <v>126</v>
      </c>
    </row>
    <row r="644" spans="1:133" ht="12" customHeight="1" x14ac:dyDescent="0.2">
      <c r="A644" t="s">
        <v>2937</v>
      </c>
      <c r="B644" t="s">
        <v>2946</v>
      </c>
      <c r="C644" t="str">
        <f t="shared" si="32"/>
        <v>Full</v>
      </c>
      <c r="E644" s="65">
        <v>6405</v>
      </c>
      <c r="F644" t="s">
        <v>2308</v>
      </c>
      <c r="G644" s="71" t="s">
        <v>149</v>
      </c>
      <c r="H644" s="67">
        <v>0.129999995231628</v>
      </c>
      <c r="I644" s="65">
        <v>528518</v>
      </c>
      <c r="J644" s="65">
        <v>173236</v>
      </c>
      <c r="L644" s="65" t="s">
        <v>1147</v>
      </c>
      <c r="M644" s="65" t="s">
        <v>27</v>
      </c>
      <c r="N644" s="69">
        <v>42691</v>
      </c>
      <c r="O644" s="69">
        <v>42753</v>
      </c>
      <c r="R644" s="65" t="s">
        <v>28</v>
      </c>
      <c r="U644" t="s">
        <v>1148</v>
      </c>
      <c r="V644" t="s">
        <v>3599</v>
      </c>
      <c r="W644" s="65" t="s">
        <v>34</v>
      </c>
      <c r="X644" s="65" t="s">
        <v>29</v>
      </c>
      <c r="Y644" s="65" t="s">
        <v>69</v>
      </c>
      <c r="AD644" s="65" t="s">
        <v>23</v>
      </c>
      <c r="AE644" s="65" t="s">
        <v>24</v>
      </c>
      <c r="AJ644" s="73">
        <v>830</v>
      </c>
      <c r="AO644" s="73">
        <v>830</v>
      </c>
      <c r="AZ644" s="73">
        <v>1212</v>
      </c>
      <c r="BE644" s="73">
        <v>1212</v>
      </c>
      <c r="BO644" s="185" t="s">
        <v>126</v>
      </c>
      <c r="BP644" s="185" t="s">
        <v>3794</v>
      </c>
      <c r="BQ644" s="185" t="s">
        <v>3794</v>
      </c>
      <c r="BR644" s="73">
        <v>-382</v>
      </c>
      <c r="BW644" s="73">
        <v>-382</v>
      </c>
      <c r="BY644" s="185" t="s">
        <v>3794</v>
      </c>
      <c r="CJ644" t="s">
        <v>49</v>
      </c>
      <c r="CK644" t="s">
        <v>25</v>
      </c>
      <c r="CL644" t="s">
        <v>25</v>
      </c>
      <c r="CM644" t="s">
        <v>25</v>
      </c>
      <c r="CN644" t="s">
        <v>25</v>
      </c>
      <c r="CO644" t="s">
        <v>25</v>
      </c>
      <c r="CP644" t="s">
        <v>25</v>
      </c>
      <c r="CQ644" t="s">
        <v>25</v>
      </c>
      <c r="CR644" t="s">
        <v>25</v>
      </c>
      <c r="CS644" t="s">
        <v>25</v>
      </c>
      <c r="CT644" t="s">
        <v>25</v>
      </c>
      <c r="CU644" t="s">
        <v>25</v>
      </c>
      <c r="CV644" t="s">
        <v>25</v>
      </c>
      <c r="CW644" t="s">
        <v>49</v>
      </c>
      <c r="CX644" t="s">
        <v>25</v>
      </c>
      <c r="CY644" t="s">
        <v>25</v>
      </c>
      <c r="CZ644" t="s">
        <v>25</v>
      </c>
      <c r="DA644" t="s">
        <v>25</v>
      </c>
      <c r="DB644" t="s">
        <v>25</v>
      </c>
      <c r="DC644" t="s">
        <v>25</v>
      </c>
      <c r="DD644" t="s">
        <v>25</v>
      </c>
      <c r="DE644" t="s">
        <v>25</v>
      </c>
      <c r="DF644" t="s">
        <v>25</v>
      </c>
      <c r="DG644" t="s">
        <v>25</v>
      </c>
      <c r="DH644" t="s">
        <v>25</v>
      </c>
      <c r="DI644" t="s">
        <v>25</v>
      </c>
      <c r="DJ644" s="76">
        <v>8.2999996840953411E-2</v>
      </c>
      <c r="DK644" s="73">
        <v>830</v>
      </c>
      <c r="DL644" s="73">
        <v>1212</v>
      </c>
      <c r="DM644" s="73">
        <v>-382</v>
      </c>
      <c r="DU644"/>
      <c r="DV644" s="65" t="s">
        <v>126</v>
      </c>
      <c r="DW644" t="s">
        <v>149</v>
      </c>
      <c r="DZ644" s="73">
        <v>254</v>
      </c>
      <c r="EA644" s="73">
        <v>0</v>
      </c>
      <c r="EB644" s="73">
        <v>254</v>
      </c>
      <c r="EC644" s="65" t="s">
        <v>126</v>
      </c>
    </row>
    <row r="645" spans="1:133" ht="12" customHeight="1" x14ac:dyDescent="0.2">
      <c r="A645" t="s">
        <v>2937</v>
      </c>
      <c r="B645" t="s">
        <v>2948</v>
      </c>
      <c r="C645" t="str">
        <f t="shared" si="32"/>
        <v>Prior Approval</v>
      </c>
      <c r="E645" s="65">
        <v>6406</v>
      </c>
      <c r="F645" t="s">
        <v>2309</v>
      </c>
      <c r="G645" s="71" t="s">
        <v>3949</v>
      </c>
      <c r="H645" s="67">
        <v>1.09999999403954E-2</v>
      </c>
      <c r="I645" s="65">
        <v>524844</v>
      </c>
      <c r="J645" s="65">
        <v>174634</v>
      </c>
      <c r="L645" s="65" t="s">
        <v>1160</v>
      </c>
      <c r="M645" s="65" t="s">
        <v>244</v>
      </c>
      <c r="N645" s="69">
        <v>42706</v>
      </c>
      <c r="O645" s="69">
        <v>42761</v>
      </c>
      <c r="R645" s="65" t="s">
        <v>28</v>
      </c>
      <c r="U645" t="s">
        <v>1161</v>
      </c>
      <c r="V645" t="s">
        <v>3432</v>
      </c>
      <c r="W645" s="65" t="s">
        <v>21</v>
      </c>
      <c r="X645" s="65" t="s">
        <v>21</v>
      </c>
      <c r="Y645" s="65" t="s">
        <v>59</v>
      </c>
      <c r="AD645" s="65" t="s">
        <v>23</v>
      </c>
      <c r="AE645" s="65" t="s">
        <v>24</v>
      </c>
      <c r="AZ645" s="73">
        <v>40</v>
      </c>
      <c r="BE645" s="73">
        <v>40</v>
      </c>
      <c r="BO645" s="185" t="s">
        <v>126</v>
      </c>
      <c r="BP645" s="185" t="s">
        <v>3794</v>
      </c>
      <c r="BQ645" s="185" t="s">
        <v>3794</v>
      </c>
      <c r="BR645" s="73">
        <v>-40</v>
      </c>
      <c r="BW645" s="73">
        <v>-40</v>
      </c>
      <c r="BY645" s="185" t="s">
        <v>3794</v>
      </c>
      <c r="CJ645" t="s">
        <v>25</v>
      </c>
      <c r="CK645" t="s">
        <v>25</v>
      </c>
      <c r="CL645" t="s">
        <v>25</v>
      </c>
      <c r="CM645" t="s">
        <v>25</v>
      </c>
      <c r="CN645" t="s">
        <v>25</v>
      </c>
      <c r="CO645" t="s">
        <v>25</v>
      </c>
      <c r="CP645" t="s">
        <v>25</v>
      </c>
      <c r="CQ645" t="s">
        <v>25</v>
      </c>
      <c r="CR645" t="s">
        <v>25</v>
      </c>
      <c r="CS645" t="s">
        <v>25</v>
      </c>
      <c r="CT645" t="s">
        <v>25</v>
      </c>
      <c r="CU645" t="s">
        <v>25</v>
      </c>
      <c r="CV645" t="s">
        <v>25</v>
      </c>
      <c r="CW645" t="s">
        <v>46</v>
      </c>
      <c r="CX645" t="s">
        <v>25</v>
      </c>
      <c r="CY645" t="s">
        <v>25</v>
      </c>
      <c r="CZ645" t="s">
        <v>25</v>
      </c>
      <c r="DA645" t="s">
        <v>25</v>
      </c>
      <c r="DB645" t="s">
        <v>25</v>
      </c>
      <c r="DC645" t="s">
        <v>25</v>
      </c>
      <c r="DD645" t="s">
        <v>25</v>
      </c>
      <c r="DE645" t="s">
        <v>25</v>
      </c>
      <c r="DF645" t="s">
        <v>25</v>
      </c>
      <c r="DG645" t="s">
        <v>25</v>
      </c>
      <c r="DH645" t="s">
        <v>25</v>
      </c>
      <c r="DI645" t="s">
        <v>25</v>
      </c>
      <c r="DJ645" s="76">
        <v>6.9999997504055899E-3</v>
      </c>
      <c r="DK645" s="73">
        <v>0</v>
      </c>
      <c r="DL645" s="73">
        <v>40</v>
      </c>
      <c r="DM645" s="73">
        <v>-40</v>
      </c>
      <c r="DU645"/>
      <c r="DZ645" s="73">
        <v>40</v>
      </c>
      <c r="EA645" s="73">
        <v>0</v>
      </c>
      <c r="EB645" s="73">
        <v>40</v>
      </c>
      <c r="EC645" s="65" t="s">
        <v>126</v>
      </c>
    </row>
    <row r="646" spans="1:133" ht="12" customHeight="1" x14ac:dyDescent="0.2">
      <c r="A646" t="s">
        <v>2935</v>
      </c>
      <c r="B646" t="s">
        <v>2946</v>
      </c>
      <c r="C646" t="str">
        <f t="shared" si="32"/>
        <v>Full</v>
      </c>
      <c r="E646" s="65">
        <v>6408</v>
      </c>
      <c r="F646" t="s">
        <v>2310</v>
      </c>
      <c r="G646" s="71" t="s">
        <v>3946</v>
      </c>
      <c r="H646" s="67">
        <v>1.2000000104308101E-2</v>
      </c>
      <c r="I646" s="65">
        <v>523763</v>
      </c>
      <c r="J646" s="65">
        <v>175632</v>
      </c>
      <c r="L646" s="65" t="s">
        <v>1164</v>
      </c>
      <c r="M646" s="65" t="s">
        <v>27</v>
      </c>
      <c r="N646" s="69">
        <v>42712</v>
      </c>
      <c r="O646" s="69">
        <v>42768</v>
      </c>
      <c r="R646" s="65" t="s">
        <v>28</v>
      </c>
      <c r="U646" t="s">
        <v>1165</v>
      </c>
      <c r="V646" t="s">
        <v>3600</v>
      </c>
      <c r="W646" s="65" t="s">
        <v>34</v>
      </c>
      <c r="X646" s="65" t="s">
        <v>29</v>
      </c>
      <c r="Y646" s="65" t="s">
        <v>30</v>
      </c>
      <c r="AA646" s="69">
        <v>43190</v>
      </c>
      <c r="AD646" s="65" t="s">
        <v>23</v>
      </c>
      <c r="AE646" s="65" t="s">
        <v>24</v>
      </c>
      <c r="AH646" s="69">
        <f t="shared" si="30"/>
        <v>43190</v>
      </c>
      <c r="BB646" s="73">
        <v>121</v>
      </c>
      <c r="BE646" s="73">
        <v>121</v>
      </c>
      <c r="BO646" s="185" t="s">
        <v>126</v>
      </c>
      <c r="BP646" s="185" t="s">
        <v>3794</v>
      </c>
      <c r="BQ646" s="185" t="s">
        <v>3794</v>
      </c>
      <c r="BT646" s="73">
        <v>-121</v>
      </c>
      <c r="BW646" s="73">
        <v>-121</v>
      </c>
      <c r="BY646" s="185" t="s">
        <v>3794</v>
      </c>
      <c r="CJ646" t="s">
        <v>25</v>
      </c>
      <c r="CK646" t="s">
        <v>25</v>
      </c>
      <c r="CL646" t="s">
        <v>25</v>
      </c>
      <c r="CM646" t="s">
        <v>25</v>
      </c>
      <c r="CN646" t="s">
        <v>25</v>
      </c>
      <c r="CO646" t="s">
        <v>25</v>
      </c>
      <c r="CP646" t="s">
        <v>25</v>
      </c>
      <c r="CQ646" t="s">
        <v>25</v>
      </c>
      <c r="CR646" t="s">
        <v>25</v>
      </c>
      <c r="CS646" t="s">
        <v>25</v>
      </c>
      <c r="CT646" t="s">
        <v>25</v>
      </c>
      <c r="CU646" t="s">
        <v>25</v>
      </c>
      <c r="CV646" t="s">
        <v>25</v>
      </c>
      <c r="CW646" t="s">
        <v>25</v>
      </c>
      <c r="CX646" t="s">
        <v>25</v>
      </c>
      <c r="CY646" t="s">
        <v>38</v>
      </c>
      <c r="CZ646" t="s">
        <v>25</v>
      </c>
      <c r="DA646" t="s">
        <v>25</v>
      </c>
      <c r="DB646" t="s">
        <v>25</v>
      </c>
      <c r="DC646" t="s">
        <v>25</v>
      </c>
      <c r="DD646" t="s">
        <v>25</v>
      </c>
      <c r="DE646" t="s">
        <v>25</v>
      </c>
      <c r="DF646" t="s">
        <v>25</v>
      </c>
      <c r="DG646" t="s">
        <v>25</v>
      </c>
      <c r="DH646" t="s">
        <v>25</v>
      </c>
      <c r="DI646" t="s">
        <v>25</v>
      </c>
      <c r="DJ646" s="76">
        <v>3.9999997243284902E-3</v>
      </c>
      <c r="DK646" s="73">
        <v>0</v>
      </c>
      <c r="DL646" s="73">
        <v>121</v>
      </c>
      <c r="DM646" s="73">
        <v>-121</v>
      </c>
      <c r="DU646"/>
      <c r="DZ646" s="73">
        <v>109</v>
      </c>
      <c r="EA646" s="73">
        <v>0</v>
      </c>
      <c r="EB646" s="73">
        <v>109</v>
      </c>
      <c r="EC646" s="65" t="s">
        <v>126</v>
      </c>
    </row>
    <row r="647" spans="1:133" ht="12" customHeight="1" x14ac:dyDescent="0.2">
      <c r="A647" t="s">
        <v>2937</v>
      </c>
      <c r="B647" t="s">
        <v>2946</v>
      </c>
      <c r="C647" t="str">
        <f t="shared" si="32"/>
        <v>Full</v>
      </c>
      <c r="E647" s="65">
        <v>6411</v>
      </c>
      <c r="F647" t="s">
        <v>2311</v>
      </c>
      <c r="G647" s="71" t="s">
        <v>3951</v>
      </c>
      <c r="H647" s="67">
        <v>7.9000003635883304E-2</v>
      </c>
      <c r="I647" s="65">
        <v>527154</v>
      </c>
      <c r="J647" s="65">
        <v>170946</v>
      </c>
      <c r="L647" s="65" t="s">
        <v>1172</v>
      </c>
      <c r="M647" s="65" t="s">
        <v>27</v>
      </c>
      <c r="N647" s="69">
        <v>42718</v>
      </c>
      <c r="O647" s="69">
        <v>42774</v>
      </c>
      <c r="R647" s="65" t="s">
        <v>28</v>
      </c>
      <c r="U647" t="s">
        <v>1173</v>
      </c>
      <c r="V647" t="s">
        <v>3601</v>
      </c>
      <c r="W647" s="65" t="s">
        <v>21</v>
      </c>
      <c r="X647" s="65" t="s">
        <v>21</v>
      </c>
      <c r="Y647" s="65" t="s">
        <v>69</v>
      </c>
      <c r="AD647" s="65" t="s">
        <v>23</v>
      </c>
      <c r="AE647" s="65" t="s">
        <v>24</v>
      </c>
      <c r="AW647" s="73">
        <v>270</v>
      </c>
      <c r="AY647" s="73">
        <v>270</v>
      </c>
      <c r="BL647" s="73">
        <v>270</v>
      </c>
      <c r="BN647" s="73">
        <v>270</v>
      </c>
      <c r="BO647" s="185" t="s">
        <v>3794</v>
      </c>
      <c r="BP647" s="185" t="s">
        <v>3794</v>
      </c>
      <c r="BQ647" s="185" t="s">
        <v>126</v>
      </c>
      <c r="BW647" s="73"/>
      <c r="BY647" s="185" t="s">
        <v>3794</v>
      </c>
      <c r="CJ647" t="s">
        <v>25</v>
      </c>
      <c r="CK647" t="s">
        <v>25</v>
      </c>
      <c r="CL647" t="s">
        <v>25</v>
      </c>
      <c r="CM647" t="s">
        <v>25</v>
      </c>
      <c r="CN647" t="s">
        <v>25</v>
      </c>
      <c r="CO647" t="s">
        <v>25</v>
      </c>
      <c r="CP647" t="s">
        <v>25</v>
      </c>
      <c r="CQ647" t="s">
        <v>25</v>
      </c>
      <c r="CR647" t="s">
        <v>25</v>
      </c>
      <c r="CS647" t="s">
        <v>25</v>
      </c>
      <c r="CT647" t="s">
        <v>25</v>
      </c>
      <c r="CU647" t="s">
        <v>43</v>
      </c>
      <c r="CV647" t="s">
        <v>25</v>
      </c>
      <c r="CW647" t="s">
        <v>25</v>
      </c>
      <c r="CX647" t="s">
        <v>25</v>
      </c>
      <c r="CY647" t="s">
        <v>25</v>
      </c>
      <c r="CZ647" t="s">
        <v>25</v>
      </c>
      <c r="DA647" t="s">
        <v>25</v>
      </c>
      <c r="DB647" t="s">
        <v>25</v>
      </c>
      <c r="DC647" t="s">
        <v>25</v>
      </c>
      <c r="DD647" t="s">
        <v>25</v>
      </c>
      <c r="DE647" t="s">
        <v>25</v>
      </c>
      <c r="DF647" t="s">
        <v>25</v>
      </c>
      <c r="DG647" t="s">
        <v>25</v>
      </c>
      <c r="DH647" t="s">
        <v>47</v>
      </c>
      <c r="DI647" t="s">
        <v>25</v>
      </c>
      <c r="DJ647" s="76">
        <v>7.9000003635883304E-2</v>
      </c>
      <c r="DK647" s="73">
        <v>270</v>
      </c>
      <c r="DL647" s="73">
        <v>270</v>
      </c>
      <c r="DM647" s="73">
        <v>0</v>
      </c>
      <c r="DU647"/>
      <c r="DZ647" s="73">
        <v>0</v>
      </c>
      <c r="EA647" s="73">
        <v>0</v>
      </c>
      <c r="EB647" s="73">
        <v>0</v>
      </c>
    </row>
    <row r="648" spans="1:133" ht="12" customHeight="1" x14ac:dyDescent="0.2">
      <c r="A648" t="s">
        <v>2936</v>
      </c>
      <c r="B648" t="s">
        <v>2948</v>
      </c>
      <c r="C648" t="str">
        <f t="shared" si="32"/>
        <v>Prior Approval</v>
      </c>
      <c r="D648" t="s">
        <v>2943</v>
      </c>
      <c r="E648" s="65">
        <v>6413</v>
      </c>
      <c r="F648" t="s">
        <v>2312</v>
      </c>
      <c r="G648" s="71" t="s">
        <v>3946</v>
      </c>
      <c r="H648" s="67">
        <v>1.30000002682209E-2</v>
      </c>
      <c r="I648" s="65">
        <v>524050</v>
      </c>
      <c r="J648" s="65">
        <v>175303</v>
      </c>
      <c r="L648" s="65" t="s">
        <v>1176</v>
      </c>
      <c r="M648" s="65" t="s">
        <v>243</v>
      </c>
      <c r="N648" s="69">
        <v>42716</v>
      </c>
      <c r="O648" s="69">
        <v>42772</v>
      </c>
      <c r="R648" s="65" t="s">
        <v>28</v>
      </c>
      <c r="U648" t="s">
        <v>1177</v>
      </c>
      <c r="V648" t="s">
        <v>3067</v>
      </c>
      <c r="W648" s="65" t="s">
        <v>21</v>
      </c>
      <c r="X648" s="65" t="s">
        <v>21</v>
      </c>
      <c r="Y648" s="65" t="s">
        <v>35</v>
      </c>
      <c r="AB648" s="69">
        <v>42945</v>
      </c>
      <c r="AC648" s="69">
        <v>42945</v>
      </c>
      <c r="AD648" s="65" t="s">
        <v>23</v>
      </c>
      <c r="AE648" s="65" t="s">
        <v>24</v>
      </c>
      <c r="AI648" s="69">
        <f t="shared" si="31"/>
        <v>42945</v>
      </c>
      <c r="AL648" s="73">
        <v>78</v>
      </c>
      <c r="AO648" s="73">
        <v>78</v>
      </c>
      <c r="AZ648" s="73">
        <v>78</v>
      </c>
      <c r="BE648" s="73">
        <v>78</v>
      </c>
      <c r="BO648" s="185" t="s">
        <v>126</v>
      </c>
      <c r="BP648" s="185" t="s">
        <v>3794</v>
      </c>
      <c r="BQ648" s="185" t="s">
        <v>3794</v>
      </c>
      <c r="BR648" s="73">
        <v>-78</v>
      </c>
      <c r="BT648" s="73">
        <v>78</v>
      </c>
      <c r="BW648" s="73"/>
      <c r="BY648" s="185" t="s">
        <v>3794</v>
      </c>
      <c r="CJ648" t="s">
        <v>25</v>
      </c>
      <c r="CK648" t="s">
        <v>25</v>
      </c>
      <c r="CL648" t="s">
        <v>38</v>
      </c>
      <c r="CM648" t="s">
        <v>25</v>
      </c>
      <c r="CN648" t="s">
        <v>25</v>
      </c>
      <c r="CO648" t="s">
        <v>25</v>
      </c>
      <c r="CP648" t="s">
        <v>25</v>
      </c>
      <c r="CQ648" t="s">
        <v>25</v>
      </c>
      <c r="CR648" t="s">
        <v>25</v>
      </c>
      <c r="CS648" t="s">
        <v>25</v>
      </c>
      <c r="CT648" t="s">
        <v>25</v>
      </c>
      <c r="CU648" t="s">
        <v>25</v>
      </c>
      <c r="CV648" t="s">
        <v>25</v>
      </c>
      <c r="CW648" t="s">
        <v>40</v>
      </c>
      <c r="CX648" t="s">
        <v>25</v>
      </c>
      <c r="CY648" t="s">
        <v>25</v>
      </c>
      <c r="CZ648" t="s">
        <v>25</v>
      </c>
      <c r="DA648" t="s">
        <v>25</v>
      </c>
      <c r="DB648" t="s">
        <v>25</v>
      </c>
      <c r="DC648" t="s">
        <v>25</v>
      </c>
      <c r="DD648" t="s">
        <v>25</v>
      </c>
      <c r="DE648" t="s">
        <v>25</v>
      </c>
      <c r="DF648" t="s">
        <v>25</v>
      </c>
      <c r="DG648" t="s">
        <v>25</v>
      </c>
      <c r="DH648" t="s">
        <v>25</v>
      </c>
      <c r="DI648" t="s">
        <v>25</v>
      </c>
      <c r="DJ648" s="76">
        <v>1.30000002682209E-2</v>
      </c>
      <c r="DK648" s="73">
        <v>78</v>
      </c>
      <c r="DL648" s="73">
        <v>78</v>
      </c>
      <c r="DM648" s="73">
        <v>0</v>
      </c>
      <c r="DU648"/>
      <c r="DV648" s="65" t="s">
        <v>126</v>
      </c>
      <c r="DW648" t="s">
        <v>131</v>
      </c>
      <c r="DZ648" s="73">
        <v>0</v>
      </c>
      <c r="EA648" s="73">
        <v>0</v>
      </c>
      <c r="EB648" s="73">
        <v>0</v>
      </c>
    </row>
    <row r="649" spans="1:133" ht="12" customHeight="1" x14ac:dyDescent="0.2">
      <c r="A649" t="s">
        <v>2935</v>
      </c>
      <c r="B649" t="s">
        <v>2946</v>
      </c>
      <c r="C649" t="str">
        <f t="shared" si="32"/>
        <v>Full</v>
      </c>
      <c r="E649" s="65">
        <v>6415</v>
      </c>
      <c r="F649" t="s">
        <v>2313</v>
      </c>
      <c r="G649" s="71" t="s">
        <v>149</v>
      </c>
      <c r="H649" s="67">
        <v>0.221000000834465</v>
      </c>
      <c r="I649" s="65">
        <v>528701</v>
      </c>
      <c r="J649" s="65">
        <v>174257</v>
      </c>
      <c r="L649" s="65" t="s">
        <v>2314</v>
      </c>
      <c r="M649" s="65" t="s">
        <v>27</v>
      </c>
      <c r="N649" s="69">
        <v>42829</v>
      </c>
      <c r="O649" s="69">
        <v>42885</v>
      </c>
      <c r="P649" s="65" t="s">
        <v>126</v>
      </c>
      <c r="R649" s="65" t="s">
        <v>28</v>
      </c>
      <c r="U649" t="s">
        <v>2315</v>
      </c>
      <c r="V649" t="s">
        <v>3602</v>
      </c>
      <c r="W649" s="65" t="s">
        <v>29</v>
      </c>
      <c r="X649" s="65" t="s">
        <v>29</v>
      </c>
      <c r="Y649" s="65" t="s">
        <v>30</v>
      </c>
      <c r="AA649" s="69">
        <v>43190</v>
      </c>
      <c r="AD649" s="65" t="s">
        <v>23</v>
      </c>
      <c r="AE649" s="65" t="s">
        <v>24</v>
      </c>
      <c r="AH649" s="69">
        <f t="shared" si="30"/>
        <v>43190</v>
      </c>
      <c r="AW649" s="73">
        <v>40</v>
      </c>
      <c r="AY649" s="73">
        <v>40</v>
      </c>
      <c r="BO649" s="185" t="s">
        <v>3794</v>
      </c>
      <c r="BP649" s="185" t="s">
        <v>3794</v>
      </c>
      <c r="BQ649" s="185" t="s">
        <v>126</v>
      </c>
      <c r="BW649" s="73"/>
      <c r="BY649" s="185" t="s">
        <v>3794</v>
      </c>
      <c r="CG649" s="73">
        <v>40</v>
      </c>
      <c r="CI649" s="73">
        <v>40</v>
      </c>
      <c r="CJ649" t="s">
        <v>25</v>
      </c>
      <c r="CK649" t="s">
        <v>25</v>
      </c>
      <c r="CL649" t="s">
        <v>25</v>
      </c>
      <c r="CM649" t="s">
        <v>25</v>
      </c>
      <c r="CN649" t="s">
        <v>25</v>
      </c>
      <c r="CO649" t="s">
        <v>25</v>
      </c>
      <c r="CP649" t="s">
        <v>25</v>
      </c>
      <c r="CQ649" t="s">
        <v>25</v>
      </c>
      <c r="CR649" t="s">
        <v>25</v>
      </c>
      <c r="CS649" t="s">
        <v>25</v>
      </c>
      <c r="CT649" t="s">
        <v>25</v>
      </c>
      <c r="CU649" t="s">
        <v>60</v>
      </c>
      <c r="CV649" t="s">
        <v>25</v>
      </c>
      <c r="CW649" t="s">
        <v>25</v>
      </c>
      <c r="CX649" t="s">
        <v>25</v>
      </c>
      <c r="CY649" t="s">
        <v>25</v>
      </c>
      <c r="CZ649" t="s">
        <v>25</v>
      </c>
      <c r="DA649" t="s">
        <v>25</v>
      </c>
      <c r="DB649" t="s">
        <v>25</v>
      </c>
      <c r="DC649" t="s">
        <v>25</v>
      </c>
      <c r="DD649" t="s">
        <v>25</v>
      </c>
      <c r="DE649" t="s">
        <v>25</v>
      </c>
      <c r="DF649" t="s">
        <v>25</v>
      </c>
      <c r="DG649" t="s">
        <v>25</v>
      </c>
      <c r="DH649" t="s">
        <v>25</v>
      </c>
      <c r="DI649" t="s">
        <v>25</v>
      </c>
      <c r="DJ649" s="76">
        <v>0.221000000834465</v>
      </c>
      <c r="DK649" s="73">
        <v>40</v>
      </c>
      <c r="DL649" s="73">
        <v>40</v>
      </c>
      <c r="DM649" s="73">
        <v>0</v>
      </c>
      <c r="DU649"/>
      <c r="DZ649" s="73">
        <v>0</v>
      </c>
      <c r="EA649" s="73">
        <v>0</v>
      </c>
      <c r="EB649" s="73">
        <v>0</v>
      </c>
    </row>
    <row r="650" spans="1:133" ht="12" customHeight="1" x14ac:dyDescent="0.2">
      <c r="A650" t="s">
        <v>2937</v>
      </c>
      <c r="B650" t="s">
        <v>2946</v>
      </c>
      <c r="C650" t="str">
        <f t="shared" si="32"/>
        <v>Full</v>
      </c>
      <c r="E650" s="65">
        <v>6416</v>
      </c>
      <c r="F650" t="s">
        <v>2316</v>
      </c>
      <c r="G650" s="71" t="s">
        <v>2904</v>
      </c>
      <c r="H650" s="67">
        <v>9.9999997764825804E-3</v>
      </c>
      <c r="I650" s="65">
        <v>526095</v>
      </c>
      <c r="J650" s="65">
        <v>172818</v>
      </c>
      <c r="L650" s="65" t="s">
        <v>2317</v>
      </c>
      <c r="M650" s="65" t="s">
        <v>27</v>
      </c>
      <c r="N650" s="69">
        <v>42908</v>
      </c>
      <c r="O650" s="69">
        <v>42964</v>
      </c>
      <c r="P650" s="65" t="s">
        <v>126</v>
      </c>
      <c r="R650" s="65" t="s">
        <v>28</v>
      </c>
      <c r="U650" t="s">
        <v>2318</v>
      </c>
      <c r="V650" t="s">
        <v>3603</v>
      </c>
      <c r="W650" s="65" t="s">
        <v>21</v>
      </c>
      <c r="X650" s="65" t="s">
        <v>21</v>
      </c>
      <c r="Y650" s="65" t="s">
        <v>59</v>
      </c>
      <c r="AD650" s="65" t="s">
        <v>23</v>
      </c>
      <c r="AE650" s="65" t="s">
        <v>24</v>
      </c>
      <c r="AJ650" s="73">
        <v>20</v>
      </c>
      <c r="AO650" s="73">
        <v>20</v>
      </c>
      <c r="AW650" s="73">
        <v>74</v>
      </c>
      <c r="AY650" s="73">
        <v>74</v>
      </c>
      <c r="BA650" s="73">
        <v>94</v>
      </c>
      <c r="BE650" s="73">
        <v>94</v>
      </c>
      <c r="BO650" s="185" t="s">
        <v>126</v>
      </c>
      <c r="BP650" s="185" t="s">
        <v>3794</v>
      </c>
      <c r="BQ650" s="185" t="s">
        <v>126</v>
      </c>
      <c r="BR650" s="73">
        <v>20</v>
      </c>
      <c r="BS650" s="73">
        <v>-94</v>
      </c>
      <c r="BW650" s="73">
        <v>-74</v>
      </c>
      <c r="BY650" s="185" t="s">
        <v>3794</v>
      </c>
      <c r="CG650" s="73">
        <v>74</v>
      </c>
      <c r="CI650" s="73">
        <v>74</v>
      </c>
      <c r="CJ650" t="s">
        <v>49</v>
      </c>
      <c r="CK650" t="s">
        <v>25</v>
      </c>
      <c r="CL650" t="s">
        <v>25</v>
      </c>
      <c r="CM650" t="s">
        <v>25</v>
      </c>
      <c r="CN650" t="s">
        <v>25</v>
      </c>
      <c r="CO650" t="s">
        <v>25</v>
      </c>
      <c r="CP650" t="s">
        <v>25</v>
      </c>
      <c r="CQ650" t="s">
        <v>25</v>
      </c>
      <c r="CR650" t="s">
        <v>25</v>
      </c>
      <c r="CS650" t="s">
        <v>25</v>
      </c>
      <c r="CT650" t="s">
        <v>25</v>
      </c>
      <c r="CU650" t="s">
        <v>49</v>
      </c>
      <c r="CV650" t="s">
        <v>25</v>
      </c>
      <c r="CW650" t="s">
        <v>25</v>
      </c>
      <c r="CX650" t="s">
        <v>47</v>
      </c>
      <c r="CY650" t="s">
        <v>25</v>
      </c>
      <c r="CZ650" t="s">
        <v>25</v>
      </c>
      <c r="DA650" t="s">
        <v>25</v>
      </c>
      <c r="DB650" t="s">
        <v>25</v>
      </c>
      <c r="DC650" t="s">
        <v>25</v>
      </c>
      <c r="DD650" t="s">
        <v>25</v>
      </c>
      <c r="DE650" t="s">
        <v>25</v>
      </c>
      <c r="DF650" t="s">
        <v>25</v>
      </c>
      <c r="DG650" t="s">
        <v>25</v>
      </c>
      <c r="DH650" t="s">
        <v>25</v>
      </c>
      <c r="DI650" t="s">
        <v>25</v>
      </c>
      <c r="DJ650" s="76">
        <v>9.9999997764825804E-3</v>
      </c>
      <c r="DK650" s="73">
        <v>94</v>
      </c>
      <c r="DL650" s="73">
        <v>94</v>
      </c>
      <c r="DM650" s="73">
        <v>0</v>
      </c>
      <c r="DU650"/>
      <c r="DX650" s="65" t="s">
        <v>126</v>
      </c>
      <c r="DY650" t="s">
        <v>2904</v>
      </c>
      <c r="DZ650" s="73">
        <v>0</v>
      </c>
      <c r="EA650" s="73">
        <v>0</v>
      </c>
      <c r="EB650" s="73">
        <v>0</v>
      </c>
    </row>
    <row r="651" spans="1:133" ht="12" customHeight="1" x14ac:dyDescent="0.2">
      <c r="A651" t="s">
        <v>2937</v>
      </c>
      <c r="B651" t="s">
        <v>2946</v>
      </c>
      <c r="C651" t="str">
        <f t="shared" si="32"/>
        <v>Full</v>
      </c>
      <c r="E651" s="65">
        <v>6419</v>
      </c>
      <c r="F651" t="s">
        <v>2319</v>
      </c>
      <c r="G651" s="71" t="s">
        <v>3948</v>
      </c>
      <c r="H651" s="67">
        <v>8.9000001549720806E-2</v>
      </c>
      <c r="I651" s="65">
        <v>527130</v>
      </c>
      <c r="J651" s="65">
        <v>176085</v>
      </c>
      <c r="L651" s="65" t="s">
        <v>1304</v>
      </c>
      <c r="M651" s="65" t="s">
        <v>33</v>
      </c>
      <c r="N651" s="69">
        <v>42472</v>
      </c>
      <c r="O651" s="69">
        <v>42790</v>
      </c>
      <c r="Q651" s="69">
        <v>42627</v>
      </c>
      <c r="R651" s="65" t="s">
        <v>28</v>
      </c>
      <c r="U651" t="s">
        <v>843</v>
      </c>
      <c r="V651" t="s">
        <v>3604</v>
      </c>
      <c r="W651" s="65" t="s">
        <v>29</v>
      </c>
      <c r="X651" s="65" t="s">
        <v>29</v>
      </c>
      <c r="Y651" s="65" t="s">
        <v>69</v>
      </c>
      <c r="AD651" s="65" t="s">
        <v>23</v>
      </c>
      <c r="AE651" s="65" t="s">
        <v>24</v>
      </c>
      <c r="AJ651" s="73">
        <v>669</v>
      </c>
      <c r="AO651" s="73">
        <v>669</v>
      </c>
      <c r="AX651" s="73">
        <v>434</v>
      </c>
      <c r="AY651" s="73">
        <v>434</v>
      </c>
      <c r="AZ651" s="73">
        <v>331</v>
      </c>
      <c r="BA651" s="73">
        <v>64</v>
      </c>
      <c r="BE651" s="73">
        <v>395</v>
      </c>
      <c r="BF651" s="73">
        <v>690</v>
      </c>
      <c r="BK651" s="73">
        <v>690</v>
      </c>
      <c r="BO651" s="185" t="s">
        <v>126</v>
      </c>
      <c r="BP651" s="185" t="s">
        <v>126</v>
      </c>
      <c r="BQ651" s="185" t="s">
        <v>126</v>
      </c>
      <c r="BR651" s="73">
        <v>338</v>
      </c>
      <c r="BS651" s="73">
        <v>-64</v>
      </c>
      <c r="BW651" s="73">
        <v>274</v>
      </c>
      <c r="BX651" s="73">
        <v>-690</v>
      </c>
      <c r="BY651" s="185" t="s">
        <v>126</v>
      </c>
      <c r="CD651" s="73">
        <v>-690</v>
      </c>
      <c r="CE651" s="65" t="s">
        <v>126</v>
      </c>
      <c r="CH651" s="73">
        <v>434</v>
      </c>
      <c r="CI651" s="73">
        <v>434</v>
      </c>
      <c r="CJ651" t="s">
        <v>31</v>
      </c>
      <c r="CK651" t="s">
        <v>25</v>
      </c>
      <c r="CL651" t="s">
        <v>25</v>
      </c>
      <c r="CM651" t="s">
        <v>25</v>
      </c>
      <c r="CN651" t="s">
        <v>25</v>
      </c>
      <c r="CO651" t="s">
        <v>25</v>
      </c>
      <c r="CP651" t="s">
        <v>25</v>
      </c>
      <c r="CQ651" t="s">
        <v>25</v>
      </c>
      <c r="CR651" t="s">
        <v>25</v>
      </c>
      <c r="CS651" t="s">
        <v>25</v>
      </c>
      <c r="CT651" t="s">
        <v>25</v>
      </c>
      <c r="CU651" t="s">
        <v>25</v>
      </c>
      <c r="CV651" t="s">
        <v>49</v>
      </c>
      <c r="CW651" t="s">
        <v>31</v>
      </c>
      <c r="CX651" t="s">
        <v>31</v>
      </c>
      <c r="CY651" t="s">
        <v>25</v>
      </c>
      <c r="CZ651" t="s">
        <v>25</v>
      </c>
      <c r="DA651" t="s">
        <v>25</v>
      </c>
      <c r="DB651" t="s">
        <v>31</v>
      </c>
      <c r="DC651" t="s">
        <v>25</v>
      </c>
      <c r="DD651" t="s">
        <v>25</v>
      </c>
      <c r="DE651" t="s">
        <v>25</v>
      </c>
      <c r="DF651" t="s">
        <v>25</v>
      </c>
      <c r="DG651" t="s">
        <v>25</v>
      </c>
      <c r="DH651" t="s">
        <v>25</v>
      </c>
      <c r="DI651" t="s">
        <v>25</v>
      </c>
      <c r="DJ651" s="76">
        <v>1.7999999225139701E-2</v>
      </c>
      <c r="DK651" s="73">
        <v>1103</v>
      </c>
      <c r="DL651" s="73">
        <v>1085</v>
      </c>
      <c r="DM651" s="73">
        <v>18</v>
      </c>
      <c r="DU651"/>
      <c r="DZ651" s="73">
        <v>1700</v>
      </c>
      <c r="EA651" s="73">
        <v>0</v>
      </c>
      <c r="EB651" s="73">
        <v>1700</v>
      </c>
      <c r="EC651" s="65" t="s">
        <v>126</v>
      </c>
    </row>
    <row r="652" spans="1:133" ht="12" customHeight="1" x14ac:dyDescent="0.2">
      <c r="A652" t="s">
        <v>2935</v>
      </c>
      <c r="B652" t="s">
        <v>2946</v>
      </c>
      <c r="C652" t="str">
        <f t="shared" si="32"/>
        <v>Full</v>
      </c>
      <c r="E652" s="65">
        <v>6422</v>
      </c>
      <c r="F652" t="s">
        <v>2320</v>
      </c>
      <c r="G652" s="71" t="s">
        <v>2904</v>
      </c>
      <c r="H652" s="67">
        <v>5.4000001400709201E-2</v>
      </c>
      <c r="I652" s="65">
        <v>526053</v>
      </c>
      <c r="J652" s="65">
        <v>172911</v>
      </c>
      <c r="L652" s="65" t="s">
        <v>2321</v>
      </c>
      <c r="M652" s="65" t="s">
        <v>27</v>
      </c>
      <c r="N652" s="69">
        <v>42901</v>
      </c>
      <c r="O652" s="69">
        <v>42957</v>
      </c>
      <c r="P652" s="65" t="s">
        <v>126</v>
      </c>
      <c r="R652" s="65" t="s">
        <v>28</v>
      </c>
      <c r="U652" t="s">
        <v>2322</v>
      </c>
      <c r="V652" t="s">
        <v>3605</v>
      </c>
      <c r="W652" s="65" t="s">
        <v>29</v>
      </c>
      <c r="X652" s="65" t="s">
        <v>29</v>
      </c>
      <c r="Y652" s="65" t="s">
        <v>30</v>
      </c>
      <c r="AA652" s="69">
        <v>43190</v>
      </c>
      <c r="AD652" s="65" t="s">
        <v>23</v>
      </c>
      <c r="AE652" s="65" t="s">
        <v>24</v>
      </c>
      <c r="AH652" s="69">
        <f t="shared" si="30"/>
        <v>43190</v>
      </c>
      <c r="AP652" s="73">
        <v>60</v>
      </c>
      <c r="AS652" s="73">
        <v>60</v>
      </c>
      <c r="AV652" s="73">
        <v>60</v>
      </c>
      <c r="BO652" s="185" t="s">
        <v>3794</v>
      </c>
      <c r="BP652" s="185" t="s">
        <v>126</v>
      </c>
      <c r="BQ652" s="185" t="s">
        <v>3794</v>
      </c>
      <c r="BW652" s="73"/>
      <c r="BX652" s="73">
        <v>60</v>
      </c>
      <c r="BY652" s="185" t="s">
        <v>3794</v>
      </c>
      <c r="CD652" s="73">
        <v>60</v>
      </c>
      <c r="CJ652" t="s">
        <v>25</v>
      </c>
      <c r="CK652" t="s">
        <v>25</v>
      </c>
      <c r="CL652" t="s">
        <v>25</v>
      </c>
      <c r="CM652" t="s">
        <v>25</v>
      </c>
      <c r="CN652" t="s">
        <v>25</v>
      </c>
      <c r="CO652" t="s">
        <v>31</v>
      </c>
      <c r="CP652" t="s">
        <v>25</v>
      </c>
      <c r="CQ652" t="s">
        <v>25</v>
      </c>
      <c r="CR652" t="s">
        <v>25</v>
      </c>
      <c r="CS652" t="s">
        <v>25</v>
      </c>
      <c r="CT652" t="s">
        <v>25</v>
      </c>
      <c r="CU652" t="s">
        <v>25</v>
      </c>
      <c r="CV652" t="s">
        <v>25</v>
      </c>
      <c r="CW652" t="s">
        <v>25</v>
      </c>
      <c r="CX652" t="s">
        <v>25</v>
      </c>
      <c r="CY652" t="s">
        <v>25</v>
      </c>
      <c r="CZ652" t="s">
        <v>25</v>
      </c>
      <c r="DA652" t="s">
        <v>25</v>
      </c>
      <c r="DB652" t="s">
        <v>25</v>
      </c>
      <c r="DC652" t="s">
        <v>25</v>
      </c>
      <c r="DD652" t="s">
        <v>25</v>
      </c>
      <c r="DE652" t="s">
        <v>25</v>
      </c>
      <c r="DF652" t="s">
        <v>25</v>
      </c>
      <c r="DG652" t="s">
        <v>25</v>
      </c>
      <c r="DH652" t="s">
        <v>25</v>
      </c>
      <c r="DI652" t="s">
        <v>25</v>
      </c>
      <c r="DJ652" s="76">
        <v>5.4000001400709201E-2</v>
      </c>
      <c r="DK652" s="73">
        <v>60</v>
      </c>
      <c r="DL652" s="73">
        <v>0</v>
      </c>
      <c r="DM652" s="73">
        <v>60</v>
      </c>
      <c r="DU652"/>
      <c r="DZ652" s="73">
        <v>0</v>
      </c>
      <c r="EA652" s="73">
        <v>0</v>
      </c>
      <c r="EB652" s="73">
        <v>0</v>
      </c>
    </row>
    <row r="653" spans="1:133" ht="12" customHeight="1" x14ac:dyDescent="0.2">
      <c r="A653" t="s">
        <v>2936</v>
      </c>
      <c r="B653" t="s">
        <v>2946</v>
      </c>
      <c r="C653" t="str">
        <f t="shared" si="32"/>
        <v>Full</v>
      </c>
      <c r="D653" t="s">
        <v>2943</v>
      </c>
      <c r="E653" s="65">
        <v>6424</v>
      </c>
      <c r="F653" t="s">
        <v>2323</v>
      </c>
      <c r="G653" s="71" t="s">
        <v>3944</v>
      </c>
      <c r="H653" s="67">
        <v>5.2000001072883599E-2</v>
      </c>
      <c r="I653" s="65">
        <v>525933</v>
      </c>
      <c r="J653" s="65">
        <v>174643</v>
      </c>
      <c r="L653" s="65" t="s">
        <v>1184</v>
      </c>
      <c r="M653" s="65" t="s">
        <v>27</v>
      </c>
      <c r="N653" s="69">
        <v>42745</v>
      </c>
      <c r="O653" s="69">
        <v>42800</v>
      </c>
      <c r="R653" s="65" t="s">
        <v>28</v>
      </c>
      <c r="U653" t="s">
        <v>1185</v>
      </c>
      <c r="V653" t="s">
        <v>1185</v>
      </c>
      <c r="W653" s="65" t="s">
        <v>21</v>
      </c>
      <c r="X653" s="65" t="s">
        <v>21</v>
      </c>
      <c r="Y653" s="65" t="s">
        <v>35</v>
      </c>
      <c r="AA653" s="69">
        <v>42982</v>
      </c>
      <c r="AB653" s="69">
        <v>42999</v>
      </c>
      <c r="AC653" s="69">
        <v>42999</v>
      </c>
      <c r="AD653" s="65" t="s">
        <v>23</v>
      </c>
      <c r="AE653" s="65" t="s">
        <v>24</v>
      </c>
      <c r="AH653" s="69">
        <f t="shared" si="30"/>
        <v>42982</v>
      </c>
      <c r="AI653" s="69">
        <f t="shared" si="31"/>
        <v>42999</v>
      </c>
      <c r="AR653" s="73">
        <v>192</v>
      </c>
      <c r="AS653" s="73">
        <v>192</v>
      </c>
      <c r="AV653" s="73">
        <v>192</v>
      </c>
      <c r="BM653" s="73">
        <v>192</v>
      </c>
      <c r="BN653" s="73">
        <v>192</v>
      </c>
      <c r="BO653" s="185" t="s">
        <v>3794</v>
      </c>
      <c r="BP653" s="185" t="s">
        <v>126</v>
      </c>
      <c r="BQ653" s="185" t="s">
        <v>126</v>
      </c>
      <c r="BW653" s="73"/>
      <c r="BY653" s="185" t="s">
        <v>3794</v>
      </c>
      <c r="CA653" s="73">
        <v>192</v>
      </c>
      <c r="CD653" s="73">
        <v>192</v>
      </c>
      <c r="CH653" s="73">
        <v>-192</v>
      </c>
      <c r="CI653" s="73">
        <v>-192</v>
      </c>
      <c r="CJ653" t="s">
        <v>25</v>
      </c>
      <c r="CK653" t="s">
        <v>25</v>
      </c>
      <c r="CL653" t="s">
        <v>25</v>
      </c>
      <c r="CM653" t="s">
        <v>25</v>
      </c>
      <c r="CN653" t="s">
        <v>25</v>
      </c>
      <c r="CO653" t="s">
        <v>25</v>
      </c>
      <c r="CP653" t="s">
        <v>25</v>
      </c>
      <c r="CQ653" t="s">
        <v>47</v>
      </c>
      <c r="CR653" t="s">
        <v>25</v>
      </c>
      <c r="CS653" t="s">
        <v>25</v>
      </c>
      <c r="CT653" t="s">
        <v>25</v>
      </c>
      <c r="CU653" t="s">
        <v>25</v>
      </c>
      <c r="CV653" t="s">
        <v>25</v>
      </c>
      <c r="CW653" t="s">
        <v>25</v>
      </c>
      <c r="CX653" t="s">
        <v>25</v>
      </c>
      <c r="CY653" t="s">
        <v>25</v>
      </c>
      <c r="CZ653" t="s">
        <v>25</v>
      </c>
      <c r="DA653" t="s">
        <v>25</v>
      </c>
      <c r="DB653" t="s">
        <v>25</v>
      </c>
      <c r="DC653" t="s">
        <v>25</v>
      </c>
      <c r="DD653" t="s">
        <v>25</v>
      </c>
      <c r="DE653" t="s">
        <v>25</v>
      </c>
      <c r="DF653" t="s">
        <v>25</v>
      </c>
      <c r="DG653" t="s">
        <v>25</v>
      </c>
      <c r="DH653" t="s">
        <v>25</v>
      </c>
      <c r="DI653" t="s">
        <v>49</v>
      </c>
      <c r="DJ653" s="76">
        <v>5.2000001072883599E-2</v>
      </c>
      <c r="DK653" s="73">
        <v>192</v>
      </c>
      <c r="DL653" s="73">
        <v>192</v>
      </c>
      <c r="DM653" s="73">
        <v>0</v>
      </c>
      <c r="DU653"/>
      <c r="DZ653" s="73">
        <v>0</v>
      </c>
      <c r="EA653" s="73">
        <v>0</v>
      </c>
      <c r="EB653" s="73">
        <v>0</v>
      </c>
    </row>
    <row r="654" spans="1:133" ht="12" customHeight="1" x14ac:dyDescent="0.2">
      <c r="A654" t="s">
        <v>2937</v>
      </c>
      <c r="B654" t="s">
        <v>2946</v>
      </c>
      <c r="C654" t="str">
        <f t="shared" si="32"/>
        <v>Full</v>
      </c>
      <c r="E654" s="65">
        <v>6426</v>
      </c>
      <c r="F654" t="s">
        <v>2324</v>
      </c>
      <c r="G654" s="71" t="s">
        <v>150</v>
      </c>
      <c r="H654" s="67">
        <v>4.9999998882412902E-3</v>
      </c>
      <c r="I654" s="65">
        <v>527111</v>
      </c>
      <c r="J654" s="65">
        <v>170959</v>
      </c>
      <c r="L654" s="65" t="s">
        <v>2325</v>
      </c>
      <c r="M654" s="65" t="s">
        <v>27</v>
      </c>
      <c r="N654" s="69">
        <v>42859</v>
      </c>
      <c r="O654" s="69">
        <v>42944</v>
      </c>
      <c r="P654" s="65" t="s">
        <v>126</v>
      </c>
      <c r="R654" s="65" t="s">
        <v>28</v>
      </c>
      <c r="U654" t="s">
        <v>2326</v>
      </c>
      <c r="V654" t="s">
        <v>3606</v>
      </c>
      <c r="W654" s="65" t="s">
        <v>34</v>
      </c>
      <c r="X654" s="65" t="s">
        <v>29</v>
      </c>
      <c r="Y654" s="65" t="s">
        <v>69</v>
      </c>
      <c r="AD654" s="65" t="s">
        <v>23</v>
      </c>
      <c r="AE654" s="65" t="s">
        <v>24</v>
      </c>
      <c r="BA654" s="73">
        <v>91</v>
      </c>
      <c r="BE654" s="73">
        <v>91</v>
      </c>
      <c r="BO654" s="185" t="s">
        <v>126</v>
      </c>
      <c r="BP654" s="185" t="s">
        <v>3794</v>
      </c>
      <c r="BQ654" s="185" t="s">
        <v>3794</v>
      </c>
      <c r="BS654" s="73">
        <v>-91</v>
      </c>
      <c r="BW654" s="73">
        <v>-91</v>
      </c>
      <c r="BY654" s="185" t="s">
        <v>3794</v>
      </c>
      <c r="CJ654" t="s">
        <v>25</v>
      </c>
      <c r="CK654" t="s">
        <v>25</v>
      </c>
      <c r="CL654" t="s">
        <v>25</v>
      </c>
      <c r="CM654" t="s">
        <v>25</v>
      </c>
      <c r="CN654" t="s">
        <v>25</v>
      </c>
      <c r="CO654" t="s">
        <v>25</v>
      </c>
      <c r="CP654" t="s">
        <v>25</v>
      </c>
      <c r="CQ654" t="s">
        <v>25</v>
      </c>
      <c r="CR654" t="s">
        <v>25</v>
      </c>
      <c r="CS654" t="s">
        <v>25</v>
      </c>
      <c r="CT654" t="s">
        <v>25</v>
      </c>
      <c r="CU654" t="s">
        <v>25</v>
      </c>
      <c r="CV654" t="s">
        <v>25</v>
      </c>
      <c r="CW654" t="s">
        <v>25</v>
      </c>
      <c r="CX654" t="s">
        <v>49</v>
      </c>
      <c r="CY654" t="s">
        <v>25</v>
      </c>
      <c r="CZ654" t="s">
        <v>25</v>
      </c>
      <c r="DA654" t="s">
        <v>25</v>
      </c>
      <c r="DB654" t="s">
        <v>25</v>
      </c>
      <c r="DC654" t="s">
        <v>25</v>
      </c>
      <c r="DD654" t="s">
        <v>25</v>
      </c>
      <c r="DE654" t="s">
        <v>25</v>
      </c>
      <c r="DF654" t="s">
        <v>25</v>
      </c>
      <c r="DG654" t="s">
        <v>25</v>
      </c>
      <c r="DH654" t="s">
        <v>25</v>
      </c>
      <c r="DI654" t="s">
        <v>25</v>
      </c>
      <c r="DJ654" s="76">
        <v>2.9999997932463902E-3</v>
      </c>
      <c r="DK654" s="73">
        <v>0</v>
      </c>
      <c r="DL654" s="73">
        <v>91</v>
      </c>
      <c r="DM654" s="73">
        <v>-91</v>
      </c>
      <c r="DU654"/>
      <c r="DZ654" s="73">
        <v>111</v>
      </c>
      <c r="EA654" s="73">
        <v>0</v>
      </c>
      <c r="EB654" s="73">
        <v>111</v>
      </c>
      <c r="EC654" s="65" t="s">
        <v>126</v>
      </c>
    </row>
    <row r="655" spans="1:133" ht="12" customHeight="1" x14ac:dyDescent="0.2">
      <c r="A655" t="s">
        <v>2935</v>
      </c>
      <c r="B655" t="s">
        <v>2946</v>
      </c>
      <c r="C655" t="str">
        <f t="shared" si="32"/>
        <v>Full</v>
      </c>
      <c r="E655" s="65">
        <v>6432</v>
      </c>
      <c r="F655" t="s">
        <v>2327</v>
      </c>
      <c r="G655" s="71" t="s">
        <v>3951</v>
      </c>
      <c r="H655" s="67">
        <v>2.70000007003546E-2</v>
      </c>
      <c r="I655" s="65">
        <v>527816</v>
      </c>
      <c r="J655" s="65">
        <v>171144</v>
      </c>
      <c r="L655" s="65" t="s">
        <v>1151</v>
      </c>
      <c r="M655" s="65" t="s">
        <v>27</v>
      </c>
      <c r="N655" s="69">
        <v>42699</v>
      </c>
      <c r="O655" s="69">
        <v>42825</v>
      </c>
      <c r="R655" s="65" t="s">
        <v>28</v>
      </c>
      <c r="U655" t="s">
        <v>1152</v>
      </c>
      <c r="V655" t="s">
        <v>3607</v>
      </c>
      <c r="W655" s="65" t="s">
        <v>29</v>
      </c>
      <c r="X655" s="65" t="s">
        <v>29</v>
      </c>
      <c r="Y655" s="65" t="s">
        <v>30</v>
      </c>
      <c r="Z655" s="69">
        <v>42825</v>
      </c>
      <c r="AA655" s="69">
        <v>42825</v>
      </c>
      <c r="AD655" s="65" t="s">
        <v>23</v>
      </c>
      <c r="AE655" s="65" t="s">
        <v>24</v>
      </c>
      <c r="AH655" s="69">
        <f t="shared" si="30"/>
        <v>42825</v>
      </c>
      <c r="BH655" s="73">
        <v>152</v>
      </c>
      <c r="BJ655" s="73">
        <v>109</v>
      </c>
      <c r="BK655" s="73">
        <v>261</v>
      </c>
      <c r="BO655" s="185" t="s">
        <v>3794</v>
      </c>
      <c r="BP655" s="185" t="s">
        <v>126</v>
      </c>
      <c r="BQ655" s="185" t="s">
        <v>3794</v>
      </c>
      <c r="BW655" s="73"/>
      <c r="BY655" s="185" t="s">
        <v>3794</v>
      </c>
      <c r="CA655" s="73">
        <v>-152</v>
      </c>
      <c r="CC655" s="73">
        <v>-109</v>
      </c>
      <c r="CD655" s="73">
        <v>-261</v>
      </c>
      <c r="CE655" s="65" t="s">
        <v>126</v>
      </c>
      <c r="CJ655" t="s">
        <v>25</v>
      </c>
      <c r="CK655" t="s">
        <v>25</v>
      </c>
      <c r="CL655" t="s">
        <v>25</v>
      </c>
      <c r="CM655" t="s">
        <v>25</v>
      </c>
      <c r="CN655" t="s">
        <v>25</v>
      </c>
      <c r="CO655" t="s">
        <v>25</v>
      </c>
      <c r="CP655" t="s">
        <v>25</v>
      </c>
      <c r="CQ655" t="s">
        <v>25</v>
      </c>
      <c r="CR655" t="s">
        <v>25</v>
      </c>
      <c r="CS655" t="s">
        <v>25</v>
      </c>
      <c r="CT655" t="s">
        <v>25</v>
      </c>
      <c r="CU655" t="s">
        <v>25</v>
      </c>
      <c r="CV655" t="s">
        <v>25</v>
      </c>
      <c r="CW655" t="s">
        <v>25</v>
      </c>
      <c r="CX655" t="s">
        <v>25</v>
      </c>
      <c r="CY655" t="s">
        <v>25</v>
      </c>
      <c r="CZ655" t="s">
        <v>25</v>
      </c>
      <c r="DA655" t="s">
        <v>25</v>
      </c>
      <c r="DB655" t="s">
        <v>25</v>
      </c>
      <c r="DC655" t="s">
        <v>25</v>
      </c>
      <c r="DD655" t="s">
        <v>47</v>
      </c>
      <c r="DE655" t="s">
        <v>25</v>
      </c>
      <c r="DF655" t="s">
        <v>53</v>
      </c>
      <c r="DG655" t="s">
        <v>25</v>
      </c>
      <c r="DH655" t="s">
        <v>25</v>
      </c>
      <c r="DI655" t="s">
        <v>25</v>
      </c>
      <c r="DJ655" s="76">
        <v>0</v>
      </c>
      <c r="DK655" s="73">
        <v>0</v>
      </c>
      <c r="DL655" s="73">
        <v>261</v>
      </c>
      <c r="DM655" s="73">
        <v>-261</v>
      </c>
      <c r="DU655"/>
      <c r="DZ655" s="73">
        <v>307</v>
      </c>
      <c r="EA655" s="73">
        <v>0</v>
      </c>
      <c r="EB655" s="73">
        <v>307</v>
      </c>
      <c r="EC655" s="65" t="s">
        <v>126</v>
      </c>
    </row>
    <row r="656" spans="1:133" ht="12" customHeight="1" x14ac:dyDescent="0.2">
      <c r="A656" t="s">
        <v>2935</v>
      </c>
      <c r="B656" t="s">
        <v>2946</v>
      </c>
      <c r="C656" t="str">
        <f t="shared" si="32"/>
        <v>Full</v>
      </c>
      <c r="E656" s="65">
        <v>6433</v>
      </c>
      <c r="F656" t="s">
        <v>2328</v>
      </c>
      <c r="G656" s="71" t="s">
        <v>3940</v>
      </c>
      <c r="H656" s="67">
        <v>3.20000015199184E-2</v>
      </c>
      <c r="I656" s="65">
        <v>522309</v>
      </c>
      <c r="J656" s="65">
        <v>173207</v>
      </c>
      <c r="L656" s="65" t="s">
        <v>1180</v>
      </c>
      <c r="M656" s="65" t="s">
        <v>27</v>
      </c>
      <c r="N656" s="69">
        <v>42741</v>
      </c>
      <c r="O656" s="69">
        <v>42818</v>
      </c>
      <c r="R656" s="65" t="s">
        <v>28</v>
      </c>
      <c r="U656" t="s">
        <v>1181</v>
      </c>
      <c r="V656" t="s">
        <v>3608</v>
      </c>
      <c r="W656" s="65" t="s">
        <v>29</v>
      </c>
      <c r="X656" s="65" t="s">
        <v>29</v>
      </c>
      <c r="Y656" s="65" t="s">
        <v>30</v>
      </c>
      <c r="Z656" s="69">
        <v>42741</v>
      </c>
      <c r="AA656" s="69">
        <v>43190</v>
      </c>
      <c r="AD656" s="65" t="s">
        <v>23</v>
      </c>
      <c r="AE656" s="65" t="s">
        <v>24</v>
      </c>
      <c r="AH656" s="69">
        <f t="shared" si="30"/>
        <v>43190</v>
      </c>
      <c r="BL656" s="73">
        <v>85</v>
      </c>
      <c r="BN656" s="73">
        <v>85</v>
      </c>
      <c r="BO656" s="185" t="s">
        <v>3794</v>
      </c>
      <c r="BP656" s="185" t="s">
        <v>3794</v>
      </c>
      <c r="BQ656" s="185" t="s">
        <v>126</v>
      </c>
      <c r="BW656" s="73"/>
      <c r="BY656" s="185" t="s">
        <v>3794</v>
      </c>
      <c r="CG656" s="73">
        <v>-85</v>
      </c>
      <c r="CI656" s="73">
        <v>-85</v>
      </c>
      <c r="CJ656" t="s">
        <v>25</v>
      </c>
      <c r="CK656" t="s">
        <v>25</v>
      </c>
      <c r="CL656" t="s">
        <v>25</v>
      </c>
      <c r="CM656" t="s">
        <v>25</v>
      </c>
      <c r="CN656" t="s">
        <v>25</v>
      </c>
      <c r="CO656" t="s">
        <v>25</v>
      </c>
      <c r="CP656" t="s">
        <v>25</v>
      </c>
      <c r="CQ656" t="s">
        <v>25</v>
      </c>
      <c r="CR656" t="s">
        <v>25</v>
      </c>
      <c r="CS656" t="s">
        <v>25</v>
      </c>
      <c r="CT656" t="s">
        <v>25</v>
      </c>
      <c r="CU656" t="s">
        <v>25</v>
      </c>
      <c r="CV656" t="s">
        <v>25</v>
      </c>
      <c r="CW656" t="s">
        <v>25</v>
      </c>
      <c r="CX656" t="s">
        <v>25</v>
      </c>
      <c r="CY656" t="s">
        <v>25</v>
      </c>
      <c r="CZ656" t="s">
        <v>25</v>
      </c>
      <c r="DA656" t="s">
        <v>25</v>
      </c>
      <c r="DB656" t="s">
        <v>25</v>
      </c>
      <c r="DC656" t="s">
        <v>25</v>
      </c>
      <c r="DD656" t="s">
        <v>25</v>
      </c>
      <c r="DE656" t="s">
        <v>25</v>
      </c>
      <c r="DF656" t="s">
        <v>25</v>
      </c>
      <c r="DG656" t="s">
        <v>25</v>
      </c>
      <c r="DH656" t="s">
        <v>60</v>
      </c>
      <c r="DI656" t="s">
        <v>25</v>
      </c>
      <c r="DJ656" s="76">
        <v>0</v>
      </c>
      <c r="DK656" s="73">
        <v>0</v>
      </c>
      <c r="DL656" s="73">
        <v>85</v>
      </c>
      <c r="DM656" s="73">
        <v>-85</v>
      </c>
      <c r="DU656"/>
      <c r="DZ656" s="73">
        <v>407</v>
      </c>
      <c r="EA656" s="73">
        <v>0</v>
      </c>
      <c r="EB656" s="73">
        <v>407</v>
      </c>
      <c r="EC656" s="65" t="s">
        <v>126</v>
      </c>
    </row>
    <row r="657" spans="1:133" ht="12" customHeight="1" x14ac:dyDescent="0.2">
      <c r="A657" t="s">
        <v>2936</v>
      </c>
      <c r="B657" t="s">
        <v>2946</v>
      </c>
      <c r="C657" t="str">
        <f t="shared" si="32"/>
        <v>Full</v>
      </c>
      <c r="D657" t="s">
        <v>2943</v>
      </c>
      <c r="E657" s="65">
        <v>6434</v>
      </c>
      <c r="F657" t="s">
        <v>2329</v>
      </c>
      <c r="G657" s="71" t="s">
        <v>3945</v>
      </c>
      <c r="H657" s="67">
        <v>8.9999996125698107E-3</v>
      </c>
      <c r="I657" s="65">
        <v>527712</v>
      </c>
      <c r="J657" s="65">
        <v>175510</v>
      </c>
      <c r="L657" s="65" t="s">
        <v>1131</v>
      </c>
      <c r="M657" s="65" t="s">
        <v>27</v>
      </c>
      <c r="N657" s="69">
        <v>42685</v>
      </c>
      <c r="O657" s="69">
        <v>42825</v>
      </c>
      <c r="R657" s="65" t="s">
        <v>28</v>
      </c>
      <c r="U657" t="s">
        <v>1132</v>
      </c>
      <c r="V657" t="s">
        <v>3609</v>
      </c>
      <c r="W657" s="65" t="s">
        <v>21</v>
      </c>
      <c r="X657" s="65" t="s">
        <v>21</v>
      </c>
      <c r="Y657" s="65" t="s">
        <v>35</v>
      </c>
      <c r="AA657" s="69">
        <v>42826</v>
      </c>
      <c r="AB657" s="69">
        <v>42948</v>
      </c>
      <c r="AC657" s="69">
        <v>42948</v>
      </c>
      <c r="AD657" s="65" t="s">
        <v>23</v>
      </c>
      <c r="AE657" s="65" t="s">
        <v>24</v>
      </c>
      <c r="AH657" s="69">
        <f t="shared" si="30"/>
        <v>42826</v>
      </c>
      <c r="AI657" s="69">
        <f t="shared" si="31"/>
        <v>42948</v>
      </c>
      <c r="AL657" s="73">
        <v>74</v>
      </c>
      <c r="AM657" s="73">
        <v>74</v>
      </c>
      <c r="AO657" s="73">
        <v>148</v>
      </c>
      <c r="AZ657" s="73">
        <v>74</v>
      </c>
      <c r="BE657" s="73">
        <v>74</v>
      </c>
      <c r="BO657" s="185" t="s">
        <v>126</v>
      </c>
      <c r="BP657" s="185" t="s">
        <v>3794</v>
      </c>
      <c r="BQ657" s="185" t="s">
        <v>3794</v>
      </c>
      <c r="BR657" s="73">
        <v>-74</v>
      </c>
      <c r="BT657" s="73">
        <v>74</v>
      </c>
      <c r="BU657" s="73">
        <v>74</v>
      </c>
      <c r="BW657" s="73">
        <v>74</v>
      </c>
      <c r="BY657" s="185" t="s">
        <v>3794</v>
      </c>
      <c r="CJ657" t="s">
        <v>25</v>
      </c>
      <c r="CK657" t="s">
        <v>25</v>
      </c>
      <c r="CL657" t="s">
        <v>38</v>
      </c>
      <c r="CM657" t="s">
        <v>175</v>
      </c>
      <c r="CN657" t="s">
        <v>25</v>
      </c>
      <c r="CO657" t="s">
        <v>25</v>
      </c>
      <c r="CP657" t="s">
        <v>25</v>
      </c>
      <c r="CQ657" t="s">
        <v>25</v>
      </c>
      <c r="CR657" t="s">
        <v>25</v>
      </c>
      <c r="CS657" t="s">
        <v>25</v>
      </c>
      <c r="CT657" t="s">
        <v>25</v>
      </c>
      <c r="CU657" t="s">
        <v>25</v>
      </c>
      <c r="CV657" t="s">
        <v>25</v>
      </c>
      <c r="CW657" t="s">
        <v>40</v>
      </c>
      <c r="CX657" t="s">
        <v>25</v>
      </c>
      <c r="CY657" t="s">
        <v>25</v>
      </c>
      <c r="CZ657" t="s">
        <v>25</v>
      </c>
      <c r="DA657" t="s">
        <v>25</v>
      </c>
      <c r="DB657" t="s">
        <v>25</v>
      </c>
      <c r="DC657" t="s">
        <v>25</v>
      </c>
      <c r="DD657" t="s">
        <v>25</v>
      </c>
      <c r="DE657" t="s">
        <v>25</v>
      </c>
      <c r="DF657" t="s">
        <v>25</v>
      </c>
      <c r="DG657" t="s">
        <v>25</v>
      </c>
      <c r="DH657" t="s">
        <v>25</v>
      </c>
      <c r="DI657" t="s">
        <v>25</v>
      </c>
      <c r="DJ657" s="76">
        <v>8.9999996125698107E-3</v>
      </c>
      <c r="DK657" s="73">
        <v>148</v>
      </c>
      <c r="DL657" s="73">
        <v>74</v>
      </c>
      <c r="DM657" s="73">
        <v>74</v>
      </c>
      <c r="DU657"/>
      <c r="DV657" s="65" t="s">
        <v>126</v>
      </c>
      <c r="DW657" t="s">
        <v>132</v>
      </c>
      <c r="DZ657" s="73">
        <v>0</v>
      </c>
      <c r="EA657" s="73">
        <v>0</v>
      </c>
      <c r="EB657" s="73">
        <v>0</v>
      </c>
    </row>
    <row r="658" spans="1:133" ht="12" customHeight="1" x14ac:dyDescent="0.2">
      <c r="A658" t="s">
        <v>2936</v>
      </c>
      <c r="B658" t="s">
        <v>2946</v>
      </c>
      <c r="C658" t="str">
        <f t="shared" si="32"/>
        <v>Full</v>
      </c>
      <c r="D658" t="s">
        <v>2943</v>
      </c>
      <c r="E658" s="65">
        <v>6435</v>
      </c>
      <c r="F658" t="s">
        <v>2330</v>
      </c>
      <c r="G658" s="71" t="s">
        <v>3943</v>
      </c>
      <c r="H658" s="67">
        <v>1.2000000104308101E-2</v>
      </c>
      <c r="I658" s="65">
        <v>526440</v>
      </c>
      <c r="J658" s="65">
        <v>175646</v>
      </c>
      <c r="K658" s="65" t="s">
        <v>1963</v>
      </c>
      <c r="L658" s="65" t="s">
        <v>1229</v>
      </c>
      <c r="M658" s="65" t="s">
        <v>27</v>
      </c>
      <c r="N658" s="69">
        <v>42768</v>
      </c>
      <c r="O658" s="69">
        <v>42824</v>
      </c>
      <c r="R658" s="65" t="s">
        <v>28</v>
      </c>
      <c r="U658" t="s">
        <v>1230</v>
      </c>
      <c r="V658" t="s">
        <v>3610</v>
      </c>
      <c r="W658" s="65" t="s">
        <v>21</v>
      </c>
      <c r="X658" s="65" t="s">
        <v>21</v>
      </c>
      <c r="Y658" s="65" t="s">
        <v>35</v>
      </c>
      <c r="AA658" s="69">
        <v>42824</v>
      </c>
      <c r="AB658" s="69">
        <v>42940</v>
      </c>
      <c r="AC658" s="69">
        <v>42940</v>
      </c>
      <c r="AD658" s="65" t="s">
        <v>23</v>
      </c>
      <c r="AE658" s="65" t="s">
        <v>24</v>
      </c>
      <c r="AH658" s="69">
        <f t="shared" si="30"/>
        <v>42824</v>
      </c>
      <c r="AI658" s="69">
        <f t="shared" si="31"/>
        <v>42940</v>
      </c>
      <c r="BH658" s="73">
        <v>235</v>
      </c>
      <c r="BK658" s="73">
        <v>235</v>
      </c>
      <c r="BO658" s="185" t="s">
        <v>3794</v>
      </c>
      <c r="BP658" s="185" t="s">
        <v>126</v>
      </c>
      <c r="BQ658" s="185" t="s">
        <v>3794</v>
      </c>
      <c r="BW658" s="73"/>
      <c r="BY658" s="185" t="s">
        <v>3794</v>
      </c>
      <c r="CA658" s="73">
        <v>-235</v>
      </c>
      <c r="CD658" s="73">
        <v>-235</v>
      </c>
      <c r="CE658" s="65" t="s">
        <v>126</v>
      </c>
      <c r="CJ658" t="s">
        <v>25</v>
      </c>
      <c r="CK658" t="s">
        <v>25</v>
      </c>
      <c r="CL658" t="s">
        <v>25</v>
      </c>
      <c r="CM658" t="s">
        <v>25</v>
      </c>
      <c r="CN658" t="s">
        <v>25</v>
      </c>
      <c r="CO658" t="s">
        <v>25</v>
      </c>
      <c r="CP658" t="s">
        <v>25</v>
      </c>
      <c r="CQ658" t="s">
        <v>25</v>
      </c>
      <c r="CR658" t="s">
        <v>25</v>
      </c>
      <c r="CS658" t="s">
        <v>25</v>
      </c>
      <c r="CT658" t="s">
        <v>25</v>
      </c>
      <c r="CU658" t="s">
        <v>25</v>
      </c>
      <c r="CV658" t="s">
        <v>25</v>
      </c>
      <c r="CW658" t="s">
        <v>25</v>
      </c>
      <c r="CX658" t="s">
        <v>25</v>
      </c>
      <c r="CY658" t="s">
        <v>25</v>
      </c>
      <c r="CZ658" t="s">
        <v>25</v>
      </c>
      <c r="DA658" t="s">
        <v>25</v>
      </c>
      <c r="DB658" t="s">
        <v>25</v>
      </c>
      <c r="DC658" t="s">
        <v>25</v>
      </c>
      <c r="DD658" t="s">
        <v>47</v>
      </c>
      <c r="DE658" t="s">
        <v>25</v>
      </c>
      <c r="DF658" t="s">
        <v>25</v>
      </c>
      <c r="DG658" t="s">
        <v>25</v>
      </c>
      <c r="DH658" t="s">
        <v>25</v>
      </c>
      <c r="DI658" t="s">
        <v>25</v>
      </c>
      <c r="DJ658" s="76">
        <v>1.2000000104308101E-2</v>
      </c>
      <c r="DK658" s="73">
        <v>235</v>
      </c>
      <c r="DL658" s="73">
        <v>235</v>
      </c>
      <c r="DM658" s="73">
        <v>0</v>
      </c>
      <c r="DN658" s="65" t="s">
        <v>126</v>
      </c>
      <c r="DS658" s="65" t="s">
        <v>126</v>
      </c>
      <c r="DT658" t="s">
        <v>2910</v>
      </c>
      <c r="DU658"/>
      <c r="DZ658" s="73">
        <v>0</v>
      </c>
      <c r="EA658" s="73">
        <v>0</v>
      </c>
      <c r="EB658" s="73">
        <v>0</v>
      </c>
    </row>
    <row r="659" spans="1:133" ht="12" customHeight="1" x14ac:dyDescent="0.2">
      <c r="A659" t="s">
        <v>2936</v>
      </c>
      <c r="B659" t="s">
        <v>2946</v>
      </c>
      <c r="C659" t="str">
        <f t="shared" si="32"/>
        <v>Full</v>
      </c>
      <c r="D659" t="s">
        <v>2943</v>
      </c>
      <c r="E659" s="65">
        <v>6436</v>
      </c>
      <c r="F659" t="s">
        <v>2331</v>
      </c>
      <c r="G659" s="71" t="s">
        <v>3950</v>
      </c>
      <c r="H659" s="67">
        <v>0.472000002861023</v>
      </c>
      <c r="I659" s="65">
        <v>529163</v>
      </c>
      <c r="J659" s="65">
        <v>171698</v>
      </c>
      <c r="L659" s="65" t="s">
        <v>1088</v>
      </c>
      <c r="M659" s="65" t="s">
        <v>27</v>
      </c>
      <c r="N659" s="69">
        <v>42653</v>
      </c>
      <c r="O659" s="69">
        <v>42822</v>
      </c>
      <c r="R659" s="65" t="s">
        <v>28</v>
      </c>
      <c r="U659" t="s">
        <v>1089</v>
      </c>
      <c r="V659" t="s">
        <v>3611</v>
      </c>
      <c r="W659" s="65" t="s">
        <v>29</v>
      </c>
      <c r="X659" s="65" t="s">
        <v>29</v>
      </c>
      <c r="Y659" s="65" t="s">
        <v>35</v>
      </c>
      <c r="AB659" s="69">
        <v>42933</v>
      </c>
      <c r="AC659" s="69">
        <v>42933</v>
      </c>
      <c r="AD659" s="65" t="s">
        <v>23</v>
      </c>
      <c r="AE659" s="65" t="s">
        <v>24</v>
      </c>
      <c r="AI659" s="69">
        <f t="shared" si="31"/>
        <v>42933</v>
      </c>
      <c r="BO659" s="185" t="s">
        <v>3794</v>
      </c>
      <c r="BP659" s="185" t="s">
        <v>3794</v>
      </c>
      <c r="BQ659" s="185" t="s">
        <v>3794</v>
      </c>
      <c r="BW659" s="73"/>
      <c r="BY659" s="185" t="s">
        <v>3794</v>
      </c>
      <c r="CJ659" t="s">
        <v>25</v>
      </c>
      <c r="CK659" t="s">
        <v>25</v>
      </c>
      <c r="CL659" t="s">
        <v>25</v>
      </c>
      <c r="CM659" t="s">
        <v>25</v>
      </c>
      <c r="CN659" t="s">
        <v>25</v>
      </c>
      <c r="CO659" t="s">
        <v>25</v>
      </c>
      <c r="CP659" t="s">
        <v>25</v>
      </c>
      <c r="CQ659" t="s">
        <v>25</v>
      </c>
      <c r="CR659" t="s">
        <v>25</v>
      </c>
      <c r="CS659" t="s">
        <v>25</v>
      </c>
      <c r="CT659" t="s">
        <v>25</v>
      </c>
      <c r="CU659" t="s">
        <v>25</v>
      </c>
      <c r="CV659" t="s">
        <v>25</v>
      </c>
      <c r="CW659" t="s">
        <v>25</v>
      </c>
      <c r="CX659" t="s">
        <v>25</v>
      </c>
      <c r="CY659" t="s">
        <v>25</v>
      </c>
      <c r="CZ659" t="s">
        <v>25</v>
      </c>
      <c r="DA659" t="s">
        <v>25</v>
      </c>
      <c r="DB659" t="s">
        <v>25</v>
      </c>
      <c r="DC659" t="s">
        <v>25</v>
      </c>
      <c r="DD659" t="s">
        <v>25</v>
      </c>
      <c r="DE659" t="s">
        <v>25</v>
      </c>
      <c r="DF659" t="s">
        <v>25</v>
      </c>
      <c r="DG659" t="s">
        <v>25</v>
      </c>
      <c r="DH659" t="s">
        <v>25</v>
      </c>
      <c r="DI659" t="s">
        <v>25</v>
      </c>
      <c r="DJ659" s="76">
        <v>0.472000002861023</v>
      </c>
      <c r="DK659" s="73">
        <v>147</v>
      </c>
      <c r="DL659" s="73">
        <v>56</v>
      </c>
      <c r="DM659" s="73">
        <v>91</v>
      </c>
      <c r="DU659"/>
      <c r="DZ659" s="73">
        <v>0</v>
      </c>
      <c r="EA659" s="73">
        <v>0</v>
      </c>
      <c r="EB659" s="73">
        <v>0</v>
      </c>
    </row>
    <row r="660" spans="1:133" ht="12" customHeight="1" x14ac:dyDescent="0.2">
      <c r="A660" t="s">
        <v>2937</v>
      </c>
      <c r="B660" t="s">
        <v>2946</v>
      </c>
      <c r="C660" t="str">
        <f t="shared" si="32"/>
        <v>Full</v>
      </c>
      <c r="E660" s="65">
        <v>6440</v>
      </c>
      <c r="F660" t="s">
        <v>2332</v>
      </c>
      <c r="G660" s="71" t="s">
        <v>3944</v>
      </c>
      <c r="H660" s="67">
        <v>1.4000000432133701E-2</v>
      </c>
      <c r="I660" s="65">
        <v>525986</v>
      </c>
      <c r="J660" s="65">
        <v>175047</v>
      </c>
      <c r="L660" s="65" t="s">
        <v>1090</v>
      </c>
      <c r="M660" s="65" t="s">
        <v>27</v>
      </c>
      <c r="N660" s="69">
        <v>42669</v>
      </c>
      <c r="O660" s="69">
        <v>42725</v>
      </c>
      <c r="R660" s="65" t="s">
        <v>28</v>
      </c>
      <c r="U660" t="s">
        <v>1091</v>
      </c>
      <c r="V660" t="s">
        <v>3612</v>
      </c>
      <c r="W660" s="65" t="s">
        <v>21</v>
      </c>
      <c r="X660" s="65" t="s">
        <v>21</v>
      </c>
      <c r="Y660" s="65" t="s">
        <v>69</v>
      </c>
      <c r="AD660" s="65" t="s">
        <v>23</v>
      </c>
      <c r="AE660" s="65" t="s">
        <v>24</v>
      </c>
      <c r="AW660" s="73">
        <v>68</v>
      </c>
      <c r="AY660" s="73">
        <v>68</v>
      </c>
      <c r="AZ660" s="73">
        <v>68</v>
      </c>
      <c r="BE660" s="73">
        <v>68</v>
      </c>
      <c r="BO660" s="185" t="s">
        <v>126</v>
      </c>
      <c r="BP660" s="185" t="s">
        <v>3794</v>
      </c>
      <c r="BQ660" s="185" t="s">
        <v>126</v>
      </c>
      <c r="BR660" s="73">
        <v>-68</v>
      </c>
      <c r="BW660" s="73">
        <v>-68</v>
      </c>
      <c r="BY660" s="185" t="s">
        <v>3794</v>
      </c>
      <c r="CG660" s="73">
        <v>68</v>
      </c>
      <c r="CI660" s="73">
        <v>68</v>
      </c>
      <c r="CJ660" t="s">
        <v>25</v>
      </c>
      <c r="CK660" t="s">
        <v>25</v>
      </c>
      <c r="CL660" t="s">
        <v>25</v>
      </c>
      <c r="CM660" t="s">
        <v>25</v>
      </c>
      <c r="CN660" t="s">
        <v>25</v>
      </c>
      <c r="CO660" t="s">
        <v>25</v>
      </c>
      <c r="CP660" t="s">
        <v>25</v>
      </c>
      <c r="CQ660" t="s">
        <v>25</v>
      </c>
      <c r="CR660" t="s">
        <v>25</v>
      </c>
      <c r="CS660" t="s">
        <v>25</v>
      </c>
      <c r="CT660" t="s">
        <v>25</v>
      </c>
      <c r="CU660" t="s">
        <v>49</v>
      </c>
      <c r="CV660" t="s">
        <v>25</v>
      </c>
      <c r="CW660" t="s">
        <v>46</v>
      </c>
      <c r="CX660" t="s">
        <v>25</v>
      </c>
      <c r="CY660" t="s">
        <v>25</v>
      </c>
      <c r="CZ660" t="s">
        <v>25</v>
      </c>
      <c r="DA660" t="s">
        <v>25</v>
      </c>
      <c r="DB660" t="s">
        <v>25</v>
      </c>
      <c r="DC660" t="s">
        <v>25</v>
      </c>
      <c r="DD660" t="s">
        <v>25</v>
      </c>
      <c r="DE660" t="s">
        <v>25</v>
      </c>
      <c r="DF660" t="s">
        <v>25</v>
      </c>
      <c r="DG660" t="s">
        <v>25</v>
      </c>
      <c r="DH660" t="s">
        <v>25</v>
      </c>
      <c r="DI660" t="s">
        <v>25</v>
      </c>
      <c r="DJ660" s="76">
        <v>1.4000000432133701E-2</v>
      </c>
      <c r="DK660" s="73">
        <v>68</v>
      </c>
      <c r="DL660" s="73">
        <v>68</v>
      </c>
      <c r="DM660" s="73">
        <v>0</v>
      </c>
      <c r="DU660"/>
      <c r="DZ660" s="73">
        <v>0</v>
      </c>
      <c r="EA660" s="73">
        <v>0</v>
      </c>
      <c r="EB660" s="73">
        <v>0</v>
      </c>
    </row>
    <row r="661" spans="1:133" ht="12" customHeight="1" x14ac:dyDescent="0.2">
      <c r="A661" t="s">
        <v>2937</v>
      </c>
      <c r="B661" t="s">
        <v>2946</v>
      </c>
      <c r="C661" t="str">
        <f t="shared" si="32"/>
        <v>Full</v>
      </c>
      <c r="E661" s="65">
        <v>6443</v>
      </c>
      <c r="F661" t="s">
        <v>2333</v>
      </c>
      <c r="G661" s="71" t="s">
        <v>3940</v>
      </c>
      <c r="H661" s="67">
        <v>0.35800001025199901</v>
      </c>
      <c r="I661" s="65">
        <v>522012</v>
      </c>
      <c r="J661" s="65">
        <v>172337</v>
      </c>
      <c r="L661" s="65" t="s">
        <v>1092</v>
      </c>
      <c r="M661" s="65" t="s">
        <v>27</v>
      </c>
      <c r="N661" s="69">
        <v>42650</v>
      </c>
      <c r="O661" s="69">
        <v>42719</v>
      </c>
      <c r="R661" s="65" t="s">
        <v>28</v>
      </c>
      <c r="U661" t="s">
        <v>1093</v>
      </c>
      <c r="V661" t="s">
        <v>3613</v>
      </c>
      <c r="W661" s="65" t="s">
        <v>29</v>
      </c>
      <c r="X661" s="65" t="s">
        <v>29</v>
      </c>
      <c r="Y661" s="65" t="s">
        <v>59</v>
      </c>
      <c r="AD661" s="65" t="s">
        <v>23</v>
      </c>
      <c r="AE661" s="65" t="s">
        <v>24</v>
      </c>
      <c r="BL661" s="73">
        <v>318</v>
      </c>
      <c r="BN661" s="73">
        <v>318</v>
      </c>
      <c r="BO661" s="185" t="s">
        <v>3794</v>
      </c>
      <c r="BP661" s="185" t="s">
        <v>3794</v>
      </c>
      <c r="BQ661" s="185" t="s">
        <v>126</v>
      </c>
      <c r="BW661" s="73"/>
      <c r="BY661" s="185" t="s">
        <v>3794</v>
      </c>
      <c r="CG661" s="73">
        <v>-318</v>
      </c>
      <c r="CI661" s="73">
        <v>-318</v>
      </c>
      <c r="CJ661" t="s">
        <v>25</v>
      </c>
      <c r="CK661" t="s">
        <v>25</v>
      </c>
      <c r="CL661" t="s">
        <v>25</v>
      </c>
      <c r="CM661" t="s">
        <v>25</v>
      </c>
      <c r="CN661" t="s">
        <v>25</v>
      </c>
      <c r="CO661" t="s">
        <v>25</v>
      </c>
      <c r="CP661" t="s">
        <v>25</v>
      </c>
      <c r="CQ661" t="s">
        <v>25</v>
      </c>
      <c r="CR661" t="s">
        <v>25</v>
      </c>
      <c r="CS661" t="s">
        <v>25</v>
      </c>
      <c r="CT661" t="s">
        <v>25</v>
      </c>
      <c r="CU661" t="s">
        <v>25</v>
      </c>
      <c r="CV661" t="s">
        <v>25</v>
      </c>
      <c r="CW661" t="s">
        <v>25</v>
      </c>
      <c r="CX661" t="s">
        <v>25</v>
      </c>
      <c r="CY661" t="s">
        <v>25</v>
      </c>
      <c r="CZ661" t="s">
        <v>25</v>
      </c>
      <c r="DA661" t="s">
        <v>25</v>
      </c>
      <c r="DB661" t="s">
        <v>25</v>
      </c>
      <c r="DC661" t="s">
        <v>25</v>
      </c>
      <c r="DD661" t="s">
        <v>25</v>
      </c>
      <c r="DE661" t="s">
        <v>25</v>
      </c>
      <c r="DF661" t="s">
        <v>25</v>
      </c>
      <c r="DG661" t="s">
        <v>25</v>
      </c>
      <c r="DH661" t="s">
        <v>47</v>
      </c>
      <c r="DI661" t="s">
        <v>25</v>
      </c>
      <c r="DJ661" s="76">
        <v>0.17400000989437081</v>
      </c>
      <c r="DK661" s="73">
        <v>0</v>
      </c>
      <c r="DL661" s="73">
        <v>318</v>
      </c>
      <c r="DM661" s="73">
        <v>-318</v>
      </c>
      <c r="DU661"/>
      <c r="DZ661" s="73">
        <v>1302</v>
      </c>
      <c r="EA661" s="73">
        <v>0</v>
      </c>
      <c r="EB661" s="73">
        <v>1302</v>
      </c>
      <c r="EC661" s="65" t="s">
        <v>126</v>
      </c>
    </row>
    <row r="662" spans="1:133" ht="12" customHeight="1" x14ac:dyDescent="0.2">
      <c r="A662" t="s">
        <v>2937</v>
      </c>
      <c r="B662" t="s">
        <v>2946</v>
      </c>
      <c r="C662" t="str">
        <f t="shared" si="32"/>
        <v>Full</v>
      </c>
      <c r="E662" s="65">
        <v>6447</v>
      </c>
      <c r="F662" t="s">
        <v>2334</v>
      </c>
      <c r="G662" s="71" t="s">
        <v>3947</v>
      </c>
      <c r="H662" s="67">
        <v>1.00000004749745E-3</v>
      </c>
      <c r="I662" s="65">
        <v>528351</v>
      </c>
      <c r="J662" s="65">
        <v>176726</v>
      </c>
      <c r="L662" s="65" t="s">
        <v>1143</v>
      </c>
      <c r="M662" s="65" t="s">
        <v>27</v>
      </c>
      <c r="N662" s="69">
        <v>42685</v>
      </c>
      <c r="O662" s="69">
        <v>42741</v>
      </c>
      <c r="R662" s="65" t="s">
        <v>28</v>
      </c>
      <c r="U662" t="s">
        <v>1144</v>
      </c>
      <c r="V662" t="s">
        <v>3614</v>
      </c>
      <c r="W662" s="65" t="s">
        <v>21</v>
      </c>
      <c r="X662" s="65" t="s">
        <v>21</v>
      </c>
      <c r="Y662" s="65" t="s">
        <v>59</v>
      </c>
      <c r="AD662" s="65" t="s">
        <v>23</v>
      </c>
      <c r="AE662" s="65" t="s">
        <v>24</v>
      </c>
      <c r="AP662" s="73">
        <v>1</v>
      </c>
      <c r="AS662" s="73">
        <v>1</v>
      </c>
      <c r="AV662" s="73">
        <v>1</v>
      </c>
      <c r="BO662" s="185" t="s">
        <v>3794</v>
      </c>
      <c r="BP662" s="185" t="s">
        <v>126</v>
      </c>
      <c r="BQ662" s="185" t="s">
        <v>3794</v>
      </c>
      <c r="BW662" s="73"/>
      <c r="BX662" s="73">
        <v>1</v>
      </c>
      <c r="BY662" s="185" t="s">
        <v>3794</v>
      </c>
      <c r="CD662" s="73">
        <v>1</v>
      </c>
      <c r="CJ662" t="s">
        <v>25</v>
      </c>
      <c r="CK662" t="s">
        <v>25</v>
      </c>
      <c r="CL662" t="s">
        <v>25</v>
      </c>
      <c r="CM662" t="s">
        <v>25</v>
      </c>
      <c r="CN662" t="s">
        <v>25</v>
      </c>
      <c r="CO662" t="s">
        <v>49</v>
      </c>
      <c r="CP662" t="s">
        <v>25</v>
      </c>
      <c r="CQ662" t="s">
        <v>25</v>
      </c>
      <c r="CR662" t="s">
        <v>25</v>
      </c>
      <c r="CS662" t="s">
        <v>25</v>
      </c>
      <c r="CT662" t="s">
        <v>25</v>
      </c>
      <c r="CU662" t="s">
        <v>25</v>
      </c>
      <c r="CV662" t="s">
        <v>25</v>
      </c>
      <c r="CW662" t="s">
        <v>25</v>
      </c>
      <c r="CX662" t="s">
        <v>25</v>
      </c>
      <c r="CY662" t="s">
        <v>25</v>
      </c>
      <c r="CZ662" t="s">
        <v>25</v>
      </c>
      <c r="DA662" t="s">
        <v>25</v>
      </c>
      <c r="DB662" t="s">
        <v>25</v>
      </c>
      <c r="DC662" t="s">
        <v>25</v>
      </c>
      <c r="DD662" t="s">
        <v>25</v>
      </c>
      <c r="DE662" t="s">
        <v>25</v>
      </c>
      <c r="DF662" t="s">
        <v>25</v>
      </c>
      <c r="DG662" t="s">
        <v>25</v>
      </c>
      <c r="DH662" t="s">
        <v>25</v>
      </c>
      <c r="DI662" t="s">
        <v>25</v>
      </c>
      <c r="DJ662" s="76">
        <v>1.00000004749745E-3</v>
      </c>
      <c r="DK662" s="73">
        <v>1</v>
      </c>
      <c r="DL662" s="73">
        <v>1</v>
      </c>
      <c r="DM662" s="73">
        <v>0</v>
      </c>
      <c r="DU662"/>
      <c r="DZ662" s="73">
        <v>0</v>
      </c>
      <c r="EA662" s="73">
        <v>0</v>
      </c>
      <c r="EB662" s="73">
        <v>0</v>
      </c>
    </row>
    <row r="663" spans="1:133" ht="12" customHeight="1" x14ac:dyDescent="0.2">
      <c r="A663" t="s">
        <v>2937</v>
      </c>
      <c r="B663" t="s">
        <v>2946</v>
      </c>
      <c r="C663" t="str">
        <f t="shared" si="32"/>
        <v>Full</v>
      </c>
      <c r="E663" s="65">
        <v>6452</v>
      </c>
      <c r="F663" t="s">
        <v>2335</v>
      </c>
      <c r="G663" s="71" t="s">
        <v>2904</v>
      </c>
      <c r="H663" s="67">
        <v>3.4000001847744002E-2</v>
      </c>
      <c r="I663" s="65">
        <v>526112</v>
      </c>
      <c r="J663" s="65">
        <v>172454</v>
      </c>
      <c r="L663" s="65" t="s">
        <v>2336</v>
      </c>
      <c r="M663" s="65" t="s">
        <v>27</v>
      </c>
      <c r="N663" s="69">
        <v>42877</v>
      </c>
      <c r="O663" s="69">
        <v>43063</v>
      </c>
      <c r="P663" s="65" t="s">
        <v>126</v>
      </c>
      <c r="R663" s="65" t="s">
        <v>28</v>
      </c>
      <c r="U663" t="s">
        <v>2337</v>
      </c>
      <c r="V663" t="s">
        <v>3615</v>
      </c>
      <c r="W663" s="65" t="s">
        <v>29</v>
      </c>
      <c r="X663" s="65" t="s">
        <v>29</v>
      </c>
      <c r="Y663" s="65" t="s">
        <v>69</v>
      </c>
      <c r="AD663" s="65" t="s">
        <v>23</v>
      </c>
      <c r="AE663" s="65" t="s">
        <v>24</v>
      </c>
      <c r="AJ663" s="73">
        <v>204</v>
      </c>
      <c r="AO663" s="73">
        <v>204</v>
      </c>
      <c r="AZ663" s="73">
        <v>214</v>
      </c>
      <c r="BE663" s="73">
        <v>214</v>
      </c>
      <c r="BO663" s="185" t="s">
        <v>126</v>
      </c>
      <c r="BP663" s="185" t="s">
        <v>3794</v>
      </c>
      <c r="BQ663" s="185" t="s">
        <v>3794</v>
      </c>
      <c r="BR663" s="73">
        <v>-10</v>
      </c>
      <c r="BW663" s="73">
        <v>-10</v>
      </c>
      <c r="BY663" s="185" t="s">
        <v>3794</v>
      </c>
      <c r="CJ663" t="s">
        <v>31</v>
      </c>
      <c r="CK663" t="s">
        <v>25</v>
      </c>
      <c r="CL663" t="s">
        <v>25</v>
      </c>
      <c r="CM663" t="s">
        <v>25</v>
      </c>
      <c r="CN663" t="s">
        <v>25</v>
      </c>
      <c r="CO663" t="s">
        <v>25</v>
      </c>
      <c r="CP663" t="s">
        <v>25</v>
      </c>
      <c r="CQ663" t="s">
        <v>25</v>
      </c>
      <c r="CR663" t="s">
        <v>25</v>
      </c>
      <c r="CS663" t="s">
        <v>25</v>
      </c>
      <c r="CT663" t="s">
        <v>25</v>
      </c>
      <c r="CU663" t="s">
        <v>25</v>
      </c>
      <c r="CV663" t="s">
        <v>25</v>
      </c>
      <c r="CW663" t="s">
        <v>31</v>
      </c>
      <c r="CX663" t="s">
        <v>25</v>
      </c>
      <c r="CY663" t="s">
        <v>25</v>
      </c>
      <c r="CZ663" t="s">
        <v>25</v>
      </c>
      <c r="DA663" t="s">
        <v>25</v>
      </c>
      <c r="DB663" t="s">
        <v>25</v>
      </c>
      <c r="DC663" t="s">
        <v>25</v>
      </c>
      <c r="DD663" t="s">
        <v>25</v>
      </c>
      <c r="DE663" t="s">
        <v>25</v>
      </c>
      <c r="DF663" t="s">
        <v>25</v>
      </c>
      <c r="DG663" t="s">
        <v>25</v>
      </c>
      <c r="DH663" t="s">
        <v>25</v>
      </c>
      <c r="DI663" t="s">
        <v>25</v>
      </c>
      <c r="DJ663" s="76">
        <v>9.0000014752150033E-3</v>
      </c>
      <c r="DK663" s="73">
        <v>204</v>
      </c>
      <c r="DL663" s="73">
        <v>214</v>
      </c>
      <c r="DM663" s="73">
        <v>-10</v>
      </c>
      <c r="DU663"/>
      <c r="DZ663" s="73">
        <v>566</v>
      </c>
      <c r="EA663" s="73">
        <v>0</v>
      </c>
      <c r="EB663" s="73">
        <v>566</v>
      </c>
      <c r="EC663" s="65" t="s">
        <v>126</v>
      </c>
    </row>
    <row r="664" spans="1:133" ht="12" customHeight="1" x14ac:dyDescent="0.2">
      <c r="A664" t="s">
        <v>2937</v>
      </c>
      <c r="B664" t="s">
        <v>2948</v>
      </c>
      <c r="C664" t="str">
        <f t="shared" si="32"/>
        <v>Prior Approval</v>
      </c>
      <c r="E664" s="65">
        <v>6453</v>
      </c>
      <c r="F664" t="s">
        <v>2338</v>
      </c>
      <c r="G664" s="71" t="s">
        <v>3951</v>
      </c>
      <c r="H664" s="67">
        <v>1.09999999403954E-2</v>
      </c>
      <c r="I664" s="65">
        <v>527506</v>
      </c>
      <c r="J664" s="65">
        <v>171531</v>
      </c>
      <c r="K664" s="65" t="s">
        <v>1824</v>
      </c>
      <c r="L664" s="65" t="s">
        <v>1145</v>
      </c>
      <c r="M664" s="65" t="s">
        <v>243</v>
      </c>
      <c r="N664" s="69">
        <v>42734</v>
      </c>
      <c r="O664" s="69">
        <v>42740</v>
      </c>
      <c r="R664" s="65" t="s">
        <v>28</v>
      </c>
      <c r="U664" t="s">
        <v>1146</v>
      </c>
      <c r="V664" t="s">
        <v>3616</v>
      </c>
      <c r="W664" s="65" t="s">
        <v>21</v>
      </c>
      <c r="X664" s="65" t="s">
        <v>21</v>
      </c>
      <c r="Y664" s="65" t="s">
        <v>69</v>
      </c>
      <c r="AD664" s="65" t="s">
        <v>23</v>
      </c>
      <c r="AE664" s="65" t="s">
        <v>24</v>
      </c>
      <c r="AL664" s="73">
        <v>149</v>
      </c>
      <c r="AO664" s="73">
        <v>149</v>
      </c>
      <c r="AZ664" s="73">
        <v>149</v>
      </c>
      <c r="BE664" s="73">
        <v>149</v>
      </c>
      <c r="BO664" s="185" t="s">
        <v>126</v>
      </c>
      <c r="BP664" s="185" t="s">
        <v>3794</v>
      </c>
      <c r="BQ664" s="185" t="s">
        <v>3794</v>
      </c>
      <c r="BR664" s="73">
        <v>-149</v>
      </c>
      <c r="BT664" s="73">
        <v>149</v>
      </c>
      <c r="BW664" s="73"/>
      <c r="BY664" s="185" t="s">
        <v>3794</v>
      </c>
      <c r="CJ664" t="s">
        <v>25</v>
      </c>
      <c r="CK664" t="s">
        <v>25</v>
      </c>
      <c r="CL664" t="s">
        <v>38</v>
      </c>
      <c r="CM664" t="s">
        <v>25</v>
      </c>
      <c r="CN664" t="s">
        <v>25</v>
      </c>
      <c r="CO664" t="s">
        <v>25</v>
      </c>
      <c r="CP664" t="s">
        <v>25</v>
      </c>
      <c r="CQ664" t="s">
        <v>25</v>
      </c>
      <c r="CR664" t="s">
        <v>25</v>
      </c>
      <c r="CS664" t="s">
        <v>25</v>
      </c>
      <c r="CT664" t="s">
        <v>25</v>
      </c>
      <c r="CU664" t="s">
        <v>25</v>
      </c>
      <c r="CV664" t="s">
        <v>25</v>
      </c>
      <c r="CW664" t="s">
        <v>31</v>
      </c>
      <c r="CX664" t="s">
        <v>25</v>
      </c>
      <c r="CY664" t="s">
        <v>25</v>
      </c>
      <c r="CZ664" t="s">
        <v>25</v>
      </c>
      <c r="DA664" t="s">
        <v>25</v>
      </c>
      <c r="DB664" t="s">
        <v>25</v>
      </c>
      <c r="DC664" t="s">
        <v>25</v>
      </c>
      <c r="DD664" t="s">
        <v>25</v>
      </c>
      <c r="DE664" t="s">
        <v>25</v>
      </c>
      <c r="DF664" t="s">
        <v>25</v>
      </c>
      <c r="DG664" t="s">
        <v>25</v>
      </c>
      <c r="DH664" t="s">
        <v>25</v>
      </c>
      <c r="DI664" t="s">
        <v>25</v>
      </c>
      <c r="DJ664" s="76">
        <v>1.09999999403954E-2</v>
      </c>
      <c r="DK664" s="73">
        <v>149</v>
      </c>
      <c r="DL664" s="73">
        <v>149</v>
      </c>
      <c r="DM664" s="73">
        <v>0</v>
      </c>
      <c r="DU664"/>
      <c r="DV664" s="65" t="s">
        <v>126</v>
      </c>
      <c r="DW664" t="s">
        <v>150</v>
      </c>
      <c r="DZ664" s="73">
        <v>0</v>
      </c>
      <c r="EA664" s="73">
        <v>0</v>
      </c>
      <c r="EB664" s="73">
        <v>0</v>
      </c>
    </row>
    <row r="665" spans="1:133" ht="12" customHeight="1" x14ac:dyDescent="0.2">
      <c r="A665" t="s">
        <v>2936</v>
      </c>
      <c r="B665" t="s">
        <v>2946</v>
      </c>
      <c r="C665" t="str">
        <f t="shared" si="32"/>
        <v>Full</v>
      </c>
      <c r="D665" t="s">
        <v>2943</v>
      </c>
      <c r="E665" s="65">
        <v>6454</v>
      </c>
      <c r="F665" t="s">
        <v>2339</v>
      </c>
      <c r="G665" s="71" t="s">
        <v>2907</v>
      </c>
      <c r="H665" s="67">
        <v>1.8999999389052401E-2</v>
      </c>
      <c r="I665" s="65">
        <v>525376</v>
      </c>
      <c r="J665" s="65">
        <v>174617</v>
      </c>
      <c r="L665" s="65" t="s">
        <v>1117</v>
      </c>
      <c r="M665" s="65" t="s">
        <v>27</v>
      </c>
      <c r="N665" s="69">
        <v>42669</v>
      </c>
      <c r="O665" s="69">
        <v>42725</v>
      </c>
      <c r="R665" s="65" t="s">
        <v>28</v>
      </c>
      <c r="U665" t="s">
        <v>1118</v>
      </c>
      <c r="V665" t="s">
        <v>3617</v>
      </c>
      <c r="W665" s="65" t="s">
        <v>21</v>
      </c>
      <c r="X665" s="65" t="s">
        <v>21</v>
      </c>
      <c r="Y665" s="65" t="s">
        <v>35</v>
      </c>
      <c r="AA665" s="69">
        <v>42826</v>
      </c>
      <c r="AB665" s="69">
        <v>43190</v>
      </c>
      <c r="AC665" s="69">
        <v>43190</v>
      </c>
      <c r="AD665" s="65" t="s">
        <v>23</v>
      </c>
      <c r="AE665" s="65" t="s">
        <v>24</v>
      </c>
      <c r="AH665" s="69">
        <f t="shared" si="30"/>
        <v>42826</v>
      </c>
      <c r="AI665" s="69">
        <f t="shared" si="31"/>
        <v>43190</v>
      </c>
      <c r="AP665" s="73">
        <v>270</v>
      </c>
      <c r="AS665" s="73">
        <v>270</v>
      </c>
      <c r="AV665" s="73">
        <v>270</v>
      </c>
      <c r="BB665" s="73">
        <v>270</v>
      </c>
      <c r="BE665" s="73">
        <v>270</v>
      </c>
      <c r="BO665" s="185" t="s">
        <v>126</v>
      </c>
      <c r="BP665" s="185" t="s">
        <v>126</v>
      </c>
      <c r="BQ665" s="185" t="s">
        <v>3794</v>
      </c>
      <c r="BT665" s="73">
        <v>-270</v>
      </c>
      <c r="BW665" s="73">
        <v>-270</v>
      </c>
      <c r="BX665" s="73">
        <v>270</v>
      </c>
      <c r="BY665" s="185" t="s">
        <v>3794</v>
      </c>
      <c r="CD665" s="73">
        <v>270</v>
      </c>
      <c r="CJ665" t="s">
        <v>25</v>
      </c>
      <c r="CK665" t="s">
        <v>25</v>
      </c>
      <c r="CL665" t="s">
        <v>25</v>
      </c>
      <c r="CM665" t="s">
        <v>25</v>
      </c>
      <c r="CN665" t="s">
        <v>25</v>
      </c>
      <c r="CO665" t="s">
        <v>31</v>
      </c>
      <c r="CP665" t="s">
        <v>25</v>
      </c>
      <c r="CQ665" t="s">
        <v>25</v>
      </c>
      <c r="CR665" t="s">
        <v>25</v>
      </c>
      <c r="CS665" t="s">
        <v>25</v>
      </c>
      <c r="CT665" t="s">
        <v>25</v>
      </c>
      <c r="CU665" t="s">
        <v>25</v>
      </c>
      <c r="CV665" t="s">
        <v>25</v>
      </c>
      <c r="CW665" t="s">
        <v>25</v>
      </c>
      <c r="CX665" t="s">
        <v>25</v>
      </c>
      <c r="CY665" t="s">
        <v>47</v>
      </c>
      <c r="CZ665" t="s">
        <v>25</v>
      </c>
      <c r="DA665" t="s">
        <v>25</v>
      </c>
      <c r="DB665" t="s">
        <v>25</v>
      </c>
      <c r="DC665" t="s">
        <v>25</v>
      </c>
      <c r="DD665" t="s">
        <v>25</v>
      </c>
      <c r="DE665" t="s">
        <v>25</v>
      </c>
      <c r="DF665" t="s">
        <v>25</v>
      </c>
      <c r="DG665" t="s">
        <v>25</v>
      </c>
      <c r="DH665" t="s">
        <v>25</v>
      </c>
      <c r="DI665" t="s">
        <v>25</v>
      </c>
      <c r="DJ665" s="76">
        <v>1.8999999389052401E-2</v>
      </c>
      <c r="DK665" s="73">
        <v>270</v>
      </c>
      <c r="DL665" s="73">
        <v>270</v>
      </c>
      <c r="DM665" s="73">
        <v>0</v>
      </c>
      <c r="DU665"/>
      <c r="DV665" s="65" t="s">
        <v>126</v>
      </c>
      <c r="DW665" t="s">
        <v>151</v>
      </c>
      <c r="DZ665" s="73">
        <v>0</v>
      </c>
      <c r="EA665" s="73">
        <v>0</v>
      </c>
      <c r="EB665" s="73">
        <v>0</v>
      </c>
    </row>
    <row r="666" spans="1:133" ht="12" customHeight="1" x14ac:dyDescent="0.2">
      <c r="A666" t="s">
        <v>2937</v>
      </c>
      <c r="B666" t="s">
        <v>2946</v>
      </c>
      <c r="C666" t="str">
        <f t="shared" si="32"/>
        <v>Full</v>
      </c>
      <c r="E666" s="65">
        <v>6458</v>
      </c>
      <c r="F666" t="s">
        <v>2340</v>
      </c>
      <c r="G666" s="71" t="s">
        <v>3943</v>
      </c>
      <c r="H666" s="67">
        <v>1.09999999403954E-2</v>
      </c>
      <c r="I666" s="65">
        <v>527397</v>
      </c>
      <c r="J666" s="65">
        <v>176362</v>
      </c>
      <c r="L666" s="65" t="s">
        <v>881</v>
      </c>
      <c r="M666" s="65" t="s">
        <v>27</v>
      </c>
      <c r="N666" s="69">
        <v>42508</v>
      </c>
      <c r="O666" s="69">
        <v>42564</v>
      </c>
      <c r="R666" s="65" t="s">
        <v>28</v>
      </c>
      <c r="U666" t="s">
        <v>882</v>
      </c>
      <c r="V666" t="s">
        <v>3257</v>
      </c>
      <c r="W666" s="65" t="s">
        <v>39</v>
      </c>
      <c r="X666" s="65" t="s">
        <v>39</v>
      </c>
      <c r="Y666" s="65" t="s">
        <v>69</v>
      </c>
      <c r="AD666" s="65" t="s">
        <v>23</v>
      </c>
      <c r="AE666" s="65" t="s">
        <v>24</v>
      </c>
      <c r="AJ666" s="73">
        <v>6</v>
      </c>
      <c r="AO666" s="73">
        <v>6</v>
      </c>
      <c r="BO666" s="185" t="s">
        <v>126</v>
      </c>
      <c r="BP666" s="185" t="s">
        <v>3794</v>
      </c>
      <c r="BQ666" s="185" t="s">
        <v>3794</v>
      </c>
      <c r="BR666" s="73">
        <v>6</v>
      </c>
      <c r="BW666" s="73">
        <v>6</v>
      </c>
      <c r="BY666" s="185" t="s">
        <v>3794</v>
      </c>
      <c r="CJ666" t="s">
        <v>40</v>
      </c>
      <c r="CK666" t="s">
        <v>25</v>
      </c>
      <c r="CL666" t="s">
        <v>25</v>
      </c>
      <c r="CM666" t="s">
        <v>25</v>
      </c>
      <c r="CN666" t="s">
        <v>25</v>
      </c>
      <c r="CO666" t="s">
        <v>25</v>
      </c>
      <c r="CP666" t="s">
        <v>25</v>
      </c>
      <c r="CQ666" t="s">
        <v>25</v>
      </c>
      <c r="CR666" t="s">
        <v>25</v>
      </c>
      <c r="CS666" t="s">
        <v>25</v>
      </c>
      <c r="CT666" t="s">
        <v>25</v>
      </c>
      <c r="CU666" t="s">
        <v>25</v>
      </c>
      <c r="CV666" t="s">
        <v>25</v>
      </c>
      <c r="CW666" t="s">
        <v>25</v>
      </c>
      <c r="CX666" t="s">
        <v>25</v>
      </c>
      <c r="CY666" t="s">
        <v>25</v>
      </c>
      <c r="CZ666" t="s">
        <v>25</v>
      </c>
      <c r="DA666" t="s">
        <v>25</v>
      </c>
      <c r="DB666" t="s">
        <v>25</v>
      </c>
      <c r="DC666" t="s">
        <v>25</v>
      </c>
      <c r="DD666" t="s">
        <v>25</v>
      </c>
      <c r="DE666" t="s">
        <v>25</v>
      </c>
      <c r="DF666" t="s">
        <v>25</v>
      </c>
      <c r="DG666" t="s">
        <v>25</v>
      </c>
      <c r="DH666" t="s">
        <v>25</v>
      </c>
      <c r="DI666" t="s">
        <v>25</v>
      </c>
      <c r="DJ666" s="76">
        <v>1.09999999403954E-2</v>
      </c>
      <c r="DK666" s="73">
        <v>6</v>
      </c>
      <c r="DL666" s="73">
        <v>0</v>
      </c>
      <c r="DM666" s="73">
        <v>6</v>
      </c>
      <c r="DU666"/>
      <c r="DX666" s="65" t="s">
        <v>126</v>
      </c>
      <c r="DY666" t="s">
        <v>36</v>
      </c>
      <c r="DZ666" s="73">
        <v>0</v>
      </c>
      <c r="EA666" s="73">
        <v>0</v>
      </c>
      <c r="EB666" s="73">
        <v>0</v>
      </c>
    </row>
    <row r="667" spans="1:133" ht="12" customHeight="1" x14ac:dyDescent="0.2">
      <c r="A667" t="s">
        <v>2935</v>
      </c>
      <c r="B667" t="s">
        <v>2946</v>
      </c>
      <c r="C667" t="str">
        <f t="shared" si="32"/>
        <v>Full</v>
      </c>
      <c r="E667" s="65">
        <v>6459</v>
      </c>
      <c r="F667" t="s">
        <v>2341</v>
      </c>
      <c r="G667" s="71" t="s">
        <v>3950</v>
      </c>
      <c r="H667" s="67">
        <v>9.9999997764825804E-3</v>
      </c>
      <c r="I667" s="65">
        <v>528880</v>
      </c>
      <c r="J667" s="65">
        <v>171106</v>
      </c>
      <c r="L667" s="65" t="s">
        <v>904</v>
      </c>
      <c r="M667" s="65" t="s">
        <v>27</v>
      </c>
      <c r="N667" s="69">
        <v>42523</v>
      </c>
      <c r="O667" s="69">
        <v>42579</v>
      </c>
      <c r="R667" s="65" t="s">
        <v>28</v>
      </c>
      <c r="U667" t="s">
        <v>663</v>
      </c>
      <c r="V667" t="s">
        <v>3257</v>
      </c>
      <c r="W667" s="65" t="s">
        <v>39</v>
      </c>
      <c r="X667" s="65" t="s">
        <v>39</v>
      </c>
      <c r="Y667" s="65" t="s">
        <v>30</v>
      </c>
      <c r="AA667" s="69">
        <v>43190</v>
      </c>
      <c r="AD667" s="65" t="s">
        <v>23</v>
      </c>
      <c r="AE667" s="65" t="s">
        <v>24</v>
      </c>
      <c r="AH667" s="69">
        <f t="shared" si="30"/>
        <v>43190</v>
      </c>
      <c r="AJ667" s="73">
        <v>9</v>
      </c>
      <c r="AO667" s="73">
        <v>9</v>
      </c>
      <c r="BO667" s="185" t="s">
        <v>126</v>
      </c>
      <c r="BP667" s="185" t="s">
        <v>3794</v>
      </c>
      <c r="BQ667" s="185" t="s">
        <v>3794</v>
      </c>
      <c r="BR667" s="73">
        <v>9</v>
      </c>
      <c r="BW667" s="73">
        <v>9</v>
      </c>
      <c r="BY667" s="185" t="s">
        <v>3794</v>
      </c>
      <c r="CJ667" t="s">
        <v>40</v>
      </c>
      <c r="CK667" t="s">
        <v>25</v>
      </c>
      <c r="CL667" t="s">
        <v>25</v>
      </c>
      <c r="CM667" t="s">
        <v>25</v>
      </c>
      <c r="CN667" t="s">
        <v>25</v>
      </c>
      <c r="CO667" t="s">
        <v>25</v>
      </c>
      <c r="CP667" t="s">
        <v>25</v>
      </c>
      <c r="CQ667" t="s">
        <v>25</v>
      </c>
      <c r="CR667" t="s">
        <v>25</v>
      </c>
      <c r="CS667" t="s">
        <v>25</v>
      </c>
      <c r="CT667" t="s">
        <v>25</v>
      </c>
      <c r="CU667" t="s">
        <v>25</v>
      </c>
      <c r="CV667" t="s">
        <v>25</v>
      </c>
      <c r="CW667" t="s">
        <v>25</v>
      </c>
      <c r="CX667" t="s">
        <v>25</v>
      </c>
      <c r="CY667" t="s">
        <v>25</v>
      </c>
      <c r="CZ667" t="s">
        <v>25</v>
      </c>
      <c r="DA667" t="s">
        <v>25</v>
      </c>
      <c r="DB667" t="s">
        <v>25</v>
      </c>
      <c r="DC667" t="s">
        <v>25</v>
      </c>
      <c r="DD667" t="s">
        <v>25</v>
      </c>
      <c r="DE667" t="s">
        <v>25</v>
      </c>
      <c r="DF667" t="s">
        <v>25</v>
      </c>
      <c r="DG667" t="s">
        <v>25</v>
      </c>
      <c r="DH667" t="s">
        <v>25</v>
      </c>
      <c r="DI667" t="s">
        <v>25</v>
      </c>
      <c r="DJ667" s="76">
        <v>9.9999997764825804E-3</v>
      </c>
      <c r="DK667" s="73">
        <v>9</v>
      </c>
      <c r="DL667" s="73">
        <v>0</v>
      </c>
      <c r="DM667" s="73">
        <v>9</v>
      </c>
      <c r="DU667"/>
      <c r="DZ667" s="73">
        <v>0</v>
      </c>
      <c r="EA667" s="73">
        <v>0</v>
      </c>
      <c r="EB667" s="73">
        <v>0</v>
      </c>
    </row>
    <row r="668" spans="1:133" ht="12" customHeight="1" x14ac:dyDescent="0.2">
      <c r="A668" t="s">
        <v>2935</v>
      </c>
      <c r="B668" t="s">
        <v>2946</v>
      </c>
      <c r="C668" t="str">
        <f t="shared" si="32"/>
        <v>Full</v>
      </c>
      <c r="E668" s="65">
        <v>6460</v>
      </c>
      <c r="F668" t="s">
        <v>2342</v>
      </c>
      <c r="G668" s="71" t="s">
        <v>2907</v>
      </c>
      <c r="H668" s="67">
        <v>8.0000003799796104E-3</v>
      </c>
      <c r="I668" s="65">
        <v>524993</v>
      </c>
      <c r="J668" s="65">
        <v>173124</v>
      </c>
      <c r="L668" s="65" t="s">
        <v>883</v>
      </c>
      <c r="M668" s="65" t="s">
        <v>27</v>
      </c>
      <c r="N668" s="69">
        <v>42523</v>
      </c>
      <c r="O668" s="69">
        <v>42601</v>
      </c>
      <c r="R668" s="65" t="s">
        <v>28</v>
      </c>
      <c r="U668" t="s">
        <v>884</v>
      </c>
      <c r="V668" t="s">
        <v>3618</v>
      </c>
      <c r="W668" s="65" t="s">
        <v>39</v>
      </c>
      <c r="X668" s="65" t="s">
        <v>39</v>
      </c>
      <c r="Y668" s="65" t="s">
        <v>30</v>
      </c>
      <c r="AA668" s="69">
        <v>42783</v>
      </c>
      <c r="AD668" s="65" t="s">
        <v>23</v>
      </c>
      <c r="AE668" s="65" t="s">
        <v>24</v>
      </c>
      <c r="AH668" s="69">
        <f t="shared" si="30"/>
        <v>42783</v>
      </c>
      <c r="BO668" s="185" t="s">
        <v>3794</v>
      </c>
      <c r="BP668" s="185" t="s">
        <v>3794</v>
      </c>
      <c r="BQ668" s="185" t="s">
        <v>3794</v>
      </c>
      <c r="BW668" s="73"/>
      <c r="BY668" s="185" t="s">
        <v>3794</v>
      </c>
      <c r="CJ668" t="s">
        <v>25</v>
      </c>
      <c r="CK668" t="s">
        <v>25</v>
      </c>
      <c r="CL668" t="s">
        <v>25</v>
      </c>
      <c r="CM668" t="s">
        <v>25</v>
      </c>
      <c r="CN668" t="s">
        <v>25</v>
      </c>
      <c r="CO668" t="s">
        <v>25</v>
      </c>
      <c r="CP668" t="s">
        <v>25</v>
      </c>
      <c r="CQ668" t="s">
        <v>25</v>
      </c>
      <c r="CR668" t="s">
        <v>25</v>
      </c>
      <c r="CS668" t="s">
        <v>25</v>
      </c>
      <c r="CT668" t="s">
        <v>25</v>
      </c>
      <c r="CU668" t="s">
        <v>25</v>
      </c>
      <c r="CV668" t="s">
        <v>25</v>
      </c>
      <c r="CW668" t="s">
        <v>25</v>
      </c>
      <c r="CX668" t="s">
        <v>25</v>
      </c>
      <c r="CY668" t="s">
        <v>25</v>
      </c>
      <c r="CZ668" t="s">
        <v>25</v>
      </c>
      <c r="DA668" t="s">
        <v>25</v>
      </c>
      <c r="DB668" t="s">
        <v>25</v>
      </c>
      <c r="DC668" t="s">
        <v>25</v>
      </c>
      <c r="DD668" t="s">
        <v>25</v>
      </c>
      <c r="DE668" t="s">
        <v>25</v>
      </c>
      <c r="DF668" t="s">
        <v>25</v>
      </c>
      <c r="DG668" t="s">
        <v>25</v>
      </c>
      <c r="DH668" t="s">
        <v>25</v>
      </c>
      <c r="DI668" t="s">
        <v>25</v>
      </c>
      <c r="DJ668" s="76">
        <v>8.0000003799796104E-3</v>
      </c>
      <c r="DK668" s="73">
        <v>50</v>
      </c>
      <c r="DL668" s="73">
        <v>0</v>
      </c>
      <c r="DM668" s="73">
        <v>50</v>
      </c>
      <c r="DU668"/>
      <c r="DZ668" s="73">
        <v>0</v>
      </c>
      <c r="EA668" s="73">
        <v>0</v>
      </c>
      <c r="EB668" s="73">
        <v>0</v>
      </c>
    </row>
    <row r="669" spans="1:133" ht="12" customHeight="1" x14ac:dyDescent="0.2">
      <c r="A669" t="s">
        <v>2937</v>
      </c>
      <c r="B669" t="s">
        <v>2946</v>
      </c>
      <c r="C669" t="str">
        <f t="shared" si="32"/>
        <v>Full</v>
      </c>
      <c r="E669" s="65">
        <v>6460</v>
      </c>
      <c r="F669" t="s">
        <v>2342</v>
      </c>
      <c r="G669" s="71" t="s">
        <v>2907</v>
      </c>
      <c r="H669" s="67">
        <v>8.0000003799796104E-3</v>
      </c>
      <c r="I669" s="65">
        <v>524993</v>
      </c>
      <c r="J669" s="65">
        <v>173124</v>
      </c>
      <c r="L669" s="65" t="s">
        <v>2343</v>
      </c>
      <c r="M669" s="65" t="s">
        <v>27</v>
      </c>
      <c r="N669" s="69">
        <v>42977</v>
      </c>
      <c r="O669" s="69">
        <v>43033</v>
      </c>
      <c r="P669" s="65" t="s">
        <v>126</v>
      </c>
      <c r="R669" s="65" t="s">
        <v>28</v>
      </c>
      <c r="U669" t="s">
        <v>2344</v>
      </c>
      <c r="V669" t="s">
        <v>3619</v>
      </c>
      <c r="W669" s="65" t="s">
        <v>34</v>
      </c>
      <c r="X669" s="65" t="s">
        <v>29</v>
      </c>
      <c r="Y669" s="65" t="s">
        <v>69</v>
      </c>
      <c r="AD669" s="65" t="s">
        <v>23</v>
      </c>
      <c r="AE669" s="65" t="s">
        <v>24</v>
      </c>
      <c r="AZ669" s="73">
        <v>93</v>
      </c>
      <c r="BE669" s="73">
        <v>93</v>
      </c>
      <c r="BO669" s="185" t="s">
        <v>126</v>
      </c>
      <c r="BP669" s="185" t="s">
        <v>3794</v>
      </c>
      <c r="BQ669" s="185" t="s">
        <v>3794</v>
      </c>
      <c r="BR669" s="73">
        <v>-93</v>
      </c>
      <c r="BW669" s="73">
        <v>-93</v>
      </c>
      <c r="BY669" s="185" t="s">
        <v>3794</v>
      </c>
      <c r="CJ669" t="s">
        <v>25</v>
      </c>
      <c r="CK669" t="s">
        <v>25</v>
      </c>
      <c r="CL669" t="s">
        <v>25</v>
      </c>
      <c r="CM669" t="s">
        <v>25</v>
      </c>
      <c r="CN669" t="s">
        <v>25</v>
      </c>
      <c r="CO669" t="s">
        <v>25</v>
      </c>
      <c r="CP669" t="s">
        <v>25</v>
      </c>
      <c r="CQ669" t="s">
        <v>25</v>
      </c>
      <c r="CR669" t="s">
        <v>25</v>
      </c>
      <c r="CS669" t="s">
        <v>25</v>
      </c>
      <c r="CT669" t="s">
        <v>25</v>
      </c>
      <c r="CU669" t="s">
        <v>25</v>
      </c>
      <c r="CV669" t="s">
        <v>25</v>
      </c>
      <c r="CW669" t="s">
        <v>40</v>
      </c>
      <c r="CX669" t="s">
        <v>25</v>
      </c>
      <c r="CY669" t="s">
        <v>25</v>
      </c>
      <c r="CZ669" t="s">
        <v>25</v>
      </c>
      <c r="DA669" t="s">
        <v>25</v>
      </c>
      <c r="DB669" t="s">
        <v>25</v>
      </c>
      <c r="DC669" t="s">
        <v>25</v>
      </c>
      <c r="DD669" t="s">
        <v>25</v>
      </c>
      <c r="DE669" t="s">
        <v>25</v>
      </c>
      <c r="DF669" t="s">
        <v>25</v>
      </c>
      <c r="DG669" t="s">
        <v>25</v>
      </c>
      <c r="DH669" t="s">
        <v>25</v>
      </c>
      <c r="DI669" t="s">
        <v>25</v>
      </c>
      <c r="DJ669" s="76">
        <v>0</v>
      </c>
      <c r="DK669" s="73">
        <v>0</v>
      </c>
      <c r="DL669" s="73">
        <v>93</v>
      </c>
      <c r="DM669" s="73">
        <v>-93</v>
      </c>
      <c r="DU669"/>
      <c r="DZ669" s="73">
        <v>93</v>
      </c>
      <c r="EA669" s="73">
        <v>0</v>
      </c>
      <c r="EB669" s="73">
        <v>93</v>
      </c>
      <c r="EC669" s="65" t="s">
        <v>126</v>
      </c>
    </row>
    <row r="670" spans="1:133" ht="12" customHeight="1" x14ac:dyDescent="0.2">
      <c r="A670" t="s">
        <v>2936</v>
      </c>
      <c r="B670" t="s">
        <v>2946</v>
      </c>
      <c r="C670" t="str">
        <f t="shared" si="32"/>
        <v>Full</v>
      </c>
      <c r="D670" t="s">
        <v>2942</v>
      </c>
      <c r="E670" s="65">
        <v>6461</v>
      </c>
      <c r="F670" t="s">
        <v>2345</v>
      </c>
      <c r="G670" s="71" t="s">
        <v>2907</v>
      </c>
      <c r="H670" s="67">
        <v>7.69999995827675E-2</v>
      </c>
      <c r="I670" s="65">
        <v>525397</v>
      </c>
      <c r="J670" s="65">
        <v>173615</v>
      </c>
      <c r="L670" s="65" t="s">
        <v>810</v>
      </c>
      <c r="M670" s="65" t="s">
        <v>27</v>
      </c>
      <c r="N670" s="69">
        <v>42416</v>
      </c>
      <c r="O670" s="69">
        <v>42473</v>
      </c>
      <c r="R670" s="65" t="s">
        <v>28</v>
      </c>
      <c r="U670" t="s">
        <v>811</v>
      </c>
      <c r="V670" t="s">
        <v>3620</v>
      </c>
      <c r="W670" s="65" t="s">
        <v>39</v>
      </c>
      <c r="X670" s="65" t="s">
        <v>39</v>
      </c>
      <c r="Y670" s="65" t="s">
        <v>22</v>
      </c>
      <c r="AA670" s="69">
        <v>42826</v>
      </c>
      <c r="AB670" s="69">
        <v>43190</v>
      </c>
      <c r="AD670" s="65" t="s">
        <v>23</v>
      </c>
      <c r="AE670" s="65" t="s">
        <v>24</v>
      </c>
      <c r="AH670" s="69">
        <f t="shared" si="30"/>
        <v>42826</v>
      </c>
      <c r="AI670" s="69">
        <f t="shared" si="31"/>
        <v>43190</v>
      </c>
      <c r="AR670" s="73">
        <v>80</v>
      </c>
      <c r="AS670" s="73">
        <v>80</v>
      </c>
      <c r="AV670" s="73">
        <v>80</v>
      </c>
      <c r="BO670" s="185" t="s">
        <v>3794</v>
      </c>
      <c r="BP670" s="185" t="s">
        <v>126</v>
      </c>
      <c r="BQ670" s="185" t="s">
        <v>3794</v>
      </c>
      <c r="BW670" s="73"/>
      <c r="BY670" s="185" t="s">
        <v>3794</v>
      </c>
      <c r="CA670" s="73">
        <v>80</v>
      </c>
      <c r="CD670" s="73">
        <v>80</v>
      </c>
      <c r="CJ670" t="s">
        <v>25</v>
      </c>
      <c r="CK670" t="s">
        <v>25</v>
      </c>
      <c r="CL670" t="s">
        <v>25</v>
      </c>
      <c r="CM670" t="s">
        <v>25</v>
      </c>
      <c r="CN670" t="s">
        <v>25</v>
      </c>
      <c r="CO670" t="s">
        <v>25</v>
      </c>
      <c r="CP670" t="s">
        <v>25</v>
      </c>
      <c r="CQ670" t="s">
        <v>51</v>
      </c>
      <c r="CR670" t="s">
        <v>25</v>
      </c>
      <c r="CS670" t="s">
        <v>25</v>
      </c>
      <c r="CT670" t="s">
        <v>25</v>
      </c>
      <c r="CU670" t="s">
        <v>25</v>
      </c>
      <c r="CV670" t="s">
        <v>25</v>
      </c>
      <c r="CW670" t="s">
        <v>25</v>
      </c>
      <c r="CX670" t="s">
        <v>25</v>
      </c>
      <c r="CY670" t="s">
        <v>25</v>
      </c>
      <c r="CZ670" t="s">
        <v>25</v>
      </c>
      <c r="DA670" t="s">
        <v>25</v>
      </c>
      <c r="DB670" t="s">
        <v>25</v>
      </c>
      <c r="DC670" t="s">
        <v>25</v>
      </c>
      <c r="DD670" t="s">
        <v>25</v>
      </c>
      <c r="DE670" t="s">
        <v>25</v>
      </c>
      <c r="DF670" t="s">
        <v>25</v>
      </c>
      <c r="DG670" t="s">
        <v>25</v>
      </c>
      <c r="DH670" t="s">
        <v>25</v>
      </c>
      <c r="DI670" t="s">
        <v>25</v>
      </c>
      <c r="DJ670" s="76">
        <v>7.69999995827675E-2</v>
      </c>
      <c r="DK670" s="73">
        <v>80</v>
      </c>
      <c r="DL670" s="73">
        <v>0</v>
      </c>
      <c r="DM670" s="73">
        <v>80</v>
      </c>
      <c r="DQ670" s="65" t="s">
        <v>126</v>
      </c>
      <c r="DR670" t="s">
        <v>179</v>
      </c>
      <c r="DU670"/>
      <c r="DZ670" s="73">
        <v>0</v>
      </c>
      <c r="EA670" s="73">
        <v>0</v>
      </c>
      <c r="EB670" s="73">
        <v>0</v>
      </c>
    </row>
    <row r="671" spans="1:133" ht="12" customHeight="1" x14ac:dyDescent="0.2">
      <c r="A671" t="s">
        <v>2936</v>
      </c>
      <c r="B671" t="s">
        <v>2946</v>
      </c>
      <c r="C671" t="str">
        <f t="shared" si="32"/>
        <v>Full</v>
      </c>
      <c r="D671" t="s">
        <v>2943</v>
      </c>
      <c r="E671" s="65">
        <v>6462</v>
      </c>
      <c r="F671" t="s">
        <v>2346</v>
      </c>
      <c r="G671" s="71" t="s">
        <v>2904</v>
      </c>
      <c r="H671" s="67">
        <v>1.2000000104308101E-2</v>
      </c>
      <c r="I671" s="65">
        <v>526097</v>
      </c>
      <c r="J671" s="65">
        <v>172943</v>
      </c>
      <c r="L671" s="65" t="s">
        <v>662</v>
      </c>
      <c r="M671" s="65" t="s">
        <v>27</v>
      </c>
      <c r="N671" s="69">
        <v>42487</v>
      </c>
      <c r="O671" s="69">
        <v>42537</v>
      </c>
      <c r="R671" s="65" t="s">
        <v>28</v>
      </c>
      <c r="U671" t="s">
        <v>663</v>
      </c>
      <c r="V671" t="s">
        <v>3257</v>
      </c>
      <c r="W671" s="65" t="s">
        <v>39</v>
      </c>
      <c r="X671" s="65" t="s">
        <v>39</v>
      </c>
      <c r="Y671" s="65" t="s">
        <v>35</v>
      </c>
      <c r="AA671" s="69">
        <v>42586</v>
      </c>
      <c r="AB671" s="69">
        <v>42957</v>
      </c>
      <c r="AC671" s="69">
        <v>42957</v>
      </c>
      <c r="AD671" s="65" t="s">
        <v>23</v>
      </c>
      <c r="AE671" s="65" t="s">
        <v>24</v>
      </c>
      <c r="AH671" s="69">
        <f t="shared" si="30"/>
        <v>42586</v>
      </c>
      <c r="AI671" s="69">
        <f t="shared" si="31"/>
        <v>42957</v>
      </c>
      <c r="AJ671" s="73">
        <v>37</v>
      </c>
      <c r="AO671" s="73">
        <v>37</v>
      </c>
      <c r="BO671" s="185" t="s">
        <v>126</v>
      </c>
      <c r="BP671" s="185" t="s">
        <v>3794</v>
      </c>
      <c r="BQ671" s="185" t="s">
        <v>3794</v>
      </c>
      <c r="BR671" s="73">
        <v>37</v>
      </c>
      <c r="BW671" s="73">
        <v>37</v>
      </c>
      <c r="BY671" s="185" t="s">
        <v>3794</v>
      </c>
      <c r="CJ671" t="s">
        <v>46</v>
      </c>
      <c r="CK671" t="s">
        <v>25</v>
      </c>
      <c r="CL671" t="s">
        <v>25</v>
      </c>
      <c r="CM671" t="s">
        <v>25</v>
      </c>
      <c r="CN671" t="s">
        <v>25</v>
      </c>
      <c r="CO671" t="s">
        <v>25</v>
      </c>
      <c r="CP671" t="s">
        <v>25</v>
      </c>
      <c r="CQ671" t="s">
        <v>25</v>
      </c>
      <c r="CR671" t="s">
        <v>25</v>
      </c>
      <c r="CS671" t="s">
        <v>25</v>
      </c>
      <c r="CT671" t="s">
        <v>25</v>
      </c>
      <c r="CU671" t="s">
        <v>25</v>
      </c>
      <c r="CV671" t="s">
        <v>25</v>
      </c>
      <c r="CW671" t="s">
        <v>25</v>
      </c>
      <c r="CX671" t="s">
        <v>25</v>
      </c>
      <c r="CY671" t="s">
        <v>25</v>
      </c>
      <c r="CZ671" t="s">
        <v>25</v>
      </c>
      <c r="DA671" t="s">
        <v>25</v>
      </c>
      <c r="DB671" t="s">
        <v>25</v>
      </c>
      <c r="DC671" t="s">
        <v>25</v>
      </c>
      <c r="DD671" t="s">
        <v>25</v>
      </c>
      <c r="DE671" t="s">
        <v>25</v>
      </c>
      <c r="DF671" t="s">
        <v>25</v>
      </c>
      <c r="DG671" t="s">
        <v>25</v>
      </c>
      <c r="DH671" t="s">
        <v>25</v>
      </c>
      <c r="DI671" t="s">
        <v>25</v>
      </c>
      <c r="DJ671" s="76">
        <v>1.2000000104308101E-2</v>
      </c>
      <c r="DK671" s="73">
        <v>37</v>
      </c>
      <c r="DL671" s="73">
        <v>0</v>
      </c>
      <c r="DM671" s="73">
        <v>37</v>
      </c>
      <c r="DU671"/>
      <c r="DX671" s="65" t="s">
        <v>126</v>
      </c>
      <c r="DY671" t="s">
        <v>2904</v>
      </c>
      <c r="DZ671" s="73">
        <v>0</v>
      </c>
      <c r="EA671" s="73">
        <v>0</v>
      </c>
      <c r="EB671" s="73">
        <v>0</v>
      </c>
    </row>
    <row r="672" spans="1:133" ht="12" customHeight="1" x14ac:dyDescent="0.2">
      <c r="A672" t="s">
        <v>2937</v>
      </c>
      <c r="B672" t="s">
        <v>2946</v>
      </c>
      <c r="C672" t="str">
        <f t="shared" si="32"/>
        <v>Full</v>
      </c>
      <c r="E672" s="65">
        <v>6466</v>
      </c>
      <c r="F672" t="s">
        <v>2347</v>
      </c>
      <c r="G672" s="71" t="s">
        <v>150</v>
      </c>
      <c r="H672" s="67">
        <v>1.4000000432133701E-2</v>
      </c>
      <c r="I672" s="65">
        <v>527402</v>
      </c>
      <c r="J672" s="65">
        <v>171436</v>
      </c>
      <c r="L672" s="65" t="s">
        <v>830</v>
      </c>
      <c r="M672" s="65" t="s">
        <v>27</v>
      </c>
      <c r="N672" s="69">
        <v>42461</v>
      </c>
      <c r="O672" s="69">
        <v>42517</v>
      </c>
      <c r="R672" s="65" t="s">
        <v>28</v>
      </c>
      <c r="U672" t="s">
        <v>831</v>
      </c>
      <c r="V672" t="s">
        <v>3621</v>
      </c>
      <c r="W672" s="65" t="s">
        <v>29</v>
      </c>
      <c r="X672" s="65" t="s">
        <v>29</v>
      </c>
      <c r="Y672" s="65" t="s">
        <v>69</v>
      </c>
      <c r="AD672" s="65" t="s">
        <v>23</v>
      </c>
      <c r="AE672" s="65" t="s">
        <v>24</v>
      </c>
      <c r="AK672" s="73">
        <v>11</v>
      </c>
      <c r="AO672" s="73">
        <v>11</v>
      </c>
      <c r="BO672" s="185" t="s">
        <v>126</v>
      </c>
      <c r="BP672" s="185" t="s">
        <v>3794</v>
      </c>
      <c r="BQ672" s="185" t="s">
        <v>3794</v>
      </c>
      <c r="BS672" s="73">
        <v>11</v>
      </c>
      <c r="BW672" s="73">
        <v>11</v>
      </c>
      <c r="BY672" s="185" t="s">
        <v>3794</v>
      </c>
      <c r="CJ672" t="s">
        <v>25</v>
      </c>
      <c r="CK672" t="s">
        <v>31</v>
      </c>
      <c r="CL672" t="s">
        <v>25</v>
      </c>
      <c r="CM672" t="s">
        <v>25</v>
      </c>
      <c r="CN672" t="s">
        <v>25</v>
      </c>
      <c r="CO672" t="s">
        <v>25</v>
      </c>
      <c r="CP672" t="s">
        <v>25</v>
      </c>
      <c r="CQ672" t="s">
        <v>25</v>
      </c>
      <c r="CR672" t="s">
        <v>25</v>
      </c>
      <c r="CS672" t="s">
        <v>25</v>
      </c>
      <c r="CT672" t="s">
        <v>25</v>
      </c>
      <c r="CU672" t="s">
        <v>25</v>
      </c>
      <c r="CV672" t="s">
        <v>25</v>
      </c>
      <c r="CW672" t="s">
        <v>25</v>
      </c>
      <c r="CX672" t="s">
        <v>25</v>
      </c>
      <c r="CY672" t="s">
        <v>25</v>
      </c>
      <c r="CZ672" t="s">
        <v>25</v>
      </c>
      <c r="DA672" t="s">
        <v>25</v>
      </c>
      <c r="DB672" t="s">
        <v>25</v>
      </c>
      <c r="DC672" t="s">
        <v>25</v>
      </c>
      <c r="DD672" t="s">
        <v>25</v>
      </c>
      <c r="DE672" t="s">
        <v>25</v>
      </c>
      <c r="DF672" t="s">
        <v>25</v>
      </c>
      <c r="DG672" t="s">
        <v>25</v>
      </c>
      <c r="DH672" t="s">
        <v>25</v>
      </c>
      <c r="DI672" t="s">
        <v>25</v>
      </c>
      <c r="DJ672" s="76">
        <v>1.4000000432133701E-2</v>
      </c>
      <c r="DK672" s="73">
        <v>11</v>
      </c>
      <c r="DL672" s="73">
        <v>0</v>
      </c>
      <c r="DM672" s="73">
        <v>11</v>
      </c>
      <c r="DU672"/>
      <c r="DV672" s="65" t="s">
        <v>126</v>
      </c>
      <c r="DW672" t="s">
        <v>150</v>
      </c>
      <c r="DZ672" s="73">
        <v>0</v>
      </c>
      <c r="EA672" s="73">
        <v>0</v>
      </c>
      <c r="EB672" s="73">
        <v>0</v>
      </c>
    </row>
    <row r="673" spans="1:133" ht="12" customHeight="1" x14ac:dyDescent="0.2">
      <c r="A673" t="s">
        <v>2937</v>
      </c>
      <c r="B673" t="s">
        <v>2946</v>
      </c>
      <c r="C673" t="str">
        <f t="shared" si="32"/>
        <v>Full</v>
      </c>
      <c r="E673" s="65">
        <v>6471</v>
      </c>
      <c r="F673" t="s">
        <v>2348</v>
      </c>
      <c r="G673" s="71" t="s">
        <v>150</v>
      </c>
      <c r="H673" s="67">
        <v>1.30000002682209E-2</v>
      </c>
      <c r="I673" s="65">
        <v>527847</v>
      </c>
      <c r="J673" s="65">
        <v>172224</v>
      </c>
      <c r="L673" s="65" t="s">
        <v>721</v>
      </c>
      <c r="M673" s="65" t="s">
        <v>27</v>
      </c>
      <c r="N673" s="69">
        <v>42012</v>
      </c>
      <c r="O673" s="69">
        <v>42067</v>
      </c>
      <c r="R673" s="65" t="s">
        <v>28</v>
      </c>
      <c r="U673" t="s">
        <v>722</v>
      </c>
      <c r="V673" t="s">
        <v>3622</v>
      </c>
      <c r="W673" s="65" t="s">
        <v>39</v>
      </c>
      <c r="X673" s="65" t="s">
        <v>39</v>
      </c>
      <c r="Y673" s="65" t="s">
        <v>69</v>
      </c>
      <c r="AD673" s="65" t="s">
        <v>23</v>
      </c>
      <c r="AE673" s="65" t="s">
        <v>24</v>
      </c>
      <c r="AL673" s="73">
        <v>9</v>
      </c>
      <c r="AO673" s="73">
        <v>9</v>
      </c>
      <c r="BO673" s="185" t="s">
        <v>126</v>
      </c>
      <c r="BP673" s="185" t="s">
        <v>3794</v>
      </c>
      <c r="BQ673" s="185" t="s">
        <v>3794</v>
      </c>
      <c r="BT673" s="73">
        <v>9</v>
      </c>
      <c r="BW673" s="73">
        <v>9</v>
      </c>
      <c r="BY673" s="185" t="s">
        <v>3794</v>
      </c>
      <c r="CJ673" t="s">
        <v>25</v>
      </c>
      <c r="CK673" t="s">
        <v>25</v>
      </c>
      <c r="CL673" t="s">
        <v>38</v>
      </c>
      <c r="CM673" t="s">
        <v>25</v>
      </c>
      <c r="CN673" t="s">
        <v>25</v>
      </c>
      <c r="CO673" t="s">
        <v>25</v>
      </c>
      <c r="CP673" t="s">
        <v>25</v>
      </c>
      <c r="CQ673" t="s">
        <v>25</v>
      </c>
      <c r="CR673" t="s">
        <v>25</v>
      </c>
      <c r="CS673" t="s">
        <v>25</v>
      </c>
      <c r="CT673" t="s">
        <v>25</v>
      </c>
      <c r="CU673" t="s">
        <v>25</v>
      </c>
      <c r="CV673" t="s">
        <v>25</v>
      </c>
      <c r="CW673" t="s">
        <v>25</v>
      </c>
      <c r="CX673" t="s">
        <v>25</v>
      </c>
      <c r="CY673" t="s">
        <v>25</v>
      </c>
      <c r="CZ673" t="s">
        <v>25</v>
      </c>
      <c r="DA673" t="s">
        <v>25</v>
      </c>
      <c r="DB673" t="s">
        <v>25</v>
      </c>
      <c r="DC673" t="s">
        <v>25</v>
      </c>
      <c r="DD673" t="s">
        <v>25</v>
      </c>
      <c r="DE673" t="s">
        <v>25</v>
      </c>
      <c r="DF673" t="s">
        <v>25</v>
      </c>
      <c r="DG673" t="s">
        <v>25</v>
      </c>
      <c r="DH673" t="s">
        <v>25</v>
      </c>
      <c r="DI673" t="s">
        <v>25</v>
      </c>
      <c r="DJ673" s="76">
        <v>1.30000002682209E-2</v>
      </c>
      <c r="DK673" s="73">
        <v>9</v>
      </c>
      <c r="DL673" s="73">
        <v>0</v>
      </c>
      <c r="DM673" s="73">
        <v>9</v>
      </c>
      <c r="DU673"/>
      <c r="DZ673" s="73">
        <v>0</v>
      </c>
      <c r="EA673" s="73">
        <v>0</v>
      </c>
      <c r="EB673" s="73">
        <v>0</v>
      </c>
    </row>
    <row r="674" spans="1:133" ht="12" customHeight="1" x14ac:dyDescent="0.2">
      <c r="A674" t="s">
        <v>2935</v>
      </c>
      <c r="B674" t="s">
        <v>2946</v>
      </c>
      <c r="C674" t="str">
        <f t="shared" si="32"/>
        <v>Full</v>
      </c>
      <c r="E674" s="65">
        <v>6472</v>
      </c>
      <c r="F674" t="s">
        <v>2349</v>
      </c>
      <c r="G674" s="71" t="s">
        <v>3951</v>
      </c>
      <c r="H674" s="67">
        <v>8.6999997496604906E-2</v>
      </c>
      <c r="I674" s="65">
        <v>527866</v>
      </c>
      <c r="J674" s="65">
        <v>171090</v>
      </c>
      <c r="L674" s="65" t="s">
        <v>727</v>
      </c>
      <c r="M674" s="65" t="s">
        <v>27</v>
      </c>
      <c r="N674" s="69">
        <v>42037</v>
      </c>
      <c r="O674" s="69">
        <v>42093</v>
      </c>
      <c r="R674" s="65" t="s">
        <v>28</v>
      </c>
      <c r="U674" t="s">
        <v>728</v>
      </c>
      <c r="V674" t="s">
        <v>3623</v>
      </c>
      <c r="W674" s="65" t="s">
        <v>39</v>
      </c>
      <c r="X674" s="65" t="s">
        <v>39</v>
      </c>
      <c r="Y674" s="65" t="s">
        <v>30</v>
      </c>
      <c r="AA674" s="69">
        <v>43190</v>
      </c>
      <c r="AD674" s="65" t="s">
        <v>23</v>
      </c>
      <c r="AE674" s="65" t="s">
        <v>24</v>
      </c>
      <c r="AH674" s="69">
        <f t="shared" si="30"/>
        <v>43190</v>
      </c>
      <c r="AR674" s="73">
        <v>97</v>
      </c>
      <c r="AS674" s="73">
        <v>97</v>
      </c>
      <c r="AV674" s="73">
        <v>97</v>
      </c>
      <c r="BO674" s="185" t="s">
        <v>3794</v>
      </c>
      <c r="BP674" s="185" t="s">
        <v>126</v>
      </c>
      <c r="BQ674" s="185" t="s">
        <v>3794</v>
      </c>
      <c r="BW674" s="73"/>
      <c r="BY674" s="185" t="s">
        <v>3794</v>
      </c>
      <c r="CA674" s="73">
        <v>97</v>
      </c>
      <c r="CD674" s="73">
        <v>97</v>
      </c>
      <c r="CJ674" t="s">
        <v>25</v>
      </c>
      <c r="CK674" t="s">
        <v>25</v>
      </c>
      <c r="CL674" t="s">
        <v>25</v>
      </c>
      <c r="CM674" t="s">
        <v>25</v>
      </c>
      <c r="CN674" t="s">
        <v>25</v>
      </c>
      <c r="CO674" t="s">
        <v>25</v>
      </c>
      <c r="CP674" t="s">
        <v>25</v>
      </c>
      <c r="CQ674" t="s">
        <v>51</v>
      </c>
      <c r="CR674" t="s">
        <v>25</v>
      </c>
      <c r="CS674" t="s">
        <v>25</v>
      </c>
      <c r="CT674" t="s">
        <v>25</v>
      </c>
      <c r="CU674" t="s">
        <v>25</v>
      </c>
      <c r="CV674" t="s">
        <v>25</v>
      </c>
      <c r="CW674" t="s">
        <v>25</v>
      </c>
      <c r="CX674" t="s">
        <v>25</v>
      </c>
      <c r="CY674" t="s">
        <v>25</v>
      </c>
      <c r="CZ674" t="s">
        <v>25</v>
      </c>
      <c r="DA674" t="s">
        <v>25</v>
      </c>
      <c r="DB674" t="s">
        <v>25</v>
      </c>
      <c r="DC674" t="s">
        <v>25</v>
      </c>
      <c r="DD674" t="s">
        <v>25</v>
      </c>
      <c r="DE674" t="s">
        <v>25</v>
      </c>
      <c r="DF674" t="s">
        <v>25</v>
      </c>
      <c r="DG674" t="s">
        <v>25</v>
      </c>
      <c r="DH674" t="s">
        <v>25</v>
      </c>
      <c r="DI674" t="s">
        <v>25</v>
      </c>
      <c r="DJ674" s="76">
        <v>8.6999997496604906E-2</v>
      </c>
      <c r="DK674" s="73">
        <v>97</v>
      </c>
      <c r="DL674" s="73">
        <v>0</v>
      </c>
      <c r="DM674" s="73">
        <v>97</v>
      </c>
      <c r="DU674"/>
      <c r="DV674" s="65" t="s">
        <v>126</v>
      </c>
      <c r="DW674" t="s">
        <v>150</v>
      </c>
      <c r="DZ674" s="73">
        <v>0</v>
      </c>
      <c r="EA674" s="73">
        <v>0</v>
      </c>
      <c r="EB674" s="73">
        <v>0</v>
      </c>
    </row>
    <row r="675" spans="1:133" ht="12" customHeight="1" x14ac:dyDescent="0.2">
      <c r="A675" t="s">
        <v>2937</v>
      </c>
      <c r="B675" t="s">
        <v>2946</v>
      </c>
      <c r="C675" t="str">
        <f t="shared" si="32"/>
        <v>Full</v>
      </c>
      <c r="E675" s="65">
        <v>6475</v>
      </c>
      <c r="F675" t="s">
        <v>2350</v>
      </c>
      <c r="G675" s="71" t="s">
        <v>3947</v>
      </c>
      <c r="H675" s="67">
        <v>0.12399999797344199</v>
      </c>
      <c r="I675" s="65">
        <v>529973</v>
      </c>
      <c r="J675" s="65">
        <v>177525</v>
      </c>
      <c r="L675" s="65" t="s">
        <v>1007</v>
      </c>
      <c r="M675" s="65" t="s">
        <v>27</v>
      </c>
      <c r="N675" s="69">
        <v>42585</v>
      </c>
      <c r="O675" s="69">
        <v>42653</v>
      </c>
      <c r="R675" s="65" t="s">
        <v>28</v>
      </c>
      <c r="U675" t="s">
        <v>1008</v>
      </c>
      <c r="V675" t="s">
        <v>3624</v>
      </c>
      <c r="W675" s="65" t="s">
        <v>29</v>
      </c>
      <c r="X675" s="65" t="s">
        <v>29</v>
      </c>
      <c r="Y675" s="65" t="s">
        <v>59</v>
      </c>
      <c r="AD675" s="65" t="s">
        <v>23</v>
      </c>
      <c r="AE675" s="65" t="s">
        <v>24</v>
      </c>
      <c r="BO675" s="185" t="s">
        <v>3794</v>
      </c>
      <c r="BP675" s="185" t="s">
        <v>3794</v>
      </c>
      <c r="BQ675" s="185" t="s">
        <v>3794</v>
      </c>
      <c r="BW675" s="73"/>
      <c r="BY675" s="185" t="s">
        <v>3794</v>
      </c>
      <c r="CJ675" t="s">
        <v>25</v>
      </c>
      <c r="CK675" t="s">
        <v>25</v>
      </c>
      <c r="CL675" t="s">
        <v>25</v>
      </c>
      <c r="CM675" t="s">
        <v>25</v>
      </c>
      <c r="CN675" t="s">
        <v>25</v>
      </c>
      <c r="CO675" t="s">
        <v>25</v>
      </c>
      <c r="CP675" t="s">
        <v>25</v>
      </c>
      <c r="CQ675" t="s">
        <v>25</v>
      </c>
      <c r="CR675" t="s">
        <v>25</v>
      </c>
      <c r="CS675" t="s">
        <v>25</v>
      </c>
      <c r="CT675" t="s">
        <v>25</v>
      </c>
      <c r="CU675" t="s">
        <v>25</v>
      </c>
      <c r="CV675" t="s">
        <v>25</v>
      </c>
      <c r="CW675" t="s">
        <v>25</v>
      </c>
      <c r="CX675" t="s">
        <v>25</v>
      </c>
      <c r="CY675" t="s">
        <v>25</v>
      </c>
      <c r="CZ675" t="s">
        <v>25</v>
      </c>
      <c r="DA675" t="s">
        <v>25</v>
      </c>
      <c r="DB675" t="s">
        <v>25</v>
      </c>
      <c r="DC675" t="s">
        <v>25</v>
      </c>
      <c r="DD675" t="s">
        <v>25</v>
      </c>
      <c r="DE675" t="s">
        <v>25</v>
      </c>
      <c r="DF675" t="s">
        <v>25</v>
      </c>
      <c r="DG675" t="s">
        <v>25</v>
      </c>
      <c r="DH675" t="s">
        <v>25</v>
      </c>
      <c r="DI675" t="s">
        <v>25</v>
      </c>
      <c r="DJ675" s="76">
        <v>0.12399999797344199</v>
      </c>
      <c r="DK675" s="73">
        <v>695</v>
      </c>
      <c r="DL675" s="73">
        <v>0</v>
      </c>
      <c r="DM675" s="73">
        <v>695</v>
      </c>
      <c r="DU675" s="65" t="s">
        <v>126</v>
      </c>
      <c r="DZ675" s="73">
        <v>0</v>
      </c>
      <c r="EA675" s="73">
        <v>0</v>
      </c>
      <c r="EB675" s="73">
        <v>0</v>
      </c>
    </row>
    <row r="676" spans="1:133" ht="12" customHeight="1" x14ac:dyDescent="0.2">
      <c r="A676" t="s">
        <v>2938</v>
      </c>
      <c r="B676" t="s">
        <v>2945</v>
      </c>
      <c r="C676" t="str">
        <f t="shared" si="32"/>
        <v>Pending Legal Agreement</v>
      </c>
      <c r="E676" s="65">
        <v>6478</v>
      </c>
      <c r="F676" t="s">
        <v>2352</v>
      </c>
      <c r="G676" s="71" t="s">
        <v>3947</v>
      </c>
      <c r="H676" s="67">
        <v>0.38400000333786</v>
      </c>
      <c r="I676" s="65">
        <v>528953</v>
      </c>
      <c r="J676" s="65">
        <v>177092</v>
      </c>
      <c r="L676" s="65" t="s">
        <v>1060</v>
      </c>
      <c r="M676" s="65" t="s">
        <v>228</v>
      </c>
      <c r="N676" s="69">
        <v>42628</v>
      </c>
      <c r="Q676" s="69">
        <v>42936</v>
      </c>
      <c r="R676" s="65" t="s">
        <v>28</v>
      </c>
      <c r="U676" t="s">
        <v>1061</v>
      </c>
      <c r="V676" t="s">
        <v>3625</v>
      </c>
      <c r="W676" s="65" t="s">
        <v>29</v>
      </c>
      <c r="X676" s="65" t="s">
        <v>29</v>
      </c>
      <c r="Y676" s="65" t="s">
        <v>69</v>
      </c>
      <c r="AD676" s="65" t="s">
        <v>173</v>
      </c>
      <c r="AE676" s="65" t="s">
        <v>24</v>
      </c>
      <c r="AJ676" s="73">
        <v>88</v>
      </c>
      <c r="AK676" s="73">
        <v>88</v>
      </c>
      <c r="AL676" s="73">
        <v>88</v>
      </c>
      <c r="AM676" s="73">
        <v>824</v>
      </c>
      <c r="AO676" s="73">
        <v>1088</v>
      </c>
      <c r="AP676" s="73">
        <v>5138</v>
      </c>
      <c r="AS676" s="73">
        <v>5138</v>
      </c>
      <c r="AV676" s="73">
        <v>5138</v>
      </c>
      <c r="BC676" s="73">
        <v>842</v>
      </c>
      <c r="BE676" s="73">
        <v>842</v>
      </c>
      <c r="BF676" s="73">
        <v>2880</v>
      </c>
      <c r="BK676" s="73">
        <v>2880</v>
      </c>
      <c r="BO676" s="185" t="s">
        <v>126</v>
      </c>
      <c r="BP676" s="185" t="s">
        <v>126</v>
      </c>
      <c r="BQ676" s="185" t="s">
        <v>3794</v>
      </c>
      <c r="BR676" s="73">
        <v>88</v>
      </c>
      <c r="BS676" s="73">
        <v>88</v>
      </c>
      <c r="BT676" s="73">
        <v>88</v>
      </c>
      <c r="BU676" s="73">
        <v>-18</v>
      </c>
      <c r="BW676" s="73">
        <v>246</v>
      </c>
      <c r="BX676" s="73">
        <v>2258</v>
      </c>
      <c r="BY676" s="185" t="s">
        <v>3794</v>
      </c>
      <c r="CD676" s="73">
        <v>2258</v>
      </c>
      <c r="CJ676" t="s">
        <v>31</v>
      </c>
      <c r="CK676" t="s">
        <v>31</v>
      </c>
      <c r="CL676" t="s">
        <v>38</v>
      </c>
      <c r="CM676" t="s">
        <v>71</v>
      </c>
      <c r="CN676" t="s">
        <v>25</v>
      </c>
      <c r="CO676" t="s">
        <v>31</v>
      </c>
      <c r="CP676" t="s">
        <v>25</v>
      </c>
      <c r="CQ676" t="s">
        <v>25</v>
      </c>
      <c r="CR676" t="s">
        <v>25</v>
      </c>
      <c r="CS676" t="s">
        <v>25</v>
      </c>
      <c r="CT676" t="s">
        <v>25</v>
      </c>
      <c r="CU676" t="s">
        <v>25</v>
      </c>
      <c r="CV676" t="s">
        <v>25</v>
      </c>
      <c r="CW676" t="s">
        <v>25</v>
      </c>
      <c r="CX676" t="s">
        <v>25</v>
      </c>
      <c r="CY676" t="s">
        <v>25</v>
      </c>
      <c r="CZ676" t="s">
        <v>71</v>
      </c>
      <c r="DA676" t="s">
        <v>25</v>
      </c>
      <c r="DB676" t="s">
        <v>49</v>
      </c>
      <c r="DC676" t="s">
        <v>25</v>
      </c>
      <c r="DD676" t="s">
        <v>25</v>
      </c>
      <c r="DE676" t="s">
        <v>25</v>
      </c>
      <c r="DF676" t="s">
        <v>25</v>
      </c>
      <c r="DG676" t="s">
        <v>25</v>
      </c>
      <c r="DH676" t="s">
        <v>25</v>
      </c>
      <c r="DI676" t="s">
        <v>25</v>
      </c>
      <c r="DJ676" s="76">
        <v>5.600000917911499E-2</v>
      </c>
      <c r="DK676" s="73">
        <v>6616</v>
      </c>
      <c r="DL676" s="73">
        <v>3722</v>
      </c>
      <c r="DM676" s="73">
        <v>2894</v>
      </c>
      <c r="DU676" s="65" t="s">
        <v>126</v>
      </c>
      <c r="DZ676" s="73">
        <v>17633</v>
      </c>
      <c r="EA676" s="73">
        <v>0</v>
      </c>
      <c r="EB676" s="73">
        <v>17633</v>
      </c>
      <c r="EC676" s="65" t="s">
        <v>126</v>
      </c>
    </row>
    <row r="677" spans="1:133" ht="12" customHeight="1" x14ac:dyDescent="0.2">
      <c r="A677" t="s">
        <v>2937</v>
      </c>
      <c r="B677" t="s">
        <v>2946</v>
      </c>
      <c r="C677" t="str">
        <f t="shared" si="32"/>
        <v>Full</v>
      </c>
      <c r="E677" s="65">
        <v>6479</v>
      </c>
      <c r="F677" t="s">
        <v>2353</v>
      </c>
      <c r="G677" s="71" t="s">
        <v>3945</v>
      </c>
      <c r="H677" s="67">
        <v>0.40000000596046398</v>
      </c>
      <c r="I677" s="65">
        <v>528125</v>
      </c>
      <c r="J677" s="65">
        <v>175809</v>
      </c>
      <c r="L677" s="65" t="s">
        <v>1076</v>
      </c>
      <c r="M677" s="65" t="s">
        <v>27</v>
      </c>
      <c r="N677" s="69">
        <v>42643</v>
      </c>
      <c r="O677" s="69">
        <v>42761</v>
      </c>
      <c r="R677" s="65" t="s">
        <v>28</v>
      </c>
      <c r="U677" t="s">
        <v>1077</v>
      </c>
      <c r="V677" t="s">
        <v>3626</v>
      </c>
      <c r="W677" s="65" t="s">
        <v>29</v>
      </c>
      <c r="X677" s="65" t="s">
        <v>29</v>
      </c>
      <c r="Y677" s="65" t="s">
        <v>69</v>
      </c>
      <c r="AD677" s="65" t="s">
        <v>23</v>
      </c>
      <c r="AE677" s="65" t="s">
        <v>24</v>
      </c>
      <c r="BO677" s="185" t="s">
        <v>3794</v>
      </c>
      <c r="BP677" s="185" t="s">
        <v>3794</v>
      </c>
      <c r="BQ677" s="185" t="s">
        <v>3794</v>
      </c>
      <c r="BW677" s="73"/>
      <c r="BY677" s="185" t="s">
        <v>3794</v>
      </c>
      <c r="CJ677" t="s">
        <v>25</v>
      </c>
      <c r="CK677" t="s">
        <v>25</v>
      </c>
      <c r="CL677" t="s">
        <v>25</v>
      </c>
      <c r="CM677" t="s">
        <v>25</v>
      </c>
      <c r="CN677" t="s">
        <v>25</v>
      </c>
      <c r="CO677" t="s">
        <v>25</v>
      </c>
      <c r="CP677" t="s">
        <v>25</v>
      </c>
      <c r="CQ677" t="s">
        <v>25</v>
      </c>
      <c r="CR677" t="s">
        <v>25</v>
      </c>
      <c r="CS677" t="s">
        <v>25</v>
      </c>
      <c r="CT677" t="s">
        <v>25</v>
      </c>
      <c r="CU677" t="s">
        <v>25</v>
      </c>
      <c r="CV677" t="s">
        <v>25</v>
      </c>
      <c r="CW677" t="s">
        <v>25</v>
      </c>
      <c r="CX677" t="s">
        <v>25</v>
      </c>
      <c r="CY677" t="s">
        <v>25</v>
      </c>
      <c r="CZ677" t="s">
        <v>25</v>
      </c>
      <c r="DA677" t="s">
        <v>25</v>
      </c>
      <c r="DB677" t="s">
        <v>25</v>
      </c>
      <c r="DC677" t="s">
        <v>25</v>
      </c>
      <c r="DD677" t="s">
        <v>25</v>
      </c>
      <c r="DE677" t="s">
        <v>25</v>
      </c>
      <c r="DF677" t="s">
        <v>25</v>
      </c>
      <c r="DG677" t="s">
        <v>25</v>
      </c>
      <c r="DH677" t="s">
        <v>25</v>
      </c>
      <c r="DI677" t="s">
        <v>25</v>
      </c>
      <c r="DJ677" s="76">
        <v>0</v>
      </c>
      <c r="DK677" s="73">
        <v>0</v>
      </c>
      <c r="DL677" s="73">
        <v>420</v>
      </c>
      <c r="DM677" s="73">
        <v>-420</v>
      </c>
      <c r="DU677"/>
      <c r="DZ677" s="73">
        <v>1661</v>
      </c>
      <c r="EA677" s="73">
        <v>0</v>
      </c>
      <c r="EB677" s="73">
        <v>1661</v>
      </c>
      <c r="EC677" s="65" t="s">
        <v>126</v>
      </c>
    </row>
    <row r="678" spans="1:133" ht="12" customHeight="1" x14ac:dyDescent="0.2">
      <c r="A678" t="s">
        <v>2937</v>
      </c>
      <c r="B678" t="s">
        <v>2946</v>
      </c>
      <c r="C678" t="str">
        <f t="shared" si="32"/>
        <v>Full</v>
      </c>
      <c r="E678" s="65">
        <v>6480</v>
      </c>
      <c r="F678" t="s">
        <v>2354</v>
      </c>
      <c r="G678" s="71" t="s">
        <v>3945</v>
      </c>
      <c r="H678" s="67">
        <v>6.1999998986720997E-2</v>
      </c>
      <c r="I678" s="65">
        <v>528205</v>
      </c>
      <c r="J678" s="65">
        <v>175735</v>
      </c>
      <c r="L678" s="65" t="s">
        <v>1078</v>
      </c>
      <c r="M678" s="65" t="s">
        <v>27</v>
      </c>
      <c r="N678" s="69">
        <v>42643</v>
      </c>
      <c r="O678" s="69">
        <v>42761</v>
      </c>
      <c r="R678" s="65" t="s">
        <v>28</v>
      </c>
      <c r="U678" t="s">
        <v>1079</v>
      </c>
      <c r="V678" t="s">
        <v>3627</v>
      </c>
      <c r="W678" s="65" t="s">
        <v>29</v>
      </c>
      <c r="X678" s="65" t="s">
        <v>29</v>
      </c>
      <c r="Y678" s="65" t="s">
        <v>69</v>
      </c>
      <c r="AD678" s="65" t="s">
        <v>23</v>
      </c>
      <c r="AE678" s="65" t="s">
        <v>24</v>
      </c>
      <c r="BO678" s="185" t="s">
        <v>3794</v>
      </c>
      <c r="BP678" s="185" t="s">
        <v>3794</v>
      </c>
      <c r="BQ678" s="185" t="s">
        <v>3794</v>
      </c>
      <c r="BW678" s="73"/>
      <c r="BY678" s="185" t="s">
        <v>3794</v>
      </c>
      <c r="CJ678" t="s">
        <v>25</v>
      </c>
      <c r="CK678" t="s">
        <v>25</v>
      </c>
      <c r="CL678" t="s">
        <v>25</v>
      </c>
      <c r="CM678" t="s">
        <v>25</v>
      </c>
      <c r="CN678" t="s">
        <v>25</v>
      </c>
      <c r="CO678" t="s">
        <v>25</v>
      </c>
      <c r="CP678" t="s">
        <v>25</v>
      </c>
      <c r="CQ678" t="s">
        <v>25</v>
      </c>
      <c r="CR678" t="s">
        <v>25</v>
      </c>
      <c r="CS678" t="s">
        <v>25</v>
      </c>
      <c r="CT678" t="s">
        <v>25</v>
      </c>
      <c r="CU678" t="s">
        <v>25</v>
      </c>
      <c r="CV678" t="s">
        <v>25</v>
      </c>
      <c r="CW678" t="s">
        <v>25</v>
      </c>
      <c r="CX678" t="s">
        <v>25</v>
      </c>
      <c r="CY678" t="s">
        <v>25</v>
      </c>
      <c r="CZ678" t="s">
        <v>25</v>
      </c>
      <c r="DA678" t="s">
        <v>25</v>
      </c>
      <c r="DB678" t="s">
        <v>25</v>
      </c>
      <c r="DC678" t="s">
        <v>25</v>
      </c>
      <c r="DD678" t="s">
        <v>25</v>
      </c>
      <c r="DE678" t="s">
        <v>25</v>
      </c>
      <c r="DF678" t="s">
        <v>25</v>
      </c>
      <c r="DG678" t="s">
        <v>25</v>
      </c>
      <c r="DH678" t="s">
        <v>25</v>
      </c>
      <c r="DI678" t="s">
        <v>25</v>
      </c>
      <c r="DJ678" s="76">
        <v>0</v>
      </c>
      <c r="DK678" s="73">
        <v>0</v>
      </c>
      <c r="DL678" s="73">
        <v>132</v>
      </c>
      <c r="DM678" s="73">
        <v>-132</v>
      </c>
      <c r="DU678"/>
      <c r="DZ678" s="73">
        <v>309</v>
      </c>
      <c r="EA678" s="73">
        <v>0</v>
      </c>
      <c r="EB678" s="73">
        <v>309</v>
      </c>
      <c r="EC678" s="65" t="s">
        <v>126</v>
      </c>
    </row>
    <row r="679" spans="1:133" ht="12" customHeight="1" x14ac:dyDescent="0.2">
      <c r="A679" t="s">
        <v>2937</v>
      </c>
      <c r="B679" t="s">
        <v>2946</v>
      </c>
      <c r="C679" t="str">
        <f t="shared" si="32"/>
        <v>Full</v>
      </c>
      <c r="E679" s="65">
        <v>6481</v>
      </c>
      <c r="F679" t="s">
        <v>2355</v>
      </c>
      <c r="G679" s="71" t="s">
        <v>3952</v>
      </c>
      <c r="H679" s="67">
        <v>1.7000000923872001E-2</v>
      </c>
      <c r="I679" s="65">
        <v>528408</v>
      </c>
      <c r="J679" s="65">
        <v>173055</v>
      </c>
      <c r="L679" s="65" t="s">
        <v>1101</v>
      </c>
      <c r="M679" s="65" t="s">
        <v>27</v>
      </c>
      <c r="N679" s="69">
        <v>42663</v>
      </c>
      <c r="O679" s="69">
        <v>42879</v>
      </c>
      <c r="P679" s="65" t="s">
        <v>126</v>
      </c>
      <c r="R679" s="65" t="s">
        <v>28</v>
      </c>
      <c r="U679" t="s">
        <v>1102</v>
      </c>
      <c r="V679" t="s">
        <v>3628</v>
      </c>
      <c r="W679" s="65" t="s">
        <v>34</v>
      </c>
      <c r="X679" s="65" t="s">
        <v>29</v>
      </c>
      <c r="Y679" s="65" t="s">
        <v>69</v>
      </c>
      <c r="AD679" s="65" t="s">
        <v>23</v>
      </c>
      <c r="AE679" s="65" t="s">
        <v>24</v>
      </c>
      <c r="AP679" s="73">
        <v>124</v>
      </c>
      <c r="AS679" s="73">
        <v>124</v>
      </c>
      <c r="AV679" s="73">
        <v>124</v>
      </c>
      <c r="BF679" s="73">
        <v>224</v>
      </c>
      <c r="BK679" s="73">
        <v>224</v>
      </c>
      <c r="BO679" s="185" t="s">
        <v>3794</v>
      </c>
      <c r="BP679" s="185" t="s">
        <v>126</v>
      </c>
      <c r="BQ679" s="185" t="s">
        <v>3794</v>
      </c>
      <c r="BW679" s="73"/>
      <c r="BX679" s="73">
        <v>-100</v>
      </c>
      <c r="BY679" s="185" t="s">
        <v>126</v>
      </c>
      <c r="CD679" s="73">
        <v>-100</v>
      </c>
      <c r="CE679" s="65" t="s">
        <v>126</v>
      </c>
      <c r="CJ679" t="s">
        <v>25</v>
      </c>
      <c r="CK679" t="s">
        <v>25</v>
      </c>
      <c r="CL679" t="s">
        <v>25</v>
      </c>
      <c r="CM679" t="s">
        <v>25</v>
      </c>
      <c r="CN679" t="s">
        <v>25</v>
      </c>
      <c r="CO679" t="s">
        <v>49</v>
      </c>
      <c r="CP679" t="s">
        <v>25</v>
      </c>
      <c r="CQ679" t="s">
        <v>25</v>
      </c>
      <c r="CR679" t="s">
        <v>25</v>
      </c>
      <c r="CS679" t="s">
        <v>25</v>
      </c>
      <c r="CT679" t="s">
        <v>25</v>
      </c>
      <c r="CU679" t="s">
        <v>25</v>
      </c>
      <c r="CV679" t="s">
        <v>25</v>
      </c>
      <c r="CW679" t="s">
        <v>25</v>
      </c>
      <c r="CX679" t="s">
        <v>25</v>
      </c>
      <c r="CY679" t="s">
        <v>25</v>
      </c>
      <c r="CZ679" t="s">
        <v>25</v>
      </c>
      <c r="DA679" t="s">
        <v>25</v>
      </c>
      <c r="DB679" t="s">
        <v>49</v>
      </c>
      <c r="DC679" t="s">
        <v>25</v>
      </c>
      <c r="DD679" t="s">
        <v>25</v>
      </c>
      <c r="DE679" t="s">
        <v>25</v>
      </c>
      <c r="DF679" t="s">
        <v>25</v>
      </c>
      <c r="DG679" t="s">
        <v>25</v>
      </c>
      <c r="DH679" t="s">
        <v>25</v>
      </c>
      <c r="DI679" t="s">
        <v>25</v>
      </c>
      <c r="DJ679" s="76">
        <v>4.0000006556511012E-3</v>
      </c>
      <c r="DK679" s="73">
        <v>124</v>
      </c>
      <c r="DL679" s="73">
        <v>224</v>
      </c>
      <c r="DM679" s="73">
        <v>-100</v>
      </c>
      <c r="DU679"/>
      <c r="DZ679" s="73">
        <v>174</v>
      </c>
      <c r="EA679" s="73">
        <v>0</v>
      </c>
      <c r="EB679" s="73">
        <v>174</v>
      </c>
      <c r="EC679" s="65" t="s">
        <v>126</v>
      </c>
    </row>
    <row r="680" spans="1:133" ht="12" customHeight="1" x14ac:dyDescent="0.2">
      <c r="A680" t="s">
        <v>2935</v>
      </c>
      <c r="B680" t="s">
        <v>2948</v>
      </c>
      <c r="C680" t="str">
        <f t="shared" si="32"/>
        <v>Prior Approval</v>
      </c>
      <c r="E680" s="65">
        <v>6486</v>
      </c>
      <c r="F680" t="s">
        <v>2356</v>
      </c>
      <c r="G680" s="71" t="s">
        <v>3947</v>
      </c>
      <c r="H680" s="67">
        <v>6.0000000521540598E-3</v>
      </c>
      <c r="I680" s="65">
        <v>528829</v>
      </c>
      <c r="J680" s="65">
        <v>176973</v>
      </c>
      <c r="L680" s="65" t="s">
        <v>1264</v>
      </c>
      <c r="M680" s="65" t="s">
        <v>244</v>
      </c>
      <c r="N680" s="69">
        <v>42797</v>
      </c>
      <c r="O680" s="69">
        <v>42859</v>
      </c>
      <c r="P680" s="65" t="s">
        <v>126</v>
      </c>
      <c r="R680" s="65" t="s">
        <v>28</v>
      </c>
      <c r="U680" t="s">
        <v>1265</v>
      </c>
      <c r="V680" t="s">
        <v>3629</v>
      </c>
      <c r="W680" s="65" t="s">
        <v>21</v>
      </c>
      <c r="X680" s="65" t="s">
        <v>21</v>
      </c>
      <c r="Y680" s="65" t="s">
        <v>30</v>
      </c>
      <c r="AA680" s="69">
        <v>42859</v>
      </c>
      <c r="AD680" s="65" t="s">
        <v>23</v>
      </c>
      <c r="AE680" s="65" t="s">
        <v>24</v>
      </c>
      <c r="AH680" s="69">
        <f t="shared" si="30"/>
        <v>42859</v>
      </c>
      <c r="AK680" s="73">
        <v>42</v>
      </c>
      <c r="AO680" s="73">
        <v>42</v>
      </c>
      <c r="BA680" s="73">
        <v>136</v>
      </c>
      <c r="BE680" s="73">
        <v>136</v>
      </c>
      <c r="BO680" s="185" t="s">
        <v>126</v>
      </c>
      <c r="BP680" s="185" t="s">
        <v>3794</v>
      </c>
      <c r="BQ680" s="185" t="s">
        <v>3794</v>
      </c>
      <c r="BS680" s="73">
        <v>-94</v>
      </c>
      <c r="BW680" s="73">
        <v>-94</v>
      </c>
      <c r="BY680" s="185" t="s">
        <v>3794</v>
      </c>
      <c r="CJ680" t="s">
        <v>25</v>
      </c>
      <c r="CK680" t="s">
        <v>31</v>
      </c>
      <c r="CL680" t="s">
        <v>25</v>
      </c>
      <c r="CM680" t="s">
        <v>25</v>
      </c>
      <c r="CN680" t="s">
        <v>25</v>
      </c>
      <c r="CO680" t="s">
        <v>25</v>
      </c>
      <c r="CP680" t="s">
        <v>25</v>
      </c>
      <c r="CQ680" t="s">
        <v>25</v>
      </c>
      <c r="CR680" t="s">
        <v>25</v>
      </c>
      <c r="CS680" t="s">
        <v>25</v>
      </c>
      <c r="CT680" t="s">
        <v>25</v>
      </c>
      <c r="CU680" t="s">
        <v>25</v>
      </c>
      <c r="CV680" t="s">
        <v>25</v>
      </c>
      <c r="CW680" t="s">
        <v>25</v>
      </c>
      <c r="CX680" t="s">
        <v>31</v>
      </c>
      <c r="CY680" t="s">
        <v>25</v>
      </c>
      <c r="CZ680" t="s">
        <v>25</v>
      </c>
      <c r="DA680" t="s">
        <v>25</v>
      </c>
      <c r="DB680" t="s">
        <v>25</v>
      </c>
      <c r="DC680" t="s">
        <v>25</v>
      </c>
      <c r="DD680" t="s">
        <v>25</v>
      </c>
      <c r="DE680" t="s">
        <v>25</v>
      </c>
      <c r="DF680" t="s">
        <v>25</v>
      </c>
      <c r="DG680" t="s">
        <v>25</v>
      </c>
      <c r="DH680" t="s">
        <v>25</v>
      </c>
      <c r="DI680" t="s">
        <v>25</v>
      </c>
      <c r="DJ680" s="76">
        <v>1.9999998621642494E-3</v>
      </c>
      <c r="DK680" s="73">
        <v>42</v>
      </c>
      <c r="DL680" s="73">
        <v>136</v>
      </c>
      <c r="DM680" s="73">
        <v>-94</v>
      </c>
      <c r="DU680" s="65" t="s">
        <v>126</v>
      </c>
      <c r="DZ680" s="73">
        <v>94</v>
      </c>
      <c r="EA680" s="73">
        <v>0</v>
      </c>
      <c r="EB680" s="73">
        <v>94</v>
      </c>
      <c r="EC680" s="65" t="s">
        <v>126</v>
      </c>
    </row>
    <row r="681" spans="1:133" ht="12" customHeight="1" x14ac:dyDescent="0.2">
      <c r="A681" t="s">
        <v>2936</v>
      </c>
      <c r="B681" t="s">
        <v>2946</v>
      </c>
      <c r="C681" t="str">
        <f t="shared" si="32"/>
        <v>Full</v>
      </c>
      <c r="D681" t="s">
        <v>2943</v>
      </c>
      <c r="E681" s="65">
        <v>6488</v>
      </c>
      <c r="F681" t="s">
        <v>2357</v>
      </c>
      <c r="G681" s="71" t="s">
        <v>2904</v>
      </c>
      <c r="H681" s="67">
        <v>9.9999997764825804E-3</v>
      </c>
      <c r="I681" s="65">
        <v>525892</v>
      </c>
      <c r="J681" s="65">
        <v>173930</v>
      </c>
      <c r="L681" s="65" t="s">
        <v>2358</v>
      </c>
      <c r="M681" s="65" t="s">
        <v>27</v>
      </c>
      <c r="N681" s="69">
        <v>42913</v>
      </c>
      <c r="O681" s="69">
        <v>42971</v>
      </c>
      <c r="P681" s="65" t="s">
        <v>126</v>
      </c>
      <c r="R681" s="65" t="s">
        <v>28</v>
      </c>
      <c r="U681" t="s">
        <v>2359</v>
      </c>
      <c r="V681" t="s">
        <v>3630</v>
      </c>
      <c r="W681" s="65" t="s">
        <v>34</v>
      </c>
      <c r="X681" s="65" t="s">
        <v>29</v>
      </c>
      <c r="Y681" s="65" t="s">
        <v>35</v>
      </c>
      <c r="AB681" s="69">
        <v>43190</v>
      </c>
      <c r="AC681" s="69">
        <v>43190</v>
      </c>
      <c r="AD681" s="65" t="s">
        <v>23</v>
      </c>
      <c r="AE681" s="65" t="s">
        <v>24</v>
      </c>
      <c r="AI681" s="69">
        <f t="shared" si="31"/>
        <v>43190</v>
      </c>
      <c r="AL681" s="73">
        <v>41</v>
      </c>
      <c r="AO681" s="73">
        <v>41</v>
      </c>
      <c r="BB681" s="73">
        <v>66</v>
      </c>
      <c r="BE681" s="73">
        <v>66</v>
      </c>
      <c r="BO681" s="185" t="s">
        <v>126</v>
      </c>
      <c r="BP681" s="185" t="s">
        <v>3794</v>
      </c>
      <c r="BQ681" s="185" t="s">
        <v>3794</v>
      </c>
      <c r="BT681" s="73">
        <v>-25</v>
      </c>
      <c r="BW681" s="73">
        <v>-25</v>
      </c>
      <c r="BY681" s="185" t="s">
        <v>3794</v>
      </c>
      <c r="CJ681" t="s">
        <v>25</v>
      </c>
      <c r="CK681" t="s">
        <v>25</v>
      </c>
      <c r="CL681" t="s">
        <v>38</v>
      </c>
      <c r="CM681" t="s">
        <v>25</v>
      </c>
      <c r="CN681" t="s">
        <v>25</v>
      </c>
      <c r="CO681" t="s">
        <v>25</v>
      </c>
      <c r="CP681" t="s">
        <v>25</v>
      </c>
      <c r="CQ681" t="s">
        <v>25</v>
      </c>
      <c r="CR681" t="s">
        <v>25</v>
      </c>
      <c r="CS681" t="s">
        <v>25</v>
      </c>
      <c r="CT681" t="s">
        <v>25</v>
      </c>
      <c r="CU681" t="s">
        <v>25</v>
      </c>
      <c r="CV681" t="s">
        <v>25</v>
      </c>
      <c r="CW681" t="s">
        <v>25</v>
      </c>
      <c r="CX681" t="s">
        <v>25</v>
      </c>
      <c r="CY681" t="s">
        <v>47</v>
      </c>
      <c r="CZ681" t="s">
        <v>25</v>
      </c>
      <c r="DA681" t="s">
        <v>25</v>
      </c>
      <c r="DB681" t="s">
        <v>25</v>
      </c>
      <c r="DC681" t="s">
        <v>25</v>
      </c>
      <c r="DD681" t="s">
        <v>25</v>
      </c>
      <c r="DE681" t="s">
        <v>25</v>
      </c>
      <c r="DF681" t="s">
        <v>25</v>
      </c>
      <c r="DG681" t="s">
        <v>25</v>
      </c>
      <c r="DH681" t="s">
        <v>25</v>
      </c>
      <c r="DI681" t="s">
        <v>25</v>
      </c>
      <c r="DJ681" s="76">
        <v>2.9999997932463902E-3</v>
      </c>
      <c r="DK681" s="73">
        <v>41</v>
      </c>
      <c r="DL681" s="73">
        <v>66</v>
      </c>
      <c r="DM681" s="73">
        <v>-25</v>
      </c>
      <c r="DU681"/>
      <c r="DZ681" s="73">
        <v>213</v>
      </c>
      <c r="EA681" s="73">
        <v>150</v>
      </c>
      <c r="EB681" s="73">
        <v>63</v>
      </c>
      <c r="EC681" s="65" t="s">
        <v>126</v>
      </c>
    </row>
    <row r="682" spans="1:133" ht="12" customHeight="1" x14ac:dyDescent="0.2">
      <c r="A682" t="s">
        <v>2937</v>
      </c>
      <c r="B682" t="s">
        <v>2946</v>
      </c>
      <c r="C682" t="str">
        <f t="shared" si="32"/>
        <v>Full</v>
      </c>
      <c r="E682" s="65">
        <v>6495</v>
      </c>
      <c r="F682" t="s">
        <v>2360</v>
      </c>
      <c r="G682" s="71" t="s">
        <v>2907</v>
      </c>
      <c r="H682" s="67">
        <v>2.8999999165535001E-2</v>
      </c>
      <c r="I682" s="65">
        <v>524891</v>
      </c>
      <c r="J682" s="65">
        <v>173680</v>
      </c>
      <c r="L682" s="65" t="s">
        <v>1235</v>
      </c>
      <c r="M682" s="65" t="s">
        <v>27</v>
      </c>
      <c r="N682" s="69">
        <v>42760</v>
      </c>
      <c r="O682" s="69">
        <v>42878</v>
      </c>
      <c r="P682" s="65" t="s">
        <v>126</v>
      </c>
      <c r="R682" s="65" t="s">
        <v>28</v>
      </c>
      <c r="U682" t="s">
        <v>1236</v>
      </c>
      <c r="V682" t="s">
        <v>3631</v>
      </c>
      <c r="W682" s="65" t="s">
        <v>34</v>
      </c>
      <c r="X682" s="65" t="s">
        <v>29</v>
      </c>
      <c r="Y682" s="65" t="s">
        <v>69</v>
      </c>
      <c r="AD682" s="65" t="s">
        <v>23</v>
      </c>
      <c r="AE682" s="65" t="s">
        <v>24</v>
      </c>
      <c r="BA682" s="73">
        <v>59</v>
      </c>
      <c r="BE682" s="73">
        <v>59</v>
      </c>
      <c r="BO682" s="185" t="s">
        <v>126</v>
      </c>
      <c r="BP682" s="185" t="s">
        <v>3794</v>
      </c>
      <c r="BQ682" s="185" t="s">
        <v>3794</v>
      </c>
      <c r="BS682" s="73">
        <v>-59</v>
      </c>
      <c r="BW682" s="73">
        <v>-59</v>
      </c>
      <c r="BY682" s="185" t="s">
        <v>3794</v>
      </c>
      <c r="CJ682" t="s">
        <v>25</v>
      </c>
      <c r="CK682" t="s">
        <v>25</v>
      </c>
      <c r="CL682" t="s">
        <v>25</v>
      </c>
      <c r="CM682" t="s">
        <v>25</v>
      </c>
      <c r="CN682" t="s">
        <v>25</v>
      </c>
      <c r="CO682" t="s">
        <v>25</v>
      </c>
      <c r="CP682" t="s">
        <v>25</v>
      </c>
      <c r="CQ682" t="s">
        <v>25</v>
      </c>
      <c r="CR682" t="s">
        <v>25</v>
      </c>
      <c r="CS682" t="s">
        <v>25</v>
      </c>
      <c r="CT682" t="s">
        <v>25</v>
      </c>
      <c r="CU682" t="s">
        <v>25</v>
      </c>
      <c r="CV682" t="s">
        <v>25</v>
      </c>
      <c r="CW682" t="s">
        <v>25</v>
      </c>
      <c r="CX682" t="s">
        <v>47</v>
      </c>
      <c r="CY682" t="s">
        <v>25</v>
      </c>
      <c r="CZ682" t="s">
        <v>25</v>
      </c>
      <c r="DA682" t="s">
        <v>25</v>
      </c>
      <c r="DB682" t="s">
        <v>25</v>
      </c>
      <c r="DC682" t="s">
        <v>25</v>
      </c>
      <c r="DD682" t="s">
        <v>25</v>
      </c>
      <c r="DE682" t="s">
        <v>25</v>
      </c>
      <c r="DF682" t="s">
        <v>25</v>
      </c>
      <c r="DG682" t="s">
        <v>25</v>
      </c>
      <c r="DH682" t="s">
        <v>25</v>
      </c>
      <c r="DI682" t="s">
        <v>25</v>
      </c>
      <c r="DJ682" s="76">
        <v>0</v>
      </c>
      <c r="DK682" s="73">
        <v>0</v>
      </c>
      <c r="DL682" s="73">
        <v>59</v>
      </c>
      <c r="DM682" s="73">
        <v>-59</v>
      </c>
      <c r="DU682"/>
      <c r="DZ682" s="73">
        <v>71</v>
      </c>
      <c r="EA682" s="73">
        <v>0</v>
      </c>
      <c r="EB682" s="73">
        <v>71</v>
      </c>
      <c r="EC682" s="65" t="s">
        <v>126</v>
      </c>
    </row>
    <row r="683" spans="1:133" ht="12" customHeight="1" x14ac:dyDescent="0.2">
      <c r="A683" t="s">
        <v>2938</v>
      </c>
      <c r="B683" t="s">
        <v>2946</v>
      </c>
      <c r="C683" t="str">
        <f t="shared" si="32"/>
        <v>Full</v>
      </c>
      <c r="E683" s="65">
        <v>6495</v>
      </c>
      <c r="F683" t="s">
        <v>2360</v>
      </c>
      <c r="G683" s="71" t="s">
        <v>2907</v>
      </c>
      <c r="H683" s="67">
        <v>2.8999999165535001E-2</v>
      </c>
      <c r="I683" s="65">
        <v>524891</v>
      </c>
      <c r="J683" s="65">
        <v>173680</v>
      </c>
      <c r="L683" s="65" t="s">
        <v>2361</v>
      </c>
      <c r="M683" s="65" t="s">
        <v>172</v>
      </c>
      <c r="N683" s="69">
        <v>43054</v>
      </c>
      <c r="R683" s="65" t="s">
        <v>28</v>
      </c>
      <c r="U683" t="s">
        <v>2362</v>
      </c>
      <c r="V683" t="s">
        <v>3632</v>
      </c>
      <c r="W683" s="65" t="s">
        <v>29</v>
      </c>
      <c r="X683" s="65" t="s">
        <v>29</v>
      </c>
      <c r="Y683" s="65" t="s">
        <v>69</v>
      </c>
      <c r="AD683" s="65" t="s">
        <v>173</v>
      </c>
      <c r="AE683" s="65" t="s">
        <v>24</v>
      </c>
      <c r="BJ683" s="73">
        <v>29</v>
      </c>
      <c r="BK683" s="73">
        <v>29</v>
      </c>
      <c r="BO683" s="185" t="s">
        <v>3794</v>
      </c>
      <c r="BP683" s="185" t="s">
        <v>126</v>
      </c>
      <c r="BQ683" s="185" t="s">
        <v>3794</v>
      </c>
      <c r="BW683" s="73"/>
      <c r="BY683" s="185" t="s">
        <v>3794</v>
      </c>
      <c r="CC683" s="73">
        <v>-29</v>
      </c>
      <c r="CD683" s="73">
        <v>-29</v>
      </c>
      <c r="CE683" s="65" t="s">
        <v>126</v>
      </c>
      <c r="CJ683" t="s">
        <v>25</v>
      </c>
      <c r="CK683" t="s">
        <v>25</v>
      </c>
      <c r="CL683" t="s">
        <v>25</v>
      </c>
      <c r="CM683" t="s">
        <v>25</v>
      </c>
      <c r="CN683" t="s">
        <v>25</v>
      </c>
      <c r="CO683" t="s">
        <v>25</v>
      </c>
      <c r="CP683" t="s">
        <v>25</v>
      </c>
      <c r="CQ683" t="s">
        <v>25</v>
      </c>
      <c r="CR683" t="s">
        <v>25</v>
      </c>
      <c r="CS683" t="s">
        <v>25</v>
      </c>
      <c r="CT683" t="s">
        <v>25</v>
      </c>
      <c r="CU683" t="s">
        <v>25</v>
      </c>
      <c r="CV683" t="s">
        <v>25</v>
      </c>
      <c r="CW683" t="s">
        <v>25</v>
      </c>
      <c r="CX683" t="s">
        <v>25</v>
      </c>
      <c r="CY683" t="s">
        <v>25</v>
      </c>
      <c r="CZ683" t="s">
        <v>25</v>
      </c>
      <c r="DA683" t="s">
        <v>25</v>
      </c>
      <c r="DB683" t="s">
        <v>25</v>
      </c>
      <c r="DC683" t="s">
        <v>25</v>
      </c>
      <c r="DD683" t="s">
        <v>25</v>
      </c>
      <c r="DE683" t="s">
        <v>25</v>
      </c>
      <c r="DF683" t="s">
        <v>53</v>
      </c>
      <c r="DG683" t="s">
        <v>25</v>
      </c>
      <c r="DH683" t="s">
        <v>25</v>
      </c>
      <c r="DI683" t="s">
        <v>25</v>
      </c>
      <c r="DJ683" s="76">
        <v>0</v>
      </c>
      <c r="DK683" s="73">
        <v>0</v>
      </c>
      <c r="DL683" s="73">
        <v>29</v>
      </c>
      <c r="DM683" s="73">
        <v>-29</v>
      </c>
      <c r="DU683"/>
      <c r="DZ683" s="73">
        <v>91</v>
      </c>
      <c r="EA683" s="73">
        <v>0</v>
      </c>
      <c r="EB683" s="73">
        <v>91</v>
      </c>
      <c r="EC683" s="65" t="s">
        <v>126</v>
      </c>
    </row>
    <row r="684" spans="1:133" ht="12" customHeight="1" x14ac:dyDescent="0.2">
      <c r="A684" t="s">
        <v>2935</v>
      </c>
      <c r="B684" t="s">
        <v>2946</v>
      </c>
      <c r="C684" t="str">
        <f t="shared" si="32"/>
        <v>Full</v>
      </c>
      <c r="E684" s="65">
        <v>6496</v>
      </c>
      <c r="F684" t="s">
        <v>2363</v>
      </c>
      <c r="G684" s="71" t="s">
        <v>149</v>
      </c>
      <c r="H684" s="67">
        <v>9.9999997764825804E-3</v>
      </c>
      <c r="I684" s="65">
        <v>529005</v>
      </c>
      <c r="J684" s="65">
        <v>173304</v>
      </c>
      <c r="L684" s="65" t="s">
        <v>1224</v>
      </c>
      <c r="M684" s="65" t="s">
        <v>27</v>
      </c>
      <c r="N684" s="69">
        <v>42759</v>
      </c>
      <c r="O684" s="69">
        <v>42852</v>
      </c>
      <c r="P684" s="65" t="s">
        <v>126</v>
      </c>
      <c r="R684" s="65" t="s">
        <v>28</v>
      </c>
      <c r="U684" t="s">
        <v>1225</v>
      </c>
      <c r="V684" t="s">
        <v>3633</v>
      </c>
      <c r="W684" s="65" t="s">
        <v>34</v>
      </c>
      <c r="X684" s="65" t="s">
        <v>29</v>
      </c>
      <c r="Y684" s="65" t="s">
        <v>30</v>
      </c>
      <c r="AA684" s="69">
        <v>43190</v>
      </c>
      <c r="AD684" s="65" t="s">
        <v>23</v>
      </c>
      <c r="AE684" s="65" t="s">
        <v>24</v>
      </c>
      <c r="AH684" s="69">
        <f t="shared" si="30"/>
        <v>43190</v>
      </c>
      <c r="BL684" s="73">
        <v>119</v>
      </c>
      <c r="BN684" s="73">
        <v>119</v>
      </c>
      <c r="BO684" s="185" t="s">
        <v>3794</v>
      </c>
      <c r="BP684" s="185" t="s">
        <v>3794</v>
      </c>
      <c r="BQ684" s="185" t="s">
        <v>126</v>
      </c>
      <c r="BW684" s="73"/>
      <c r="BY684" s="185" t="s">
        <v>3794</v>
      </c>
      <c r="CG684" s="73">
        <v>-119</v>
      </c>
      <c r="CI684" s="73">
        <v>-119</v>
      </c>
      <c r="CJ684" t="s">
        <v>25</v>
      </c>
      <c r="CK684" t="s">
        <v>25</v>
      </c>
      <c r="CL684" t="s">
        <v>25</v>
      </c>
      <c r="CM684" t="s">
        <v>25</v>
      </c>
      <c r="CN684" t="s">
        <v>25</v>
      </c>
      <c r="CO684" t="s">
        <v>25</v>
      </c>
      <c r="CP684" t="s">
        <v>25</v>
      </c>
      <c r="CQ684" t="s">
        <v>25</v>
      </c>
      <c r="CR684" t="s">
        <v>25</v>
      </c>
      <c r="CS684" t="s">
        <v>25</v>
      </c>
      <c r="CT684" t="s">
        <v>25</v>
      </c>
      <c r="CU684" t="s">
        <v>25</v>
      </c>
      <c r="CV684" t="s">
        <v>25</v>
      </c>
      <c r="CW684" t="s">
        <v>25</v>
      </c>
      <c r="CX684" t="s">
        <v>25</v>
      </c>
      <c r="CY684" t="s">
        <v>25</v>
      </c>
      <c r="CZ684" t="s">
        <v>25</v>
      </c>
      <c r="DA684" t="s">
        <v>25</v>
      </c>
      <c r="DB684" t="s">
        <v>25</v>
      </c>
      <c r="DC684" t="s">
        <v>25</v>
      </c>
      <c r="DD684" t="s">
        <v>25</v>
      </c>
      <c r="DE684" t="s">
        <v>25</v>
      </c>
      <c r="DF684" t="s">
        <v>25</v>
      </c>
      <c r="DG684" t="s">
        <v>25</v>
      </c>
      <c r="DH684" t="s">
        <v>47</v>
      </c>
      <c r="DI684" t="s">
        <v>25</v>
      </c>
      <c r="DJ684" s="76">
        <v>0</v>
      </c>
      <c r="DK684" s="73">
        <v>0</v>
      </c>
      <c r="DL684" s="73">
        <v>119</v>
      </c>
      <c r="DM684" s="73">
        <v>-119</v>
      </c>
      <c r="DU684"/>
      <c r="DZ684" s="73">
        <v>146</v>
      </c>
      <c r="EA684" s="73">
        <v>0</v>
      </c>
      <c r="EB684" s="73">
        <v>146</v>
      </c>
      <c r="EC684" s="65" t="s">
        <v>126</v>
      </c>
    </row>
    <row r="685" spans="1:133" ht="12" customHeight="1" x14ac:dyDescent="0.2">
      <c r="A685" t="s">
        <v>2937</v>
      </c>
      <c r="B685" t="s">
        <v>2946</v>
      </c>
      <c r="C685" t="str">
        <f t="shared" si="32"/>
        <v>Full</v>
      </c>
      <c r="E685" s="65">
        <v>6497</v>
      </c>
      <c r="F685" t="s">
        <v>2364</v>
      </c>
      <c r="G685" s="71" t="s">
        <v>3942</v>
      </c>
      <c r="H685" s="67">
        <v>1.4999999664723899E-2</v>
      </c>
      <c r="I685" s="65">
        <v>527487</v>
      </c>
      <c r="J685" s="65">
        <v>175150</v>
      </c>
      <c r="L685" s="65" t="s">
        <v>1212</v>
      </c>
      <c r="M685" s="65" t="s">
        <v>27</v>
      </c>
      <c r="N685" s="69">
        <v>42752</v>
      </c>
      <c r="O685" s="69">
        <v>42857</v>
      </c>
      <c r="P685" s="65" t="s">
        <v>126</v>
      </c>
      <c r="R685" s="65" t="s">
        <v>28</v>
      </c>
      <c r="U685" t="s">
        <v>1213</v>
      </c>
      <c r="V685" t="s">
        <v>3634</v>
      </c>
      <c r="W685" s="65" t="s">
        <v>34</v>
      </c>
      <c r="X685" s="65" t="s">
        <v>29</v>
      </c>
      <c r="Y685" s="65" t="s">
        <v>69</v>
      </c>
      <c r="AD685" s="65" t="s">
        <v>23</v>
      </c>
      <c r="AE685" s="65" t="s">
        <v>24</v>
      </c>
      <c r="AL685" s="73">
        <v>275</v>
      </c>
      <c r="AO685" s="73">
        <v>275</v>
      </c>
      <c r="BB685" s="73">
        <v>236</v>
      </c>
      <c r="BE685" s="73">
        <v>236</v>
      </c>
      <c r="BO685" s="185" t="s">
        <v>126</v>
      </c>
      <c r="BP685" s="185" t="s">
        <v>3794</v>
      </c>
      <c r="BQ685" s="185" t="s">
        <v>3794</v>
      </c>
      <c r="BT685" s="73">
        <v>39</v>
      </c>
      <c r="BW685" s="73">
        <v>39</v>
      </c>
      <c r="BY685" s="185" t="s">
        <v>3794</v>
      </c>
      <c r="CJ685" t="s">
        <v>25</v>
      </c>
      <c r="CK685" t="s">
        <v>25</v>
      </c>
      <c r="CL685" t="s">
        <v>38</v>
      </c>
      <c r="CM685" t="s">
        <v>25</v>
      </c>
      <c r="CN685" t="s">
        <v>25</v>
      </c>
      <c r="CO685" t="s">
        <v>25</v>
      </c>
      <c r="CP685" t="s">
        <v>25</v>
      </c>
      <c r="CQ685" t="s">
        <v>25</v>
      </c>
      <c r="CR685" t="s">
        <v>25</v>
      </c>
      <c r="CS685" t="s">
        <v>25</v>
      </c>
      <c r="CT685" t="s">
        <v>25</v>
      </c>
      <c r="CU685" t="s">
        <v>25</v>
      </c>
      <c r="CV685" t="s">
        <v>25</v>
      </c>
      <c r="CW685" t="s">
        <v>25</v>
      </c>
      <c r="CX685" t="s">
        <v>25</v>
      </c>
      <c r="CY685" t="s">
        <v>38</v>
      </c>
      <c r="CZ685" t="s">
        <v>25</v>
      </c>
      <c r="DA685" t="s">
        <v>25</v>
      </c>
      <c r="DB685" t="s">
        <v>25</v>
      </c>
      <c r="DC685" t="s">
        <v>25</v>
      </c>
      <c r="DD685" t="s">
        <v>25</v>
      </c>
      <c r="DE685" t="s">
        <v>25</v>
      </c>
      <c r="DF685" t="s">
        <v>25</v>
      </c>
      <c r="DG685" t="s">
        <v>25</v>
      </c>
      <c r="DH685" t="s">
        <v>25</v>
      </c>
      <c r="DI685" t="s">
        <v>25</v>
      </c>
      <c r="DJ685" s="76">
        <v>1.4999999664723899E-2</v>
      </c>
      <c r="DK685" s="73">
        <v>609</v>
      </c>
      <c r="DL685" s="73">
        <v>236</v>
      </c>
      <c r="DM685" s="73">
        <v>373</v>
      </c>
      <c r="DU685"/>
      <c r="DV685" s="65" t="s">
        <v>126</v>
      </c>
      <c r="DW685" t="s">
        <v>132</v>
      </c>
      <c r="DZ685" s="73">
        <v>0</v>
      </c>
      <c r="EA685" s="73">
        <v>219</v>
      </c>
      <c r="EB685" s="73">
        <v>-219</v>
      </c>
    </row>
    <row r="686" spans="1:133" ht="12" customHeight="1" x14ac:dyDescent="0.2">
      <c r="A686" t="s">
        <v>2938</v>
      </c>
      <c r="B686" t="s">
        <v>2945</v>
      </c>
      <c r="C686" t="str">
        <f t="shared" si="32"/>
        <v>Pending Legal Agreement</v>
      </c>
      <c r="E686" s="65">
        <v>6499</v>
      </c>
      <c r="F686" t="s">
        <v>2365</v>
      </c>
      <c r="G686" s="71" t="s">
        <v>3947</v>
      </c>
      <c r="H686" s="67">
        <v>1.09999999403954E-2</v>
      </c>
      <c r="I686" s="65">
        <v>529152</v>
      </c>
      <c r="J686" s="65">
        <v>176426</v>
      </c>
      <c r="L686" s="65" t="s">
        <v>1094</v>
      </c>
      <c r="M686" s="65" t="s">
        <v>228</v>
      </c>
      <c r="N686" s="69">
        <v>42669</v>
      </c>
      <c r="Q686" s="69">
        <v>43083</v>
      </c>
      <c r="R686" s="65" t="s">
        <v>28</v>
      </c>
      <c r="U686" t="s">
        <v>1095</v>
      </c>
      <c r="V686" t="s">
        <v>3635</v>
      </c>
      <c r="W686" s="65" t="s">
        <v>29</v>
      </c>
      <c r="X686" s="65" t="s">
        <v>29</v>
      </c>
      <c r="Y686" s="65" t="s">
        <v>69</v>
      </c>
      <c r="AD686" s="65" t="s">
        <v>173</v>
      </c>
      <c r="AE686" s="65" t="s">
        <v>24</v>
      </c>
      <c r="AP686" s="73">
        <v>114</v>
      </c>
      <c r="AS686" s="73">
        <v>114</v>
      </c>
      <c r="AV686" s="73">
        <v>114</v>
      </c>
      <c r="BO686" s="185" t="s">
        <v>3794</v>
      </c>
      <c r="BP686" s="185" t="s">
        <v>126</v>
      </c>
      <c r="BQ686" s="185" t="s">
        <v>3794</v>
      </c>
      <c r="BW686" s="73"/>
      <c r="BX686" s="73">
        <v>114</v>
      </c>
      <c r="BY686" s="185" t="s">
        <v>3794</v>
      </c>
      <c r="CD686" s="73">
        <v>114</v>
      </c>
      <c r="CJ686" t="s">
        <v>25</v>
      </c>
      <c r="CK686" t="s">
        <v>25</v>
      </c>
      <c r="CL686" t="s">
        <v>25</v>
      </c>
      <c r="CM686" t="s">
        <v>25</v>
      </c>
      <c r="CN686" t="s">
        <v>25</v>
      </c>
      <c r="CO686" t="s">
        <v>31</v>
      </c>
      <c r="CP686" t="s">
        <v>25</v>
      </c>
      <c r="CQ686" t="s">
        <v>25</v>
      </c>
      <c r="CR686" t="s">
        <v>25</v>
      </c>
      <c r="CS686" t="s">
        <v>25</v>
      </c>
      <c r="CT686" t="s">
        <v>25</v>
      </c>
      <c r="CU686" t="s">
        <v>25</v>
      </c>
      <c r="CV686" t="s">
        <v>25</v>
      </c>
      <c r="CW686" t="s">
        <v>25</v>
      </c>
      <c r="CX686" t="s">
        <v>25</v>
      </c>
      <c r="CY686" t="s">
        <v>25</v>
      </c>
      <c r="CZ686" t="s">
        <v>25</v>
      </c>
      <c r="DA686" t="s">
        <v>25</v>
      </c>
      <c r="DB686" t="s">
        <v>25</v>
      </c>
      <c r="DC686" t="s">
        <v>25</v>
      </c>
      <c r="DD686" t="s">
        <v>25</v>
      </c>
      <c r="DE686" t="s">
        <v>25</v>
      </c>
      <c r="DF686" t="s">
        <v>25</v>
      </c>
      <c r="DG686" t="s">
        <v>25</v>
      </c>
      <c r="DH686" t="s">
        <v>25</v>
      </c>
      <c r="DI686" t="s">
        <v>25</v>
      </c>
      <c r="DJ686" s="76">
        <v>1.00000016391282E-3</v>
      </c>
      <c r="DK686" s="73">
        <v>114</v>
      </c>
      <c r="DL686" s="73">
        <v>0</v>
      </c>
      <c r="DM686" s="73">
        <v>114</v>
      </c>
      <c r="DU686" s="65" t="s">
        <v>126</v>
      </c>
      <c r="DZ686" s="73">
        <v>1116</v>
      </c>
      <c r="EA686" s="73">
        <v>115</v>
      </c>
      <c r="EB686" s="73">
        <v>1001</v>
      </c>
      <c r="EC686" s="65" t="s">
        <v>126</v>
      </c>
    </row>
    <row r="687" spans="1:133" ht="12" customHeight="1" x14ac:dyDescent="0.2">
      <c r="A687" t="s">
        <v>2937</v>
      </c>
      <c r="B687" t="s">
        <v>2946</v>
      </c>
      <c r="C687" t="str">
        <f t="shared" si="32"/>
        <v>Full</v>
      </c>
      <c r="E687" s="65">
        <v>6501</v>
      </c>
      <c r="F687" t="s">
        <v>2366</v>
      </c>
      <c r="G687" s="71" t="s">
        <v>150</v>
      </c>
      <c r="H687" s="67">
        <v>0.15600000321865101</v>
      </c>
      <c r="I687" s="65">
        <v>527304</v>
      </c>
      <c r="J687" s="65">
        <v>171639</v>
      </c>
      <c r="L687" s="65" t="s">
        <v>1038</v>
      </c>
      <c r="M687" s="65" t="s">
        <v>33</v>
      </c>
      <c r="N687" s="69">
        <v>42660</v>
      </c>
      <c r="O687" s="69">
        <v>43053</v>
      </c>
      <c r="P687" s="65" t="s">
        <v>126</v>
      </c>
      <c r="Q687" s="69">
        <v>42789</v>
      </c>
      <c r="R687" s="65" t="s">
        <v>28</v>
      </c>
      <c r="U687" t="s">
        <v>1039</v>
      </c>
      <c r="V687" t="s">
        <v>3636</v>
      </c>
      <c r="W687" s="65" t="s">
        <v>29</v>
      </c>
      <c r="X687" s="65" t="s">
        <v>29</v>
      </c>
      <c r="Y687" s="65" t="s">
        <v>69</v>
      </c>
      <c r="AD687" s="65" t="s">
        <v>23</v>
      </c>
      <c r="AE687" s="65" t="s">
        <v>24</v>
      </c>
      <c r="BF687" s="73">
        <v>635</v>
      </c>
      <c r="BK687" s="73">
        <v>635</v>
      </c>
      <c r="BO687" s="185" t="s">
        <v>3794</v>
      </c>
      <c r="BP687" s="185" t="s">
        <v>126</v>
      </c>
      <c r="BQ687" s="185" t="s">
        <v>3794</v>
      </c>
      <c r="BW687" s="73"/>
      <c r="BX687" s="73">
        <v>-635</v>
      </c>
      <c r="BY687" s="185" t="s">
        <v>126</v>
      </c>
      <c r="CD687" s="73">
        <v>-635</v>
      </c>
      <c r="CE687" s="65" t="s">
        <v>126</v>
      </c>
      <c r="CJ687" t="s">
        <v>25</v>
      </c>
      <c r="CK687" t="s">
        <v>25</v>
      </c>
      <c r="CL687" t="s">
        <v>25</v>
      </c>
      <c r="CM687" t="s">
        <v>25</v>
      </c>
      <c r="CN687" t="s">
        <v>25</v>
      </c>
      <c r="CO687" t="s">
        <v>25</v>
      </c>
      <c r="CP687" t="s">
        <v>25</v>
      </c>
      <c r="CQ687" t="s">
        <v>25</v>
      </c>
      <c r="CR687" t="s">
        <v>25</v>
      </c>
      <c r="CS687" t="s">
        <v>25</v>
      </c>
      <c r="CT687" t="s">
        <v>25</v>
      </c>
      <c r="CU687" t="s">
        <v>25</v>
      </c>
      <c r="CV687" t="s">
        <v>25</v>
      </c>
      <c r="CW687" t="s">
        <v>25</v>
      </c>
      <c r="CX687" t="s">
        <v>25</v>
      </c>
      <c r="CY687" t="s">
        <v>25</v>
      </c>
      <c r="CZ687" t="s">
        <v>25</v>
      </c>
      <c r="DA687" t="s">
        <v>25</v>
      </c>
      <c r="DB687" t="s">
        <v>49</v>
      </c>
      <c r="DC687" t="s">
        <v>25</v>
      </c>
      <c r="DD687" t="s">
        <v>25</v>
      </c>
      <c r="DE687" t="s">
        <v>25</v>
      </c>
      <c r="DF687" t="s">
        <v>25</v>
      </c>
      <c r="DG687" t="s">
        <v>25</v>
      </c>
      <c r="DH687" t="s">
        <v>25</v>
      </c>
      <c r="DI687" t="s">
        <v>25</v>
      </c>
      <c r="DJ687" s="76">
        <v>3.7252900209061579E-9</v>
      </c>
      <c r="DK687" s="73">
        <v>0</v>
      </c>
      <c r="DL687" s="73">
        <v>635</v>
      </c>
      <c r="DM687" s="73">
        <v>-635</v>
      </c>
      <c r="DU687"/>
      <c r="DZ687" s="73">
        <v>1715</v>
      </c>
      <c r="EA687" s="73">
        <v>0</v>
      </c>
      <c r="EB687" s="73">
        <v>1715</v>
      </c>
      <c r="EC687" s="65" t="s">
        <v>126</v>
      </c>
    </row>
    <row r="688" spans="1:133" ht="12" customHeight="1" x14ac:dyDescent="0.2">
      <c r="A688" t="s">
        <v>2936</v>
      </c>
      <c r="B688" t="s">
        <v>2946</v>
      </c>
      <c r="C688" t="str">
        <f t="shared" si="32"/>
        <v>Full</v>
      </c>
      <c r="D688" t="s">
        <v>2943</v>
      </c>
      <c r="E688" s="65">
        <v>6504</v>
      </c>
      <c r="F688" t="s">
        <v>2367</v>
      </c>
      <c r="G688" s="71" t="s">
        <v>3942</v>
      </c>
      <c r="H688" s="67">
        <v>8.9999996125698107E-3</v>
      </c>
      <c r="I688" s="65">
        <v>527579</v>
      </c>
      <c r="J688" s="65">
        <v>175161</v>
      </c>
      <c r="L688" s="65" t="s">
        <v>1058</v>
      </c>
      <c r="M688" s="65" t="s">
        <v>27</v>
      </c>
      <c r="N688" s="69">
        <v>42641</v>
      </c>
      <c r="O688" s="69">
        <v>42857</v>
      </c>
      <c r="P688" s="65" t="s">
        <v>126</v>
      </c>
      <c r="R688" s="65" t="s">
        <v>28</v>
      </c>
      <c r="U688" t="s">
        <v>1059</v>
      </c>
      <c r="V688" t="s">
        <v>3637</v>
      </c>
      <c r="W688" s="65" t="s">
        <v>21</v>
      </c>
      <c r="X688" s="65" t="s">
        <v>21</v>
      </c>
      <c r="Y688" s="65" t="s">
        <v>35</v>
      </c>
      <c r="AA688" s="69">
        <v>42858</v>
      </c>
      <c r="AB688" s="69">
        <v>43040</v>
      </c>
      <c r="AC688" s="69">
        <v>43040</v>
      </c>
      <c r="AD688" s="65" t="s">
        <v>23</v>
      </c>
      <c r="AE688" s="65" t="s">
        <v>24</v>
      </c>
      <c r="AH688" s="69">
        <f t="shared" si="30"/>
        <v>42858</v>
      </c>
      <c r="AI688" s="69">
        <f t="shared" si="31"/>
        <v>43040</v>
      </c>
      <c r="AM688" s="73">
        <v>88</v>
      </c>
      <c r="AO688" s="73">
        <v>88</v>
      </c>
      <c r="AZ688" s="73">
        <v>88</v>
      </c>
      <c r="BE688" s="73">
        <v>88</v>
      </c>
      <c r="BO688" s="185" t="s">
        <v>126</v>
      </c>
      <c r="BP688" s="185" t="s">
        <v>3794</v>
      </c>
      <c r="BQ688" s="185" t="s">
        <v>3794</v>
      </c>
      <c r="BR688" s="73">
        <v>-88</v>
      </c>
      <c r="BU688" s="73">
        <v>88</v>
      </c>
      <c r="BW688" s="73"/>
      <c r="BY688" s="185" t="s">
        <v>3794</v>
      </c>
      <c r="CJ688" t="s">
        <v>25</v>
      </c>
      <c r="CK688" t="s">
        <v>25</v>
      </c>
      <c r="CL688" t="s">
        <v>25</v>
      </c>
      <c r="CM688" t="s">
        <v>175</v>
      </c>
      <c r="CN688" t="s">
        <v>25</v>
      </c>
      <c r="CO688" t="s">
        <v>25</v>
      </c>
      <c r="CP688" t="s">
        <v>25</v>
      </c>
      <c r="CQ688" t="s">
        <v>25</v>
      </c>
      <c r="CR688" t="s">
        <v>25</v>
      </c>
      <c r="CS688" t="s">
        <v>25</v>
      </c>
      <c r="CT688" t="s">
        <v>25</v>
      </c>
      <c r="CU688" t="s">
        <v>25</v>
      </c>
      <c r="CV688" t="s">
        <v>25</v>
      </c>
      <c r="CW688" t="s">
        <v>47</v>
      </c>
      <c r="CX688" t="s">
        <v>25</v>
      </c>
      <c r="CY688" t="s">
        <v>25</v>
      </c>
      <c r="CZ688" t="s">
        <v>25</v>
      </c>
      <c r="DA688" t="s">
        <v>25</v>
      </c>
      <c r="DB688" t="s">
        <v>25</v>
      </c>
      <c r="DC688" t="s">
        <v>25</v>
      </c>
      <c r="DD688" t="s">
        <v>25</v>
      </c>
      <c r="DE688" t="s">
        <v>25</v>
      </c>
      <c r="DF688" t="s">
        <v>25</v>
      </c>
      <c r="DG688" t="s">
        <v>25</v>
      </c>
      <c r="DH688" t="s">
        <v>25</v>
      </c>
      <c r="DI688" t="s">
        <v>25</v>
      </c>
      <c r="DJ688" s="76">
        <v>8.9999996125698107E-3</v>
      </c>
      <c r="DK688" s="73">
        <v>88</v>
      </c>
      <c r="DL688" s="73">
        <v>88</v>
      </c>
      <c r="DM688" s="73">
        <v>0</v>
      </c>
      <c r="DU688"/>
      <c r="DV688" s="65" t="s">
        <v>126</v>
      </c>
      <c r="DW688" t="s">
        <v>132</v>
      </c>
      <c r="DZ688" s="73">
        <v>0</v>
      </c>
      <c r="EA688" s="73">
        <v>0</v>
      </c>
      <c r="EB688" s="73">
        <v>0</v>
      </c>
    </row>
    <row r="689" spans="1:133" ht="12" customHeight="1" x14ac:dyDescent="0.2">
      <c r="A689" t="s">
        <v>2938</v>
      </c>
      <c r="B689" t="s">
        <v>2945</v>
      </c>
      <c r="C689" t="str">
        <f t="shared" si="32"/>
        <v>Pending Legal Agreement</v>
      </c>
      <c r="E689" s="65">
        <v>6505</v>
      </c>
      <c r="F689" t="s">
        <v>2368</v>
      </c>
      <c r="G689" s="71" t="s">
        <v>3943</v>
      </c>
      <c r="H689" s="67">
        <v>0.43700000643730202</v>
      </c>
      <c r="I689" s="65">
        <v>526483</v>
      </c>
      <c r="J689" s="65">
        <v>175747</v>
      </c>
      <c r="K689" s="65" t="s">
        <v>1342</v>
      </c>
      <c r="L689" s="65" t="s">
        <v>1070</v>
      </c>
      <c r="M689" s="65" t="s">
        <v>228</v>
      </c>
      <c r="N689" s="69">
        <v>42650</v>
      </c>
      <c r="Q689" s="69">
        <v>42817</v>
      </c>
      <c r="R689" s="65" t="s">
        <v>28</v>
      </c>
      <c r="U689" t="s">
        <v>1071</v>
      </c>
      <c r="V689" t="s">
        <v>3638</v>
      </c>
      <c r="W689" s="65" t="s">
        <v>29</v>
      </c>
      <c r="X689" s="65" t="s">
        <v>29</v>
      </c>
      <c r="Y689" s="65" t="s">
        <v>69</v>
      </c>
      <c r="AD689" s="65" t="s">
        <v>173</v>
      </c>
      <c r="AE689" s="65" t="s">
        <v>24</v>
      </c>
      <c r="AJ689" s="73">
        <v>54</v>
      </c>
      <c r="AL689" s="73">
        <v>304</v>
      </c>
      <c r="AM689" s="73">
        <v>305</v>
      </c>
      <c r="AO689" s="73">
        <v>663</v>
      </c>
      <c r="AP689" s="73">
        <v>3890</v>
      </c>
      <c r="AS689" s="73">
        <v>3890</v>
      </c>
      <c r="AV689" s="73">
        <v>3890</v>
      </c>
      <c r="AW689" s="73">
        <v>189</v>
      </c>
      <c r="AX689" s="73">
        <v>187</v>
      </c>
      <c r="AY689" s="73">
        <v>376</v>
      </c>
      <c r="BF689" s="73">
        <v>5025</v>
      </c>
      <c r="BK689" s="73">
        <v>5025</v>
      </c>
      <c r="BO689" s="185" t="s">
        <v>126</v>
      </c>
      <c r="BP689" s="185" t="s">
        <v>126</v>
      </c>
      <c r="BQ689" s="185" t="s">
        <v>126</v>
      </c>
      <c r="BR689" s="73">
        <v>54</v>
      </c>
      <c r="BT689" s="73">
        <v>304</v>
      </c>
      <c r="BU689" s="73">
        <v>305</v>
      </c>
      <c r="BW689" s="73">
        <v>663</v>
      </c>
      <c r="BX689" s="73">
        <v>-1135</v>
      </c>
      <c r="BY689" s="185" t="s">
        <v>126</v>
      </c>
      <c r="CD689" s="73">
        <v>-1135</v>
      </c>
      <c r="CE689" s="65" t="s">
        <v>126</v>
      </c>
      <c r="CG689" s="73">
        <v>189</v>
      </c>
      <c r="CH689" s="73">
        <v>187</v>
      </c>
      <c r="CI689" s="73">
        <v>376</v>
      </c>
      <c r="CJ689" t="s">
        <v>31</v>
      </c>
      <c r="CK689" t="s">
        <v>25</v>
      </c>
      <c r="CL689" t="s">
        <v>31</v>
      </c>
      <c r="CM689" t="s">
        <v>31</v>
      </c>
      <c r="CN689" t="s">
        <v>25</v>
      </c>
      <c r="CO689" t="s">
        <v>49</v>
      </c>
      <c r="CP689" t="s">
        <v>25</v>
      </c>
      <c r="CQ689" t="s">
        <v>25</v>
      </c>
      <c r="CR689" t="s">
        <v>25</v>
      </c>
      <c r="CS689" t="s">
        <v>25</v>
      </c>
      <c r="CT689" t="s">
        <v>25</v>
      </c>
      <c r="CU689" t="s">
        <v>31</v>
      </c>
      <c r="CV689" t="s">
        <v>31</v>
      </c>
      <c r="CW689" t="s">
        <v>25</v>
      </c>
      <c r="CX689" t="s">
        <v>25</v>
      </c>
      <c r="CY689" t="s">
        <v>25</v>
      </c>
      <c r="CZ689" t="s">
        <v>25</v>
      </c>
      <c r="DA689" t="s">
        <v>25</v>
      </c>
      <c r="DB689" t="s">
        <v>49</v>
      </c>
      <c r="DC689" t="s">
        <v>25</v>
      </c>
      <c r="DD689" t="s">
        <v>25</v>
      </c>
      <c r="DE689" t="s">
        <v>25</v>
      </c>
      <c r="DF689" t="s">
        <v>25</v>
      </c>
      <c r="DG689" t="s">
        <v>25</v>
      </c>
      <c r="DH689" t="s">
        <v>25</v>
      </c>
      <c r="DI689" t="s">
        <v>25</v>
      </c>
      <c r="DJ689" s="76">
        <v>0.13900000415742403</v>
      </c>
      <c r="DK689" s="73">
        <v>6044</v>
      </c>
      <c r="DL689" s="73">
        <v>5593</v>
      </c>
      <c r="DM689" s="73">
        <v>451</v>
      </c>
      <c r="DN689" s="65" t="s">
        <v>126</v>
      </c>
      <c r="DU689"/>
      <c r="DZ689" s="73">
        <v>13016</v>
      </c>
      <c r="EA689" s="73">
        <v>37</v>
      </c>
      <c r="EB689" s="73">
        <v>12979</v>
      </c>
      <c r="EC689" s="65" t="s">
        <v>126</v>
      </c>
    </row>
    <row r="690" spans="1:133" ht="12" customHeight="1" x14ac:dyDescent="0.2">
      <c r="A690" t="s">
        <v>2936</v>
      </c>
      <c r="B690" t="s">
        <v>2948</v>
      </c>
      <c r="C690" t="str">
        <f t="shared" si="32"/>
        <v>Prior Approval</v>
      </c>
      <c r="D690" t="s">
        <v>2943</v>
      </c>
      <c r="E690" s="65">
        <v>6506</v>
      </c>
      <c r="F690" t="s">
        <v>2369</v>
      </c>
      <c r="G690" s="71" t="s">
        <v>3943</v>
      </c>
      <c r="H690" s="67">
        <v>0.108999997377396</v>
      </c>
      <c r="I690" s="65">
        <v>526382</v>
      </c>
      <c r="J690" s="65">
        <v>175731</v>
      </c>
      <c r="L690" s="65" t="s">
        <v>927</v>
      </c>
      <c r="M690" s="65" t="s">
        <v>243</v>
      </c>
      <c r="N690" s="69">
        <v>42536</v>
      </c>
      <c r="O690" s="69">
        <v>42592</v>
      </c>
      <c r="R690" s="65" t="s">
        <v>28</v>
      </c>
      <c r="U690" t="s">
        <v>928</v>
      </c>
      <c r="V690" t="s">
        <v>3639</v>
      </c>
      <c r="W690" s="65" t="s">
        <v>21</v>
      </c>
      <c r="X690" s="65" t="s">
        <v>21</v>
      </c>
      <c r="Y690" s="65" t="s">
        <v>35</v>
      </c>
      <c r="AA690" s="69">
        <v>42826</v>
      </c>
      <c r="AB690" s="69">
        <v>43190</v>
      </c>
      <c r="AC690" s="69">
        <v>43190</v>
      </c>
      <c r="AD690" s="65" t="s">
        <v>23</v>
      </c>
      <c r="AE690" s="65" t="s">
        <v>24</v>
      </c>
      <c r="AH690" s="69">
        <f t="shared" si="30"/>
        <v>42826</v>
      </c>
      <c r="AI690" s="69">
        <f t="shared" si="31"/>
        <v>43190</v>
      </c>
      <c r="BF690" s="73">
        <v>170</v>
      </c>
      <c r="BK690" s="73">
        <v>170</v>
      </c>
      <c r="BO690" s="185" t="s">
        <v>3794</v>
      </c>
      <c r="BP690" s="185" t="s">
        <v>126</v>
      </c>
      <c r="BQ690" s="185" t="s">
        <v>3794</v>
      </c>
      <c r="BW690" s="73"/>
      <c r="BX690" s="73">
        <v>-170</v>
      </c>
      <c r="BY690" s="185" t="s">
        <v>126</v>
      </c>
      <c r="CD690" s="73">
        <v>-170</v>
      </c>
      <c r="CE690" s="65" t="s">
        <v>126</v>
      </c>
      <c r="CJ690" t="s">
        <v>25</v>
      </c>
      <c r="CK690" t="s">
        <v>25</v>
      </c>
      <c r="CL690" t="s">
        <v>25</v>
      </c>
      <c r="CM690" t="s">
        <v>25</v>
      </c>
      <c r="CN690" t="s">
        <v>25</v>
      </c>
      <c r="CO690" t="s">
        <v>25</v>
      </c>
      <c r="CP690" t="s">
        <v>25</v>
      </c>
      <c r="CQ690" t="s">
        <v>25</v>
      </c>
      <c r="CR690" t="s">
        <v>25</v>
      </c>
      <c r="CS690" t="s">
        <v>25</v>
      </c>
      <c r="CT690" t="s">
        <v>25</v>
      </c>
      <c r="CU690" t="s">
        <v>25</v>
      </c>
      <c r="CV690" t="s">
        <v>25</v>
      </c>
      <c r="CW690" t="s">
        <v>25</v>
      </c>
      <c r="CX690" t="s">
        <v>25</v>
      </c>
      <c r="CY690" t="s">
        <v>25</v>
      </c>
      <c r="CZ690" t="s">
        <v>25</v>
      </c>
      <c r="DA690" t="s">
        <v>25</v>
      </c>
      <c r="DB690" t="s">
        <v>31</v>
      </c>
      <c r="DC690" t="s">
        <v>25</v>
      </c>
      <c r="DD690" t="s">
        <v>25</v>
      </c>
      <c r="DE690" t="s">
        <v>25</v>
      </c>
      <c r="DF690" t="s">
        <v>25</v>
      </c>
      <c r="DG690" t="s">
        <v>25</v>
      </c>
      <c r="DH690" t="s">
        <v>25</v>
      </c>
      <c r="DI690" t="s">
        <v>25</v>
      </c>
      <c r="DJ690" s="76">
        <v>9.1999996453523997E-2</v>
      </c>
      <c r="DK690" s="73">
        <v>0</v>
      </c>
      <c r="DL690" s="73">
        <v>170</v>
      </c>
      <c r="DM690" s="73">
        <v>-170</v>
      </c>
      <c r="DN690" s="65" t="s">
        <v>126</v>
      </c>
      <c r="DU690"/>
      <c r="DZ690" s="73">
        <v>170</v>
      </c>
      <c r="EA690" s="73">
        <v>0</v>
      </c>
      <c r="EB690" s="73">
        <v>170</v>
      </c>
      <c r="EC690" s="65" t="s">
        <v>126</v>
      </c>
    </row>
    <row r="691" spans="1:133" ht="12" customHeight="1" x14ac:dyDescent="0.2">
      <c r="A691" t="s">
        <v>2937</v>
      </c>
      <c r="B691" t="s">
        <v>2948</v>
      </c>
      <c r="C691" t="str">
        <f t="shared" si="32"/>
        <v>Prior Approval</v>
      </c>
      <c r="E691" s="65">
        <v>6508</v>
      </c>
      <c r="F691" t="s">
        <v>2370</v>
      </c>
      <c r="G691" s="71" t="s">
        <v>3943</v>
      </c>
      <c r="H691" s="67">
        <v>4.8999998718500103E-2</v>
      </c>
      <c r="I691" s="65">
        <v>526400</v>
      </c>
      <c r="J691" s="65">
        <v>175699</v>
      </c>
      <c r="L691" s="65" t="s">
        <v>845</v>
      </c>
      <c r="M691" s="65" t="s">
        <v>243</v>
      </c>
      <c r="N691" s="69">
        <v>42487</v>
      </c>
      <c r="O691" s="69">
        <v>42543</v>
      </c>
      <c r="R691" s="65" t="s">
        <v>28</v>
      </c>
      <c r="U691" t="s">
        <v>846</v>
      </c>
      <c r="V691" t="s">
        <v>3640</v>
      </c>
      <c r="W691" s="65" t="s">
        <v>21</v>
      </c>
      <c r="X691" s="65" t="s">
        <v>21</v>
      </c>
      <c r="Y691" s="65" t="s">
        <v>69</v>
      </c>
      <c r="AD691" s="65" t="s">
        <v>23</v>
      </c>
      <c r="AE691" s="65" t="s">
        <v>24</v>
      </c>
      <c r="BF691" s="73">
        <v>184</v>
      </c>
      <c r="BK691" s="73">
        <v>184</v>
      </c>
      <c r="BO691" s="185" t="s">
        <v>3794</v>
      </c>
      <c r="BP691" s="185" t="s">
        <v>126</v>
      </c>
      <c r="BQ691" s="185" t="s">
        <v>3794</v>
      </c>
      <c r="BW691" s="73"/>
      <c r="BX691" s="73">
        <v>-184</v>
      </c>
      <c r="BY691" s="185" t="s">
        <v>126</v>
      </c>
      <c r="CD691" s="73">
        <v>-184</v>
      </c>
      <c r="CE691" s="65" t="s">
        <v>126</v>
      </c>
      <c r="CJ691" t="s">
        <v>25</v>
      </c>
      <c r="CK691" t="s">
        <v>25</v>
      </c>
      <c r="CL691" t="s">
        <v>25</v>
      </c>
      <c r="CM691" t="s">
        <v>25</v>
      </c>
      <c r="CN691" t="s">
        <v>25</v>
      </c>
      <c r="CO691" t="s">
        <v>25</v>
      </c>
      <c r="CP691" t="s">
        <v>25</v>
      </c>
      <c r="CQ691" t="s">
        <v>25</v>
      </c>
      <c r="CR691" t="s">
        <v>25</v>
      </c>
      <c r="CS691" t="s">
        <v>25</v>
      </c>
      <c r="CT691" t="s">
        <v>25</v>
      </c>
      <c r="CU691" t="s">
        <v>25</v>
      </c>
      <c r="CV691" t="s">
        <v>25</v>
      </c>
      <c r="CW691" t="s">
        <v>25</v>
      </c>
      <c r="CX691" t="s">
        <v>25</v>
      </c>
      <c r="CY691" t="s">
        <v>25</v>
      </c>
      <c r="CZ691" t="s">
        <v>25</v>
      </c>
      <c r="DA691" t="s">
        <v>25</v>
      </c>
      <c r="DB691" t="s">
        <v>31</v>
      </c>
      <c r="DC691" t="s">
        <v>25</v>
      </c>
      <c r="DD691" t="s">
        <v>25</v>
      </c>
      <c r="DE691" t="s">
        <v>25</v>
      </c>
      <c r="DF691" t="s">
        <v>25</v>
      </c>
      <c r="DG691" t="s">
        <v>25</v>
      </c>
      <c r="DH691" t="s">
        <v>25</v>
      </c>
      <c r="DI691" t="s">
        <v>25</v>
      </c>
      <c r="DJ691" s="76">
        <v>4.0999998338520492E-2</v>
      </c>
      <c r="DK691" s="73">
        <v>0</v>
      </c>
      <c r="DL691" s="73">
        <v>184</v>
      </c>
      <c r="DM691" s="73">
        <v>-184</v>
      </c>
      <c r="DN691" s="65" t="s">
        <v>126</v>
      </c>
      <c r="DU691"/>
      <c r="DZ691" s="73">
        <v>184</v>
      </c>
      <c r="EA691" s="73">
        <v>0</v>
      </c>
      <c r="EB691" s="73">
        <v>184</v>
      </c>
      <c r="EC691" s="65" t="s">
        <v>126</v>
      </c>
    </row>
    <row r="692" spans="1:133" ht="12" customHeight="1" x14ac:dyDescent="0.2">
      <c r="A692" t="s">
        <v>2937</v>
      </c>
      <c r="B692" t="s">
        <v>2948</v>
      </c>
      <c r="C692" t="str">
        <f t="shared" si="32"/>
        <v>Prior Approval</v>
      </c>
      <c r="E692" s="65">
        <v>6508</v>
      </c>
      <c r="F692" t="s">
        <v>2370</v>
      </c>
      <c r="G692" s="71" t="s">
        <v>3943</v>
      </c>
      <c r="H692" s="67">
        <v>4.8999998718500103E-2</v>
      </c>
      <c r="I692" s="65">
        <v>526400</v>
      </c>
      <c r="J692" s="65">
        <v>175699</v>
      </c>
      <c r="L692" s="65" t="s">
        <v>857</v>
      </c>
      <c r="M692" s="65" t="s">
        <v>243</v>
      </c>
      <c r="N692" s="69">
        <v>42487</v>
      </c>
      <c r="O692" s="69">
        <v>42543</v>
      </c>
      <c r="R692" s="65" t="s">
        <v>28</v>
      </c>
      <c r="U692" t="s">
        <v>858</v>
      </c>
      <c r="V692" t="s">
        <v>3641</v>
      </c>
      <c r="W692" s="65" t="s">
        <v>21</v>
      </c>
      <c r="X692" s="65" t="s">
        <v>21</v>
      </c>
      <c r="Y692" s="65" t="s">
        <v>69</v>
      </c>
      <c r="AD692" s="65" t="s">
        <v>23</v>
      </c>
      <c r="AE692" s="65" t="s">
        <v>24</v>
      </c>
      <c r="BF692" s="73">
        <v>245</v>
      </c>
      <c r="BK692" s="73">
        <v>245</v>
      </c>
      <c r="BO692" s="185" t="s">
        <v>3794</v>
      </c>
      <c r="BP692" s="185" t="s">
        <v>126</v>
      </c>
      <c r="BQ692" s="185" t="s">
        <v>3794</v>
      </c>
      <c r="BW692" s="73"/>
      <c r="BX692" s="73">
        <v>-245</v>
      </c>
      <c r="BY692" s="185" t="s">
        <v>126</v>
      </c>
      <c r="CD692" s="73">
        <v>-245</v>
      </c>
      <c r="CE692" s="65" t="s">
        <v>126</v>
      </c>
      <c r="CJ692" t="s">
        <v>25</v>
      </c>
      <c r="CK692" t="s">
        <v>25</v>
      </c>
      <c r="CL692" t="s">
        <v>25</v>
      </c>
      <c r="CM692" t="s">
        <v>25</v>
      </c>
      <c r="CN692" t="s">
        <v>25</v>
      </c>
      <c r="CO692" t="s">
        <v>25</v>
      </c>
      <c r="CP692" t="s">
        <v>25</v>
      </c>
      <c r="CQ692" t="s">
        <v>25</v>
      </c>
      <c r="CR692" t="s">
        <v>25</v>
      </c>
      <c r="CS692" t="s">
        <v>25</v>
      </c>
      <c r="CT692" t="s">
        <v>25</v>
      </c>
      <c r="CU692" t="s">
        <v>25</v>
      </c>
      <c r="CV692" t="s">
        <v>25</v>
      </c>
      <c r="CW692" t="s">
        <v>25</v>
      </c>
      <c r="CX692" t="s">
        <v>25</v>
      </c>
      <c r="CY692" t="s">
        <v>25</v>
      </c>
      <c r="CZ692" t="s">
        <v>25</v>
      </c>
      <c r="DA692" t="s">
        <v>25</v>
      </c>
      <c r="DB692" t="s">
        <v>31</v>
      </c>
      <c r="DC692" t="s">
        <v>25</v>
      </c>
      <c r="DD692" t="s">
        <v>25</v>
      </c>
      <c r="DE692" t="s">
        <v>25</v>
      </c>
      <c r="DF692" t="s">
        <v>25</v>
      </c>
      <c r="DG692" t="s">
        <v>25</v>
      </c>
      <c r="DH692" t="s">
        <v>25</v>
      </c>
      <c r="DI692" t="s">
        <v>25</v>
      </c>
      <c r="DJ692" s="76">
        <v>4.0999998338520492E-2</v>
      </c>
      <c r="DK692" s="73">
        <v>0</v>
      </c>
      <c r="DL692" s="73">
        <v>245</v>
      </c>
      <c r="DM692" s="73">
        <v>-245</v>
      </c>
      <c r="DN692" s="65" t="s">
        <v>126</v>
      </c>
      <c r="DU692"/>
      <c r="DZ692" s="73">
        <v>245</v>
      </c>
      <c r="EA692" s="73">
        <v>0</v>
      </c>
      <c r="EB692" s="73">
        <v>245</v>
      </c>
      <c r="EC692" s="65" t="s">
        <v>126</v>
      </c>
    </row>
    <row r="693" spans="1:133" ht="12" customHeight="1" x14ac:dyDescent="0.2">
      <c r="A693" t="s">
        <v>2937</v>
      </c>
      <c r="B693" t="s">
        <v>2948</v>
      </c>
      <c r="C693" t="str">
        <f t="shared" si="32"/>
        <v>Prior Approval</v>
      </c>
      <c r="E693" s="65">
        <v>6508</v>
      </c>
      <c r="F693" t="s">
        <v>2370</v>
      </c>
      <c r="G693" s="71" t="s">
        <v>3943</v>
      </c>
      <c r="H693" s="67">
        <v>4.8999998718500103E-2</v>
      </c>
      <c r="I693" s="65">
        <v>526400</v>
      </c>
      <c r="J693" s="65">
        <v>175699</v>
      </c>
      <c r="L693" s="65" t="s">
        <v>935</v>
      </c>
      <c r="M693" s="65" t="s">
        <v>243</v>
      </c>
      <c r="N693" s="69">
        <v>42548</v>
      </c>
      <c r="O693" s="69">
        <v>42604</v>
      </c>
      <c r="R693" s="65" t="s">
        <v>28</v>
      </c>
      <c r="U693" t="s">
        <v>936</v>
      </c>
      <c r="V693" t="s">
        <v>3642</v>
      </c>
      <c r="W693" s="65" t="s">
        <v>21</v>
      </c>
      <c r="X693" s="65" t="s">
        <v>21</v>
      </c>
      <c r="Y693" s="65" t="s">
        <v>69</v>
      </c>
      <c r="AD693" s="65" t="s">
        <v>23</v>
      </c>
      <c r="AE693" s="65" t="s">
        <v>24</v>
      </c>
      <c r="BF693" s="73">
        <v>216</v>
      </c>
      <c r="BK693" s="73">
        <v>216</v>
      </c>
      <c r="BO693" s="185" t="s">
        <v>3794</v>
      </c>
      <c r="BP693" s="185" t="s">
        <v>126</v>
      </c>
      <c r="BQ693" s="185" t="s">
        <v>3794</v>
      </c>
      <c r="BW693" s="73"/>
      <c r="BX693" s="73">
        <v>-216</v>
      </c>
      <c r="BY693" s="185" t="s">
        <v>126</v>
      </c>
      <c r="CD693" s="73">
        <v>-216</v>
      </c>
      <c r="CE693" s="65" t="s">
        <v>126</v>
      </c>
      <c r="CJ693" t="s">
        <v>25</v>
      </c>
      <c r="CK693" t="s">
        <v>25</v>
      </c>
      <c r="CL693" t="s">
        <v>25</v>
      </c>
      <c r="CM693" t="s">
        <v>25</v>
      </c>
      <c r="CN693" t="s">
        <v>25</v>
      </c>
      <c r="CO693" t="s">
        <v>25</v>
      </c>
      <c r="CP693" t="s">
        <v>25</v>
      </c>
      <c r="CQ693" t="s">
        <v>25</v>
      </c>
      <c r="CR693" t="s">
        <v>25</v>
      </c>
      <c r="CS693" t="s">
        <v>25</v>
      </c>
      <c r="CT693" t="s">
        <v>25</v>
      </c>
      <c r="CU693" t="s">
        <v>25</v>
      </c>
      <c r="CV693" t="s">
        <v>25</v>
      </c>
      <c r="CW693" t="s">
        <v>25</v>
      </c>
      <c r="CX693" t="s">
        <v>25</v>
      </c>
      <c r="CY693" t="s">
        <v>25</v>
      </c>
      <c r="CZ693" t="s">
        <v>25</v>
      </c>
      <c r="DA693" t="s">
        <v>25</v>
      </c>
      <c r="DB693" t="s">
        <v>31</v>
      </c>
      <c r="DC693" t="s">
        <v>25</v>
      </c>
      <c r="DD693" t="s">
        <v>25</v>
      </c>
      <c r="DE693" t="s">
        <v>25</v>
      </c>
      <c r="DF693" t="s">
        <v>25</v>
      </c>
      <c r="DG693" t="s">
        <v>25</v>
      </c>
      <c r="DH693" t="s">
        <v>25</v>
      </c>
      <c r="DI693" t="s">
        <v>25</v>
      </c>
      <c r="DJ693" s="76">
        <v>3.5999998450279201E-2</v>
      </c>
      <c r="DK693" s="73">
        <v>0</v>
      </c>
      <c r="DL693" s="73">
        <v>216</v>
      </c>
      <c r="DM693" s="73">
        <v>-216</v>
      </c>
      <c r="DN693" s="65" t="s">
        <v>126</v>
      </c>
      <c r="DU693"/>
      <c r="DZ693" s="73">
        <v>216</v>
      </c>
      <c r="EA693" s="73">
        <v>0</v>
      </c>
      <c r="EB693" s="73">
        <v>216</v>
      </c>
      <c r="EC693" s="65" t="s">
        <v>126</v>
      </c>
    </row>
    <row r="694" spans="1:133" ht="12" customHeight="1" x14ac:dyDescent="0.2">
      <c r="A694" t="s">
        <v>2937</v>
      </c>
      <c r="B694" t="s">
        <v>2948</v>
      </c>
      <c r="C694" t="str">
        <f t="shared" si="32"/>
        <v>Prior Approval</v>
      </c>
      <c r="E694" s="65">
        <v>6508</v>
      </c>
      <c r="F694" t="s">
        <v>2370</v>
      </c>
      <c r="G694" s="71" t="s">
        <v>3943</v>
      </c>
      <c r="H694" s="67">
        <v>4.8999998718500103E-2</v>
      </c>
      <c r="I694" s="65">
        <v>526400</v>
      </c>
      <c r="J694" s="65">
        <v>175699</v>
      </c>
      <c r="L694" s="65" t="s">
        <v>937</v>
      </c>
      <c r="M694" s="65" t="s">
        <v>243</v>
      </c>
      <c r="N694" s="69">
        <v>42536</v>
      </c>
      <c r="O694" s="69">
        <v>42592</v>
      </c>
      <c r="R694" s="65" t="s">
        <v>28</v>
      </c>
      <c r="U694" t="s">
        <v>938</v>
      </c>
      <c r="V694" t="s">
        <v>3643</v>
      </c>
      <c r="W694" s="65" t="s">
        <v>21</v>
      </c>
      <c r="X694" s="65" t="s">
        <v>21</v>
      </c>
      <c r="Y694" s="65" t="s">
        <v>69</v>
      </c>
      <c r="AD694" s="65" t="s">
        <v>23</v>
      </c>
      <c r="AE694" s="65" t="s">
        <v>24</v>
      </c>
      <c r="BF694" s="73">
        <v>280</v>
      </c>
      <c r="BK694" s="73">
        <v>280</v>
      </c>
      <c r="BO694" s="185" t="s">
        <v>3794</v>
      </c>
      <c r="BP694" s="185" t="s">
        <v>126</v>
      </c>
      <c r="BQ694" s="185" t="s">
        <v>3794</v>
      </c>
      <c r="BW694" s="73"/>
      <c r="BX694" s="73">
        <v>-280</v>
      </c>
      <c r="BY694" s="185" t="s">
        <v>126</v>
      </c>
      <c r="CD694" s="73">
        <v>-280</v>
      </c>
      <c r="CE694" s="65" t="s">
        <v>126</v>
      </c>
      <c r="CJ694" t="s">
        <v>25</v>
      </c>
      <c r="CK694" t="s">
        <v>25</v>
      </c>
      <c r="CL694" t="s">
        <v>25</v>
      </c>
      <c r="CM694" t="s">
        <v>25</v>
      </c>
      <c r="CN694" t="s">
        <v>25</v>
      </c>
      <c r="CO694" t="s">
        <v>25</v>
      </c>
      <c r="CP694" t="s">
        <v>25</v>
      </c>
      <c r="CQ694" t="s">
        <v>25</v>
      </c>
      <c r="CR694" t="s">
        <v>25</v>
      </c>
      <c r="CS694" t="s">
        <v>25</v>
      </c>
      <c r="CT694" t="s">
        <v>25</v>
      </c>
      <c r="CU694" t="s">
        <v>25</v>
      </c>
      <c r="CV694" t="s">
        <v>25</v>
      </c>
      <c r="CW694" t="s">
        <v>25</v>
      </c>
      <c r="CX694" t="s">
        <v>25</v>
      </c>
      <c r="CY694" t="s">
        <v>25</v>
      </c>
      <c r="CZ694" t="s">
        <v>25</v>
      </c>
      <c r="DA694" t="s">
        <v>25</v>
      </c>
      <c r="DB694" t="s">
        <v>31</v>
      </c>
      <c r="DC694" t="s">
        <v>25</v>
      </c>
      <c r="DD694" t="s">
        <v>25</v>
      </c>
      <c r="DE694" t="s">
        <v>25</v>
      </c>
      <c r="DF694" t="s">
        <v>25</v>
      </c>
      <c r="DG694" t="s">
        <v>25</v>
      </c>
      <c r="DH694" t="s">
        <v>25</v>
      </c>
      <c r="DI694" t="s">
        <v>25</v>
      </c>
      <c r="DJ694" s="76">
        <v>3.5999998450279201E-2</v>
      </c>
      <c r="DK694" s="73">
        <v>0</v>
      </c>
      <c r="DL694" s="73">
        <v>280</v>
      </c>
      <c r="DM694" s="73">
        <v>-280</v>
      </c>
      <c r="DN694" s="65" t="s">
        <v>126</v>
      </c>
      <c r="DU694"/>
      <c r="DZ694" s="73">
        <v>280</v>
      </c>
      <c r="EA694" s="73">
        <v>0</v>
      </c>
      <c r="EB694" s="73">
        <v>280</v>
      </c>
      <c r="EC694" s="65" t="s">
        <v>126</v>
      </c>
    </row>
    <row r="695" spans="1:133" ht="12" customHeight="1" x14ac:dyDescent="0.2">
      <c r="A695" t="s">
        <v>2937</v>
      </c>
      <c r="B695" t="s">
        <v>2948</v>
      </c>
      <c r="C695" t="str">
        <f t="shared" si="32"/>
        <v>Prior Approval</v>
      </c>
      <c r="E695" s="65">
        <v>6508</v>
      </c>
      <c r="F695" t="s">
        <v>2370</v>
      </c>
      <c r="G695" s="71" t="s">
        <v>3943</v>
      </c>
      <c r="H695" s="67">
        <v>4.8999998718500103E-2</v>
      </c>
      <c r="I695" s="65">
        <v>526400</v>
      </c>
      <c r="J695" s="65">
        <v>175699</v>
      </c>
      <c r="L695" s="65" t="s">
        <v>972</v>
      </c>
      <c r="M695" s="65" t="s">
        <v>243</v>
      </c>
      <c r="N695" s="69">
        <v>42551</v>
      </c>
      <c r="O695" s="69">
        <v>42607</v>
      </c>
      <c r="R695" s="65" t="s">
        <v>28</v>
      </c>
      <c r="U695" t="s">
        <v>973</v>
      </c>
      <c r="V695" t="s">
        <v>3644</v>
      </c>
      <c r="W695" s="65" t="s">
        <v>21</v>
      </c>
      <c r="X695" s="65" t="s">
        <v>21</v>
      </c>
      <c r="Y695" s="65" t="s">
        <v>69</v>
      </c>
      <c r="AD695" s="65" t="s">
        <v>23</v>
      </c>
      <c r="AE695" s="65" t="s">
        <v>24</v>
      </c>
      <c r="BF695" s="73">
        <v>253</v>
      </c>
      <c r="BK695" s="73">
        <v>253</v>
      </c>
      <c r="BO695" s="185" t="s">
        <v>3794</v>
      </c>
      <c r="BP695" s="185" t="s">
        <v>126</v>
      </c>
      <c r="BQ695" s="185" t="s">
        <v>3794</v>
      </c>
      <c r="BW695" s="73"/>
      <c r="BX695" s="73">
        <v>-253</v>
      </c>
      <c r="BY695" s="185" t="s">
        <v>126</v>
      </c>
      <c r="CD695" s="73">
        <v>-253</v>
      </c>
      <c r="CE695" s="65" t="s">
        <v>126</v>
      </c>
      <c r="CJ695" t="s">
        <v>25</v>
      </c>
      <c r="CK695" t="s">
        <v>25</v>
      </c>
      <c r="CL695" t="s">
        <v>25</v>
      </c>
      <c r="CM695" t="s">
        <v>25</v>
      </c>
      <c r="CN695" t="s">
        <v>25</v>
      </c>
      <c r="CO695" t="s">
        <v>25</v>
      </c>
      <c r="CP695" t="s">
        <v>25</v>
      </c>
      <c r="CQ695" t="s">
        <v>25</v>
      </c>
      <c r="CR695" t="s">
        <v>25</v>
      </c>
      <c r="CS695" t="s">
        <v>25</v>
      </c>
      <c r="CT695" t="s">
        <v>25</v>
      </c>
      <c r="CU695" t="s">
        <v>25</v>
      </c>
      <c r="CV695" t="s">
        <v>25</v>
      </c>
      <c r="CW695" t="s">
        <v>25</v>
      </c>
      <c r="CX695" t="s">
        <v>25</v>
      </c>
      <c r="CY695" t="s">
        <v>25</v>
      </c>
      <c r="CZ695" t="s">
        <v>25</v>
      </c>
      <c r="DA695" t="s">
        <v>25</v>
      </c>
      <c r="DB695" t="s">
        <v>72</v>
      </c>
      <c r="DC695" t="s">
        <v>25</v>
      </c>
      <c r="DD695" t="s">
        <v>25</v>
      </c>
      <c r="DE695" t="s">
        <v>25</v>
      </c>
      <c r="DF695" t="s">
        <v>25</v>
      </c>
      <c r="DG695" t="s">
        <v>25</v>
      </c>
      <c r="DH695" t="s">
        <v>25</v>
      </c>
      <c r="DI695" t="s">
        <v>25</v>
      </c>
      <c r="DJ695" s="76">
        <v>2.3999998345971104E-2</v>
      </c>
      <c r="DK695" s="73">
        <v>0</v>
      </c>
      <c r="DL695" s="73">
        <v>253</v>
      </c>
      <c r="DM695" s="73">
        <v>-253</v>
      </c>
      <c r="DN695" s="65" t="s">
        <v>126</v>
      </c>
      <c r="DU695"/>
      <c r="DZ695" s="73">
        <v>253</v>
      </c>
      <c r="EA695" s="73">
        <v>0</v>
      </c>
      <c r="EB695" s="73">
        <v>253</v>
      </c>
      <c r="EC695" s="65" t="s">
        <v>126</v>
      </c>
    </row>
    <row r="696" spans="1:133" ht="12" customHeight="1" x14ac:dyDescent="0.2">
      <c r="A696" t="s">
        <v>2937</v>
      </c>
      <c r="B696" t="s">
        <v>2948</v>
      </c>
      <c r="C696" t="str">
        <f t="shared" si="32"/>
        <v>Prior Approval</v>
      </c>
      <c r="E696" s="65">
        <v>6508</v>
      </c>
      <c r="F696" t="s">
        <v>2370</v>
      </c>
      <c r="G696" s="71" t="s">
        <v>3943</v>
      </c>
      <c r="H696" s="67">
        <v>4.8999998718500103E-2</v>
      </c>
      <c r="I696" s="65">
        <v>526400</v>
      </c>
      <c r="J696" s="65">
        <v>175699</v>
      </c>
      <c r="L696" s="65" t="s">
        <v>1072</v>
      </c>
      <c r="M696" s="65" t="s">
        <v>243</v>
      </c>
      <c r="N696" s="69">
        <v>42643</v>
      </c>
      <c r="O696" s="69">
        <v>42699</v>
      </c>
      <c r="R696" s="65" t="s">
        <v>28</v>
      </c>
      <c r="U696" t="s">
        <v>1073</v>
      </c>
      <c r="V696" t="s">
        <v>3645</v>
      </c>
      <c r="W696" s="65" t="s">
        <v>21</v>
      </c>
      <c r="X696" s="65" t="s">
        <v>21</v>
      </c>
      <c r="Y696" s="65" t="s">
        <v>69</v>
      </c>
      <c r="AD696" s="65" t="s">
        <v>23</v>
      </c>
      <c r="AE696" s="65" t="s">
        <v>24</v>
      </c>
      <c r="BF696" s="73">
        <v>219</v>
      </c>
      <c r="BK696" s="73">
        <v>219</v>
      </c>
      <c r="BO696" s="185" t="s">
        <v>3794</v>
      </c>
      <c r="BP696" s="185" t="s">
        <v>126</v>
      </c>
      <c r="BQ696" s="185" t="s">
        <v>3794</v>
      </c>
      <c r="BW696" s="73"/>
      <c r="BX696" s="73">
        <v>-219</v>
      </c>
      <c r="BY696" s="185" t="s">
        <v>126</v>
      </c>
      <c r="CD696" s="73">
        <v>-219</v>
      </c>
      <c r="CE696" s="65" t="s">
        <v>126</v>
      </c>
      <c r="CJ696" t="s">
        <v>25</v>
      </c>
      <c r="CK696" t="s">
        <v>25</v>
      </c>
      <c r="CL696" t="s">
        <v>25</v>
      </c>
      <c r="CM696" t="s">
        <v>25</v>
      </c>
      <c r="CN696" t="s">
        <v>25</v>
      </c>
      <c r="CO696" t="s">
        <v>25</v>
      </c>
      <c r="CP696" t="s">
        <v>25</v>
      </c>
      <c r="CQ696" t="s">
        <v>25</v>
      </c>
      <c r="CR696" t="s">
        <v>25</v>
      </c>
      <c r="CS696" t="s">
        <v>25</v>
      </c>
      <c r="CT696" t="s">
        <v>25</v>
      </c>
      <c r="CU696" t="s">
        <v>25</v>
      </c>
      <c r="CV696" t="s">
        <v>25</v>
      </c>
      <c r="CW696" t="s">
        <v>25</v>
      </c>
      <c r="CX696" t="s">
        <v>25</v>
      </c>
      <c r="CY696" t="s">
        <v>25</v>
      </c>
      <c r="CZ696" t="s">
        <v>25</v>
      </c>
      <c r="DA696" t="s">
        <v>25</v>
      </c>
      <c r="DB696" t="s">
        <v>31</v>
      </c>
      <c r="DC696" t="s">
        <v>25</v>
      </c>
      <c r="DD696" t="s">
        <v>25</v>
      </c>
      <c r="DE696" t="s">
        <v>25</v>
      </c>
      <c r="DF696" t="s">
        <v>25</v>
      </c>
      <c r="DG696" t="s">
        <v>25</v>
      </c>
      <c r="DH696" t="s">
        <v>25</v>
      </c>
      <c r="DI696" t="s">
        <v>25</v>
      </c>
      <c r="DJ696" s="76">
        <v>2.7999999001622203E-2</v>
      </c>
      <c r="DK696" s="73">
        <v>0</v>
      </c>
      <c r="DL696" s="73">
        <v>219</v>
      </c>
      <c r="DM696" s="73">
        <v>-219</v>
      </c>
      <c r="DN696" s="65" t="s">
        <v>126</v>
      </c>
      <c r="DU696"/>
      <c r="DZ696" s="73">
        <v>217</v>
      </c>
      <c r="EA696" s="73">
        <v>0</v>
      </c>
      <c r="EB696" s="73">
        <v>217</v>
      </c>
      <c r="EC696" s="65" t="s">
        <v>126</v>
      </c>
    </row>
    <row r="697" spans="1:133" ht="12" customHeight="1" x14ac:dyDescent="0.2">
      <c r="A697" t="s">
        <v>2937</v>
      </c>
      <c r="B697" t="s">
        <v>2948</v>
      </c>
      <c r="C697" t="str">
        <f t="shared" si="32"/>
        <v>Prior Approval</v>
      </c>
      <c r="E697" s="65">
        <v>6509</v>
      </c>
      <c r="F697" t="s">
        <v>2371</v>
      </c>
      <c r="G697" s="71" t="s">
        <v>3943</v>
      </c>
      <c r="H697" s="67">
        <v>3.7999998778104803E-2</v>
      </c>
      <c r="I697" s="65">
        <v>526505</v>
      </c>
      <c r="J697" s="65">
        <v>175773</v>
      </c>
      <c r="L697" s="65" t="s">
        <v>923</v>
      </c>
      <c r="M697" s="65" t="s">
        <v>243</v>
      </c>
      <c r="N697" s="69">
        <v>42536</v>
      </c>
      <c r="O697" s="69">
        <v>42592</v>
      </c>
      <c r="R697" s="65" t="s">
        <v>28</v>
      </c>
      <c r="U697" t="s">
        <v>924</v>
      </c>
      <c r="V697" t="s">
        <v>3646</v>
      </c>
      <c r="W697" s="65" t="s">
        <v>21</v>
      </c>
      <c r="X697" s="65" t="s">
        <v>21</v>
      </c>
      <c r="Y697" s="65" t="s">
        <v>69</v>
      </c>
      <c r="AD697" s="65" t="s">
        <v>23</v>
      </c>
      <c r="AE697" s="65" t="s">
        <v>24</v>
      </c>
      <c r="BF697" s="73">
        <v>709</v>
      </c>
      <c r="BK697" s="73">
        <v>709</v>
      </c>
      <c r="BO697" s="185" t="s">
        <v>3794</v>
      </c>
      <c r="BP697" s="185" t="s">
        <v>126</v>
      </c>
      <c r="BQ697" s="185" t="s">
        <v>3794</v>
      </c>
      <c r="BW697" s="73"/>
      <c r="BX697" s="73">
        <v>-709</v>
      </c>
      <c r="BY697" s="185" t="s">
        <v>126</v>
      </c>
      <c r="CD697" s="73">
        <v>-709</v>
      </c>
      <c r="CE697" s="65" t="s">
        <v>126</v>
      </c>
      <c r="CJ697" t="s">
        <v>25</v>
      </c>
      <c r="CK697" t="s">
        <v>25</v>
      </c>
      <c r="CL697" t="s">
        <v>25</v>
      </c>
      <c r="CM697" t="s">
        <v>25</v>
      </c>
      <c r="CN697" t="s">
        <v>25</v>
      </c>
      <c r="CO697" t="s">
        <v>25</v>
      </c>
      <c r="CP697" t="s">
        <v>25</v>
      </c>
      <c r="CQ697" t="s">
        <v>25</v>
      </c>
      <c r="CR697" t="s">
        <v>25</v>
      </c>
      <c r="CS697" t="s">
        <v>25</v>
      </c>
      <c r="CT697" t="s">
        <v>25</v>
      </c>
      <c r="CU697" t="s">
        <v>25</v>
      </c>
      <c r="CV697" t="s">
        <v>25</v>
      </c>
      <c r="CW697" t="s">
        <v>25</v>
      </c>
      <c r="CX697" t="s">
        <v>25</v>
      </c>
      <c r="CY697" t="s">
        <v>25</v>
      </c>
      <c r="CZ697" t="s">
        <v>25</v>
      </c>
      <c r="DA697" t="s">
        <v>25</v>
      </c>
      <c r="DB697" t="s">
        <v>31</v>
      </c>
      <c r="DC697" t="s">
        <v>25</v>
      </c>
      <c r="DD697" t="s">
        <v>25</v>
      </c>
      <c r="DE697" t="s">
        <v>25</v>
      </c>
      <c r="DF697" t="s">
        <v>25</v>
      </c>
      <c r="DG697" t="s">
        <v>25</v>
      </c>
      <c r="DH697" t="s">
        <v>25</v>
      </c>
      <c r="DI697" t="s">
        <v>25</v>
      </c>
      <c r="DJ697" s="76">
        <v>1.0999998077750203E-2</v>
      </c>
      <c r="DK697" s="73">
        <v>0</v>
      </c>
      <c r="DL697" s="73">
        <v>709</v>
      </c>
      <c r="DM697" s="73">
        <v>-709</v>
      </c>
      <c r="DN697" s="65" t="s">
        <v>126</v>
      </c>
      <c r="DU697"/>
      <c r="DZ697" s="73">
        <v>709</v>
      </c>
      <c r="EA697" s="73">
        <v>0</v>
      </c>
      <c r="EB697" s="73">
        <v>709</v>
      </c>
      <c r="EC697" s="65" t="s">
        <v>126</v>
      </c>
    </row>
    <row r="698" spans="1:133" ht="12" customHeight="1" x14ac:dyDescent="0.2">
      <c r="A698" t="s">
        <v>2937</v>
      </c>
      <c r="B698" t="s">
        <v>2948</v>
      </c>
      <c r="C698" t="str">
        <f t="shared" si="32"/>
        <v>Prior Approval</v>
      </c>
      <c r="E698" s="65">
        <v>6509</v>
      </c>
      <c r="F698" t="s">
        <v>2371</v>
      </c>
      <c r="G698" s="71" t="s">
        <v>3943</v>
      </c>
      <c r="H698" s="67">
        <v>3.7999998778104803E-2</v>
      </c>
      <c r="I698" s="65">
        <v>526505</v>
      </c>
      <c r="J698" s="65">
        <v>175773</v>
      </c>
      <c r="L698" s="65" t="s">
        <v>925</v>
      </c>
      <c r="M698" s="65" t="s">
        <v>243</v>
      </c>
      <c r="N698" s="69">
        <v>42536</v>
      </c>
      <c r="O698" s="69">
        <v>42592</v>
      </c>
      <c r="R698" s="65" t="s">
        <v>28</v>
      </c>
      <c r="U698" t="s">
        <v>926</v>
      </c>
      <c r="V698" t="s">
        <v>3647</v>
      </c>
      <c r="W698" s="65" t="s">
        <v>21</v>
      </c>
      <c r="X698" s="65" t="s">
        <v>21</v>
      </c>
      <c r="Y698" s="65" t="s">
        <v>69</v>
      </c>
      <c r="AD698" s="65" t="s">
        <v>23</v>
      </c>
      <c r="AE698" s="65" t="s">
        <v>24</v>
      </c>
      <c r="BF698" s="73">
        <v>135</v>
      </c>
      <c r="BK698" s="73">
        <v>135</v>
      </c>
      <c r="BO698" s="185" t="s">
        <v>3794</v>
      </c>
      <c r="BP698" s="185" t="s">
        <v>126</v>
      </c>
      <c r="BQ698" s="185" t="s">
        <v>3794</v>
      </c>
      <c r="BW698" s="73"/>
      <c r="BX698" s="73">
        <v>-135</v>
      </c>
      <c r="BY698" s="185" t="s">
        <v>126</v>
      </c>
      <c r="CD698" s="73">
        <v>-135</v>
      </c>
      <c r="CE698" s="65" t="s">
        <v>126</v>
      </c>
      <c r="CJ698" t="s">
        <v>25</v>
      </c>
      <c r="CK698" t="s">
        <v>25</v>
      </c>
      <c r="CL698" t="s">
        <v>25</v>
      </c>
      <c r="CM698" t="s">
        <v>25</v>
      </c>
      <c r="CN698" t="s">
        <v>25</v>
      </c>
      <c r="CO698" t="s">
        <v>25</v>
      </c>
      <c r="CP698" t="s">
        <v>25</v>
      </c>
      <c r="CQ698" t="s">
        <v>25</v>
      </c>
      <c r="CR698" t="s">
        <v>25</v>
      </c>
      <c r="CS698" t="s">
        <v>25</v>
      </c>
      <c r="CT698" t="s">
        <v>25</v>
      </c>
      <c r="CU698" t="s">
        <v>25</v>
      </c>
      <c r="CV698" t="s">
        <v>25</v>
      </c>
      <c r="CW698" t="s">
        <v>25</v>
      </c>
      <c r="CX698" t="s">
        <v>25</v>
      </c>
      <c r="CY698" t="s">
        <v>25</v>
      </c>
      <c r="CZ698" t="s">
        <v>25</v>
      </c>
      <c r="DA698" t="s">
        <v>25</v>
      </c>
      <c r="DB698" t="s">
        <v>31</v>
      </c>
      <c r="DC698" t="s">
        <v>25</v>
      </c>
      <c r="DD698" t="s">
        <v>25</v>
      </c>
      <c r="DE698" t="s">
        <v>25</v>
      </c>
      <c r="DF698" t="s">
        <v>25</v>
      </c>
      <c r="DG698" t="s">
        <v>25</v>
      </c>
      <c r="DH698" t="s">
        <v>25</v>
      </c>
      <c r="DI698" t="s">
        <v>25</v>
      </c>
      <c r="DJ698" s="76">
        <v>2.4999998509883901E-2</v>
      </c>
      <c r="DK698" s="73">
        <v>0</v>
      </c>
      <c r="DL698" s="73">
        <v>135</v>
      </c>
      <c r="DM698" s="73">
        <v>-135</v>
      </c>
      <c r="DN698" s="65" t="s">
        <v>126</v>
      </c>
      <c r="DU698"/>
      <c r="DZ698" s="73">
        <v>135</v>
      </c>
      <c r="EA698" s="73">
        <v>0</v>
      </c>
      <c r="EB698" s="73">
        <v>135</v>
      </c>
      <c r="EC698" s="65" t="s">
        <v>126</v>
      </c>
    </row>
    <row r="699" spans="1:133" ht="12" customHeight="1" x14ac:dyDescent="0.2">
      <c r="A699" t="s">
        <v>2937</v>
      </c>
      <c r="B699" t="s">
        <v>2948</v>
      </c>
      <c r="C699" t="str">
        <f t="shared" si="32"/>
        <v>Prior Approval</v>
      </c>
      <c r="E699" s="65">
        <v>6509</v>
      </c>
      <c r="F699" t="s">
        <v>2371</v>
      </c>
      <c r="G699" s="71" t="s">
        <v>3943</v>
      </c>
      <c r="H699" s="67">
        <v>3.7999998778104803E-2</v>
      </c>
      <c r="I699" s="65">
        <v>526505</v>
      </c>
      <c r="J699" s="65">
        <v>175773</v>
      </c>
      <c r="L699" s="65" t="s">
        <v>941</v>
      </c>
      <c r="M699" s="65" t="s">
        <v>243</v>
      </c>
      <c r="N699" s="69">
        <v>42548</v>
      </c>
      <c r="O699" s="69">
        <v>42604</v>
      </c>
      <c r="R699" s="65" t="s">
        <v>28</v>
      </c>
      <c r="U699" t="s">
        <v>942</v>
      </c>
      <c r="V699" t="s">
        <v>3648</v>
      </c>
      <c r="W699" s="65" t="s">
        <v>21</v>
      </c>
      <c r="X699" s="65" t="s">
        <v>21</v>
      </c>
      <c r="Y699" s="65" t="s">
        <v>69</v>
      </c>
      <c r="AD699" s="65" t="s">
        <v>23</v>
      </c>
      <c r="AE699" s="65" t="s">
        <v>24</v>
      </c>
      <c r="BF699" s="73">
        <v>173</v>
      </c>
      <c r="BK699" s="73">
        <v>173</v>
      </c>
      <c r="BO699" s="185" t="s">
        <v>3794</v>
      </c>
      <c r="BP699" s="185" t="s">
        <v>126</v>
      </c>
      <c r="BQ699" s="185" t="s">
        <v>3794</v>
      </c>
      <c r="BW699" s="73"/>
      <c r="BX699" s="73">
        <v>-173</v>
      </c>
      <c r="BY699" s="185" t="s">
        <v>126</v>
      </c>
      <c r="CD699" s="73">
        <v>-173</v>
      </c>
      <c r="CE699" s="65" t="s">
        <v>126</v>
      </c>
      <c r="CJ699" t="s">
        <v>25</v>
      </c>
      <c r="CK699" t="s">
        <v>25</v>
      </c>
      <c r="CL699" t="s">
        <v>25</v>
      </c>
      <c r="CM699" t="s">
        <v>25</v>
      </c>
      <c r="CN699" t="s">
        <v>25</v>
      </c>
      <c r="CO699" t="s">
        <v>25</v>
      </c>
      <c r="CP699" t="s">
        <v>25</v>
      </c>
      <c r="CQ699" t="s">
        <v>25</v>
      </c>
      <c r="CR699" t="s">
        <v>25</v>
      </c>
      <c r="CS699" t="s">
        <v>25</v>
      </c>
      <c r="CT699" t="s">
        <v>25</v>
      </c>
      <c r="CU699" t="s">
        <v>25</v>
      </c>
      <c r="CV699" t="s">
        <v>25</v>
      </c>
      <c r="CW699" t="s">
        <v>25</v>
      </c>
      <c r="CX699" t="s">
        <v>25</v>
      </c>
      <c r="CY699" t="s">
        <v>25</v>
      </c>
      <c r="CZ699" t="s">
        <v>25</v>
      </c>
      <c r="DA699" t="s">
        <v>25</v>
      </c>
      <c r="DB699" t="s">
        <v>31</v>
      </c>
      <c r="DC699" t="s">
        <v>25</v>
      </c>
      <c r="DD699" t="s">
        <v>25</v>
      </c>
      <c r="DE699" t="s">
        <v>25</v>
      </c>
      <c r="DF699" t="s">
        <v>25</v>
      </c>
      <c r="DG699" t="s">
        <v>25</v>
      </c>
      <c r="DH699" t="s">
        <v>25</v>
      </c>
      <c r="DI699" t="s">
        <v>25</v>
      </c>
      <c r="DJ699" s="76">
        <v>2.3999998345971101E-2</v>
      </c>
      <c r="DK699" s="73">
        <v>0</v>
      </c>
      <c r="DL699" s="73">
        <v>173</v>
      </c>
      <c r="DM699" s="73">
        <v>-173</v>
      </c>
      <c r="DN699" s="65" t="s">
        <v>126</v>
      </c>
      <c r="DU699"/>
      <c r="DZ699" s="73">
        <v>173</v>
      </c>
      <c r="EA699" s="73">
        <v>0</v>
      </c>
      <c r="EB699" s="73">
        <v>173</v>
      </c>
      <c r="EC699" s="65" t="s">
        <v>126</v>
      </c>
    </row>
    <row r="700" spans="1:133" ht="12" customHeight="1" x14ac:dyDescent="0.2">
      <c r="A700" t="s">
        <v>2937</v>
      </c>
      <c r="B700" t="s">
        <v>2946</v>
      </c>
      <c r="C700" t="str">
        <f t="shared" si="32"/>
        <v>Full</v>
      </c>
      <c r="E700" s="65">
        <v>6510</v>
      </c>
      <c r="F700" t="s">
        <v>2372</v>
      </c>
      <c r="G700" s="71" t="s">
        <v>3944</v>
      </c>
      <c r="H700" s="67">
        <v>0.112999998033047</v>
      </c>
      <c r="I700" s="65">
        <v>526401</v>
      </c>
      <c r="J700" s="65">
        <v>174944</v>
      </c>
      <c r="L700" s="65" t="s">
        <v>2373</v>
      </c>
      <c r="M700" s="65" t="s">
        <v>27</v>
      </c>
      <c r="N700" s="69">
        <v>42835</v>
      </c>
      <c r="O700" s="69">
        <v>42999</v>
      </c>
      <c r="P700" s="65" t="s">
        <v>126</v>
      </c>
      <c r="R700" s="65" t="s">
        <v>28</v>
      </c>
      <c r="U700" t="s">
        <v>2374</v>
      </c>
      <c r="V700" t="s">
        <v>3649</v>
      </c>
      <c r="W700" s="65" t="s">
        <v>34</v>
      </c>
      <c r="X700" s="65" t="s">
        <v>29</v>
      </c>
      <c r="Y700" s="65" t="s">
        <v>69</v>
      </c>
      <c r="AD700" s="65" t="s">
        <v>23</v>
      </c>
      <c r="AE700" s="65" t="s">
        <v>24</v>
      </c>
      <c r="AW700" s="73">
        <v>1266</v>
      </c>
      <c r="AY700" s="73">
        <v>1266</v>
      </c>
      <c r="AZ700" s="73">
        <v>77</v>
      </c>
      <c r="BE700" s="73">
        <v>77</v>
      </c>
      <c r="BL700" s="73">
        <v>579</v>
      </c>
      <c r="BN700" s="73">
        <v>579</v>
      </c>
      <c r="BO700" s="185" t="s">
        <v>126</v>
      </c>
      <c r="BP700" s="185" t="s">
        <v>3794</v>
      </c>
      <c r="BQ700" s="185" t="s">
        <v>126</v>
      </c>
      <c r="BR700" s="73">
        <v>-77</v>
      </c>
      <c r="BW700" s="73">
        <v>-77</v>
      </c>
      <c r="BY700" s="185" t="s">
        <v>3794</v>
      </c>
      <c r="CG700" s="73">
        <v>687</v>
      </c>
      <c r="CI700" s="73">
        <v>687</v>
      </c>
      <c r="CJ700" t="s">
        <v>25</v>
      </c>
      <c r="CK700" t="s">
        <v>25</v>
      </c>
      <c r="CL700" t="s">
        <v>25</v>
      </c>
      <c r="CM700" t="s">
        <v>25</v>
      </c>
      <c r="CN700" t="s">
        <v>25</v>
      </c>
      <c r="CO700" t="s">
        <v>25</v>
      </c>
      <c r="CP700" t="s">
        <v>25</v>
      </c>
      <c r="CQ700" t="s">
        <v>25</v>
      </c>
      <c r="CR700" t="s">
        <v>25</v>
      </c>
      <c r="CS700" t="s">
        <v>25</v>
      </c>
      <c r="CT700" t="s">
        <v>25</v>
      </c>
      <c r="CU700" t="s">
        <v>49</v>
      </c>
      <c r="CV700" t="s">
        <v>25</v>
      </c>
      <c r="CW700" t="s">
        <v>47</v>
      </c>
      <c r="CX700" t="s">
        <v>25</v>
      </c>
      <c r="CY700" t="s">
        <v>25</v>
      </c>
      <c r="CZ700" t="s">
        <v>25</v>
      </c>
      <c r="DA700" t="s">
        <v>25</v>
      </c>
      <c r="DB700" t="s">
        <v>25</v>
      </c>
      <c r="DC700" t="s">
        <v>25</v>
      </c>
      <c r="DD700" t="s">
        <v>25</v>
      </c>
      <c r="DE700" t="s">
        <v>25</v>
      </c>
      <c r="DF700" t="s">
        <v>25</v>
      </c>
      <c r="DG700" t="s">
        <v>25</v>
      </c>
      <c r="DH700" t="s">
        <v>47</v>
      </c>
      <c r="DI700" t="s">
        <v>25</v>
      </c>
      <c r="DJ700" s="76">
        <v>0.112999998033047</v>
      </c>
      <c r="DK700" s="73">
        <v>1266</v>
      </c>
      <c r="DL700" s="73">
        <v>656</v>
      </c>
      <c r="DM700" s="73">
        <v>610</v>
      </c>
      <c r="DU700"/>
      <c r="DZ700" s="73">
        <v>0</v>
      </c>
      <c r="EA700" s="73">
        <v>0</v>
      </c>
      <c r="EB700" s="73">
        <v>0</v>
      </c>
    </row>
    <row r="701" spans="1:133" ht="12" customHeight="1" x14ac:dyDescent="0.2">
      <c r="A701" t="s">
        <v>2935</v>
      </c>
      <c r="B701" t="s">
        <v>2946</v>
      </c>
      <c r="C701" t="str">
        <f t="shared" si="32"/>
        <v>Full</v>
      </c>
      <c r="E701" s="65">
        <v>6511</v>
      </c>
      <c r="F701" t="s">
        <v>2375</v>
      </c>
      <c r="G701" s="71" t="s">
        <v>3944</v>
      </c>
      <c r="H701" s="67">
        <v>1.2000000104308101E-2</v>
      </c>
      <c r="I701" s="65">
        <v>525953</v>
      </c>
      <c r="J701" s="65">
        <v>175002</v>
      </c>
      <c r="L701" s="65" t="s">
        <v>1129</v>
      </c>
      <c r="M701" s="65" t="s">
        <v>27</v>
      </c>
      <c r="N701" s="69">
        <v>42683</v>
      </c>
      <c r="O701" s="69">
        <v>42888</v>
      </c>
      <c r="P701" s="65" t="s">
        <v>126</v>
      </c>
      <c r="R701" s="65" t="s">
        <v>28</v>
      </c>
      <c r="U701" t="s">
        <v>1130</v>
      </c>
      <c r="V701" t="s">
        <v>3650</v>
      </c>
      <c r="W701" s="65" t="s">
        <v>34</v>
      </c>
      <c r="X701" s="65" t="s">
        <v>29</v>
      </c>
      <c r="Y701" s="65" t="s">
        <v>30</v>
      </c>
      <c r="AA701" s="69">
        <v>43190</v>
      </c>
      <c r="AD701" s="65" t="s">
        <v>23</v>
      </c>
      <c r="AE701" s="65" t="s">
        <v>24</v>
      </c>
      <c r="AH701" s="69">
        <f t="shared" ref="AH701:AH756" si="33">AA701</f>
        <v>43190</v>
      </c>
      <c r="AP701" s="73">
        <v>53</v>
      </c>
      <c r="AS701" s="73">
        <v>53</v>
      </c>
      <c r="AV701" s="73">
        <v>53</v>
      </c>
      <c r="BF701" s="73">
        <v>95</v>
      </c>
      <c r="BK701" s="73">
        <v>95</v>
      </c>
      <c r="BO701" s="185" t="s">
        <v>3794</v>
      </c>
      <c r="BP701" s="185" t="s">
        <v>126</v>
      </c>
      <c r="BQ701" s="185" t="s">
        <v>3794</v>
      </c>
      <c r="BW701" s="73"/>
      <c r="BX701" s="73">
        <v>-42</v>
      </c>
      <c r="BY701" s="185" t="s">
        <v>126</v>
      </c>
      <c r="CD701" s="73">
        <v>-42</v>
      </c>
      <c r="CE701" s="65" t="s">
        <v>126</v>
      </c>
      <c r="CJ701" t="s">
        <v>25</v>
      </c>
      <c r="CK701" t="s">
        <v>25</v>
      </c>
      <c r="CL701" t="s">
        <v>25</v>
      </c>
      <c r="CM701" t="s">
        <v>25</v>
      </c>
      <c r="CN701" t="s">
        <v>25</v>
      </c>
      <c r="CO701" t="s">
        <v>31</v>
      </c>
      <c r="CP701" t="s">
        <v>25</v>
      </c>
      <c r="CQ701" t="s">
        <v>25</v>
      </c>
      <c r="CR701" t="s">
        <v>25</v>
      </c>
      <c r="CS701" t="s">
        <v>25</v>
      </c>
      <c r="CT701" t="s">
        <v>25</v>
      </c>
      <c r="CU701" t="s">
        <v>25</v>
      </c>
      <c r="CV701" t="s">
        <v>25</v>
      </c>
      <c r="CW701" t="s">
        <v>25</v>
      </c>
      <c r="CX701" t="s">
        <v>25</v>
      </c>
      <c r="CY701" t="s">
        <v>25</v>
      </c>
      <c r="CZ701" t="s">
        <v>25</v>
      </c>
      <c r="DA701" t="s">
        <v>25</v>
      </c>
      <c r="DB701" t="s">
        <v>31</v>
      </c>
      <c r="DC701" t="s">
        <v>25</v>
      </c>
      <c r="DD701" t="s">
        <v>25</v>
      </c>
      <c r="DE701" t="s">
        <v>25</v>
      </c>
      <c r="DF701" t="s">
        <v>25</v>
      </c>
      <c r="DG701" t="s">
        <v>25</v>
      </c>
      <c r="DH701" t="s">
        <v>25</v>
      </c>
      <c r="DI701" t="s">
        <v>25</v>
      </c>
      <c r="DJ701" s="76">
        <v>2.0000003278255202E-3</v>
      </c>
      <c r="DK701" s="73">
        <v>53</v>
      </c>
      <c r="DL701" s="73">
        <v>95</v>
      </c>
      <c r="DM701" s="73">
        <v>-42</v>
      </c>
      <c r="DU701"/>
      <c r="DZ701" s="73">
        <v>292</v>
      </c>
      <c r="EA701" s="73">
        <v>0</v>
      </c>
      <c r="EB701" s="73">
        <v>292</v>
      </c>
      <c r="EC701" s="65" t="s">
        <v>126</v>
      </c>
    </row>
    <row r="702" spans="1:133" ht="12" customHeight="1" x14ac:dyDescent="0.2">
      <c r="A702" t="s">
        <v>2937</v>
      </c>
      <c r="B702" t="s">
        <v>2946</v>
      </c>
      <c r="C702" t="str">
        <f t="shared" si="32"/>
        <v>Full</v>
      </c>
      <c r="E702" s="65">
        <v>6516</v>
      </c>
      <c r="F702" t="s">
        <v>2376</v>
      </c>
      <c r="G702" s="71" t="s">
        <v>3950</v>
      </c>
      <c r="H702" s="67">
        <v>3.20000015199184E-2</v>
      </c>
      <c r="I702" s="65">
        <v>529436</v>
      </c>
      <c r="J702" s="65">
        <v>171443</v>
      </c>
      <c r="L702" s="65" t="s">
        <v>1250</v>
      </c>
      <c r="M702" s="65" t="s">
        <v>27</v>
      </c>
      <c r="N702" s="69">
        <v>42772</v>
      </c>
      <c r="O702" s="69">
        <v>42828</v>
      </c>
      <c r="P702" s="65" t="s">
        <v>126</v>
      </c>
      <c r="R702" s="65" t="s">
        <v>28</v>
      </c>
      <c r="U702" t="s">
        <v>1251</v>
      </c>
      <c r="V702" t="s">
        <v>3651</v>
      </c>
      <c r="W702" s="65" t="s">
        <v>29</v>
      </c>
      <c r="X702" s="65" t="s">
        <v>29</v>
      </c>
      <c r="Y702" s="65" t="s">
        <v>69</v>
      </c>
      <c r="AD702" s="65" t="s">
        <v>23</v>
      </c>
      <c r="AE702" s="65" t="s">
        <v>24</v>
      </c>
      <c r="BJ702" s="73">
        <v>124</v>
      </c>
      <c r="BK702" s="73">
        <v>124</v>
      </c>
      <c r="BO702" s="185" t="s">
        <v>3794</v>
      </c>
      <c r="BP702" s="185" t="s">
        <v>126</v>
      </c>
      <c r="BQ702" s="185" t="s">
        <v>3794</v>
      </c>
      <c r="BW702" s="73"/>
      <c r="BY702" s="185" t="s">
        <v>3794</v>
      </c>
      <c r="CC702" s="73">
        <v>-124</v>
      </c>
      <c r="CD702" s="73">
        <v>-124</v>
      </c>
      <c r="CE702" s="65" t="s">
        <v>126</v>
      </c>
      <c r="CJ702" t="s">
        <v>25</v>
      </c>
      <c r="CK702" t="s">
        <v>25</v>
      </c>
      <c r="CL702" t="s">
        <v>25</v>
      </c>
      <c r="CM702" t="s">
        <v>25</v>
      </c>
      <c r="CN702" t="s">
        <v>25</v>
      </c>
      <c r="CO702" t="s">
        <v>25</v>
      </c>
      <c r="CP702" t="s">
        <v>25</v>
      </c>
      <c r="CQ702" t="s">
        <v>25</v>
      </c>
      <c r="CR702" t="s">
        <v>25</v>
      </c>
      <c r="CS702" t="s">
        <v>25</v>
      </c>
      <c r="CT702" t="s">
        <v>25</v>
      </c>
      <c r="CU702" t="s">
        <v>25</v>
      </c>
      <c r="CV702" t="s">
        <v>25</v>
      </c>
      <c r="CW702" t="s">
        <v>25</v>
      </c>
      <c r="CX702" t="s">
        <v>25</v>
      </c>
      <c r="CY702" t="s">
        <v>25</v>
      </c>
      <c r="CZ702" t="s">
        <v>25</v>
      </c>
      <c r="DA702" t="s">
        <v>25</v>
      </c>
      <c r="DB702" t="s">
        <v>25</v>
      </c>
      <c r="DC702" t="s">
        <v>25</v>
      </c>
      <c r="DD702" t="s">
        <v>25</v>
      </c>
      <c r="DE702" t="s">
        <v>25</v>
      </c>
      <c r="DF702" t="s">
        <v>47</v>
      </c>
      <c r="DG702" t="s">
        <v>25</v>
      </c>
      <c r="DH702" t="s">
        <v>25</v>
      </c>
      <c r="DI702" t="s">
        <v>25</v>
      </c>
      <c r="DJ702" s="76">
        <v>2.6000001467764339E-2</v>
      </c>
      <c r="DK702" s="73">
        <v>0</v>
      </c>
      <c r="DL702" s="73">
        <v>124</v>
      </c>
      <c r="DM702" s="73">
        <v>-124</v>
      </c>
      <c r="DU702"/>
      <c r="DZ702" s="73">
        <v>174</v>
      </c>
      <c r="EA702" s="73">
        <v>0</v>
      </c>
      <c r="EB702" s="73">
        <v>174</v>
      </c>
      <c r="EC702" s="65" t="s">
        <v>126</v>
      </c>
    </row>
    <row r="703" spans="1:133" ht="12" customHeight="1" x14ac:dyDescent="0.2">
      <c r="A703" t="s">
        <v>2935</v>
      </c>
      <c r="B703" t="s">
        <v>2946</v>
      </c>
      <c r="C703" t="str">
        <f t="shared" si="32"/>
        <v>Full</v>
      </c>
      <c r="E703" s="65">
        <v>6517</v>
      </c>
      <c r="F703" t="s">
        <v>2377</v>
      </c>
      <c r="G703" s="71" t="s">
        <v>3946</v>
      </c>
      <c r="H703" s="67">
        <v>0.54000002145767201</v>
      </c>
      <c r="I703" s="65">
        <v>525437</v>
      </c>
      <c r="J703" s="65">
        <v>175256</v>
      </c>
      <c r="K703" s="65" t="s">
        <v>1545</v>
      </c>
      <c r="L703" s="65" t="s">
        <v>1210</v>
      </c>
      <c r="M703" s="65" t="s">
        <v>33</v>
      </c>
      <c r="N703" s="69">
        <v>42744</v>
      </c>
      <c r="O703" s="69">
        <v>43090</v>
      </c>
      <c r="P703" s="65" t="s">
        <v>126</v>
      </c>
      <c r="Q703" s="69">
        <v>42908</v>
      </c>
      <c r="R703" s="65" t="s">
        <v>28</v>
      </c>
      <c r="U703" t="s">
        <v>1211</v>
      </c>
      <c r="V703" t="s">
        <v>3652</v>
      </c>
      <c r="W703" s="65" t="s">
        <v>29</v>
      </c>
      <c r="X703" s="65" t="s">
        <v>29</v>
      </c>
      <c r="Y703" s="65" t="s">
        <v>30</v>
      </c>
      <c r="AA703" s="69">
        <v>43110</v>
      </c>
      <c r="AD703" s="65" t="s">
        <v>23</v>
      </c>
      <c r="AE703" s="65" t="s">
        <v>24</v>
      </c>
      <c r="AH703" s="69">
        <f t="shared" si="33"/>
        <v>43110</v>
      </c>
      <c r="AJ703" s="73">
        <v>107</v>
      </c>
      <c r="AL703" s="73">
        <v>194</v>
      </c>
      <c r="AM703" s="73">
        <v>87</v>
      </c>
      <c r="AO703" s="73">
        <v>388</v>
      </c>
      <c r="AP703" s="73">
        <v>108</v>
      </c>
      <c r="AS703" s="73">
        <v>108</v>
      </c>
      <c r="AV703" s="73">
        <v>108</v>
      </c>
      <c r="AX703" s="73">
        <v>422</v>
      </c>
      <c r="AY703" s="73">
        <v>422</v>
      </c>
      <c r="AZ703" s="73">
        <v>23</v>
      </c>
      <c r="BB703" s="73">
        <v>23</v>
      </c>
      <c r="BC703" s="73">
        <v>21</v>
      </c>
      <c r="BE703" s="73">
        <v>67</v>
      </c>
      <c r="BF703" s="73">
        <v>1370</v>
      </c>
      <c r="BK703" s="73">
        <v>1370</v>
      </c>
      <c r="BL703" s="73">
        <v>104</v>
      </c>
      <c r="BM703" s="73">
        <v>275</v>
      </c>
      <c r="BN703" s="73">
        <v>379</v>
      </c>
      <c r="BO703" s="185" t="s">
        <v>126</v>
      </c>
      <c r="BP703" s="185" t="s">
        <v>126</v>
      </c>
      <c r="BQ703" s="185" t="s">
        <v>126</v>
      </c>
      <c r="BR703" s="73">
        <v>84</v>
      </c>
      <c r="BT703" s="73">
        <v>171</v>
      </c>
      <c r="BU703" s="73">
        <v>66</v>
      </c>
      <c r="BW703" s="73">
        <v>321</v>
      </c>
      <c r="BX703" s="73">
        <v>-1262</v>
      </c>
      <c r="BY703" s="185" t="s">
        <v>126</v>
      </c>
      <c r="CD703" s="73">
        <v>-1262</v>
      </c>
      <c r="CE703" s="65" t="s">
        <v>126</v>
      </c>
      <c r="CG703" s="73">
        <v>-104</v>
      </c>
      <c r="CH703" s="73">
        <v>147</v>
      </c>
      <c r="CI703" s="73">
        <v>43</v>
      </c>
      <c r="CJ703" t="s">
        <v>31</v>
      </c>
      <c r="CK703" t="s">
        <v>25</v>
      </c>
      <c r="CL703" t="s">
        <v>31</v>
      </c>
      <c r="CM703" t="s">
        <v>31</v>
      </c>
      <c r="CN703" t="s">
        <v>25</v>
      </c>
      <c r="CO703" t="s">
        <v>31</v>
      </c>
      <c r="CP703" t="s">
        <v>25</v>
      </c>
      <c r="CQ703" t="s">
        <v>25</v>
      </c>
      <c r="CR703" t="s">
        <v>25</v>
      </c>
      <c r="CS703" t="s">
        <v>25</v>
      </c>
      <c r="CT703" t="s">
        <v>25</v>
      </c>
      <c r="CU703" t="s">
        <v>25</v>
      </c>
      <c r="CV703" t="s">
        <v>49</v>
      </c>
      <c r="CW703" t="s">
        <v>25</v>
      </c>
      <c r="CX703" t="s">
        <v>25</v>
      </c>
      <c r="CY703" t="s">
        <v>25</v>
      </c>
      <c r="CZ703" t="s">
        <v>25</v>
      </c>
      <c r="DA703" t="s">
        <v>25</v>
      </c>
      <c r="DB703" t="s">
        <v>25</v>
      </c>
      <c r="DC703" t="s">
        <v>25</v>
      </c>
      <c r="DD703" t="s">
        <v>25</v>
      </c>
      <c r="DE703" t="s">
        <v>25</v>
      </c>
      <c r="DF703" t="s">
        <v>25</v>
      </c>
      <c r="DG703" t="s">
        <v>25</v>
      </c>
      <c r="DH703" t="s">
        <v>25</v>
      </c>
      <c r="DI703" t="s">
        <v>25</v>
      </c>
      <c r="DJ703" s="76">
        <v>0.25640001893043468</v>
      </c>
      <c r="DK703" s="73">
        <v>918</v>
      </c>
      <c r="DL703" s="73">
        <v>1816</v>
      </c>
      <c r="DM703" s="73">
        <v>-898</v>
      </c>
      <c r="DN703" s="65" t="s">
        <v>126</v>
      </c>
      <c r="DU703"/>
      <c r="DZ703" s="73">
        <v>13520</v>
      </c>
      <c r="EA703" s="73">
        <v>12748</v>
      </c>
      <c r="EB703" s="73">
        <v>772</v>
      </c>
      <c r="EC703" s="65" t="s">
        <v>126</v>
      </c>
    </row>
    <row r="704" spans="1:133" ht="12" customHeight="1" x14ac:dyDescent="0.2">
      <c r="A704" t="s">
        <v>2937</v>
      </c>
      <c r="B704" t="s">
        <v>2946</v>
      </c>
      <c r="C704" t="str">
        <f t="shared" si="32"/>
        <v>Full</v>
      </c>
      <c r="E704" s="65">
        <v>6519</v>
      </c>
      <c r="F704" t="s">
        <v>2378</v>
      </c>
      <c r="G704" s="71" t="s">
        <v>3941</v>
      </c>
      <c r="H704" s="67">
        <v>1.43999997526407E-2</v>
      </c>
      <c r="I704" s="65">
        <v>528096</v>
      </c>
      <c r="J704" s="65">
        <v>173420</v>
      </c>
      <c r="L704" s="65" t="s">
        <v>1139</v>
      </c>
      <c r="M704" s="65" t="s">
        <v>27</v>
      </c>
      <c r="N704" s="69">
        <v>42803</v>
      </c>
      <c r="O704" s="69">
        <v>42969</v>
      </c>
      <c r="P704" s="65" t="s">
        <v>126</v>
      </c>
      <c r="R704" s="65" t="s">
        <v>28</v>
      </c>
      <c r="U704" t="s">
        <v>1140</v>
      </c>
      <c r="V704" t="s">
        <v>3653</v>
      </c>
      <c r="W704" s="65" t="s">
        <v>21</v>
      </c>
      <c r="X704" s="65" t="s">
        <v>21</v>
      </c>
      <c r="Y704" s="65" t="s">
        <v>69</v>
      </c>
      <c r="AD704" s="65" t="s">
        <v>23</v>
      </c>
      <c r="AE704" s="65" t="s">
        <v>24</v>
      </c>
      <c r="BO704" s="185" t="s">
        <v>3794</v>
      </c>
      <c r="BP704" s="185" t="s">
        <v>3794</v>
      </c>
      <c r="BQ704" s="185" t="s">
        <v>3794</v>
      </c>
      <c r="BW704" s="73"/>
      <c r="BY704" s="185" t="s">
        <v>3794</v>
      </c>
      <c r="CJ704" t="s">
        <v>25</v>
      </c>
      <c r="CK704" t="s">
        <v>25</v>
      </c>
      <c r="CL704" t="s">
        <v>25</v>
      </c>
      <c r="CM704" t="s">
        <v>25</v>
      </c>
      <c r="CN704" t="s">
        <v>25</v>
      </c>
      <c r="CO704" t="s">
        <v>25</v>
      </c>
      <c r="CP704" t="s">
        <v>25</v>
      </c>
      <c r="CQ704" t="s">
        <v>25</v>
      </c>
      <c r="CR704" t="s">
        <v>25</v>
      </c>
      <c r="CS704" t="s">
        <v>25</v>
      </c>
      <c r="CT704" t="s">
        <v>25</v>
      </c>
      <c r="CU704" t="s">
        <v>25</v>
      </c>
      <c r="CV704" t="s">
        <v>25</v>
      </c>
      <c r="CW704" t="s">
        <v>25</v>
      </c>
      <c r="CX704" t="s">
        <v>25</v>
      </c>
      <c r="CY704" t="s">
        <v>25</v>
      </c>
      <c r="CZ704" t="s">
        <v>25</v>
      </c>
      <c r="DA704" t="s">
        <v>25</v>
      </c>
      <c r="DB704" t="s">
        <v>25</v>
      </c>
      <c r="DC704" t="s">
        <v>25</v>
      </c>
      <c r="DD704" t="s">
        <v>25</v>
      </c>
      <c r="DE704" t="s">
        <v>25</v>
      </c>
      <c r="DF704" t="s">
        <v>25</v>
      </c>
      <c r="DG704" t="s">
        <v>25</v>
      </c>
      <c r="DH704" t="s">
        <v>25</v>
      </c>
      <c r="DI704" t="s">
        <v>25</v>
      </c>
      <c r="DJ704" s="76">
        <v>0</v>
      </c>
      <c r="DK704" s="73">
        <v>0</v>
      </c>
      <c r="DL704" s="73">
        <v>144</v>
      </c>
      <c r="DM704" s="73">
        <v>-144</v>
      </c>
      <c r="DU704"/>
      <c r="DZ704" s="73">
        <v>144</v>
      </c>
      <c r="EA704" s="73">
        <v>0</v>
      </c>
      <c r="EB704" s="73">
        <v>144</v>
      </c>
      <c r="EC704" s="65" t="s">
        <v>126</v>
      </c>
    </row>
    <row r="705" spans="1:133" ht="12" customHeight="1" x14ac:dyDescent="0.2">
      <c r="A705" t="s">
        <v>2937</v>
      </c>
      <c r="B705" t="s">
        <v>2946</v>
      </c>
      <c r="C705" t="str">
        <f t="shared" si="32"/>
        <v>Full</v>
      </c>
      <c r="E705" s="65">
        <v>6523</v>
      </c>
      <c r="F705" t="s">
        <v>2379</v>
      </c>
      <c r="G705" s="71" t="s">
        <v>149</v>
      </c>
      <c r="H705" s="67">
        <v>6.7400000989437103E-2</v>
      </c>
      <c r="I705" s="65">
        <v>528682</v>
      </c>
      <c r="J705" s="65">
        <v>173943</v>
      </c>
      <c r="L705" s="65" t="s">
        <v>1253</v>
      </c>
      <c r="M705" s="65" t="s">
        <v>27</v>
      </c>
      <c r="N705" s="69">
        <v>42810</v>
      </c>
      <c r="O705" s="69">
        <v>42978</v>
      </c>
      <c r="P705" s="65" t="s">
        <v>126</v>
      </c>
      <c r="R705" s="65" t="s">
        <v>28</v>
      </c>
      <c r="U705" t="s">
        <v>1254</v>
      </c>
      <c r="V705" t="s">
        <v>3654</v>
      </c>
      <c r="W705" s="65" t="s">
        <v>29</v>
      </c>
      <c r="X705" s="65" t="s">
        <v>29</v>
      </c>
      <c r="Y705" s="65" t="s">
        <v>69</v>
      </c>
      <c r="AD705" s="65" t="s">
        <v>23</v>
      </c>
      <c r="AE705" s="65" t="s">
        <v>24</v>
      </c>
      <c r="BF705" s="73">
        <v>154</v>
      </c>
      <c r="BK705" s="73">
        <v>154</v>
      </c>
      <c r="BO705" s="185" t="s">
        <v>3794</v>
      </c>
      <c r="BP705" s="185" t="s">
        <v>126</v>
      </c>
      <c r="BQ705" s="185" t="s">
        <v>3794</v>
      </c>
      <c r="BW705" s="73"/>
      <c r="BX705" s="73">
        <v>-154</v>
      </c>
      <c r="BY705" s="185" t="s">
        <v>126</v>
      </c>
      <c r="CD705" s="73">
        <v>-154</v>
      </c>
      <c r="CE705" s="65" t="s">
        <v>126</v>
      </c>
      <c r="CJ705" t="s">
        <v>25</v>
      </c>
      <c r="CK705" t="s">
        <v>25</v>
      </c>
      <c r="CL705" t="s">
        <v>25</v>
      </c>
      <c r="CM705" t="s">
        <v>25</v>
      </c>
      <c r="CN705" t="s">
        <v>25</v>
      </c>
      <c r="CO705" t="s">
        <v>25</v>
      </c>
      <c r="CP705" t="s">
        <v>25</v>
      </c>
      <c r="CQ705" t="s">
        <v>25</v>
      </c>
      <c r="CR705" t="s">
        <v>25</v>
      </c>
      <c r="CS705" t="s">
        <v>25</v>
      </c>
      <c r="CT705" t="s">
        <v>25</v>
      </c>
      <c r="CU705" t="s">
        <v>25</v>
      </c>
      <c r="CV705" t="s">
        <v>25</v>
      </c>
      <c r="CW705" t="s">
        <v>25</v>
      </c>
      <c r="CX705" t="s">
        <v>25</v>
      </c>
      <c r="CY705" t="s">
        <v>25</v>
      </c>
      <c r="CZ705" t="s">
        <v>25</v>
      </c>
      <c r="DA705" t="s">
        <v>25</v>
      </c>
      <c r="DB705" t="s">
        <v>49</v>
      </c>
      <c r="DC705" t="s">
        <v>25</v>
      </c>
      <c r="DD705" t="s">
        <v>25</v>
      </c>
      <c r="DE705" t="s">
        <v>25</v>
      </c>
      <c r="DF705" t="s">
        <v>25</v>
      </c>
      <c r="DG705" t="s">
        <v>25</v>
      </c>
      <c r="DH705" t="s">
        <v>25</v>
      </c>
      <c r="DI705" t="s">
        <v>25</v>
      </c>
      <c r="DJ705" s="76">
        <v>0</v>
      </c>
      <c r="DK705" s="73">
        <v>0</v>
      </c>
      <c r="DL705" s="73">
        <v>154</v>
      </c>
      <c r="DM705" s="73">
        <v>-154</v>
      </c>
      <c r="DU705"/>
      <c r="DZ705" s="73">
        <v>224</v>
      </c>
      <c r="EA705" s="73">
        <v>0</v>
      </c>
      <c r="EB705" s="73">
        <v>224</v>
      </c>
      <c r="EC705" s="65" t="s">
        <v>126</v>
      </c>
    </row>
    <row r="706" spans="1:133" ht="12" customHeight="1" x14ac:dyDescent="0.2">
      <c r="A706" t="s">
        <v>2938</v>
      </c>
      <c r="B706" t="s">
        <v>2946</v>
      </c>
      <c r="C706" t="str">
        <f t="shared" si="32"/>
        <v>Full</v>
      </c>
      <c r="E706" s="65">
        <v>6526</v>
      </c>
      <c r="F706" t="s">
        <v>2380</v>
      </c>
      <c r="G706" s="71" t="s">
        <v>2907</v>
      </c>
      <c r="H706" s="67">
        <v>7.9000003635883304E-2</v>
      </c>
      <c r="I706" s="65">
        <v>525688</v>
      </c>
      <c r="J706" s="65">
        <v>174300</v>
      </c>
      <c r="L706" s="65" t="s">
        <v>1239</v>
      </c>
      <c r="M706" s="65" t="s">
        <v>172</v>
      </c>
      <c r="N706" s="69">
        <v>42809</v>
      </c>
      <c r="R706" s="65" t="s">
        <v>28</v>
      </c>
      <c r="U706" t="s">
        <v>1240</v>
      </c>
      <c r="V706" t="s">
        <v>3655</v>
      </c>
      <c r="W706" s="65" t="s">
        <v>29</v>
      </c>
      <c r="X706" s="65" t="s">
        <v>29</v>
      </c>
      <c r="Y706" s="65" t="s">
        <v>69</v>
      </c>
      <c r="AD706" s="65" t="s">
        <v>173</v>
      </c>
      <c r="AE706" s="65" t="s">
        <v>24</v>
      </c>
      <c r="AL706" s="73">
        <v>31</v>
      </c>
      <c r="AO706" s="73">
        <v>31</v>
      </c>
      <c r="BO706" s="185" t="s">
        <v>126</v>
      </c>
      <c r="BP706" s="185" t="s">
        <v>3794</v>
      </c>
      <c r="BQ706" s="185" t="s">
        <v>3794</v>
      </c>
      <c r="BT706" s="73">
        <v>31</v>
      </c>
      <c r="BW706" s="73">
        <v>31</v>
      </c>
      <c r="BY706" s="185" t="s">
        <v>3794</v>
      </c>
      <c r="CJ706" t="s">
        <v>25</v>
      </c>
      <c r="CK706" t="s">
        <v>25</v>
      </c>
      <c r="CL706" t="s">
        <v>50</v>
      </c>
      <c r="CM706" t="s">
        <v>25</v>
      </c>
      <c r="CN706" t="s">
        <v>25</v>
      </c>
      <c r="CO706" t="s">
        <v>25</v>
      </c>
      <c r="CP706" t="s">
        <v>25</v>
      </c>
      <c r="CQ706" t="s">
        <v>25</v>
      </c>
      <c r="CR706" t="s">
        <v>25</v>
      </c>
      <c r="CS706" t="s">
        <v>25</v>
      </c>
      <c r="CT706" t="s">
        <v>25</v>
      </c>
      <c r="CU706" t="s">
        <v>25</v>
      </c>
      <c r="CV706" t="s">
        <v>25</v>
      </c>
      <c r="CW706" t="s">
        <v>25</v>
      </c>
      <c r="CX706" t="s">
        <v>25</v>
      </c>
      <c r="CY706" t="s">
        <v>25</v>
      </c>
      <c r="CZ706" t="s">
        <v>25</v>
      </c>
      <c r="DA706" t="s">
        <v>25</v>
      </c>
      <c r="DB706" t="s">
        <v>25</v>
      </c>
      <c r="DC706" t="s">
        <v>25</v>
      </c>
      <c r="DD706" t="s">
        <v>25</v>
      </c>
      <c r="DE706" t="s">
        <v>25</v>
      </c>
      <c r="DF706" t="s">
        <v>25</v>
      </c>
      <c r="DG706" t="s">
        <v>25</v>
      </c>
      <c r="DH706" t="s">
        <v>25</v>
      </c>
      <c r="DI706" t="s">
        <v>25</v>
      </c>
      <c r="DJ706" s="76">
        <v>7.9000003635883304E-2</v>
      </c>
      <c r="DK706" s="73">
        <v>31</v>
      </c>
      <c r="DL706" s="73">
        <v>0</v>
      </c>
      <c r="DM706" s="73">
        <v>31</v>
      </c>
      <c r="DU706"/>
      <c r="DV706" s="65" t="s">
        <v>126</v>
      </c>
      <c r="DW706" t="s">
        <v>151</v>
      </c>
      <c r="DZ706" s="73">
        <v>1809</v>
      </c>
      <c r="EA706" s="73">
        <v>0</v>
      </c>
      <c r="EB706" s="73">
        <v>1809</v>
      </c>
      <c r="EC706" s="65" t="s">
        <v>126</v>
      </c>
    </row>
    <row r="707" spans="1:133" ht="12" customHeight="1" x14ac:dyDescent="0.2">
      <c r="A707" t="s">
        <v>2937</v>
      </c>
      <c r="B707" t="s">
        <v>2946</v>
      </c>
      <c r="C707" t="str">
        <f t="shared" ref="C707:C770" si="34">RIGHT(B707,LEN(B707)-3)</f>
        <v>Full</v>
      </c>
      <c r="E707" s="65">
        <v>6531</v>
      </c>
      <c r="F707" t="s">
        <v>2381</v>
      </c>
      <c r="G707" s="71" t="s">
        <v>149</v>
      </c>
      <c r="H707" s="67">
        <v>1.60000007599592E-2</v>
      </c>
      <c r="I707" s="65">
        <v>528465</v>
      </c>
      <c r="J707" s="65">
        <v>174118</v>
      </c>
      <c r="L707" s="65" t="s">
        <v>2382</v>
      </c>
      <c r="M707" s="65" t="s">
        <v>27</v>
      </c>
      <c r="N707" s="69">
        <v>42807</v>
      </c>
      <c r="O707" s="69">
        <v>42919</v>
      </c>
      <c r="P707" s="65" t="s">
        <v>126</v>
      </c>
      <c r="R707" s="65" t="s">
        <v>28</v>
      </c>
      <c r="U707" t="s">
        <v>2383</v>
      </c>
      <c r="V707" t="s">
        <v>3656</v>
      </c>
      <c r="W707" s="65" t="s">
        <v>45</v>
      </c>
      <c r="X707" s="65" t="s">
        <v>21</v>
      </c>
      <c r="Y707" s="65" t="s">
        <v>69</v>
      </c>
      <c r="AD707" s="65" t="s">
        <v>23</v>
      </c>
      <c r="AE707" s="65" t="s">
        <v>24</v>
      </c>
      <c r="BO707" s="185" t="s">
        <v>3794</v>
      </c>
      <c r="BP707" s="185" t="s">
        <v>3794</v>
      </c>
      <c r="BQ707" s="185" t="s">
        <v>3794</v>
      </c>
      <c r="BW707" s="73"/>
      <c r="BY707" s="185" t="s">
        <v>3794</v>
      </c>
      <c r="CJ707" t="s">
        <v>25</v>
      </c>
      <c r="CK707" t="s">
        <v>25</v>
      </c>
      <c r="CL707" t="s">
        <v>25</v>
      </c>
      <c r="CM707" t="s">
        <v>25</v>
      </c>
      <c r="CN707" t="s">
        <v>25</v>
      </c>
      <c r="CO707" t="s">
        <v>25</v>
      </c>
      <c r="CP707" t="s">
        <v>25</v>
      </c>
      <c r="CQ707" t="s">
        <v>25</v>
      </c>
      <c r="CR707" t="s">
        <v>25</v>
      </c>
      <c r="CS707" t="s">
        <v>25</v>
      </c>
      <c r="CT707" t="s">
        <v>25</v>
      </c>
      <c r="CU707" t="s">
        <v>25</v>
      </c>
      <c r="CV707" t="s">
        <v>25</v>
      </c>
      <c r="CW707" t="s">
        <v>25</v>
      </c>
      <c r="CX707" t="s">
        <v>25</v>
      </c>
      <c r="CY707" t="s">
        <v>25</v>
      </c>
      <c r="CZ707" t="s">
        <v>25</v>
      </c>
      <c r="DA707" t="s">
        <v>25</v>
      </c>
      <c r="DB707" t="s">
        <v>25</v>
      </c>
      <c r="DC707" t="s">
        <v>25</v>
      </c>
      <c r="DD707" t="s">
        <v>25</v>
      </c>
      <c r="DE707" t="s">
        <v>25</v>
      </c>
      <c r="DF707" t="s">
        <v>25</v>
      </c>
      <c r="DG707" t="s">
        <v>25</v>
      </c>
      <c r="DH707" t="s">
        <v>25</v>
      </c>
      <c r="DI707" t="s">
        <v>25</v>
      </c>
      <c r="DJ707" s="76">
        <v>1.60000007599592E-2</v>
      </c>
      <c r="DK707" s="73">
        <v>294</v>
      </c>
      <c r="DL707" s="73">
        <v>0</v>
      </c>
      <c r="DM707" s="73">
        <v>294</v>
      </c>
      <c r="DU707"/>
      <c r="DZ707" s="73">
        <v>0</v>
      </c>
      <c r="EA707" s="73">
        <v>0</v>
      </c>
      <c r="EB707" s="73">
        <v>0</v>
      </c>
    </row>
    <row r="708" spans="1:133" ht="12" customHeight="1" x14ac:dyDescent="0.2">
      <c r="A708" t="s">
        <v>2936</v>
      </c>
      <c r="B708" t="s">
        <v>2946</v>
      </c>
      <c r="C708" t="str">
        <f t="shared" si="34"/>
        <v>Full</v>
      </c>
      <c r="D708" t="s">
        <v>2943</v>
      </c>
      <c r="E708" s="65">
        <v>6534</v>
      </c>
      <c r="F708" t="s">
        <v>2384</v>
      </c>
      <c r="G708" s="71" t="s">
        <v>3948</v>
      </c>
      <c r="H708" s="67">
        <v>1.4000000432133701E-2</v>
      </c>
      <c r="I708" s="65">
        <v>527504</v>
      </c>
      <c r="J708" s="65">
        <v>176102</v>
      </c>
      <c r="L708" s="65" t="s">
        <v>1294</v>
      </c>
      <c r="M708" s="65" t="s">
        <v>27</v>
      </c>
      <c r="N708" s="69">
        <v>42807</v>
      </c>
      <c r="O708" s="69">
        <v>42863</v>
      </c>
      <c r="P708" s="65" t="s">
        <v>126</v>
      </c>
      <c r="R708" s="65" t="s">
        <v>28</v>
      </c>
      <c r="U708" t="s">
        <v>1295</v>
      </c>
      <c r="V708" t="s">
        <v>3657</v>
      </c>
      <c r="W708" s="65" t="s">
        <v>21</v>
      </c>
      <c r="X708" s="65" t="s">
        <v>21</v>
      </c>
      <c r="Y708" s="65" t="s">
        <v>35</v>
      </c>
      <c r="AA708" s="69">
        <v>42863</v>
      </c>
      <c r="AB708" s="69">
        <v>43190</v>
      </c>
      <c r="AC708" s="69">
        <v>43190</v>
      </c>
      <c r="AD708" s="65" t="s">
        <v>23</v>
      </c>
      <c r="AE708" s="65" t="s">
        <v>24</v>
      </c>
      <c r="AH708" s="69">
        <f t="shared" si="33"/>
        <v>42863</v>
      </c>
      <c r="AI708" s="69">
        <f t="shared" ref="AI708:AI756" si="35">AB708</f>
        <v>43190</v>
      </c>
      <c r="AX708" s="73">
        <v>93</v>
      </c>
      <c r="AY708" s="73">
        <v>93</v>
      </c>
      <c r="BF708" s="73">
        <v>93</v>
      </c>
      <c r="BK708" s="73">
        <v>93</v>
      </c>
      <c r="BO708" s="185" t="s">
        <v>3794</v>
      </c>
      <c r="BP708" s="185" t="s">
        <v>126</v>
      </c>
      <c r="BQ708" s="185" t="s">
        <v>126</v>
      </c>
      <c r="BW708" s="73"/>
      <c r="BX708" s="73">
        <v>-93</v>
      </c>
      <c r="BY708" s="185" t="s">
        <v>126</v>
      </c>
      <c r="CD708" s="73">
        <v>-93</v>
      </c>
      <c r="CE708" s="65" t="s">
        <v>126</v>
      </c>
      <c r="CH708" s="73">
        <v>93</v>
      </c>
      <c r="CI708" s="73">
        <v>93</v>
      </c>
      <c r="CJ708" t="s">
        <v>25</v>
      </c>
      <c r="CK708" t="s">
        <v>25</v>
      </c>
      <c r="CL708" t="s">
        <v>25</v>
      </c>
      <c r="CM708" t="s">
        <v>25</v>
      </c>
      <c r="CN708" t="s">
        <v>25</v>
      </c>
      <c r="CO708" t="s">
        <v>25</v>
      </c>
      <c r="CP708" t="s">
        <v>25</v>
      </c>
      <c r="CQ708" t="s">
        <v>25</v>
      </c>
      <c r="CR708" t="s">
        <v>25</v>
      </c>
      <c r="CS708" t="s">
        <v>25</v>
      </c>
      <c r="CT708" t="s">
        <v>25</v>
      </c>
      <c r="CU708" t="s">
        <v>25</v>
      </c>
      <c r="CV708" t="s">
        <v>44</v>
      </c>
      <c r="CW708" t="s">
        <v>25</v>
      </c>
      <c r="CX708" t="s">
        <v>25</v>
      </c>
      <c r="CY708" t="s">
        <v>25</v>
      </c>
      <c r="CZ708" t="s">
        <v>25</v>
      </c>
      <c r="DA708" t="s">
        <v>25</v>
      </c>
      <c r="DB708" t="s">
        <v>49</v>
      </c>
      <c r="DC708" t="s">
        <v>25</v>
      </c>
      <c r="DD708" t="s">
        <v>25</v>
      </c>
      <c r="DE708" t="s">
        <v>25</v>
      </c>
      <c r="DF708" t="s">
        <v>25</v>
      </c>
      <c r="DG708" t="s">
        <v>25</v>
      </c>
      <c r="DH708" t="s">
        <v>25</v>
      </c>
      <c r="DI708" t="s">
        <v>25</v>
      </c>
      <c r="DJ708" s="76">
        <v>1.4000000432133701E-2</v>
      </c>
      <c r="DK708" s="73">
        <v>93</v>
      </c>
      <c r="DL708" s="73">
        <v>93</v>
      </c>
      <c r="DM708" s="73">
        <v>0</v>
      </c>
      <c r="DU708"/>
      <c r="DZ708" s="73">
        <v>0</v>
      </c>
      <c r="EA708" s="73">
        <v>0</v>
      </c>
      <c r="EB708" s="73">
        <v>0</v>
      </c>
    </row>
    <row r="709" spans="1:133" ht="12" customHeight="1" x14ac:dyDescent="0.2">
      <c r="A709" t="s">
        <v>2937</v>
      </c>
      <c r="B709" t="s">
        <v>2946</v>
      </c>
      <c r="C709" t="str">
        <f t="shared" si="34"/>
        <v>Full</v>
      </c>
      <c r="E709" s="65">
        <v>6535</v>
      </c>
      <c r="F709" t="s">
        <v>2385</v>
      </c>
      <c r="G709" s="71" t="s">
        <v>3946</v>
      </c>
      <c r="H709" s="67">
        <v>2.4000000208616298E-2</v>
      </c>
      <c r="I709" s="65">
        <v>523949</v>
      </c>
      <c r="J709" s="65">
        <v>175565</v>
      </c>
      <c r="L709" s="65" t="s">
        <v>1182</v>
      </c>
      <c r="M709" s="65" t="s">
        <v>27</v>
      </c>
      <c r="N709" s="69">
        <v>42720</v>
      </c>
      <c r="O709" s="69">
        <v>42909</v>
      </c>
      <c r="P709" s="65" t="s">
        <v>126</v>
      </c>
      <c r="R709" s="65" t="s">
        <v>28</v>
      </c>
      <c r="U709" t="s">
        <v>1183</v>
      </c>
      <c r="V709" t="s">
        <v>3658</v>
      </c>
      <c r="W709" s="65" t="s">
        <v>39</v>
      </c>
      <c r="X709" s="65" t="s">
        <v>39</v>
      </c>
      <c r="Y709" s="65" t="s">
        <v>69</v>
      </c>
      <c r="AD709" s="65" t="s">
        <v>23</v>
      </c>
      <c r="AE709" s="65" t="s">
        <v>24</v>
      </c>
      <c r="AW709" s="73">
        <v>738</v>
      </c>
      <c r="AY709" s="73">
        <v>738</v>
      </c>
      <c r="BL709" s="73">
        <v>231</v>
      </c>
      <c r="BN709" s="73">
        <v>231</v>
      </c>
      <c r="BO709" s="185" t="s">
        <v>3794</v>
      </c>
      <c r="BP709" s="185" t="s">
        <v>3794</v>
      </c>
      <c r="BQ709" s="185" t="s">
        <v>126</v>
      </c>
      <c r="BW709" s="73"/>
      <c r="BY709" s="185" t="s">
        <v>3794</v>
      </c>
      <c r="CG709" s="73">
        <v>507</v>
      </c>
      <c r="CI709" s="73">
        <v>507</v>
      </c>
      <c r="CJ709" t="s">
        <v>25</v>
      </c>
      <c r="CK709" t="s">
        <v>25</v>
      </c>
      <c r="CL709" t="s">
        <v>25</v>
      </c>
      <c r="CM709" t="s">
        <v>25</v>
      </c>
      <c r="CN709" t="s">
        <v>25</v>
      </c>
      <c r="CO709" t="s">
        <v>25</v>
      </c>
      <c r="CP709" t="s">
        <v>25</v>
      </c>
      <c r="CQ709" t="s">
        <v>25</v>
      </c>
      <c r="CR709" t="s">
        <v>25</v>
      </c>
      <c r="CS709" t="s">
        <v>25</v>
      </c>
      <c r="CT709" t="s">
        <v>25</v>
      </c>
      <c r="CU709" t="s">
        <v>49</v>
      </c>
      <c r="CV709" t="s">
        <v>25</v>
      </c>
      <c r="CW709" t="s">
        <v>25</v>
      </c>
      <c r="CX709" t="s">
        <v>25</v>
      </c>
      <c r="CY709" t="s">
        <v>25</v>
      </c>
      <c r="CZ709" t="s">
        <v>25</v>
      </c>
      <c r="DA709" t="s">
        <v>25</v>
      </c>
      <c r="DB709" t="s">
        <v>25</v>
      </c>
      <c r="DC709" t="s">
        <v>25</v>
      </c>
      <c r="DD709" t="s">
        <v>25</v>
      </c>
      <c r="DE709" t="s">
        <v>25</v>
      </c>
      <c r="DF709" t="s">
        <v>25</v>
      </c>
      <c r="DG709" t="s">
        <v>25</v>
      </c>
      <c r="DH709" t="s">
        <v>49</v>
      </c>
      <c r="DI709" t="s">
        <v>25</v>
      </c>
      <c r="DJ709" s="76">
        <v>1.5999999828636688E-2</v>
      </c>
      <c r="DK709" s="73">
        <v>738</v>
      </c>
      <c r="DL709" s="73">
        <v>231</v>
      </c>
      <c r="DM709" s="73">
        <v>507</v>
      </c>
      <c r="DU709"/>
      <c r="DZ709" s="73">
        <v>0</v>
      </c>
      <c r="EA709" s="73">
        <v>86</v>
      </c>
      <c r="EB709" s="73">
        <v>-86</v>
      </c>
    </row>
    <row r="710" spans="1:133" ht="12" customHeight="1" x14ac:dyDescent="0.2">
      <c r="A710" t="s">
        <v>2936</v>
      </c>
      <c r="B710" t="s">
        <v>2946</v>
      </c>
      <c r="C710" t="str">
        <f t="shared" si="34"/>
        <v>Full</v>
      </c>
      <c r="D710" t="s">
        <v>2943</v>
      </c>
      <c r="E710" s="65">
        <v>6541</v>
      </c>
      <c r="F710" t="s">
        <v>2386</v>
      </c>
      <c r="G710" s="71" t="s">
        <v>149</v>
      </c>
      <c r="H710" s="67">
        <v>2.0999999716877899E-2</v>
      </c>
      <c r="I710" s="65">
        <v>528552</v>
      </c>
      <c r="J710" s="65">
        <v>173321</v>
      </c>
      <c r="L710" s="65" t="s">
        <v>1222</v>
      </c>
      <c r="M710" s="65" t="s">
        <v>27</v>
      </c>
      <c r="N710" s="69">
        <v>42801</v>
      </c>
      <c r="O710" s="69">
        <v>42916</v>
      </c>
      <c r="P710" s="65" t="s">
        <v>126</v>
      </c>
      <c r="R710" s="65" t="s">
        <v>28</v>
      </c>
      <c r="U710" t="s">
        <v>1223</v>
      </c>
      <c r="V710" t="s">
        <v>3659</v>
      </c>
      <c r="W710" s="65" t="s">
        <v>21</v>
      </c>
      <c r="X710" s="65" t="s">
        <v>21</v>
      </c>
      <c r="Y710" s="65" t="s">
        <v>35</v>
      </c>
      <c r="AA710" s="69">
        <v>42916</v>
      </c>
      <c r="AB710" s="69">
        <v>43190</v>
      </c>
      <c r="AC710" s="69">
        <v>43190</v>
      </c>
      <c r="AD710" s="65" t="s">
        <v>23</v>
      </c>
      <c r="AE710" s="65" t="s">
        <v>24</v>
      </c>
      <c r="AH710" s="69">
        <f t="shared" si="33"/>
        <v>42916</v>
      </c>
      <c r="AI710" s="69">
        <f t="shared" si="35"/>
        <v>43190</v>
      </c>
      <c r="AW710" s="73">
        <v>78</v>
      </c>
      <c r="AY710" s="73">
        <v>78</v>
      </c>
      <c r="BF710" s="73">
        <v>78</v>
      </c>
      <c r="BK710" s="73">
        <v>78</v>
      </c>
      <c r="BO710" s="185" t="s">
        <v>3794</v>
      </c>
      <c r="BP710" s="185" t="s">
        <v>126</v>
      </c>
      <c r="BQ710" s="185" t="s">
        <v>126</v>
      </c>
      <c r="BW710" s="73"/>
      <c r="BX710" s="73">
        <v>-78</v>
      </c>
      <c r="BY710" s="185" t="s">
        <v>126</v>
      </c>
      <c r="CD710" s="73">
        <v>-78</v>
      </c>
      <c r="CE710" s="65" t="s">
        <v>126</v>
      </c>
      <c r="CG710" s="73">
        <v>78</v>
      </c>
      <c r="CI710" s="73">
        <v>78</v>
      </c>
      <c r="CJ710" t="s">
        <v>25</v>
      </c>
      <c r="CK710" t="s">
        <v>25</v>
      </c>
      <c r="CL710" t="s">
        <v>25</v>
      </c>
      <c r="CM710" t="s">
        <v>25</v>
      </c>
      <c r="CN710" t="s">
        <v>25</v>
      </c>
      <c r="CO710" t="s">
        <v>25</v>
      </c>
      <c r="CP710" t="s">
        <v>25</v>
      </c>
      <c r="CQ710" t="s">
        <v>25</v>
      </c>
      <c r="CR710" t="s">
        <v>25</v>
      </c>
      <c r="CS710" t="s">
        <v>25</v>
      </c>
      <c r="CT710" t="s">
        <v>25</v>
      </c>
      <c r="CU710" t="s">
        <v>49</v>
      </c>
      <c r="CV710" t="s">
        <v>25</v>
      </c>
      <c r="CW710" t="s">
        <v>25</v>
      </c>
      <c r="CX710" t="s">
        <v>25</v>
      </c>
      <c r="CY710" t="s">
        <v>25</v>
      </c>
      <c r="CZ710" t="s">
        <v>25</v>
      </c>
      <c r="DA710" t="s">
        <v>25</v>
      </c>
      <c r="DB710" t="s">
        <v>47</v>
      </c>
      <c r="DC710" t="s">
        <v>25</v>
      </c>
      <c r="DD710" t="s">
        <v>25</v>
      </c>
      <c r="DE710" t="s">
        <v>25</v>
      </c>
      <c r="DF710" t="s">
        <v>25</v>
      </c>
      <c r="DG710" t="s">
        <v>25</v>
      </c>
      <c r="DH710" t="s">
        <v>25</v>
      </c>
      <c r="DI710" t="s">
        <v>25</v>
      </c>
      <c r="DJ710" s="76">
        <v>2.0999999716877899E-2</v>
      </c>
      <c r="DK710" s="73">
        <v>78</v>
      </c>
      <c r="DL710" s="73">
        <v>78</v>
      </c>
      <c r="DM710" s="73">
        <v>0</v>
      </c>
      <c r="DU710"/>
      <c r="DV710" s="65" t="s">
        <v>126</v>
      </c>
      <c r="DW710" t="s">
        <v>149</v>
      </c>
      <c r="DZ710" s="73">
        <v>0</v>
      </c>
      <c r="EA710" s="73">
        <v>0</v>
      </c>
      <c r="EB710" s="73">
        <v>0</v>
      </c>
    </row>
    <row r="711" spans="1:133" ht="12" customHeight="1" x14ac:dyDescent="0.2">
      <c r="A711" t="s">
        <v>2937</v>
      </c>
      <c r="B711" t="s">
        <v>2946</v>
      </c>
      <c r="C711" t="str">
        <f t="shared" si="34"/>
        <v>Full</v>
      </c>
      <c r="E711" s="65">
        <v>6545</v>
      </c>
      <c r="F711" t="s">
        <v>2387</v>
      </c>
      <c r="G711" s="71" t="s">
        <v>150</v>
      </c>
      <c r="H711" s="67">
        <v>9.9999997764825804E-3</v>
      </c>
      <c r="I711" s="65">
        <v>527162</v>
      </c>
      <c r="J711" s="65">
        <v>171611</v>
      </c>
      <c r="L711" s="65" t="s">
        <v>1255</v>
      </c>
      <c r="M711" s="65" t="s">
        <v>27</v>
      </c>
      <c r="N711" s="69">
        <v>42780</v>
      </c>
      <c r="O711" s="69">
        <v>42836</v>
      </c>
      <c r="P711" s="65" t="s">
        <v>126</v>
      </c>
      <c r="R711" s="65" t="s">
        <v>28</v>
      </c>
      <c r="U711" t="s">
        <v>1256</v>
      </c>
      <c r="V711" t="s">
        <v>3660</v>
      </c>
      <c r="W711" s="65" t="s">
        <v>21</v>
      </c>
      <c r="X711" s="65" t="s">
        <v>21</v>
      </c>
      <c r="Y711" s="65" t="s">
        <v>69</v>
      </c>
      <c r="AD711" s="65" t="s">
        <v>23</v>
      </c>
      <c r="AE711" s="65" t="s">
        <v>24</v>
      </c>
      <c r="AL711" s="73">
        <v>92</v>
      </c>
      <c r="AO711" s="73">
        <v>92</v>
      </c>
      <c r="AZ711" s="73">
        <v>92</v>
      </c>
      <c r="BE711" s="73">
        <v>92</v>
      </c>
      <c r="BO711" s="185" t="s">
        <v>126</v>
      </c>
      <c r="BP711" s="185" t="s">
        <v>3794</v>
      </c>
      <c r="BQ711" s="185" t="s">
        <v>3794</v>
      </c>
      <c r="BR711" s="73">
        <v>-92</v>
      </c>
      <c r="BT711" s="73">
        <v>92</v>
      </c>
      <c r="BW711" s="73"/>
      <c r="BY711" s="185" t="s">
        <v>3794</v>
      </c>
      <c r="CJ711" t="s">
        <v>25</v>
      </c>
      <c r="CK711" t="s">
        <v>25</v>
      </c>
      <c r="CL711" t="s">
        <v>50</v>
      </c>
      <c r="CM711" t="s">
        <v>25</v>
      </c>
      <c r="CN711" t="s">
        <v>25</v>
      </c>
      <c r="CO711" t="s">
        <v>25</v>
      </c>
      <c r="CP711" t="s">
        <v>25</v>
      </c>
      <c r="CQ711" t="s">
        <v>25</v>
      </c>
      <c r="CR711" t="s">
        <v>25</v>
      </c>
      <c r="CS711" t="s">
        <v>25</v>
      </c>
      <c r="CT711" t="s">
        <v>25</v>
      </c>
      <c r="CU711" t="s">
        <v>25</v>
      </c>
      <c r="CV711" t="s">
        <v>25</v>
      </c>
      <c r="CW711" t="s">
        <v>47</v>
      </c>
      <c r="CX711" t="s">
        <v>25</v>
      </c>
      <c r="CY711" t="s">
        <v>25</v>
      </c>
      <c r="CZ711" t="s">
        <v>25</v>
      </c>
      <c r="DA711" t="s">
        <v>25</v>
      </c>
      <c r="DB711" t="s">
        <v>25</v>
      </c>
      <c r="DC711" t="s">
        <v>25</v>
      </c>
      <c r="DD711" t="s">
        <v>25</v>
      </c>
      <c r="DE711" t="s">
        <v>25</v>
      </c>
      <c r="DF711" t="s">
        <v>25</v>
      </c>
      <c r="DG711" t="s">
        <v>25</v>
      </c>
      <c r="DH711" t="s">
        <v>25</v>
      </c>
      <c r="DI711" t="s">
        <v>25</v>
      </c>
      <c r="DJ711" s="76">
        <v>9.9999997764825804E-3</v>
      </c>
      <c r="DK711" s="73">
        <v>92</v>
      </c>
      <c r="DL711" s="73">
        <v>92</v>
      </c>
      <c r="DM711" s="73">
        <v>0</v>
      </c>
      <c r="DU711"/>
      <c r="DZ711" s="73">
        <v>0</v>
      </c>
      <c r="EA711" s="73">
        <v>0</v>
      </c>
      <c r="EB711" s="73">
        <v>0</v>
      </c>
    </row>
    <row r="712" spans="1:133" ht="12" customHeight="1" x14ac:dyDescent="0.2">
      <c r="A712" t="s">
        <v>2937</v>
      </c>
      <c r="B712" t="s">
        <v>2948</v>
      </c>
      <c r="C712" t="str">
        <f t="shared" si="34"/>
        <v>Prior Approval</v>
      </c>
      <c r="E712" s="65">
        <v>6545</v>
      </c>
      <c r="F712" t="s">
        <v>2387</v>
      </c>
      <c r="G712" s="71" t="s">
        <v>150</v>
      </c>
      <c r="H712" s="67">
        <v>9.9999997764825804E-3</v>
      </c>
      <c r="I712" s="65">
        <v>527162</v>
      </c>
      <c r="J712" s="65">
        <v>171611</v>
      </c>
      <c r="L712" s="65" t="s">
        <v>2388</v>
      </c>
      <c r="M712" s="65" t="s">
        <v>244</v>
      </c>
      <c r="N712" s="69">
        <v>42898</v>
      </c>
      <c r="O712" s="69">
        <v>42954</v>
      </c>
      <c r="P712" s="65" t="s">
        <v>126</v>
      </c>
      <c r="R712" s="65" t="s">
        <v>28</v>
      </c>
      <c r="U712" t="s">
        <v>2389</v>
      </c>
      <c r="V712" t="s">
        <v>3661</v>
      </c>
      <c r="W712" s="65" t="s">
        <v>21</v>
      </c>
      <c r="X712" s="65" t="s">
        <v>21</v>
      </c>
      <c r="Y712" s="65" t="s">
        <v>69</v>
      </c>
      <c r="AD712" s="65" t="s">
        <v>23</v>
      </c>
      <c r="AE712" s="65" t="s">
        <v>24</v>
      </c>
      <c r="AZ712" s="73">
        <v>55</v>
      </c>
      <c r="BE712" s="73">
        <v>55</v>
      </c>
      <c r="BO712" s="185" t="s">
        <v>126</v>
      </c>
      <c r="BP712" s="185" t="s">
        <v>3794</v>
      </c>
      <c r="BQ712" s="185" t="s">
        <v>3794</v>
      </c>
      <c r="BR712" s="73">
        <v>-55</v>
      </c>
      <c r="BW712" s="73">
        <v>-55</v>
      </c>
      <c r="BY712" s="185" t="s">
        <v>3794</v>
      </c>
      <c r="CJ712" t="s">
        <v>25</v>
      </c>
      <c r="CK712" t="s">
        <v>25</v>
      </c>
      <c r="CL712" t="s">
        <v>25</v>
      </c>
      <c r="CM712" t="s">
        <v>25</v>
      </c>
      <c r="CN712" t="s">
        <v>25</v>
      </c>
      <c r="CO712" t="s">
        <v>25</v>
      </c>
      <c r="CP712" t="s">
        <v>25</v>
      </c>
      <c r="CQ712" t="s">
        <v>25</v>
      </c>
      <c r="CR712" t="s">
        <v>25</v>
      </c>
      <c r="CS712" t="s">
        <v>25</v>
      </c>
      <c r="CT712" t="s">
        <v>25</v>
      </c>
      <c r="CU712" t="s">
        <v>25</v>
      </c>
      <c r="CV712" t="s">
        <v>25</v>
      </c>
      <c r="CW712" t="s">
        <v>31</v>
      </c>
      <c r="CX712" t="s">
        <v>25</v>
      </c>
      <c r="CY712" t="s">
        <v>25</v>
      </c>
      <c r="CZ712" t="s">
        <v>25</v>
      </c>
      <c r="DA712" t="s">
        <v>25</v>
      </c>
      <c r="DB712" t="s">
        <v>25</v>
      </c>
      <c r="DC712" t="s">
        <v>25</v>
      </c>
      <c r="DD712" t="s">
        <v>25</v>
      </c>
      <c r="DE712" t="s">
        <v>25</v>
      </c>
      <c r="DF712" t="s">
        <v>25</v>
      </c>
      <c r="DG712" t="s">
        <v>25</v>
      </c>
      <c r="DH712" t="s">
        <v>25</v>
      </c>
      <c r="DI712" t="s">
        <v>25</v>
      </c>
      <c r="DJ712" s="76">
        <v>0</v>
      </c>
      <c r="DK712" s="73">
        <v>0</v>
      </c>
      <c r="DL712" s="73">
        <v>55</v>
      </c>
      <c r="DM712" s="73">
        <v>-55</v>
      </c>
      <c r="DU712"/>
      <c r="DZ712" s="73">
        <v>55</v>
      </c>
      <c r="EA712" s="73">
        <v>0</v>
      </c>
      <c r="EB712" s="73">
        <v>55</v>
      </c>
      <c r="EC712" s="65" t="s">
        <v>126</v>
      </c>
    </row>
    <row r="713" spans="1:133" ht="12" customHeight="1" x14ac:dyDescent="0.2">
      <c r="A713" t="s">
        <v>2937</v>
      </c>
      <c r="B713" t="s">
        <v>2946</v>
      </c>
      <c r="C713" t="str">
        <f t="shared" si="34"/>
        <v>Full</v>
      </c>
      <c r="E713" s="65">
        <v>6546</v>
      </c>
      <c r="F713" t="s">
        <v>2390</v>
      </c>
      <c r="G713" s="71" t="s">
        <v>149</v>
      </c>
      <c r="H713" s="67">
        <v>8.9999996125698107E-3</v>
      </c>
      <c r="I713" s="65">
        <v>528616</v>
      </c>
      <c r="J713" s="65">
        <v>173397</v>
      </c>
      <c r="L713" s="65" t="s">
        <v>1246</v>
      </c>
      <c r="M713" s="65" t="s">
        <v>27</v>
      </c>
      <c r="N713" s="69">
        <v>42779</v>
      </c>
      <c r="O713" s="69">
        <v>42835</v>
      </c>
      <c r="P713" s="65" t="s">
        <v>126</v>
      </c>
      <c r="R713" s="65" t="s">
        <v>28</v>
      </c>
      <c r="U713" t="s">
        <v>1247</v>
      </c>
      <c r="V713" t="s">
        <v>3662</v>
      </c>
      <c r="W713" s="65" t="s">
        <v>21</v>
      </c>
      <c r="X713" s="65" t="s">
        <v>21</v>
      </c>
      <c r="Y713" s="65" t="s">
        <v>59</v>
      </c>
      <c r="AD713" s="65" t="s">
        <v>23</v>
      </c>
      <c r="AE713" s="65" t="s">
        <v>24</v>
      </c>
      <c r="AX713" s="73">
        <v>164</v>
      </c>
      <c r="AY713" s="73">
        <v>164</v>
      </c>
      <c r="BJ713" s="73">
        <v>164</v>
      </c>
      <c r="BK713" s="73">
        <v>164</v>
      </c>
      <c r="BO713" s="185" t="s">
        <v>3794</v>
      </c>
      <c r="BP713" s="185" t="s">
        <v>126</v>
      </c>
      <c r="BQ713" s="185" t="s">
        <v>126</v>
      </c>
      <c r="BW713" s="73"/>
      <c r="BY713" s="185" t="s">
        <v>3794</v>
      </c>
      <c r="CC713" s="73">
        <v>-164</v>
      </c>
      <c r="CD713" s="73">
        <v>-164</v>
      </c>
      <c r="CE713" s="65" t="s">
        <v>126</v>
      </c>
      <c r="CH713" s="73">
        <v>164</v>
      </c>
      <c r="CI713" s="73">
        <v>164</v>
      </c>
      <c r="CJ713" t="s">
        <v>25</v>
      </c>
      <c r="CK713" t="s">
        <v>25</v>
      </c>
      <c r="CL713" t="s">
        <v>25</v>
      </c>
      <c r="CM713" t="s">
        <v>25</v>
      </c>
      <c r="CN713" t="s">
        <v>25</v>
      </c>
      <c r="CO713" t="s">
        <v>25</v>
      </c>
      <c r="CP713" t="s">
        <v>25</v>
      </c>
      <c r="CQ713" t="s">
        <v>25</v>
      </c>
      <c r="CR713" t="s">
        <v>25</v>
      </c>
      <c r="CS713" t="s">
        <v>25</v>
      </c>
      <c r="CT713" t="s">
        <v>25</v>
      </c>
      <c r="CU713" t="s">
        <v>25</v>
      </c>
      <c r="CV713" t="s">
        <v>49</v>
      </c>
      <c r="CW713" t="s">
        <v>25</v>
      </c>
      <c r="CX713" t="s">
        <v>25</v>
      </c>
      <c r="CY713" t="s">
        <v>25</v>
      </c>
      <c r="CZ713" t="s">
        <v>25</v>
      </c>
      <c r="DA713" t="s">
        <v>25</v>
      </c>
      <c r="DB713" t="s">
        <v>25</v>
      </c>
      <c r="DC713" t="s">
        <v>25</v>
      </c>
      <c r="DD713" t="s">
        <v>25</v>
      </c>
      <c r="DE713" t="s">
        <v>25</v>
      </c>
      <c r="DF713" t="s">
        <v>53</v>
      </c>
      <c r="DG713" t="s">
        <v>25</v>
      </c>
      <c r="DH713" t="s">
        <v>25</v>
      </c>
      <c r="DI713" t="s">
        <v>25</v>
      </c>
      <c r="DJ713" s="76">
        <v>8.9999996125698107E-3</v>
      </c>
      <c r="DK713" s="73">
        <v>164</v>
      </c>
      <c r="DL713" s="73">
        <v>164</v>
      </c>
      <c r="DM713" s="73">
        <v>0</v>
      </c>
      <c r="DU713"/>
      <c r="DV713" s="65" t="s">
        <v>126</v>
      </c>
      <c r="DW713" t="s">
        <v>149</v>
      </c>
      <c r="DZ713" s="73">
        <v>0</v>
      </c>
      <c r="EA713" s="73">
        <v>0</v>
      </c>
      <c r="EB713" s="73">
        <v>0</v>
      </c>
    </row>
    <row r="714" spans="1:133" ht="12" customHeight="1" x14ac:dyDescent="0.2">
      <c r="A714" t="s">
        <v>2936</v>
      </c>
      <c r="B714" t="s">
        <v>2949</v>
      </c>
      <c r="C714" t="str">
        <f t="shared" si="34"/>
        <v>Certificate of Lawful Development</v>
      </c>
      <c r="D714" t="s">
        <v>2943</v>
      </c>
      <c r="E714" s="65">
        <v>6547</v>
      </c>
      <c r="F714" t="s">
        <v>2391</v>
      </c>
      <c r="G714" s="71" t="s">
        <v>2907</v>
      </c>
      <c r="H714" s="67">
        <v>1.09999999403954E-2</v>
      </c>
      <c r="I714" s="65">
        <v>525331</v>
      </c>
      <c r="J714" s="65">
        <v>172796</v>
      </c>
      <c r="L714" s="65" t="s">
        <v>1248</v>
      </c>
      <c r="M714" s="65" t="s">
        <v>436</v>
      </c>
      <c r="N714" s="69">
        <v>42775</v>
      </c>
      <c r="O714" s="69">
        <v>42831</v>
      </c>
      <c r="P714" s="65" t="s">
        <v>126</v>
      </c>
      <c r="R714" s="65" t="s">
        <v>28</v>
      </c>
      <c r="U714" t="s">
        <v>1249</v>
      </c>
      <c r="V714" t="s">
        <v>3663</v>
      </c>
      <c r="W714" s="65" t="s">
        <v>21</v>
      </c>
      <c r="X714" s="65" t="s">
        <v>21</v>
      </c>
      <c r="Y714" s="65" t="s">
        <v>35</v>
      </c>
      <c r="AA714" s="69">
        <v>42831</v>
      </c>
      <c r="AB714" s="69">
        <v>42831</v>
      </c>
      <c r="AC714" s="69">
        <v>42831</v>
      </c>
      <c r="AD714" s="65" t="s">
        <v>23</v>
      </c>
      <c r="AE714" s="65" t="s">
        <v>24</v>
      </c>
      <c r="AH714" s="69">
        <f t="shared" si="33"/>
        <v>42831</v>
      </c>
      <c r="AI714" s="69">
        <f t="shared" si="35"/>
        <v>42831</v>
      </c>
      <c r="AZ714" s="73">
        <v>44</v>
      </c>
      <c r="BE714" s="73">
        <v>44</v>
      </c>
      <c r="BO714" s="185" t="s">
        <v>126</v>
      </c>
      <c r="BP714" s="185" t="s">
        <v>3794</v>
      </c>
      <c r="BQ714" s="185" t="s">
        <v>3794</v>
      </c>
      <c r="BR714" s="73">
        <v>-44</v>
      </c>
      <c r="BW714" s="73">
        <v>-44</v>
      </c>
      <c r="BY714" s="185" t="s">
        <v>3794</v>
      </c>
      <c r="CJ714" t="s">
        <v>25</v>
      </c>
      <c r="CK714" t="s">
        <v>25</v>
      </c>
      <c r="CL714" t="s">
        <v>25</v>
      </c>
      <c r="CM714" t="s">
        <v>25</v>
      </c>
      <c r="CN714" t="s">
        <v>25</v>
      </c>
      <c r="CO714" t="s">
        <v>25</v>
      </c>
      <c r="CP714" t="s">
        <v>25</v>
      </c>
      <c r="CQ714" t="s">
        <v>25</v>
      </c>
      <c r="CR714" t="s">
        <v>25</v>
      </c>
      <c r="CS714" t="s">
        <v>25</v>
      </c>
      <c r="CT714" t="s">
        <v>25</v>
      </c>
      <c r="CU714" t="s">
        <v>25</v>
      </c>
      <c r="CV714" t="s">
        <v>25</v>
      </c>
      <c r="CW714" t="s">
        <v>46</v>
      </c>
      <c r="CX714" t="s">
        <v>25</v>
      </c>
      <c r="CY714" t="s">
        <v>25</v>
      </c>
      <c r="CZ714" t="s">
        <v>25</v>
      </c>
      <c r="DA714" t="s">
        <v>25</v>
      </c>
      <c r="DB714" t="s">
        <v>25</v>
      </c>
      <c r="DC714" t="s">
        <v>25</v>
      </c>
      <c r="DD714" t="s">
        <v>25</v>
      </c>
      <c r="DE714" t="s">
        <v>25</v>
      </c>
      <c r="DF714" t="s">
        <v>25</v>
      </c>
      <c r="DG714" t="s">
        <v>25</v>
      </c>
      <c r="DH714" t="s">
        <v>25</v>
      </c>
      <c r="DI714" t="s">
        <v>25</v>
      </c>
      <c r="DJ714" s="76">
        <v>6.9999997504055899E-3</v>
      </c>
      <c r="DK714" s="73">
        <v>0</v>
      </c>
      <c r="DL714" s="73">
        <v>44</v>
      </c>
      <c r="DM714" s="73">
        <v>-44</v>
      </c>
      <c r="DU714"/>
      <c r="DZ714" s="73">
        <v>44</v>
      </c>
      <c r="EA714" s="73">
        <v>0</v>
      </c>
      <c r="EB714" s="73">
        <v>44</v>
      </c>
      <c r="EC714" s="65" t="s">
        <v>126</v>
      </c>
    </row>
    <row r="715" spans="1:133" ht="12" customHeight="1" x14ac:dyDescent="0.2">
      <c r="A715" t="s">
        <v>2938</v>
      </c>
      <c r="B715" t="s">
        <v>2946</v>
      </c>
      <c r="C715" t="str">
        <f t="shared" si="34"/>
        <v>Full</v>
      </c>
      <c r="E715" s="65">
        <v>6549</v>
      </c>
      <c r="F715" t="s">
        <v>2392</v>
      </c>
      <c r="G715" s="71" t="s">
        <v>3941</v>
      </c>
      <c r="H715" s="67">
        <v>4.0000001899898104E-3</v>
      </c>
      <c r="I715" s="65">
        <v>528038</v>
      </c>
      <c r="J715" s="65">
        <v>172781</v>
      </c>
      <c r="L715" s="65" t="s">
        <v>2393</v>
      </c>
      <c r="M715" s="65" t="s">
        <v>172</v>
      </c>
      <c r="N715" s="69">
        <v>43166</v>
      </c>
      <c r="R715" s="65" t="s">
        <v>28</v>
      </c>
      <c r="U715" t="s">
        <v>2394</v>
      </c>
      <c r="V715" t="s">
        <v>3664</v>
      </c>
      <c r="W715" s="65" t="s">
        <v>29</v>
      </c>
      <c r="X715" s="65" t="s">
        <v>29</v>
      </c>
      <c r="Y715" s="65" t="s">
        <v>69</v>
      </c>
      <c r="AD715" s="65" t="s">
        <v>173</v>
      </c>
      <c r="AE715" s="65" t="s">
        <v>24</v>
      </c>
      <c r="AU715" s="73">
        <v>40</v>
      </c>
      <c r="AV715" s="73">
        <v>40</v>
      </c>
      <c r="BJ715" s="73">
        <v>16</v>
      </c>
      <c r="BK715" s="73">
        <v>16</v>
      </c>
      <c r="BO715" s="185" t="s">
        <v>3794</v>
      </c>
      <c r="BP715" s="185" t="s">
        <v>126</v>
      </c>
      <c r="BQ715" s="185" t="s">
        <v>3794</v>
      </c>
      <c r="BW715" s="73"/>
      <c r="BY715" s="185" t="s">
        <v>3794</v>
      </c>
      <c r="CC715" s="73">
        <v>24</v>
      </c>
      <c r="CD715" s="73">
        <v>24</v>
      </c>
      <c r="CJ715" t="s">
        <v>25</v>
      </c>
      <c r="CK715" t="s">
        <v>25</v>
      </c>
      <c r="CL715" t="s">
        <v>25</v>
      </c>
      <c r="CM715" t="s">
        <v>25</v>
      </c>
      <c r="CN715" t="s">
        <v>25</v>
      </c>
      <c r="CO715" t="s">
        <v>25</v>
      </c>
      <c r="CP715" t="s">
        <v>25</v>
      </c>
      <c r="CQ715" t="s">
        <v>25</v>
      </c>
      <c r="CR715" t="s">
        <v>25</v>
      </c>
      <c r="CS715" t="s">
        <v>53</v>
      </c>
      <c r="CT715" t="s">
        <v>25</v>
      </c>
      <c r="CU715" t="s">
        <v>25</v>
      </c>
      <c r="CV715" t="s">
        <v>25</v>
      </c>
      <c r="CW715" t="s">
        <v>25</v>
      </c>
      <c r="CX715" t="s">
        <v>25</v>
      </c>
      <c r="CY715" t="s">
        <v>25</v>
      </c>
      <c r="CZ715" t="s">
        <v>25</v>
      </c>
      <c r="DA715" t="s">
        <v>25</v>
      </c>
      <c r="DB715" t="s">
        <v>25</v>
      </c>
      <c r="DC715" t="s">
        <v>25</v>
      </c>
      <c r="DD715" t="s">
        <v>25</v>
      </c>
      <c r="DE715" t="s">
        <v>25</v>
      </c>
      <c r="DF715" t="s">
        <v>47</v>
      </c>
      <c r="DG715" t="s">
        <v>25</v>
      </c>
      <c r="DH715" t="s">
        <v>25</v>
      </c>
      <c r="DI715" t="s">
        <v>25</v>
      </c>
      <c r="DJ715" s="76">
        <v>4.0000001899898104E-3</v>
      </c>
      <c r="DK715" s="73">
        <v>40</v>
      </c>
      <c r="DL715" s="73">
        <v>16</v>
      </c>
      <c r="DM715" s="73">
        <v>24</v>
      </c>
      <c r="DU715"/>
      <c r="DZ715" s="73">
        <v>0</v>
      </c>
      <c r="EA715" s="73">
        <v>0</v>
      </c>
      <c r="EB715" s="73">
        <v>0</v>
      </c>
    </row>
    <row r="716" spans="1:133" ht="12" customHeight="1" x14ac:dyDescent="0.2">
      <c r="A716" t="s">
        <v>2937</v>
      </c>
      <c r="B716" t="s">
        <v>2946</v>
      </c>
      <c r="C716" t="str">
        <f t="shared" si="34"/>
        <v>Full</v>
      </c>
      <c r="E716" s="65">
        <v>6550</v>
      </c>
      <c r="F716" t="s">
        <v>2395</v>
      </c>
      <c r="G716" s="71" t="s">
        <v>3946</v>
      </c>
      <c r="H716" s="67">
        <v>1.9999999552965199E-2</v>
      </c>
      <c r="I716" s="65">
        <v>523831</v>
      </c>
      <c r="J716" s="65">
        <v>175830</v>
      </c>
      <c r="L716" s="65" t="s">
        <v>1200</v>
      </c>
      <c r="M716" s="65" t="s">
        <v>27</v>
      </c>
      <c r="N716" s="69">
        <v>42732</v>
      </c>
      <c r="O716" s="69">
        <v>42909</v>
      </c>
      <c r="P716" s="65" t="s">
        <v>126</v>
      </c>
      <c r="R716" s="65" t="s">
        <v>28</v>
      </c>
      <c r="U716" t="s">
        <v>1201</v>
      </c>
      <c r="V716" t="s">
        <v>3665</v>
      </c>
      <c r="W716" s="65" t="s">
        <v>39</v>
      </c>
      <c r="X716" s="65" t="s">
        <v>39</v>
      </c>
      <c r="Y716" s="65" t="s">
        <v>69</v>
      </c>
      <c r="AD716" s="65" t="s">
        <v>23</v>
      </c>
      <c r="AE716" s="65" t="s">
        <v>24</v>
      </c>
      <c r="AP716" s="73">
        <v>91</v>
      </c>
      <c r="AS716" s="73">
        <v>91</v>
      </c>
      <c r="AV716" s="73">
        <v>91</v>
      </c>
      <c r="BO716" s="185" t="s">
        <v>3794</v>
      </c>
      <c r="BP716" s="185" t="s">
        <v>126</v>
      </c>
      <c r="BQ716" s="185" t="s">
        <v>3794</v>
      </c>
      <c r="BW716" s="73"/>
      <c r="BX716" s="73">
        <v>91</v>
      </c>
      <c r="BY716" s="185" t="s">
        <v>3794</v>
      </c>
      <c r="CD716" s="73">
        <v>91</v>
      </c>
      <c r="CJ716" t="s">
        <v>25</v>
      </c>
      <c r="CK716" t="s">
        <v>25</v>
      </c>
      <c r="CL716" t="s">
        <v>25</v>
      </c>
      <c r="CM716" t="s">
        <v>25</v>
      </c>
      <c r="CN716" t="s">
        <v>25</v>
      </c>
      <c r="CO716" t="s">
        <v>31</v>
      </c>
      <c r="CP716" t="s">
        <v>25</v>
      </c>
      <c r="CQ716" t="s">
        <v>25</v>
      </c>
      <c r="CR716" t="s">
        <v>25</v>
      </c>
      <c r="CS716" t="s">
        <v>25</v>
      </c>
      <c r="CT716" t="s">
        <v>25</v>
      </c>
      <c r="CU716" t="s">
        <v>25</v>
      </c>
      <c r="CV716" t="s">
        <v>25</v>
      </c>
      <c r="CW716" t="s">
        <v>25</v>
      </c>
      <c r="CX716" t="s">
        <v>25</v>
      </c>
      <c r="CY716" t="s">
        <v>25</v>
      </c>
      <c r="CZ716" t="s">
        <v>25</v>
      </c>
      <c r="DA716" t="s">
        <v>25</v>
      </c>
      <c r="DB716" t="s">
        <v>25</v>
      </c>
      <c r="DC716" t="s">
        <v>25</v>
      </c>
      <c r="DD716" t="s">
        <v>25</v>
      </c>
      <c r="DE716" t="s">
        <v>25</v>
      </c>
      <c r="DF716" t="s">
        <v>25</v>
      </c>
      <c r="DG716" t="s">
        <v>25</v>
      </c>
      <c r="DH716" t="s">
        <v>25</v>
      </c>
      <c r="DI716" t="s">
        <v>25</v>
      </c>
      <c r="DJ716" s="76">
        <v>1.9999999552965199E-2</v>
      </c>
      <c r="DK716" s="73">
        <v>91</v>
      </c>
      <c r="DL716" s="73">
        <v>0</v>
      </c>
      <c r="DM716" s="73">
        <v>91</v>
      </c>
      <c r="DN716" s="65" t="s">
        <v>126</v>
      </c>
      <c r="DU716"/>
      <c r="DZ716" s="73">
        <v>0</v>
      </c>
      <c r="EA716" s="73">
        <v>0</v>
      </c>
      <c r="EB716" s="73">
        <v>0</v>
      </c>
    </row>
    <row r="717" spans="1:133" ht="12" customHeight="1" x14ac:dyDescent="0.2">
      <c r="A717" t="s">
        <v>2935</v>
      </c>
      <c r="B717" t="s">
        <v>2946</v>
      </c>
      <c r="C717" t="str">
        <f t="shared" si="34"/>
        <v>Full</v>
      </c>
      <c r="E717" s="65">
        <v>6551</v>
      </c>
      <c r="F717" t="s">
        <v>2396</v>
      </c>
      <c r="G717" s="71" t="s">
        <v>3941</v>
      </c>
      <c r="H717" s="67">
        <v>8.9999996125698107E-3</v>
      </c>
      <c r="I717" s="65">
        <v>527476</v>
      </c>
      <c r="J717" s="65">
        <v>173316</v>
      </c>
      <c r="L717" s="65" t="s">
        <v>1196</v>
      </c>
      <c r="M717" s="65" t="s">
        <v>27</v>
      </c>
      <c r="N717" s="69">
        <v>42746</v>
      </c>
      <c r="O717" s="69">
        <v>42850</v>
      </c>
      <c r="P717" s="65" t="s">
        <v>126</v>
      </c>
      <c r="R717" s="65" t="s">
        <v>28</v>
      </c>
      <c r="U717" t="s">
        <v>1197</v>
      </c>
      <c r="V717" t="s">
        <v>3666</v>
      </c>
      <c r="W717" s="65" t="s">
        <v>21</v>
      </c>
      <c r="X717" s="65" t="s">
        <v>21</v>
      </c>
      <c r="Y717" s="65" t="s">
        <v>30</v>
      </c>
      <c r="AA717" s="69">
        <v>43190</v>
      </c>
      <c r="AD717" s="65" t="s">
        <v>23</v>
      </c>
      <c r="AE717" s="65" t="s">
        <v>24</v>
      </c>
      <c r="AH717" s="69">
        <f t="shared" si="33"/>
        <v>43190</v>
      </c>
      <c r="AZ717" s="73">
        <v>86</v>
      </c>
      <c r="BE717" s="73">
        <v>86</v>
      </c>
      <c r="BO717" s="185" t="s">
        <v>126</v>
      </c>
      <c r="BP717" s="185" t="s">
        <v>3794</v>
      </c>
      <c r="BQ717" s="185" t="s">
        <v>3794</v>
      </c>
      <c r="BR717" s="73">
        <v>-86</v>
      </c>
      <c r="BW717" s="73">
        <v>-86</v>
      </c>
      <c r="BY717" s="185" t="s">
        <v>3794</v>
      </c>
      <c r="CJ717" t="s">
        <v>25</v>
      </c>
      <c r="CK717" t="s">
        <v>25</v>
      </c>
      <c r="CL717" t="s">
        <v>25</v>
      </c>
      <c r="CM717" t="s">
        <v>25</v>
      </c>
      <c r="CN717" t="s">
        <v>25</v>
      </c>
      <c r="CO717" t="s">
        <v>25</v>
      </c>
      <c r="CP717" t="s">
        <v>25</v>
      </c>
      <c r="CQ717" t="s">
        <v>25</v>
      </c>
      <c r="CR717" t="s">
        <v>25</v>
      </c>
      <c r="CS717" t="s">
        <v>25</v>
      </c>
      <c r="CT717" t="s">
        <v>25</v>
      </c>
      <c r="CU717" t="s">
        <v>25</v>
      </c>
      <c r="CV717" t="s">
        <v>25</v>
      </c>
      <c r="CW717" t="s">
        <v>47</v>
      </c>
      <c r="CX717" t="s">
        <v>25</v>
      </c>
      <c r="CY717" t="s">
        <v>25</v>
      </c>
      <c r="CZ717" t="s">
        <v>25</v>
      </c>
      <c r="DA717" t="s">
        <v>25</v>
      </c>
      <c r="DB717" t="s">
        <v>25</v>
      </c>
      <c r="DC717" t="s">
        <v>25</v>
      </c>
      <c r="DD717" t="s">
        <v>25</v>
      </c>
      <c r="DE717" t="s">
        <v>25</v>
      </c>
      <c r="DF717" t="s">
        <v>25</v>
      </c>
      <c r="DG717" t="s">
        <v>25</v>
      </c>
      <c r="DH717" t="s">
        <v>25</v>
      </c>
      <c r="DI717" t="s">
        <v>25</v>
      </c>
      <c r="DJ717" s="76">
        <v>8.9999996125698107E-3</v>
      </c>
      <c r="DK717" s="73">
        <v>86</v>
      </c>
      <c r="DL717" s="73">
        <v>86</v>
      </c>
      <c r="DM717" s="73">
        <v>0</v>
      </c>
      <c r="DU717"/>
      <c r="DX717" s="65" t="s">
        <v>126</v>
      </c>
      <c r="DY717" t="s">
        <v>255</v>
      </c>
      <c r="DZ717" s="73">
        <v>0</v>
      </c>
      <c r="EA717" s="73">
        <v>0</v>
      </c>
      <c r="EB717" s="73">
        <v>0</v>
      </c>
    </row>
    <row r="718" spans="1:133" ht="12" customHeight="1" x14ac:dyDescent="0.2">
      <c r="A718" t="s">
        <v>2937</v>
      </c>
      <c r="B718" t="s">
        <v>2948</v>
      </c>
      <c r="C718" t="str">
        <f t="shared" si="34"/>
        <v>Prior Approval</v>
      </c>
      <c r="E718" s="65">
        <v>6553</v>
      </c>
      <c r="F718" t="s">
        <v>2397</v>
      </c>
      <c r="G718" s="71" t="s">
        <v>2907</v>
      </c>
      <c r="H718" s="67">
        <v>1.4000000432133701E-2</v>
      </c>
      <c r="I718" s="65">
        <v>525441</v>
      </c>
      <c r="J718" s="65">
        <v>172855</v>
      </c>
      <c r="L718" s="65" t="s">
        <v>2398</v>
      </c>
      <c r="M718" s="65" t="s">
        <v>244</v>
      </c>
      <c r="N718" s="69">
        <v>42858</v>
      </c>
      <c r="O718" s="69">
        <v>42900</v>
      </c>
      <c r="P718" s="65" t="s">
        <v>126</v>
      </c>
      <c r="R718" s="65" t="s">
        <v>28</v>
      </c>
      <c r="U718" t="s">
        <v>2399</v>
      </c>
      <c r="V718" t="s">
        <v>3055</v>
      </c>
      <c r="W718" s="65" t="s">
        <v>21</v>
      </c>
      <c r="X718" s="65" t="s">
        <v>21</v>
      </c>
      <c r="Y718" s="65" t="s">
        <v>69</v>
      </c>
      <c r="AD718" s="65" t="s">
        <v>23</v>
      </c>
      <c r="AE718" s="65" t="s">
        <v>24</v>
      </c>
      <c r="AZ718" s="73">
        <v>60</v>
      </c>
      <c r="BE718" s="73">
        <v>60</v>
      </c>
      <c r="BO718" s="185" t="s">
        <v>126</v>
      </c>
      <c r="BP718" s="185" t="s">
        <v>3794</v>
      </c>
      <c r="BQ718" s="185" t="s">
        <v>3794</v>
      </c>
      <c r="BR718" s="73">
        <v>-60</v>
      </c>
      <c r="BW718" s="73">
        <v>-60</v>
      </c>
      <c r="BY718" s="185" t="s">
        <v>3794</v>
      </c>
      <c r="CJ718" t="s">
        <v>25</v>
      </c>
      <c r="CK718" t="s">
        <v>25</v>
      </c>
      <c r="CL718" t="s">
        <v>25</v>
      </c>
      <c r="CM718" t="s">
        <v>25</v>
      </c>
      <c r="CN718" t="s">
        <v>25</v>
      </c>
      <c r="CO718" t="s">
        <v>25</v>
      </c>
      <c r="CP718" t="s">
        <v>25</v>
      </c>
      <c r="CQ718" t="s">
        <v>25</v>
      </c>
      <c r="CR718" t="s">
        <v>25</v>
      </c>
      <c r="CS718" t="s">
        <v>25</v>
      </c>
      <c r="CT718" t="s">
        <v>25</v>
      </c>
      <c r="CU718" t="s">
        <v>25</v>
      </c>
      <c r="CV718" t="s">
        <v>25</v>
      </c>
      <c r="CW718" t="s">
        <v>47</v>
      </c>
      <c r="CX718" t="s">
        <v>25</v>
      </c>
      <c r="CY718" t="s">
        <v>25</v>
      </c>
      <c r="CZ718" t="s">
        <v>25</v>
      </c>
      <c r="DA718" t="s">
        <v>25</v>
      </c>
      <c r="DB718" t="s">
        <v>25</v>
      </c>
      <c r="DC718" t="s">
        <v>25</v>
      </c>
      <c r="DD718" t="s">
        <v>25</v>
      </c>
      <c r="DE718" t="s">
        <v>25</v>
      </c>
      <c r="DF718" t="s">
        <v>25</v>
      </c>
      <c r="DG718" t="s">
        <v>25</v>
      </c>
      <c r="DH718" t="s">
        <v>25</v>
      </c>
      <c r="DI718" t="s">
        <v>25</v>
      </c>
      <c r="DJ718" s="76">
        <v>0</v>
      </c>
      <c r="DK718" s="73">
        <v>0</v>
      </c>
      <c r="DL718" s="73">
        <v>60</v>
      </c>
      <c r="DM718" s="73">
        <v>-60</v>
      </c>
      <c r="DU718"/>
      <c r="DZ718" s="73">
        <v>60</v>
      </c>
      <c r="EA718" s="73">
        <v>0</v>
      </c>
      <c r="EB718" s="73">
        <v>60</v>
      </c>
      <c r="EC718" s="65" t="s">
        <v>126</v>
      </c>
    </row>
    <row r="719" spans="1:133" ht="12" customHeight="1" x14ac:dyDescent="0.2">
      <c r="A719" t="s">
        <v>2936</v>
      </c>
      <c r="B719" t="s">
        <v>2946</v>
      </c>
      <c r="C719" t="str">
        <f t="shared" si="34"/>
        <v>Full</v>
      </c>
      <c r="D719" t="s">
        <v>2943</v>
      </c>
      <c r="E719" s="65">
        <v>6554</v>
      </c>
      <c r="F719" t="s">
        <v>2400</v>
      </c>
      <c r="G719" s="71" t="s">
        <v>3951</v>
      </c>
      <c r="H719" s="67">
        <v>1.2000000104308101E-2</v>
      </c>
      <c r="I719" s="65">
        <v>527682</v>
      </c>
      <c r="J719" s="65">
        <v>171195</v>
      </c>
      <c r="L719" s="65" t="s">
        <v>1242</v>
      </c>
      <c r="M719" s="65" t="s">
        <v>27</v>
      </c>
      <c r="N719" s="69">
        <v>42786</v>
      </c>
      <c r="O719" s="69">
        <v>42838</v>
      </c>
      <c r="P719" s="65" t="s">
        <v>126</v>
      </c>
      <c r="R719" s="65" t="s">
        <v>28</v>
      </c>
      <c r="U719" t="s">
        <v>1243</v>
      </c>
      <c r="V719" t="s">
        <v>3667</v>
      </c>
      <c r="W719" s="65" t="s">
        <v>21</v>
      </c>
      <c r="X719" s="65" t="s">
        <v>21</v>
      </c>
      <c r="Y719" s="65" t="s">
        <v>35</v>
      </c>
      <c r="AA719" s="69">
        <v>42838</v>
      </c>
      <c r="AB719" s="69">
        <v>43190</v>
      </c>
      <c r="AC719" s="69">
        <v>43190</v>
      </c>
      <c r="AD719" s="65" t="s">
        <v>23</v>
      </c>
      <c r="AE719" s="65" t="s">
        <v>24</v>
      </c>
      <c r="AH719" s="69">
        <f t="shared" si="33"/>
        <v>42838</v>
      </c>
      <c r="AI719" s="69">
        <f t="shared" si="35"/>
        <v>43190</v>
      </c>
      <c r="AL719" s="73">
        <v>120</v>
      </c>
      <c r="AO719" s="73">
        <v>120</v>
      </c>
      <c r="AZ719" s="73">
        <v>120</v>
      </c>
      <c r="BE719" s="73">
        <v>120</v>
      </c>
      <c r="BO719" s="185" t="s">
        <v>126</v>
      </c>
      <c r="BP719" s="185" t="s">
        <v>3794</v>
      </c>
      <c r="BQ719" s="185" t="s">
        <v>3794</v>
      </c>
      <c r="BR719" s="73">
        <v>-120</v>
      </c>
      <c r="BT719" s="73">
        <v>120</v>
      </c>
      <c r="BW719" s="73"/>
      <c r="BY719" s="185" t="s">
        <v>3794</v>
      </c>
      <c r="CJ719" t="s">
        <v>25</v>
      </c>
      <c r="CK719" t="s">
        <v>25</v>
      </c>
      <c r="CL719" t="s">
        <v>50</v>
      </c>
      <c r="CM719" t="s">
        <v>25</v>
      </c>
      <c r="CN719" t="s">
        <v>25</v>
      </c>
      <c r="CO719" t="s">
        <v>25</v>
      </c>
      <c r="CP719" t="s">
        <v>25</v>
      </c>
      <c r="CQ719" t="s">
        <v>25</v>
      </c>
      <c r="CR719" t="s">
        <v>25</v>
      </c>
      <c r="CS719" t="s">
        <v>25</v>
      </c>
      <c r="CT719" t="s">
        <v>25</v>
      </c>
      <c r="CU719" t="s">
        <v>25</v>
      </c>
      <c r="CV719" t="s">
        <v>25</v>
      </c>
      <c r="CW719" t="s">
        <v>47</v>
      </c>
      <c r="CX719" t="s">
        <v>25</v>
      </c>
      <c r="CY719" t="s">
        <v>25</v>
      </c>
      <c r="CZ719" t="s">
        <v>25</v>
      </c>
      <c r="DA719" t="s">
        <v>25</v>
      </c>
      <c r="DB719" t="s">
        <v>25</v>
      </c>
      <c r="DC719" t="s">
        <v>25</v>
      </c>
      <c r="DD719" t="s">
        <v>25</v>
      </c>
      <c r="DE719" t="s">
        <v>25</v>
      </c>
      <c r="DF719" t="s">
        <v>25</v>
      </c>
      <c r="DG719" t="s">
        <v>25</v>
      </c>
      <c r="DH719" t="s">
        <v>25</v>
      </c>
      <c r="DI719" t="s">
        <v>25</v>
      </c>
      <c r="DJ719" s="76">
        <v>1.2000000104308101E-2</v>
      </c>
      <c r="DK719" s="73">
        <v>120</v>
      </c>
      <c r="DL719" s="73">
        <v>120</v>
      </c>
      <c r="DM719" s="73">
        <v>0</v>
      </c>
      <c r="DU719"/>
      <c r="DV719" s="65" t="s">
        <v>126</v>
      </c>
      <c r="DW719" t="s">
        <v>150</v>
      </c>
      <c r="DZ719" s="73">
        <v>0</v>
      </c>
      <c r="EA719" s="73">
        <v>0</v>
      </c>
      <c r="EB719" s="73">
        <v>0</v>
      </c>
    </row>
    <row r="720" spans="1:133" ht="12" customHeight="1" x14ac:dyDescent="0.2">
      <c r="A720" t="s">
        <v>2937</v>
      </c>
      <c r="B720" t="s">
        <v>2946</v>
      </c>
      <c r="C720" t="str">
        <f t="shared" si="34"/>
        <v>Full</v>
      </c>
      <c r="E720" s="65">
        <v>6555</v>
      </c>
      <c r="F720" t="s">
        <v>2401</v>
      </c>
      <c r="G720" s="71" t="s">
        <v>3946</v>
      </c>
      <c r="H720" s="67">
        <v>6.0000000521540598E-3</v>
      </c>
      <c r="I720" s="65">
        <v>523989</v>
      </c>
      <c r="J720" s="65">
        <v>175101</v>
      </c>
      <c r="L720" s="65" t="s">
        <v>1270</v>
      </c>
      <c r="M720" s="65" t="s">
        <v>27</v>
      </c>
      <c r="N720" s="69">
        <v>42783</v>
      </c>
      <c r="O720" s="69">
        <v>42837</v>
      </c>
      <c r="P720" s="65" t="s">
        <v>126</v>
      </c>
      <c r="R720" s="65" t="s">
        <v>28</v>
      </c>
      <c r="U720" t="s">
        <v>1271</v>
      </c>
      <c r="V720" t="s">
        <v>3668</v>
      </c>
      <c r="W720" s="65" t="s">
        <v>21</v>
      </c>
      <c r="X720" s="65" t="s">
        <v>21</v>
      </c>
      <c r="Y720" s="65" t="s">
        <v>69</v>
      </c>
      <c r="AD720" s="65" t="s">
        <v>23</v>
      </c>
      <c r="AE720" s="65" t="s">
        <v>24</v>
      </c>
      <c r="AJ720" s="73">
        <v>61</v>
      </c>
      <c r="AO720" s="73">
        <v>61</v>
      </c>
      <c r="AZ720" s="73">
        <v>30</v>
      </c>
      <c r="BB720" s="73">
        <v>31</v>
      </c>
      <c r="BE720" s="73">
        <v>61</v>
      </c>
      <c r="BO720" s="185" t="s">
        <v>126</v>
      </c>
      <c r="BP720" s="185" t="s">
        <v>3794</v>
      </c>
      <c r="BQ720" s="185" t="s">
        <v>3794</v>
      </c>
      <c r="BR720" s="73">
        <v>31</v>
      </c>
      <c r="BT720" s="73">
        <v>-31</v>
      </c>
      <c r="BW720" s="73"/>
      <c r="BY720" s="185" t="s">
        <v>3794</v>
      </c>
      <c r="CJ720" t="s">
        <v>26</v>
      </c>
      <c r="CK720" t="s">
        <v>25</v>
      </c>
      <c r="CL720" t="s">
        <v>25</v>
      </c>
      <c r="CM720" t="s">
        <v>25</v>
      </c>
      <c r="CN720" t="s">
        <v>25</v>
      </c>
      <c r="CO720" t="s">
        <v>25</v>
      </c>
      <c r="CP720" t="s">
        <v>25</v>
      </c>
      <c r="CQ720" t="s">
        <v>25</v>
      </c>
      <c r="CR720" t="s">
        <v>25</v>
      </c>
      <c r="CS720" t="s">
        <v>25</v>
      </c>
      <c r="CT720" t="s">
        <v>25</v>
      </c>
      <c r="CU720" t="s">
        <v>25</v>
      </c>
      <c r="CV720" t="s">
        <v>25</v>
      </c>
      <c r="CW720" t="s">
        <v>47</v>
      </c>
      <c r="CX720" t="s">
        <v>25</v>
      </c>
      <c r="CY720" t="s">
        <v>47</v>
      </c>
      <c r="CZ720" t="s">
        <v>25</v>
      </c>
      <c r="DA720" t="s">
        <v>25</v>
      </c>
      <c r="DB720" t="s">
        <v>25</v>
      </c>
      <c r="DC720" t="s">
        <v>25</v>
      </c>
      <c r="DD720" t="s">
        <v>25</v>
      </c>
      <c r="DE720" t="s">
        <v>25</v>
      </c>
      <c r="DF720" t="s">
        <v>25</v>
      </c>
      <c r="DG720" t="s">
        <v>25</v>
      </c>
      <c r="DH720" t="s">
        <v>25</v>
      </c>
      <c r="DI720" t="s">
        <v>25</v>
      </c>
      <c r="DJ720" s="76">
        <v>6.0000000521540598E-3</v>
      </c>
      <c r="DK720" s="73">
        <v>61</v>
      </c>
      <c r="DL720" s="73">
        <v>61</v>
      </c>
      <c r="DM720" s="73">
        <v>0</v>
      </c>
      <c r="DU720"/>
      <c r="DV720" s="65" t="s">
        <v>126</v>
      </c>
      <c r="DW720" t="s">
        <v>131</v>
      </c>
      <c r="DZ720" s="73">
        <v>0</v>
      </c>
      <c r="EA720" s="73">
        <v>0</v>
      </c>
      <c r="EB720" s="73">
        <v>0</v>
      </c>
    </row>
    <row r="721" spans="1:133" ht="12" customHeight="1" x14ac:dyDescent="0.2">
      <c r="A721" t="s">
        <v>2936</v>
      </c>
      <c r="B721" t="s">
        <v>2946</v>
      </c>
      <c r="C721" t="str">
        <f t="shared" si="34"/>
        <v>Full</v>
      </c>
      <c r="D721" t="s">
        <v>2943</v>
      </c>
      <c r="E721" s="65">
        <v>6558</v>
      </c>
      <c r="F721" t="s">
        <v>2402</v>
      </c>
      <c r="G721" s="71" t="s">
        <v>3939</v>
      </c>
      <c r="H721" s="67">
        <v>7.0000002160668399E-3</v>
      </c>
      <c r="I721" s="65">
        <v>523937</v>
      </c>
      <c r="J721" s="65">
        <v>173505</v>
      </c>
      <c r="L721" s="65" t="s">
        <v>1272</v>
      </c>
      <c r="M721" s="65" t="s">
        <v>27</v>
      </c>
      <c r="N721" s="69">
        <v>42783</v>
      </c>
      <c r="O721" s="69">
        <v>42873</v>
      </c>
      <c r="P721" s="65" t="s">
        <v>126</v>
      </c>
      <c r="R721" s="65" t="s">
        <v>28</v>
      </c>
      <c r="U721" t="s">
        <v>1273</v>
      </c>
      <c r="V721" t="s">
        <v>3669</v>
      </c>
      <c r="W721" s="65" t="s">
        <v>21</v>
      </c>
      <c r="X721" s="65" t="s">
        <v>21</v>
      </c>
      <c r="Y721" s="65" t="s">
        <v>35</v>
      </c>
      <c r="AA721" s="69">
        <v>42873</v>
      </c>
      <c r="AB721" s="69">
        <v>43190</v>
      </c>
      <c r="AC721" s="69">
        <v>43190</v>
      </c>
      <c r="AD721" s="65" t="s">
        <v>23</v>
      </c>
      <c r="AE721" s="65" t="s">
        <v>24</v>
      </c>
      <c r="AH721" s="69">
        <f t="shared" si="33"/>
        <v>42873</v>
      </c>
      <c r="AI721" s="69">
        <f t="shared" si="35"/>
        <v>43190</v>
      </c>
      <c r="AN721" s="73">
        <v>75</v>
      </c>
      <c r="AO721" s="73">
        <v>75</v>
      </c>
      <c r="AZ721" s="73">
        <v>75</v>
      </c>
      <c r="BE721" s="73">
        <v>75</v>
      </c>
      <c r="BO721" s="185" t="s">
        <v>126</v>
      </c>
      <c r="BP721" s="185" t="s">
        <v>3794</v>
      </c>
      <c r="BQ721" s="185" t="s">
        <v>3794</v>
      </c>
      <c r="BR721" s="73">
        <v>-75</v>
      </c>
      <c r="BV721" s="73">
        <v>75</v>
      </c>
      <c r="BW721" s="73"/>
      <c r="BY721" s="185" t="s">
        <v>3794</v>
      </c>
      <c r="CJ721" t="s">
        <v>25</v>
      </c>
      <c r="CK721" t="s">
        <v>25</v>
      </c>
      <c r="CL721" t="s">
        <v>25</v>
      </c>
      <c r="CM721" t="s">
        <v>25</v>
      </c>
      <c r="CN721" t="s">
        <v>65</v>
      </c>
      <c r="CO721" t="s">
        <v>25</v>
      </c>
      <c r="CP721" t="s">
        <v>25</v>
      </c>
      <c r="CQ721" t="s">
        <v>25</v>
      </c>
      <c r="CR721" t="s">
        <v>25</v>
      </c>
      <c r="CS721" t="s">
        <v>25</v>
      </c>
      <c r="CT721" t="s">
        <v>25</v>
      </c>
      <c r="CU721" t="s">
        <v>25</v>
      </c>
      <c r="CV721" t="s">
        <v>25</v>
      </c>
      <c r="CW721" t="s">
        <v>47</v>
      </c>
      <c r="CX721" t="s">
        <v>25</v>
      </c>
      <c r="CY721" t="s">
        <v>25</v>
      </c>
      <c r="CZ721" t="s">
        <v>25</v>
      </c>
      <c r="DA721" t="s">
        <v>25</v>
      </c>
      <c r="DB721" t="s">
        <v>25</v>
      </c>
      <c r="DC721" t="s">
        <v>25</v>
      </c>
      <c r="DD721" t="s">
        <v>25</v>
      </c>
      <c r="DE721" t="s">
        <v>25</v>
      </c>
      <c r="DF721" t="s">
        <v>25</v>
      </c>
      <c r="DG721" t="s">
        <v>25</v>
      </c>
      <c r="DH721" t="s">
        <v>25</v>
      </c>
      <c r="DI721" t="s">
        <v>25</v>
      </c>
      <c r="DJ721" s="76">
        <v>7.0000002160668399E-3</v>
      </c>
      <c r="DK721" s="73">
        <v>75</v>
      </c>
      <c r="DL721" s="73">
        <v>75</v>
      </c>
      <c r="DM721" s="73">
        <v>0</v>
      </c>
      <c r="DU721"/>
      <c r="DZ721" s="73">
        <v>0</v>
      </c>
      <c r="EA721" s="73">
        <v>0</v>
      </c>
      <c r="EB721" s="73">
        <v>0</v>
      </c>
    </row>
    <row r="722" spans="1:133" ht="12" customHeight="1" x14ac:dyDescent="0.2">
      <c r="A722" t="s">
        <v>2937</v>
      </c>
      <c r="B722" t="s">
        <v>2948</v>
      </c>
      <c r="C722" t="str">
        <f t="shared" si="34"/>
        <v>Prior Approval</v>
      </c>
      <c r="E722" s="65">
        <v>6563</v>
      </c>
      <c r="F722" t="s">
        <v>2403</v>
      </c>
      <c r="G722" s="71" t="s">
        <v>3943</v>
      </c>
      <c r="H722" s="67">
        <v>0.122000001370907</v>
      </c>
      <c r="I722" s="65">
        <v>526668</v>
      </c>
      <c r="J722" s="65">
        <v>176335</v>
      </c>
      <c r="L722" s="65" t="s">
        <v>2404</v>
      </c>
      <c r="M722" s="65" t="s">
        <v>243</v>
      </c>
      <c r="N722" s="69">
        <v>42912</v>
      </c>
      <c r="O722" s="69">
        <v>42965</v>
      </c>
      <c r="P722" s="65" t="s">
        <v>126</v>
      </c>
      <c r="R722" s="65" t="s">
        <v>28</v>
      </c>
      <c r="U722" t="s">
        <v>2405</v>
      </c>
      <c r="V722" t="s">
        <v>3670</v>
      </c>
      <c r="W722" s="65" t="s">
        <v>21</v>
      </c>
      <c r="X722" s="65" t="s">
        <v>21</v>
      </c>
      <c r="Y722" s="65" t="s">
        <v>59</v>
      </c>
      <c r="AD722" s="65" t="s">
        <v>23</v>
      </c>
      <c r="AE722" s="65" t="s">
        <v>24</v>
      </c>
      <c r="BF722" s="73">
        <v>878</v>
      </c>
      <c r="BK722" s="73">
        <v>878</v>
      </c>
      <c r="BO722" s="185" t="s">
        <v>3794</v>
      </c>
      <c r="BP722" s="185" t="s">
        <v>126</v>
      </c>
      <c r="BQ722" s="185" t="s">
        <v>3794</v>
      </c>
      <c r="BW722" s="73"/>
      <c r="BX722" s="73">
        <v>-878</v>
      </c>
      <c r="BY722" s="185" t="s">
        <v>126</v>
      </c>
      <c r="CD722" s="73">
        <v>-878</v>
      </c>
      <c r="CE722" s="65" t="s">
        <v>126</v>
      </c>
      <c r="CJ722" t="s">
        <v>25</v>
      </c>
      <c r="CK722" t="s">
        <v>25</v>
      </c>
      <c r="CL722" t="s">
        <v>25</v>
      </c>
      <c r="CM722" t="s">
        <v>25</v>
      </c>
      <c r="CN722" t="s">
        <v>25</v>
      </c>
      <c r="CO722" t="s">
        <v>25</v>
      </c>
      <c r="CP722" t="s">
        <v>25</v>
      </c>
      <c r="CQ722" t="s">
        <v>25</v>
      </c>
      <c r="CR722" t="s">
        <v>25</v>
      </c>
      <c r="CS722" t="s">
        <v>25</v>
      </c>
      <c r="CT722" t="s">
        <v>25</v>
      </c>
      <c r="CU722" t="s">
        <v>25</v>
      </c>
      <c r="CV722" t="s">
        <v>25</v>
      </c>
      <c r="CW722" t="s">
        <v>25</v>
      </c>
      <c r="CX722" t="s">
        <v>25</v>
      </c>
      <c r="CY722" t="s">
        <v>25</v>
      </c>
      <c r="CZ722" t="s">
        <v>25</v>
      </c>
      <c r="DA722" t="s">
        <v>25</v>
      </c>
      <c r="DB722" t="s">
        <v>49</v>
      </c>
      <c r="DC722" t="s">
        <v>25</v>
      </c>
      <c r="DD722" t="s">
        <v>25</v>
      </c>
      <c r="DE722" t="s">
        <v>25</v>
      </c>
      <c r="DF722" t="s">
        <v>25</v>
      </c>
      <c r="DG722" t="s">
        <v>25</v>
      </c>
      <c r="DH722" t="s">
        <v>25</v>
      </c>
      <c r="DI722" t="s">
        <v>25</v>
      </c>
      <c r="DJ722" s="76">
        <v>0.105000000447035</v>
      </c>
      <c r="DK722" s="73">
        <v>0</v>
      </c>
      <c r="DL722" s="73">
        <v>878</v>
      </c>
      <c r="DM722" s="73">
        <v>-878</v>
      </c>
      <c r="DN722" s="65" t="s">
        <v>126</v>
      </c>
      <c r="DU722"/>
      <c r="DZ722" s="73">
        <v>878</v>
      </c>
      <c r="EA722" s="73">
        <v>0</v>
      </c>
      <c r="EB722" s="73">
        <v>878</v>
      </c>
      <c r="EC722" s="65" t="s">
        <v>126</v>
      </c>
    </row>
    <row r="723" spans="1:133" ht="12" customHeight="1" x14ac:dyDescent="0.2">
      <c r="A723" t="s">
        <v>2937</v>
      </c>
      <c r="B723" t="s">
        <v>2948</v>
      </c>
      <c r="C723" t="str">
        <f t="shared" si="34"/>
        <v>Prior Approval</v>
      </c>
      <c r="E723" s="65">
        <v>6564</v>
      </c>
      <c r="F723" t="s">
        <v>2406</v>
      </c>
      <c r="G723" s="71" t="s">
        <v>3946</v>
      </c>
      <c r="H723" s="67">
        <v>3.0999999493360499E-2</v>
      </c>
      <c r="I723" s="65">
        <v>524601</v>
      </c>
      <c r="J723" s="65">
        <v>175314</v>
      </c>
      <c r="L723" s="65" t="s">
        <v>2407</v>
      </c>
      <c r="M723" s="65" t="s">
        <v>244</v>
      </c>
      <c r="N723" s="69">
        <v>42950</v>
      </c>
      <c r="O723" s="69">
        <v>43005</v>
      </c>
      <c r="P723" s="65" t="s">
        <v>126</v>
      </c>
      <c r="R723" s="65" t="s">
        <v>28</v>
      </c>
      <c r="U723" t="s">
        <v>2408</v>
      </c>
      <c r="V723" t="s">
        <v>3671</v>
      </c>
      <c r="W723" s="65" t="s">
        <v>21</v>
      </c>
      <c r="X723" s="65" t="s">
        <v>21</v>
      </c>
      <c r="Y723" s="65" t="s">
        <v>59</v>
      </c>
      <c r="AD723" s="65" t="s">
        <v>23</v>
      </c>
      <c r="AE723" s="65" t="s">
        <v>24</v>
      </c>
      <c r="BF723" s="73">
        <v>833</v>
      </c>
      <c r="BK723" s="73">
        <v>833</v>
      </c>
      <c r="BO723" s="185" t="s">
        <v>3794</v>
      </c>
      <c r="BP723" s="185" t="s">
        <v>126</v>
      </c>
      <c r="BQ723" s="185" t="s">
        <v>3794</v>
      </c>
      <c r="BW723" s="73"/>
      <c r="BX723" s="73">
        <v>-833</v>
      </c>
      <c r="BY723" s="185" t="s">
        <v>126</v>
      </c>
      <c r="CD723" s="73">
        <v>-833</v>
      </c>
      <c r="CE723" s="65" t="s">
        <v>126</v>
      </c>
      <c r="CJ723" t="s">
        <v>25</v>
      </c>
      <c r="CK723" t="s">
        <v>25</v>
      </c>
      <c r="CL723" t="s">
        <v>25</v>
      </c>
      <c r="CM723" t="s">
        <v>25</v>
      </c>
      <c r="CN723" t="s">
        <v>25</v>
      </c>
      <c r="CO723" t="s">
        <v>25</v>
      </c>
      <c r="CP723" t="s">
        <v>25</v>
      </c>
      <c r="CQ723" t="s">
        <v>25</v>
      </c>
      <c r="CR723" t="s">
        <v>25</v>
      </c>
      <c r="CS723" t="s">
        <v>25</v>
      </c>
      <c r="CT723" t="s">
        <v>25</v>
      </c>
      <c r="CU723" t="s">
        <v>25</v>
      </c>
      <c r="CV723" t="s">
        <v>25</v>
      </c>
      <c r="CW723" t="s">
        <v>25</v>
      </c>
      <c r="CX723" t="s">
        <v>25</v>
      </c>
      <c r="CY723" t="s">
        <v>25</v>
      </c>
      <c r="CZ723" t="s">
        <v>25</v>
      </c>
      <c r="DA723" t="s">
        <v>25</v>
      </c>
      <c r="DB723" t="s">
        <v>31</v>
      </c>
      <c r="DC723" t="s">
        <v>25</v>
      </c>
      <c r="DD723" t="s">
        <v>25</v>
      </c>
      <c r="DE723" t="s">
        <v>25</v>
      </c>
      <c r="DF723" t="s">
        <v>25</v>
      </c>
      <c r="DG723" t="s">
        <v>25</v>
      </c>
      <c r="DH723" t="s">
        <v>25</v>
      </c>
      <c r="DI723" t="s">
        <v>25</v>
      </c>
      <c r="DJ723" s="76">
        <v>0</v>
      </c>
      <c r="DK723" s="73">
        <v>0</v>
      </c>
      <c r="DL723" s="73">
        <v>833</v>
      </c>
      <c r="DM723" s="73">
        <v>-833</v>
      </c>
      <c r="DN723" s="65" t="s">
        <v>126</v>
      </c>
      <c r="DU723"/>
      <c r="DZ723" s="73">
        <v>833</v>
      </c>
      <c r="EA723" s="73">
        <v>0</v>
      </c>
      <c r="EB723" s="73">
        <v>833</v>
      </c>
      <c r="EC723" s="65" t="s">
        <v>126</v>
      </c>
    </row>
    <row r="724" spans="1:133" ht="12" customHeight="1" x14ac:dyDescent="0.2">
      <c r="A724" t="s">
        <v>2937</v>
      </c>
      <c r="B724" t="s">
        <v>2946</v>
      </c>
      <c r="C724" t="str">
        <f t="shared" si="34"/>
        <v>Full</v>
      </c>
      <c r="E724" s="65">
        <v>6565</v>
      </c>
      <c r="F724" t="s">
        <v>2409</v>
      </c>
      <c r="G724" s="71" t="s">
        <v>3946</v>
      </c>
      <c r="H724" s="67">
        <v>1.2000000104308101E-2</v>
      </c>
      <c r="I724" s="65">
        <v>524133</v>
      </c>
      <c r="J724" s="65">
        <v>175006</v>
      </c>
      <c r="L724" s="65" t="s">
        <v>2410</v>
      </c>
      <c r="M724" s="65" t="s">
        <v>27</v>
      </c>
      <c r="N724" s="69">
        <v>42835</v>
      </c>
      <c r="O724" s="69">
        <v>42912</v>
      </c>
      <c r="P724" s="65" t="s">
        <v>126</v>
      </c>
      <c r="R724" s="65" t="s">
        <v>28</v>
      </c>
      <c r="U724" t="s">
        <v>2411</v>
      </c>
      <c r="V724" t="s">
        <v>3672</v>
      </c>
      <c r="W724" s="65" t="s">
        <v>29</v>
      </c>
      <c r="X724" s="65" t="s">
        <v>29</v>
      </c>
      <c r="Y724" s="65" t="s">
        <v>69</v>
      </c>
      <c r="AD724" s="65" t="s">
        <v>23</v>
      </c>
      <c r="AE724" s="65" t="s">
        <v>24</v>
      </c>
      <c r="AP724" s="73">
        <v>199</v>
      </c>
      <c r="AS724" s="73">
        <v>199</v>
      </c>
      <c r="AV724" s="73">
        <v>199</v>
      </c>
      <c r="BF724" s="73">
        <v>499</v>
      </c>
      <c r="BK724" s="73">
        <v>499</v>
      </c>
      <c r="BO724" s="185" t="s">
        <v>3794</v>
      </c>
      <c r="BP724" s="185" t="s">
        <v>126</v>
      </c>
      <c r="BQ724" s="185" t="s">
        <v>3794</v>
      </c>
      <c r="BW724" s="73"/>
      <c r="BX724" s="73">
        <v>-300</v>
      </c>
      <c r="BY724" s="185" t="s">
        <v>126</v>
      </c>
      <c r="CD724" s="73">
        <v>-300</v>
      </c>
      <c r="CE724" s="65" t="s">
        <v>126</v>
      </c>
      <c r="CJ724" t="s">
        <v>25</v>
      </c>
      <c r="CK724" t="s">
        <v>25</v>
      </c>
      <c r="CL724" t="s">
        <v>25</v>
      </c>
      <c r="CM724" t="s">
        <v>25</v>
      </c>
      <c r="CN724" t="s">
        <v>25</v>
      </c>
      <c r="CO724" t="s">
        <v>31</v>
      </c>
      <c r="CP724" t="s">
        <v>25</v>
      </c>
      <c r="CQ724" t="s">
        <v>25</v>
      </c>
      <c r="CR724" t="s">
        <v>25</v>
      </c>
      <c r="CS724" t="s">
        <v>25</v>
      </c>
      <c r="CT724" t="s">
        <v>25</v>
      </c>
      <c r="CU724" t="s">
        <v>25</v>
      </c>
      <c r="CV724" t="s">
        <v>25</v>
      </c>
      <c r="CW724" t="s">
        <v>25</v>
      </c>
      <c r="CX724" t="s">
        <v>25</v>
      </c>
      <c r="CY724" t="s">
        <v>25</v>
      </c>
      <c r="CZ724" t="s">
        <v>25</v>
      </c>
      <c r="DA724" t="s">
        <v>25</v>
      </c>
      <c r="DB724" t="s">
        <v>49</v>
      </c>
      <c r="DC724" t="s">
        <v>25</v>
      </c>
      <c r="DD724" t="s">
        <v>25</v>
      </c>
      <c r="DE724" t="s">
        <v>25</v>
      </c>
      <c r="DF724" t="s">
        <v>25</v>
      </c>
      <c r="DG724" t="s">
        <v>25</v>
      </c>
      <c r="DH724" t="s">
        <v>25</v>
      </c>
      <c r="DI724" t="s">
        <v>25</v>
      </c>
      <c r="DJ724" s="76">
        <v>2.0000003278255202E-3</v>
      </c>
      <c r="DK724" s="73">
        <v>199</v>
      </c>
      <c r="DL724" s="73">
        <v>499</v>
      </c>
      <c r="DM724" s="73">
        <v>-300</v>
      </c>
      <c r="DU724"/>
      <c r="DV724" s="65" t="s">
        <v>126</v>
      </c>
      <c r="DW724" t="s">
        <v>131</v>
      </c>
      <c r="DZ724" s="73">
        <v>513</v>
      </c>
      <c r="EA724" s="73">
        <v>0</v>
      </c>
      <c r="EB724" s="73">
        <v>513</v>
      </c>
      <c r="EC724" s="65" t="s">
        <v>126</v>
      </c>
    </row>
    <row r="725" spans="1:133" ht="12" customHeight="1" x14ac:dyDescent="0.2">
      <c r="A725" t="s">
        <v>2936</v>
      </c>
      <c r="B725" t="s">
        <v>2946</v>
      </c>
      <c r="C725" t="str">
        <f t="shared" si="34"/>
        <v>Full</v>
      </c>
      <c r="D725" t="s">
        <v>2942</v>
      </c>
      <c r="E725" s="65">
        <v>6569</v>
      </c>
      <c r="F725" t="s">
        <v>2412</v>
      </c>
      <c r="G725" s="71" t="s">
        <v>3948</v>
      </c>
      <c r="H725" s="67">
        <v>8.9999996125698107E-3</v>
      </c>
      <c r="I725" s="65">
        <v>527371</v>
      </c>
      <c r="J725" s="65">
        <v>176315</v>
      </c>
      <c r="L725" s="65" t="s">
        <v>2413</v>
      </c>
      <c r="M725" s="65" t="s">
        <v>27</v>
      </c>
      <c r="N725" s="69">
        <v>42909</v>
      </c>
      <c r="O725" s="69">
        <v>43039</v>
      </c>
      <c r="P725" s="65" t="s">
        <v>126</v>
      </c>
      <c r="R725" s="65" t="s">
        <v>28</v>
      </c>
      <c r="U725" t="s">
        <v>2414</v>
      </c>
      <c r="V725" t="s">
        <v>3673</v>
      </c>
      <c r="W725" s="65" t="s">
        <v>34</v>
      </c>
      <c r="X725" s="65" t="s">
        <v>29</v>
      </c>
      <c r="Y725" s="65" t="s">
        <v>22</v>
      </c>
      <c r="AA725" s="69">
        <v>43039</v>
      </c>
      <c r="AB725" s="69">
        <v>43190</v>
      </c>
      <c r="AD725" s="65" t="s">
        <v>23</v>
      </c>
      <c r="AE725" s="65" t="s">
        <v>24</v>
      </c>
      <c r="AH725" s="69">
        <f t="shared" si="33"/>
        <v>43039</v>
      </c>
      <c r="AI725" s="69">
        <f t="shared" si="35"/>
        <v>43190</v>
      </c>
      <c r="AJ725" s="73">
        <v>52</v>
      </c>
      <c r="AO725" s="73">
        <v>52</v>
      </c>
      <c r="AZ725" s="73">
        <v>85</v>
      </c>
      <c r="BE725" s="73">
        <v>85</v>
      </c>
      <c r="BF725" s="73">
        <v>120</v>
      </c>
      <c r="BK725" s="73">
        <v>120</v>
      </c>
      <c r="BO725" s="185" t="s">
        <v>126</v>
      </c>
      <c r="BP725" s="185" t="s">
        <v>126</v>
      </c>
      <c r="BQ725" s="185" t="s">
        <v>3794</v>
      </c>
      <c r="BR725" s="73">
        <v>-33</v>
      </c>
      <c r="BW725" s="73">
        <v>-33</v>
      </c>
      <c r="BX725" s="73">
        <v>-120</v>
      </c>
      <c r="BY725" s="185" t="s">
        <v>126</v>
      </c>
      <c r="CD725" s="73">
        <v>-120</v>
      </c>
      <c r="CE725" s="65" t="s">
        <v>126</v>
      </c>
      <c r="CJ725" t="s">
        <v>31</v>
      </c>
      <c r="CK725" t="s">
        <v>25</v>
      </c>
      <c r="CL725" t="s">
        <v>25</v>
      </c>
      <c r="CM725" t="s">
        <v>25</v>
      </c>
      <c r="CN725" t="s">
        <v>25</v>
      </c>
      <c r="CO725" t="s">
        <v>25</v>
      </c>
      <c r="CP725" t="s">
        <v>25</v>
      </c>
      <c r="CQ725" t="s">
        <v>25</v>
      </c>
      <c r="CR725" t="s">
        <v>25</v>
      </c>
      <c r="CS725" t="s">
        <v>25</v>
      </c>
      <c r="CT725" t="s">
        <v>25</v>
      </c>
      <c r="CU725" t="s">
        <v>25</v>
      </c>
      <c r="CV725" t="s">
        <v>25</v>
      </c>
      <c r="CW725" t="s">
        <v>31</v>
      </c>
      <c r="CX725" t="s">
        <v>25</v>
      </c>
      <c r="CY725" t="s">
        <v>25</v>
      </c>
      <c r="CZ725" t="s">
        <v>25</v>
      </c>
      <c r="DA725" t="s">
        <v>25</v>
      </c>
      <c r="DB725" t="s">
        <v>31</v>
      </c>
      <c r="DC725" t="s">
        <v>25</v>
      </c>
      <c r="DD725" t="s">
        <v>25</v>
      </c>
      <c r="DE725" t="s">
        <v>25</v>
      </c>
      <c r="DF725" t="s">
        <v>25</v>
      </c>
      <c r="DG725" t="s">
        <v>25</v>
      </c>
      <c r="DH725" t="s">
        <v>25</v>
      </c>
      <c r="DI725" t="s">
        <v>25</v>
      </c>
      <c r="DJ725" s="76">
        <v>1.9999993965029708E-3</v>
      </c>
      <c r="DK725" s="73">
        <v>52</v>
      </c>
      <c r="DL725" s="73">
        <v>205</v>
      </c>
      <c r="DM725" s="73">
        <v>-153</v>
      </c>
      <c r="DU725"/>
      <c r="DX725" s="65" t="s">
        <v>126</v>
      </c>
      <c r="DY725" t="s">
        <v>36</v>
      </c>
      <c r="DZ725" s="73">
        <v>135</v>
      </c>
      <c r="EA725" s="73">
        <v>0</v>
      </c>
      <c r="EB725" s="73">
        <v>135</v>
      </c>
      <c r="EC725" s="65" t="s">
        <v>126</v>
      </c>
    </row>
    <row r="726" spans="1:133" ht="12" customHeight="1" x14ac:dyDescent="0.2">
      <c r="A726" t="s">
        <v>2937</v>
      </c>
      <c r="B726" t="s">
        <v>2946</v>
      </c>
      <c r="C726" t="str">
        <f t="shared" si="34"/>
        <v>Full</v>
      </c>
      <c r="E726" s="65">
        <v>6571</v>
      </c>
      <c r="F726" t="s">
        <v>2415</v>
      </c>
      <c r="G726" s="71" t="s">
        <v>3941</v>
      </c>
      <c r="H726" s="67">
        <v>1.2000000104308101E-2</v>
      </c>
      <c r="I726" s="65">
        <v>528506</v>
      </c>
      <c r="J726" s="65">
        <v>173348</v>
      </c>
      <c r="L726" s="65" t="s">
        <v>2416</v>
      </c>
      <c r="M726" s="65" t="s">
        <v>27</v>
      </c>
      <c r="N726" s="69">
        <v>42807</v>
      </c>
      <c r="O726" s="69">
        <v>42863</v>
      </c>
      <c r="P726" s="65" t="s">
        <v>126</v>
      </c>
      <c r="R726" s="65" t="s">
        <v>28</v>
      </c>
      <c r="U726" t="s">
        <v>2417</v>
      </c>
      <c r="V726" t="s">
        <v>3674</v>
      </c>
      <c r="W726" s="65" t="s">
        <v>29</v>
      </c>
      <c r="X726" s="65" t="s">
        <v>29</v>
      </c>
      <c r="Y726" s="65" t="s">
        <v>69</v>
      </c>
      <c r="AD726" s="65" t="s">
        <v>23</v>
      </c>
      <c r="AE726" s="65" t="s">
        <v>24</v>
      </c>
      <c r="AJ726" s="73">
        <v>25</v>
      </c>
      <c r="AO726" s="73">
        <v>25</v>
      </c>
      <c r="BO726" s="185" t="s">
        <v>126</v>
      </c>
      <c r="BP726" s="185" t="s">
        <v>3794</v>
      </c>
      <c r="BQ726" s="185" t="s">
        <v>3794</v>
      </c>
      <c r="BR726" s="73">
        <v>25</v>
      </c>
      <c r="BW726" s="73">
        <v>25</v>
      </c>
      <c r="BY726" s="185" t="s">
        <v>3794</v>
      </c>
      <c r="CJ726" t="s">
        <v>40</v>
      </c>
      <c r="CK726" t="s">
        <v>25</v>
      </c>
      <c r="CL726" t="s">
        <v>25</v>
      </c>
      <c r="CM726" t="s">
        <v>25</v>
      </c>
      <c r="CN726" t="s">
        <v>25</v>
      </c>
      <c r="CO726" t="s">
        <v>25</v>
      </c>
      <c r="CP726" t="s">
        <v>25</v>
      </c>
      <c r="CQ726" t="s">
        <v>25</v>
      </c>
      <c r="CR726" t="s">
        <v>25</v>
      </c>
      <c r="CS726" t="s">
        <v>25</v>
      </c>
      <c r="CT726" t="s">
        <v>25</v>
      </c>
      <c r="CU726" t="s">
        <v>25</v>
      </c>
      <c r="CV726" t="s">
        <v>25</v>
      </c>
      <c r="CW726" t="s">
        <v>25</v>
      </c>
      <c r="CX726" t="s">
        <v>25</v>
      </c>
      <c r="CY726" t="s">
        <v>25</v>
      </c>
      <c r="CZ726" t="s">
        <v>25</v>
      </c>
      <c r="DA726" t="s">
        <v>25</v>
      </c>
      <c r="DB726" t="s">
        <v>25</v>
      </c>
      <c r="DC726" t="s">
        <v>25</v>
      </c>
      <c r="DD726" t="s">
        <v>25</v>
      </c>
      <c r="DE726" t="s">
        <v>25</v>
      </c>
      <c r="DF726" t="s">
        <v>25</v>
      </c>
      <c r="DG726" t="s">
        <v>25</v>
      </c>
      <c r="DH726" t="s">
        <v>25</v>
      </c>
      <c r="DI726" t="s">
        <v>25</v>
      </c>
      <c r="DJ726" s="76">
        <v>1.2000000104308101E-2</v>
      </c>
      <c r="DK726" s="73">
        <v>25</v>
      </c>
      <c r="DL726" s="73">
        <v>0</v>
      </c>
      <c r="DM726" s="73">
        <v>25</v>
      </c>
      <c r="DU726"/>
      <c r="DV726" s="65" t="s">
        <v>126</v>
      </c>
      <c r="DW726" t="s">
        <v>149</v>
      </c>
      <c r="DZ726" s="73">
        <v>0</v>
      </c>
      <c r="EA726" s="73">
        <v>0</v>
      </c>
      <c r="EB726" s="73">
        <v>0</v>
      </c>
    </row>
    <row r="727" spans="1:133" ht="12" customHeight="1" x14ac:dyDescent="0.2">
      <c r="A727" t="s">
        <v>2936</v>
      </c>
      <c r="B727" t="s">
        <v>2946</v>
      </c>
      <c r="C727" t="str">
        <f t="shared" si="34"/>
        <v>Full</v>
      </c>
      <c r="D727" t="s">
        <v>2943</v>
      </c>
      <c r="E727" s="65">
        <v>6572</v>
      </c>
      <c r="F727" t="s">
        <v>2418</v>
      </c>
      <c r="G727" s="71" t="s">
        <v>3942</v>
      </c>
      <c r="H727" s="67">
        <v>2.60000005364418E-2</v>
      </c>
      <c r="I727" s="65">
        <v>527687</v>
      </c>
      <c r="J727" s="65">
        <v>174364</v>
      </c>
      <c r="L727" s="65" t="s">
        <v>2419</v>
      </c>
      <c r="M727" s="65" t="s">
        <v>27</v>
      </c>
      <c r="N727" s="69">
        <v>42814</v>
      </c>
      <c r="O727" s="69">
        <v>42870</v>
      </c>
      <c r="P727" s="65" t="s">
        <v>126</v>
      </c>
      <c r="R727" s="65" t="s">
        <v>28</v>
      </c>
      <c r="U727" t="s">
        <v>2420</v>
      </c>
      <c r="V727" t="s">
        <v>3675</v>
      </c>
      <c r="W727" s="65" t="s">
        <v>21</v>
      </c>
      <c r="X727" s="65" t="s">
        <v>21</v>
      </c>
      <c r="Y727" s="65" t="s">
        <v>35</v>
      </c>
      <c r="AA727" s="69">
        <v>42942</v>
      </c>
      <c r="AB727" s="69">
        <v>43006</v>
      </c>
      <c r="AC727" s="69">
        <v>43006</v>
      </c>
      <c r="AD727" s="65" t="s">
        <v>23</v>
      </c>
      <c r="AE727" s="65" t="s">
        <v>24</v>
      </c>
      <c r="AH727" s="69">
        <f t="shared" si="33"/>
        <v>42942</v>
      </c>
      <c r="AI727" s="69">
        <f t="shared" si="35"/>
        <v>43006</v>
      </c>
      <c r="AW727" s="73">
        <v>44</v>
      </c>
      <c r="AX727" s="73">
        <v>44</v>
      </c>
      <c r="AY727" s="73">
        <v>88</v>
      </c>
      <c r="AZ727" s="73">
        <v>88</v>
      </c>
      <c r="BE727" s="73">
        <v>88</v>
      </c>
      <c r="BO727" s="185" t="s">
        <v>126</v>
      </c>
      <c r="BP727" s="185" t="s">
        <v>3794</v>
      </c>
      <c r="BQ727" s="185" t="s">
        <v>126</v>
      </c>
      <c r="BR727" s="73">
        <v>-88</v>
      </c>
      <c r="BW727" s="73">
        <v>-88</v>
      </c>
      <c r="BY727" s="185" t="s">
        <v>3794</v>
      </c>
      <c r="CG727" s="73">
        <v>44</v>
      </c>
      <c r="CH727" s="73">
        <v>44</v>
      </c>
      <c r="CI727" s="73">
        <v>88</v>
      </c>
      <c r="CJ727" t="s">
        <v>25</v>
      </c>
      <c r="CK727" t="s">
        <v>25</v>
      </c>
      <c r="CL727" t="s">
        <v>25</v>
      </c>
      <c r="CM727" t="s">
        <v>25</v>
      </c>
      <c r="CN727" t="s">
        <v>25</v>
      </c>
      <c r="CO727" t="s">
        <v>25</v>
      </c>
      <c r="CP727" t="s">
        <v>25</v>
      </c>
      <c r="CQ727" t="s">
        <v>25</v>
      </c>
      <c r="CR727" t="s">
        <v>25</v>
      </c>
      <c r="CS727" t="s">
        <v>25</v>
      </c>
      <c r="CT727" t="s">
        <v>25</v>
      </c>
      <c r="CU727" t="s">
        <v>49</v>
      </c>
      <c r="CV727" t="s">
        <v>49</v>
      </c>
      <c r="CW727" t="s">
        <v>47</v>
      </c>
      <c r="CX727" t="s">
        <v>25</v>
      </c>
      <c r="CY727" t="s">
        <v>25</v>
      </c>
      <c r="CZ727" t="s">
        <v>25</v>
      </c>
      <c r="DA727" t="s">
        <v>25</v>
      </c>
      <c r="DB727" t="s">
        <v>25</v>
      </c>
      <c r="DC727" t="s">
        <v>25</v>
      </c>
      <c r="DD727" t="s">
        <v>25</v>
      </c>
      <c r="DE727" t="s">
        <v>25</v>
      </c>
      <c r="DF727" t="s">
        <v>25</v>
      </c>
      <c r="DG727" t="s">
        <v>25</v>
      </c>
      <c r="DH727" t="s">
        <v>25</v>
      </c>
      <c r="DI727" t="s">
        <v>25</v>
      </c>
      <c r="DJ727" s="76">
        <v>2.60000005364418E-2</v>
      </c>
      <c r="DK727" s="73">
        <v>88</v>
      </c>
      <c r="DL727" s="73">
        <v>88</v>
      </c>
      <c r="DM727" s="73">
        <v>0</v>
      </c>
      <c r="DU727"/>
      <c r="DZ727" s="73">
        <v>0</v>
      </c>
      <c r="EA727" s="73">
        <v>0</v>
      </c>
      <c r="EB727" s="73">
        <v>0</v>
      </c>
    </row>
    <row r="728" spans="1:133" ht="12" customHeight="1" x14ac:dyDescent="0.2">
      <c r="A728" t="s">
        <v>2936</v>
      </c>
      <c r="B728" t="s">
        <v>2946</v>
      </c>
      <c r="C728" t="str">
        <f t="shared" si="34"/>
        <v>Full</v>
      </c>
      <c r="D728" t="s">
        <v>2942</v>
      </c>
      <c r="E728" s="65">
        <v>6575</v>
      </c>
      <c r="F728" t="s">
        <v>2421</v>
      </c>
      <c r="G728" s="71" t="s">
        <v>3951</v>
      </c>
      <c r="H728" s="67">
        <v>0.36800000071525601</v>
      </c>
      <c r="I728" s="65">
        <v>527742</v>
      </c>
      <c r="J728" s="65">
        <v>171058</v>
      </c>
      <c r="L728" s="65" t="s">
        <v>2422</v>
      </c>
      <c r="M728" s="65" t="s">
        <v>27</v>
      </c>
      <c r="N728" s="69">
        <v>42814</v>
      </c>
      <c r="O728" s="69">
        <v>42870</v>
      </c>
      <c r="P728" s="65" t="s">
        <v>126</v>
      </c>
      <c r="R728" s="65" t="s">
        <v>28</v>
      </c>
      <c r="U728" t="s">
        <v>2423</v>
      </c>
      <c r="V728" t="s">
        <v>3676</v>
      </c>
      <c r="W728" s="65" t="s">
        <v>21</v>
      </c>
      <c r="X728" s="65" t="s">
        <v>21</v>
      </c>
      <c r="Y728" s="65" t="s">
        <v>22</v>
      </c>
      <c r="AA728" s="69">
        <v>42870</v>
      </c>
      <c r="AB728" s="69">
        <v>43190</v>
      </c>
      <c r="AD728" s="65" t="s">
        <v>23</v>
      </c>
      <c r="AE728" s="65" t="s">
        <v>24</v>
      </c>
      <c r="AH728" s="69">
        <f t="shared" si="33"/>
        <v>42870</v>
      </c>
      <c r="AI728" s="69">
        <f t="shared" si="35"/>
        <v>43190</v>
      </c>
      <c r="BF728" s="73">
        <v>8</v>
      </c>
      <c r="BK728" s="73">
        <v>8</v>
      </c>
      <c r="BO728" s="185" t="s">
        <v>3794</v>
      </c>
      <c r="BP728" s="185" t="s">
        <v>126</v>
      </c>
      <c r="BQ728" s="185" t="s">
        <v>3794</v>
      </c>
      <c r="BW728" s="73"/>
      <c r="BX728" s="73">
        <v>-8</v>
      </c>
      <c r="BY728" s="185" t="s">
        <v>126</v>
      </c>
      <c r="CD728" s="73">
        <v>-8</v>
      </c>
      <c r="CE728" s="65" t="s">
        <v>126</v>
      </c>
      <c r="CJ728" t="s">
        <v>25</v>
      </c>
      <c r="CK728" t="s">
        <v>25</v>
      </c>
      <c r="CL728" t="s">
        <v>25</v>
      </c>
      <c r="CM728" t="s">
        <v>25</v>
      </c>
      <c r="CN728" t="s">
        <v>25</v>
      </c>
      <c r="CO728" t="s">
        <v>25</v>
      </c>
      <c r="CP728" t="s">
        <v>25</v>
      </c>
      <c r="CQ728" t="s">
        <v>25</v>
      </c>
      <c r="CR728" t="s">
        <v>25</v>
      </c>
      <c r="CS728" t="s">
        <v>25</v>
      </c>
      <c r="CT728" t="s">
        <v>25</v>
      </c>
      <c r="CU728" t="s">
        <v>25</v>
      </c>
      <c r="CV728" t="s">
        <v>25</v>
      </c>
      <c r="CW728" t="s">
        <v>25</v>
      </c>
      <c r="CX728" t="s">
        <v>25</v>
      </c>
      <c r="CY728" t="s">
        <v>25</v>
      </c>
      <c r="CZ728" t="s">
        <v>25</v>
      </c>
      <c r="DA728" t="s">
        <v>25</v>
      </c>
      <c r="DB728" t="s">
        <v>31</v>
      </c>
      <c r="DC728" t="s">
        <v>25</v>
      </c>
      <c r="DD728" t="s">
        <v>25</v>
      </c>
      <c r="DE728" t="s">
        <v>25</v>
      </c>
      <c r="DF728" t="s">
        <v>25</v>
      </c>
      <c r="DG728" t="s">
        <v>25</v>
      </c>
      <c r="DH728" t="s">
        <v>25</v>
      </c>
      <c r="DI728" t="s">
        <v>25</v>
      </c>
      <c r="DJ728" s="76">
        <v>0.36800000071525601</v>
      </c>
      <c r="DK728" s="73">
        <v>8</v>
      </c>
      <c r="DL728" s="73">
        <v>8</v>
      </c>
      <c r="DM728" s="73">
        <v>0</v>
      </c>
      <c r="DU728"/>
      <c r="DV728" s="65" t="s">
        <v>126</v>
      </c>
      <c r="DW728" t="s">
        <v>150</v>
      </c>
      <c r="DZ728" s="73">
        <v>0</v>
      </c>
      <c r="EA728" s="73">
        <v>0</v>
      </c>
      <c r="EB728" s="73">
        <v>0</v>
      </c>
    </row>
    <row r="729" spans="1:133" ht="12" customHeight="1" x14ac:dyDescent="0.2">
      <c r="A729" t="s">
        <v>2938</v>
      </c>
      <c r="B729" t="s">
        <v>2959</v>
      </c>
      <c r="C729" t="str">
        <f t="shared" si="34"/>
        <v>Appeal</v>
      </c>
      <c r="E729" s="65">
        <v>6576</v>
      </c>
      <c r="F729" t="s">
        <v>2424</v>
      </c>
      <c r="G729" s="71" t="s">
        <v>3942</v>
      </c>
      <c r="H729" s="67">
        <v>2.0999999716877899E-2</v>
      </c>
      <c r="I729" s="65">
        <v>527523</v>
      </c>
      <c r="J729" s="65">
        <v>174885</v>
      </c>
      <c r="L729" s="65" t="s">
        <v>2425</v>
      </c>
      <c r="M729" s="65" t="s">
        <v>19</v>
      </c>
      <c r="N729" s="69">
        <v>43042</v>
      </c>
      <c r="O729" s="69">
        <v>43098</v>
      </c>
      <c r="P729" s="65" t="s">
        <v>126</v>
      </c>
      <c r="R729" s="65" t="s">
        <v>987</v>
      </c>
      <c r="S729" s="69">
        <v>43110</v>
      </c>
      <c r="U729" t="s">
        <v>2426</v>
      </c>
      <c r="V729" t="s">
        <v>3677</v>
      </c>
      <c r="W729" s="65" t="s">
        <v>34</v>
      </c>
      <c r="X729" s="65" t="s">
        <v>29</v>
      </c>
      <c r="Y729" s="65" t="s">
        <v>69</v>
      </c>
      <c r="AD729" s="65" t="s">
        <v>23</v>
      </c>
      <c r="AE729" s="65" t="s">
        <v>24</v>
      </c>
      <c r="AL729" s="73">
        <v>134</v>
      </c>
      <c r="AO729" s="73">
        <v>134</v>
      </c>
      <c r="AZ729" s="73">
        <v>145</v>
      </c>
      <c r="BE729" s="73">
        <v>145</v>
      </c>
      <c r="BO729" s="185" t="s">
        <v>126</v>
      </c>
      <c r="BP729" s="185" t="s">
        <v>3794</v>
      </c>
      <c r="BQ729" s="185" t="s">
        <v>3794</v>
      </c>
      <c r="BR729" s="73">
        <v>-145</v>
      </c>
      <c r="BT729" s="73">
        <v>134</v>
      </c>
      <c r="BW729" s="73">
        <v>-11</v>
      </c>
      <c r="BY729" s="185" t="s">
        <v>3794</v>
      </c>
      <c r="CJ729" t="s">
        <v>25</v>
      </c>
      <c r="CK729" t="s">
        <v>25</v>
      </c>
      <c r="CL729" t="s">
        <v>38</v>
      </c>
      <c r="CM729" t="s">
        <v>25</v>
      </c>
      <c r="CN729" t="s">
        <v>25</v>
      </c>
      <c r="CO729" t="s">
        <v>25</v>
      </c>
      <c r="CP729" t="s">
        <v>25</v>
      </c>
      <c r="CQ729" t="s">
        <v>25</v>
      </c>
      <c r="CR729" t="s">
        <v>25</v>
      </c>
      <c r="CS729" t="s">
        <v>25</v>
      </c>
      <c r="CT729" t="s">
        <v>25</v>
      </c>
      <c r="CU729" t="s">
        <v>25</v>
      </c>
      <c r="CV729" t="s">
        <v>25</v>
      </c>
      <c r="CW729" t="s">
        <v>31</v>
      </c>
      <c r="CX729" t="s">
        <v>25</v>
      </c>
      <c r="CY729" t="s">
        <v>25</v>
      </c>
      <c r="CZ729" t="s">
        <v>25</v>
      </c>
      <c r="DA729" t="s">
        <v>25</v>
      </c>
      <c r="DB729" t="s">
        <v>25</v>
      </c>
      <c r="DC729" t="s">
        <v>25</v>
      </c>
      <c r="DD729" t="s">
        <v>25</v>
      </c>
      <c r="DE729" t="s">
        <v>25</v>
      </c>
      <c r="DF729" t="s">
        <v>25</v>
      </c>
      <c r="DG729" t="s">
        <v>25</v>
      </c>
      <c r="DH729" t="s">
        <v>25</v>
      </c>
      <c r="DI729" t="s">
        <v>25</v>
      </c>
      <c r="DJ729" s="76">
        <v>6.9999992847441985E-3</v>
      </c>
      <c r="DK729" s="73">
        <v>134</v>
      </c>
      <c r="DL729" s="73">
        <v>145</v>
      </c>
      <c r="DM729" s="73">
        <v>-11</v>
      </c>
      <c r="DU729"/>
      <c r="DV729" s="65" t="s">
        <v>126</v>
      </c>
      <c r="DW729" t="s">
        <v>132</v>
      </c>
      <c r="DZ729" s="73">
        <v>264</v>
      </c>
      <c r="EA729" s="73">
        <v>144</v>
      </c>
      <c r="EB729" s="73">
        <v>120</v>
      </c>
      <c r="EC729" s="65" t="s">
        <v>126</v>
      </c>
    </row>
    <row r="730" spans="1:133" ht="12" customHeight="1" x14ac:dyDescent="0.2">
      <c r="A730" t="s">
        <v>2937</v>
      </c>
      <c r="B730" t="s">
        <v>2946</v>
      </c>
      <c r="C730" t="str">
        <f t="shared" si="34"/>
        <v>Full</v>
      </c>
      <c r="E730" s="65">
        <v>6577</v>
      </c>
      <c r="F730" t="s">
        <v>2427</v>
      </c>
      <c r="G730" s="71" t="s">
        <v>150</v>
      </c>
      <c r="H730" s="67">
        <v>4.5000001788139302E-2</v>
      </c>
      <c r="I730" s="65">
        <v>527116</v>
      </c>
      <c r="J730" s="65">
        <v>171635</v>
      </c>
      <c r="L730" s="65" t="s">
        <v>2428</v>
      </c>
      <c r="M730" s="65" t="s">
        <v>27</v>
      </c>
      <c r="N730" s="69">
        <v>42898</v>
      </c>
      <c r="O730" s="69">
        <v>43031</v>
      </c>
      <c r="P730" s="65" t="s">
        <v>126</v>
      </c>
      <c r="R730" s="65" t="s">
        <v>28</v>
      </c>
      <c r="U730" t="s">
        <v>2429</v>
      </c>
      <c r="V730" t="s">
        <v>3678</v>
      </c>
      <c r="W730" s="65" t="s">
        <v>34</v>
      </c>
      <c r="X730" s="65" t="s">
        <v>29</v>
      </c>
      <c r="Y730" s="65" t="s">
        <v>69</v>
      </c>
      <c r="AD730" s="65" t="s">
        <v>23</v>
      </c>
      <c r="AE730" s="65" t="s">
        <v>24</v>
      </c>
      <c r="AJ730" s="73">
        <v>66</v>
      </c>
      <c r="AO730" s="73">
        <v>66</v>
      </c>
      <c r="AZ730" s="73">
        <v>74</v>
      </c>
      <c r="BE730" s="73">
        <v>74</v>
      </c>
      <c r="BO730" s="185" t="s">
        <v>126</v>
      </c>
      <c r="BP730" s="185" t="s">
        <v>3794</v>
      </c>
      <c r="BQ730" s="185" t="s">
        <v>3794</v>
      </c>
      <c r="BR730" s="73">
        <v>-8</v>
      </c>
      <c r="BW730" s="73">
        <v>-8</v>
      </c>
      <c r="BY730" s="185" t="s">
        <v>3794</v>
      </c>
      <c r="CJ730" t="s">
        <v>31</v>
      </c>
      <c r="CK730" t="s">
        <v>25</v>
      </c>
      <c r="CL730" t="s">
        <v>25</v>
      </c>
      <c r="CM730" t="s">
        <v>25</v>
      </c>
      <c r="CN730" t="s">
        <v>25</v>
      </c>
      <c r="CO730" t="s">
        <v>25</v>
      </c>
      <c r="CP730" t="s">
        <v>25</v>
      </c>
      <c r="CQ730" t="s">
        <v>25</v>
      </c>
      <c r="CR730" t="s">
        <v>25</v>
      </c>
      <c r="CS730" t="s">
        <v>25</v>
      </c>
      <c r="CT730" t="s">
        <v>25</v>
      </c>
      <c r="CU730" t="s">
        <v>25</v>
      </c>
      <c r="CV730" t="s">
        <v>25</v>
      </c>
      <c r="CW730" t="s">
        <v>46</v>
      </c>
      <c r="CX730" t="s">
        <v>25</v>
      </c>
      <c r="CY730" t="s">
        <v>25</v>
      </c>
      <c r="CZ730" t="s">
        <v>25</v>
      </c>
      <c r="DA730" t="s">
        <v>25</v>
      </c>
      <c r="DB730" t="s">
        <v>25</v>
      </c>
      <c r="DC730" t="s">
        <v>25</v>
      </c>
      <c r="DD730" t="s">
        <v>25</v>
      </c>
      <c r="DE730" t="s">
        <v>25</v>
      </c>
      <c r="DF730" t="s">
        <v>25</v>
      </c>
      <c r="DG730" t="s">
        <v>25</v>
      </c>
      <c r="DH730" t="s">
        <v>25</v>
      </c>
      <c r="DI730" t="s">
        <v>25</v>
      </c>
      <c r="DJ730" s="76">
        <v>4.0000006556510023E-3</v>
      </c>
      <c r="DK730" s="73">
        <v>66</v>
      </c>
      <c r="DL730" s="73">
        <v>239</v>
      </c>
      <c r="DM730" s="73">
        <v>-173</v>
      </c>
      <c r="DU730"/>
      <c r="DZ730" s="73">
        <v>891</v>
      </c>
      <c r="EA730" s="73">
        <v>154</v>
      </c>
      <c r="EB730" s="73">
        <v>737</v>
      </c>
      <c r="EC730" s="65" t="s">
        <v>126</v>
      </c>
    </row>
    <row r="731" spans="1:133" ht="12" customHeight="1" x14ac:dyDescent="0.2">
      <c r="A731" t="s">
        <v>2937</v>
      </c>
      <c r="B731" t="s">
        <v>2946</v>
      </c>
      <c r="C731" t="str">
        <f t="shared" si="34"/>
        <v>Full</v>
      </c>
      <c r="E731" s="65">
        <v>6579</v>
      </c>
      <c r="F731" t="s">
        <v>2430</v>
      </c>
      <c r="G731" s="71" t="s">
        <v>3943</v>
      </c>
      <c r="H731" s="67">
        <v>7.2999998927116394E-2</v>
      </c>
      <c r="I731" s="65">
        <v>526202</v>
      </c>
      <c r="J731" s="65">
        <v>175408</v>
      </c>
      <c r="L731" s="65" t="s">
        <v>2431</v>
      </c>
      <c r="M731" s="65" t="s">
        <v>27</v>
      </c>
      <c r="N731" s="69">
        <v>42823</v>
      </c>
      <c r="O731" s="69">
        <v>42879</v>
      </c>
      <c r="P731" s="65" t="s">
        <v>126</v>
      </c>
      <c r="R731" s="65" t="s">
        <v>28</v>
      </c>
      <c r="U731" t="s">
        <v>2432</v>
      </c>
      <c r="V731" t="s">
        <v>3679</v>
      </c>
      <c r="W731" s="65" t="s">
        <v>21</v>
      </c>
      <c r="X731" s="65" t="s">
        <v>21</v>
      </c>
      <c r="Y731" s="65" t="s">
        <v>69</v>
      </c>
      <c r="AD731" s="65" t="s">
        <v>23</v>
      </c>
      <c r="AE731" s="65" t="s">
        <v>24</v>
      </c>
      <c r="AX731" s="73">
        <v>348</v>
      </c>
      <c r="AY731" s="73">
        <v>348</v>
      </c>
      <c r="AZ731" s="73">
        <v>87</v>
      </c>
      <c r="BA731" s="73">
        <v>87</v>
      </c>
      <c r="BB731" s="73">
        <v>87</v>
      </c>
      <c r="BE731" s="73">
        <v>261</v>
      </c>
      <c r="BF731" s="73">
        <v>87</v>
      </c>
      <c r="BK731" s="73">
        <v>87</v>
      </c>
      <c r="BO731" s="185" t="s">
        <v>126</v>
      </c>
      <c r="BP731" s="185" t="s">
        <v>126</v>
      </c>
      <c r="BQ731" s="185" t="s">
        <v>126</v>
      </c>
      <c r="BR731" s="73">
        <v>-87</v>
      </c>
      <c r="BS731" s="73">
        <v>-87</v>
      </c>
      <c r="BT731" s="73">
        <v>-87</v>
      </c>
      <c r="BW731" s="73">
        <v>-261</v>
      </c>
      <c r="BX731" s="73">
        <v>-87</v>
      </c>
      <c r="BY731" s="185" t="s">
        <v>126</v>
      </c>
      <c r="CD731" s="73">
        <v>-87</v>
      </c>
      <c r="CE731" s="65" t="s">
        <v>126</v>
      </c>
      <c r="CH731" s="73">
        <v>348</v>
      </c>
      <c r="CI731" s="73">
        <v>348</v>
      </c>
      <c r="CJ731" t="s">
        <v>25</v>
      </c>
      <c r="CK731" t="s">
        <v>25</v>
      </c>
      <c r="CL731" t="s">
        <v>25</v>
      </c>
      <c r="CM731" t="s">
        <v>25</v>
      </c>
      <c r="CN731" t="s">
        <v>25</v>
      </c>
      <c r="CO731" t="s">
        <v>25</v>
      </c>
      <c r="CP731" t="s">
        <v>25</v>
      </c>
      <c r="CQ731" t="s">
        <v>25</v>
      </c>
      <c r="CR731" t="s">
        <v>25</v>
      </c>
      <c r="CS731" t="s">
        <v>25</v>
      </c>
      <c r="CT731" t="s">
        <v>25</v>
      </c>
      <c r="CU731" t="s">
        <v>25</v>
      </c>
      <c r="CV731" t="s">
        <v>49</v>
      </c>
      <c r="CW731" t="s">
        <v>31</v>
      </c>
      <c r="CX731" t="s">
        <v>31</v>
      </c>
      <c r="CY731" t="s">
        <v>31</v>
      </c>
      <c r="CZ731" t="s">
        <v>25</v>
      </c>
      <c r="DA731" t="s">
        <v>25</v>
      </c>
      <c r="DB731" t="s">
        <v>31</v>
      </c>
      <c r="DC731" t="s">
        <v>25</v>
      </c>
      <c r="DD731" t="s">
        <v>25</v>
      </c>
      <c r="DE731" t="s">
        <v>25</v>
      </c>
      <c r="DF731" t="s">
        <v>25</v>
      </c>
      <c r="DG731" t="s">
        <v>25</v>
      </c>
      <c r="DH731" t="s">
        <v>25</v>
      </c>
      <c r="DI731" t="s">
        <v>25</v>
      </c>
      <c r="DJ731" s="76">
        <v>7.2999998927116394E-2</v>
      </c>
      <c r="DK731" s="73">
        <v>348</v>
      </c>
      <c r="DL731" s="73">
        <v>348</v>
      </c>
      <c r="DM731" s="73">
        <v>0</v>
      </c>
      <c r="DN731" s="65" t="s">
        <v>126</v>
      </c>
      <c r="DU731"/>
      <c r="DZ731" s="73">
        <v>0</v>
      </c>
      <c r="EA731" s="73">
        <v>0</v>
      </c>
      <c r="EB731" s="73">
        <v>0</v>
      </c>
    </row>
    <row r="732" spans="1:133" ht="12" customHeight="1" x14ac:dyDescent="0.2">
      <c r="A732" t="s">
        <v>2937</v>
      </c>
      <c r="B732" t="s">
        <v>2946</v>
      </c>
      <c r="C732" t="str">
        <f t="shared" si="34"/>
        <v>Full</v>
      </c>
      <c r="E732" s="65">
        <v>6583</v>
      </c>
      <c r="F732" t="s">
        <v>2433</v>
      </c>
      <c r="G732" s="71" t="s">
        <v>3954</v>
      </c>
      <c r="H732" s="67">
        <v>1.4999999664723899E-2</v>
      </c>
      <c r="I732" s="65">
        <v>523210</v>
      </c>
      <c r="J732" s="65">
        <v>174403</v>
      </c>
      <c r="L732" s="65" t="s">
        <v>2434</v>
      </c>
      <c r="M732" s="65" t="s">
        <v>27</v>
      </c>
      <c r="N732" s="69">
        <v>42838</v>
      </c>
      <c r="O732" s="69">
        <v>42993</v>
      </c>
      <c r="P732" s="65" t="s">
        <v>126</v>
      </c>
      <c r="R732" s="65" t="s">
        <v>28</v>
      </c>
      <c r="U732" t="s">
        <v>2435</v>
      </c>
      <c r="V732" t="s">
        <v>3680</v>
      </c>
      <c r="W732" s="65" t="s">
        <v>21</v>
      </c>
      <c r="X732" s="65" t="s">
        <v>21</v>
      </c>
      <c r="Y732" s="65" t="s">
        <v>69</v>
      </c>
      <c r="AD732" s="65" t="s">
        <v>23</v>
      </c>
      <c r="AE732" s="65" t="s">
        <v>24</v>
      </c>
      <c r="BO732" s="185" t="s">
        <v>3794</v>
      </c>
      <c r="BP732" s="185" t="s">
        <v>3794</v>
      </c>
      <c r="BQ732" s="185" t="s">
        <v>3794</v>
      </c>
      <c r="BW732" s="73"/>
      <c r="BY732" s="185" t="s">
        <v>3794</v>
      </c>
      <c r="CJ732" t="s">
        <v>25</v>
      </c>
      <c r="CK732" t="s">
        <v>25</v>
      </c>
      <c r="CL732" t="s">
        <v>25</v>
      </c>
      <c r="CM732" t="s">
        <v>25</v>
      </c>
      <c r="CN732" t="s">
        <v>25</v>
      </c>
      <c r="CO732" t="s">
        <v>25</v>
      </c>
      <c r="CP732" t="s">
        <v>25</v>
      </c>
      <c r="CQ732" t="s">
        <v>25</v>
      </c>
      <c r="CR732" t="s">
        <v>25</v>
      </c>
      <c r="CS732" t="s">
        <v>25</v>
      </c>
      <c r="CT732" t="s">
        <v>25</v>
      </c>
      <c r="CU732" t="s">
        <v>25</v>
      </c>
      <c r="CV732" t="s">
        <v>25</v>
      </c>
      <c r="CW732" t="s">
        <v>25</v>
      </c>
      <c r="CX732" t="s">
        <v>25</v>
      </c>
      <c r="CY732" t="s">
        <v>25</v>
      </c>
      <c r="CZ732" t="s">
        <v>25</v>
      </c>
      <c r="DA732" t="s">
        <v>25</v>
      </c>
      <c r="DB732" t="s">
        <v>25</v>
      </c>
      <c r="DC732" t="s">
        <v>25</v>
      </c>
      <c r="DD732" t="s">
        <v>25</v>
      </c>
      <c r="DE732" t="s">
        <v>25</v>
      </c>
      <c r="DF732" t="s">
        <v>25</v>
      </c>
      <c r="DG732" t="s">
        <v>25</v>
      </c>
      <c r="DH732" t="s">
        <v>25</v>
      </c>
      <c r="DI732" t="s">
        <v>25</v>
      </c>
      <c r="DJ732" s="76">
        <v>0</v>
      </c>
      <c r="DK732" s="73">
        <v>0</v>
      </c>
      <c r="DL732" s="73">
        <v>106</v>
      </c>
      <c r="DM732" s="73">
        <v>-106</v>
      </c>
      <c r="DU732"/>
      <c r="DZ732" s="73">
        <v>111</v>
      </c>
      <c r="EA732" s="73">
        <v>0</v>
      </c>
      <c r="EB732" s="73">
        <v>111</v>
      </c>
      <c r="EC732" s="65" t="s">
        <v>126</v>
      </c>
    </row>
    <row r="733" spans="1:133" ht="12" customHeight="1" x14ac:dyDescent="0.2">
      <c r="A733" t="s">
        <v>2936</v>
      </c>
      <c r="B733" t="s">
        <v>2946</v>
      </c>
      <c r="C733" t="str">
        <f t="shared" si="34"/>
        <v>Full</v>
      </c>
      <c r="D733" t="s">
        <v>2943</v>
      </c>
      <c r="E733" s="65">
        <v>6589</v>
      </c>
      <c r="F733" t="s">
        <v>2436</v>
      </c>
      <c r="G733" s="71" t="s">
        <v>3942</v>
      </c>
      <c r="H733" s="67">
        <v>8.9999996125698107E-3</v>
      </c>
      <c r="I733" s="65">
        <v>527574</v>
      </c>
      <c r="J733" s="65">
        <v>175160</v>
      </c>
      <c r="L733" s="65" t="s">
        <v>2437</v>
      </c>
      <c r="M733" s="65" t="s">
        <v>27</v>
      </c>
      <c r="N733" s="69">
        <v>42874</v>
      </c>
      <c r="O733" s="69">
        <v>42930</v>
      </c>
      <c r="P733" s="65" t="s">
        <v>126</v>
      </c>
      <c r="R733" s="65" t="s">
        <v>28</v>
      </c>
      <c r="U733" t="s">
        <v>2438</v>
      </c>
      <c r="V733" t="s">
        <v>3681</v>
      </c>
      <c r="W733" s="65" t="s">
        <v>21</v>
      </c>
      <c r="X733" s="65" t="s">
        <v>21</v>
      </c>
      <c r="Y733" s="65" t="s">
        <v>35</v>
      </c>
      <c r="AA733" s="69">
        <v>42931</v>
      </c>
      <c r="AB733" s="69">
        <v>43190</v>
      </c>
      <c r="AC733" s="69">
        <v>43190</v>
      </c>
      <c r="AD733" s="65" t="s">
        <v>23</v>
      </c>
      <c r="AE733" s="65" t="s">
        <v>24</v>
      </c>
      <c r="AH733" s="69">
        <f t="shared" si="33"/>
        <v>42931</v>
      </c>
      <c r="AI733" s="69">
        <f t="shared" si="35"/>
        <v>43190</v>
      </c>
      <c r="AL733" s="73">
        <v>101</v>
      </c>
      <c r="AO733" s="73">
        <v>101</v>
      </c>
      <c r="BA733" s="73">
        <v>101</v>
      </c>
      <c r="BE733" s="73">
        <v>101</v>
      </c>
      <c r="BO733" s="185" t="s">
        <v>126</v>
      </c>
      <c r="BP733" s="185" t="s">
        <v>3794</v>
      </c>
      <c r="BQ733" s="185" t="s">
        <v>3794</v>
      </c>
      <c r="BS733" s="73">
        <v>-101</v>
      </c>
      <c r="BT733" s="73">
        <v>101</v>
      </c>
      <c r="BW733" s="73"/>
      <c r="BY733" s="185" t="s">
        <v>3794</v>
      </c>
      <c r="CJ733" t="s">
        <v>25</v>
      </c>
      <c r="CK733" t="s">
        <v>25</v>
      </c>
      <c r="CL733" t="s">
        <v>38</v>
      </c>
      <c r="CM733" t="s">
        <v>25</v>
      </c>
      <c r="CN733" t="s">
        <v>25</v>
      </c>
      <c r="CO733" t="s">
        <v>25</v>
      </c>
      <c r="CP733" t="s">
        <v>25</v>
      </c>
      <c r="CQ733" t="s">
        <v>25</v>
      </c>
      <c r="CR733" t="s">
        <v>25</v>
      </c>
      <c r="CS733" t="s">
        <v>25</v>
      </c>
      <c r="CT733" t="s">
        <v>25</v>
      </c>
      <c r="CU733" t="s">
        <v>25</v>
      </c>
      <c r="CV733" t="s">
        <v>25</v>
      </c>
      <c r="CW733" t="s">
        <v>25</v>
      </c>
      <c r="CX733" t="s">
        <v>31</v>
      </c>
      <c r="CY733" t="s">
        <v>25</v>
      </c>
      <c r="CZ733" t="s">
        <v>25</v>
      </c>
      <c r="DA733" t="s">
        <v>25</v>
      </c>
      <c r="DB733" t="s">
        <v>25</v>
      </c>
      <c r="DC733" t="s">
        <v>25</v>
      </c>
      <c r="DD733" t="s">
        <v>25</v>
      </c>
      <c r="DE733" t="s">
        <v>25</v>
      </c>
      <c r="DF733" t="s">
        <v>25</v>
      </c>
      <c r="DG733" t="s">
        <v>25</v>
      </c>
      <c r="DH733" t="s">
        <v>25</v>
      </c>
      <c r="DI733" t="s">
        <v>25</v>
      </c>
      <c r="DJ733" s="76">
        <v>8.9999996125698107E-3</v>
      </c>
      <c r="DK733" s="73">
        <v>101</v>
      </c>
      <c r="DL733" s="73">
        <v>101</v>
      </c>
      <c r="DM733" s="73">
        <v>0</v>
      </c>
      <c r="DU733"/>
      <c r="DV733" s="65" t="s">
        <v>126</v>
      </c>
      <c r="DW733" t="s">
        <v>132</v>
      </c>
      <c r="DZ733" s="73">
        <v>0</v>
      </c>
      <c r="EA733" s="73">
        <v>0</v>
      </c>
      <c r="EB733" s="73">
        <v>0</v>
      </c>
    </row>
    <row r="734" spans="1:133" ht="12" customHeight="1" x14ac:dyDescent="0.2">
      <c r="A734" t="s">
        <v>2935</v>
      </c>
      <c r="B734" t="s">
        <v>2946</v>
      </c>
      <c r="C734" t="str">
        <f t="shared" si="34"/>
        <v>Full</v>
      </c>
      <c r="E734" s="65">
        <v>6590</v>
      </c>
      <c r="F734" t="s">
        <v>2439</v>
      </c>
      <c r="G734" s="71" t="s">
        <v>3942</v>
      </c>
      <c r="H734" s="67">
        <v>1.2000000104308101E-2</v>
      </c>
      <c r="I734" s="65">
        <v>527583</v>
      </c>
      <c r="J734" s="65">
        <v>174634</v>
      </c>
      <c r="L734" s="65" t="s">
        <v>2440</v>
      </c>
      <c r="M734" s="65" t="s">
        <v>27</v>
      </c>
      <c r="N734" s="69">
        <v>42965</v>
      </c>
      <c r="O734" s="69">
        <v>43021</v>
      </c>
      <c r="P734" s="65" t="s">
        <v>126</v>
      </c>
      <c r="R734" s="65" t="s">
        <v>28</v>
      </c>
      <c r="U734" t="s">
        <v>2441</v>
      </c>
      <c r="V734" t="s">
        <v>3682</v>
      </c>
      <c r="W734" s="65" t="s">
        <v>34</v>
      </c>
      <c r="X734" s="65" t="s">
        <v>29</v>
      </c>
      <c r="Y734" s="65" t="s">
        <v>30</v>
      </c>
      <c r="AA734" s="69">
        <v>43190</v>
      </c>
      <c r="AD734" s="65" t="s">
        <v>23</v>
      </c>
      <c r="AE734" s="65" t="s">
        <v>24</v>
      </c>
      <c r="AH734" s="69">
        <f t="shared" si="33"/>
        <v>43190</v>
      </c>
      <c r="AJ734" s="73">
        <v>34</v>
      </c>
      <c r="AO734" s="73">
        <v>34</v>
      </c>
      <c r="BO734" s="185" t="s">
        <v>126</v>
      </c>
      <c r="BP734" s="185" t="s">
        <v>3794</v>
      </c>
      <c r="BQ734" s="185" t="s">
        <v>3794</v>
      </c>
      <c r="BR734" s="73">
        <v>34</v>
      </c>
      <c r="BW734" s="73">
        <v>34</v>
      </c>
      <c r="BY734" s="185" t="s">
        <v>3794</v>
      </c>
      <c r="CJ734" t="s">
        <v>40</v>
      </c>
      <c r="CK734" t="s">
        <v>25</v>
      </c>
      <c r="CL734" t="s">
        <v>25</v>
      </c>
      <c r="CM734" t="s">
        <v>25</v>
      </c>
      <c r="CN734" t="s">
        <v>25</v>
      </c>
      <c r="CO734" t="s">
        <v>25</v>
      </c>
      <c r="CP734" t="s">
        <v>25</v>
      </c>
      <c r="CQ734" t="s">
        <v>25</v>
      </c>
      <c r="CR734" t="s">
        <v>25</v>
      </c>
      <c r="CS734" t="s">
        <v>25</v>
      </c>
      <c r="CT734" t="s">
        <v>25</v>
      </c>
      <c r="CU734" t="s">
        <v>25</v>
      </c>
      <c r="CV734" t="s">
        <v>25</v>
      </c>
      <c r="CW734" t="s">
        <v>25</v>
      </c>
      <c r="CX734" t="s">
        <v>25</v>
      </c>
      <c r="CY734" t="s">
        <v>25</v>
      </c>
      <c r="CZ734" t="s">
        <v>25</v>
      </c>
      <c r="DA734" t="s">
        <v>25</v>
      </c>
      <c r="DB734" t="s">
        <v>25</v>
      </c>
      <c r="DC734" t="s">
        <v>25</v>
      </c>
      <c r="DD734" t="s">
        <v>25</v>
      </c>
      <c r="DE734" t="s">
        <v>25</v>
      </c>
      <c r="DF734" t="s">
        <v>25</v>
      </c>
      <c r="DG734" t="s">
        <v>25</v>
      </c>
      <c r="DH734" t="s">
        <v>25</v>
      </c>
      <c r="DI734" t="s">
        <v>25</v>
      </c>
      <c r="DJ734" s="76">
        <v>1.0000001639127003E-3</v>
      </c>
      <c r="DK734" s="73">
        <v>34</v>
      </c>
      <c r="DL734" s="73">
        <v>0</v>
      </c>
      <c r="DM734" s="73">
        <v>34</v>
      </c>
      <c r="DU734"/>
      <c r="DZ734" s="73">
        <v>124</v>
      </c>
      <c r="EA734" s="73">
        <v>106</v>
      </c>
      <c r="EB734" s="73">
        <v>18</v>
      </c>
      <c r="EC734" s="65" t="s">
        <v>126</v>
      </c>
    </row>
    <row r="735" spans="1:133" ht="12" customHeight="1" x14ac:dyDescent="0.2">
      <c r="A735" t="s">
        <v>2937</v>
      </c>
      <c r="B735" t="s">
        <v>2946</v>
      </c>
      <c r="C735" t="str">
        <f t="shared" si="34"/>
        <v>Full</v>
      </c>
      <c r="E735" s="65">
        <v>6591</v>
      </c>
      <c r="F735" t="s">
        <v>2442</v>
      </c>
      <c r="G735" s="71" t="s">
        <v>3946</v>
      </c>
      <c r="H735" s="67">
        <v>1.9999999552965199E-2</v>
      </c>
      <c r="I735" s="65">
        <v>523591</v>
      </c>
      <c r="J735" s="65">
        <v>175605</v>
      </c>
      <c r="L735" s="65" t="s">
        <v>2443</v>
      </c>
      <c r="M735" s="65" t="s">
        <v>27</v>
      </c>
      <c r="N735" s="69">
        <v>42853</v>
      </c>
      <c r="O735" s="69">
        <v>42999</v>
      </c>
      <c r="P735" s="65" t="s">
        <v>126</v>
      </c>
      <c r="R735" s="65" t="s">
        <v>28</v>
      </c>
      <c r="U735" t="s">
        <v>2444</v>
      </c>
      <c r="V735" t="s">
        <v>3683</v>
      </c>
      <c r="W735" s="65" t="s">
        <v>29</v>
      </c>
      <c r="X735" s="65" t="s">
        <v>29</v>
      </c>
      <c r="Y735" s="65" t="s">
        <v>69</v>
      </c>
      <c r="AD735" s="65" t="s">
        <v>23</v>
      </c>
      <c r="AE735" s="65" t="s">
        <v>24</v>
      </c>
      <c r="BO735" s="185" t="s">
        <v>3794</v>
      </c>
      <c r="BP735" s="185" t="s">
        <v>3794</v>
      </c>
      <c r="BQ735" s="185" t="s">
        <v>3794</v>
      </c>
      <c r="BW735" s="73"/>
      <c r="BY735" s="185" t="s">
        <v>3794</v>
      </c>
      <c r="CJ735" t="s">
        <v>25</v>
      </c>
      <c r="CK735" t="s">
        <v>25</v>
      </c>
      <c r="CL735" t="s">
        <v>25</v>
      </c>
      <c r="CM735" t="s">
        <v>25</v>
      </c>
      <c r="CN735" t="s">
        <v>25</v>
      </c>
      <c r="CO735" t="s">
        <v>25</v>
      </c>
      <c r="CP735" t="s">
        <v>25</v>
      </c>
      <c r="CQ735" t="s">
        <v>25</v>
      </c>
      <c r="CR735" t="s">
        <v>25</v>
      </c>
      <c r="CS735" t="s">
        <v>25</v>
      </c>
      <c r="CT735" t="s">
        <v>25</v>
      </c>
      <c r="CU735" t="s">
        <v>25</v>
      </c>
      <c r="CV735" t="s">
        <v>25</v>
      </c>
      <c r="CW735" t="s">
        <v>25</v>
      </c>
      <c r="CX735" t="s">
        <v>25</v>
      </c>
      <c r="CY735" t="s">
        <v>25</v>
      </c>
      <c r="CZ735" t="s">
        <v>25</v>
      </c>
      <c r="DA735" t="s">
        <v>25</v>
      </c>
      <c r="DB735" t="s">
        <v>25</v>
      </c>
      <c r="DC735" t="s">
        <v>25</v>
      </c>
      <c r="DD735" t="s">
        <v>25</v>
      </c>
      <c r="DE735" t="s">
        <v>25</v>
      </c>
      <c r="DF735" t="s">
        <v>25</v>
      </c>
      <c r="DG735" t="s">
        <v>25</v>
      </c>
      <c r="DH735" t="s">
        <v>25</v>
      </c>
      <c r="DI735" t="s">
        <v>25</v>
      </c>
      <c r="DJ735" s="76">
        <v>0</v>
      </c>
      <c r="DK735" s="73">
        <v>0</v>
      </c>
      <c r="DL735" s="73">
        <v>45</v>
      </c>
      <c r="DM735" s="73">
        <v>-45</v>
      </c>
      <c r="DU735"/>
      <c r="DZ735" s="73">
        <v>81</v>
      </c>
      <c r="EA735" s="73">
        <v>0</v>
      </c>
      <c r="EB735" s="73">
        <v>81</v>
      </c>
      <c r="EC735" s="65" t="s">
        <v>126</v>
      </c>
    </row>
    <row r="736" spans="1:133" ht="12" customHeight="1" x14ac:dyDescent="0.2">
      <c r="A736" t="s">
        <v>2936</v>
      </c>
      <c r="B736" t="s">
        <v>2946</v>
      </c>
      <c r="C736" t="str">
        <f t="shared" si="34"/>
        <v>Full</v>
      </c>
      <c r="D736" t="s">
        <v>2943</v>
      </c>
      <c r="E736" s="65">
        <v>6593</v>
      </c>
      <c r="F736" t="s">
        <v>2445</v>
      </c>
      <c r="G736" s="71" t="s">
        <v>2907</v>
      </c>
      <c r="H736" s="67">
        <v>3.5999998450279201E-2</v>
      </c>
      <c r="I736" s="65">
        <v>525310</v>
      </c>
      <c r="J736" s="65">
        <v>173602</v>
      </c>
      <c r="L736" s="65" t="s">
        <v>2446</v>
      </c>
      <c r="M736" s="65" t="s">
        <v>27</v>
      </c>
      <c r="N736" s="69">
        <v>42870</v>
      </c>
      <c r="O736" s="69">
        <v>42923</v>
      </c>
      <c r="P736" s="65" t="s">
        <v>126</v>
      </c>
      <c r="R736" s="65" t="s">
        <v>28</v>
      </c>
      <c r="U736" t="s">
        <v>2447</v>
      </c>
      <c r="V736" t="s">
        <v>3684</v>
      </c>
      <c r="W736" s="65" t="s">
        <v>21</v>
      </c>
      <c r="X736" s="65" t="s">
        <v>21</v>
      </c>
      <c r="Y736" s="65" t="s">
        <v>35</v>
      </c>
      <c r="AA736" s="69">
        <v>42948</v>
      </c>
      <c r="AB736" s="69">
        <v>43190</v>
      </c>
      <c r="AC736" s="69">
        <v>43190</v>
      </c>
      <c r="AD736" s="65" t="s">
        <v>23</v>
      </c>
      <c r="AE736" s="65" t="s">
        <v>24</v>
      </c>
      <c r="AH736" s="69">
        <f t="shared" si="33"/>
        <v>42948</v>
      </c>
      <c r="AI736" s="69">
        <f t="shared" si="35"/>
        <v>43190</v>
      </c>
      <c r="AU736" s="73">
        <v>536</v>
      </c>
      <c r="AV736" s="73">
        <v>536</v>
      </c>
      <c r="AZ736" s="73">
        <v>536</v>
      </c>
      <c r="BE736" s="73">
        <v>536</v>
      </c>
      <c r="BO736" s="185" t="s">
        <v>126</v>
      </c>
      <c r="BP736" s="185" t="s">
        <v>126</v>
      </c>
      <c r="BQ736" s="185" t="s">
        <v>3794</v>
      </c>
      <c r="BR736" s="73">
        <v>-536</v>
      </c>
      <c r="BW736" s="73">
        <v>-536</v>
      </c>
      <c r="BY736" s="185" t="s">
        <v>3794</v>
      </c>
      <c r="CC736" s="73">
        <v>536</v>
      </c>
      <c r="CD736" s="73">
        <v>536</v>
      </c>
      <c r="CJ736" t="s">
        <v>25</v>
      </c>
      <c r="CK736" t="s">
        <v>25</v>
      </c>
      <c r="CL736" t="s">
        <v>25</v>
      </c>
      <c r="CM736" t="s">
        <v>25</v>
      </c>
      <c r="CN736" t="s">
        <v>25</v>
      </c>
      <c r="CO736" t="s">
        <v>25</v>
      </c>
      <c r="CP736" t="s">
        <v>25</v>
      </c>
      <c r="CQ736" t="s">
        <v>25</v>
      </c>
      <c r="CR736" t="s">
        <v>25</v>
      </c>
      <c r="CS736" t="s">
        <v>49</v>
      </c>
      <c r="CT736" t="s">
        <v>25</v>
      </c>
      <c r="CU736" t="s">
        <v>25</v>
      </c>
      <c r="CV736" t="s">
        <v>25</v>
      </c>
      <c r="CW736" t="s">
        <v>49</v>
      </c>
      <c r="CX736" t="s">
        <v>25</v>
      </c>
      <c r="CY736" t="s">
        <v>25</v>
      </c>
      <c r="CZ736" t="s">
        <v>25</v>
      </c>
      <c r="DA736" t="s">
        <v>25</v>
      </c>
      <c r="DB736" t="s">
        <v>25</v>
      </c>
      <c r="DC736" t="s">
        <v>25</v>
      </c>
      <c r="DD736" t="s">
        <v>25</v>
      </c>
      <c r="DE736" t="s">
        <v>25</v>
      </c>
      <c r="DF736" t="s">
        <v>25</v>
      </c>
      <c r="DG736" t="s">
        <v>25</v>
      </c>
      <c r="DH736" t="s">
        <v>25</v>
      </c>
      <c r="DI736" t="s">
        <v>25</v>
      </c>
      <c r="DJ736" s="76">
        <v>3.5999998450279201E-2</v>
      </c>
      <c r="DK736" s="73">
        <v>536</v>
      </c>
      <c r="DL736" s="73">
        <v>536</v>
      </c>
      <c r="DM736" s="73">
        <v>0</v>
      </c>
      <c r="DQ736" s="65" t="s">
        <v>126</v>
      </c>
      <c r="DR736" t="s">
        <v>179</v>
      </c>
      <c r="DU736"/>
      <c r="DZ736" s="73">
        <v>0</v>
      </c>
      <c r="EA736" s="73">
        <v>0</v>
      </c>
      <c r="EB736" s="73">
        <v>0</v>
      </c>
    </row>
    <row r="737" spans="1:133" ht="12" customHeight="1" x14ac:dyDescent="0.2">
      <c r="A737" t="s">
        <v>2937</v>
      </c>
      <c r="B737" t="s">
        <v>2946</v>
      </c>
      <c r="C737" t="str">
        <f t="shared" si="34"/>
        <v>Full</v>
      </c>
      <c r="E737" s="65">
        <v>6595</v>
      </c>
      <c r="F737" t="s">
        <v>2448</v>
      </c>
      <c r="G737" s="71" t="s">
        <v>3951</v>
      </c>
      <c r="H737" s="67">
        <v>8.9999996125698107E-3</v>
      </c>
      <c r="I737" s="65">
        <v>527461</v>
      </c>
      <c r="J737" s="65">
        <v>170805</v>
      </c>
      <c r="L737" s="65" t="s">
        <v>2449</v>
      </c>
      <c r="M737" s="65" t="s">
        <v>27</v>
      </c>
      <c r="N737" s="69">
        <v>43109</v>
      </c>
      <c r="O737" s="69">
        <v>43186</v>
      </c>
      <c r="P737" s="65" t="s">
        <v>126</v>
      </c>
      <c r="R737" s="65" t="s">
        <v>28</v>
      </c>
      <c r="U737" t="s">
        <v>2450</v>
      </c>
      <c r="V737" t="s">
        <v>3685</v>
      </c>
      <c r="W737" s="65" t="s">
        <v>29</v>
      </c>
      <c r="X737" s="65" t="s">
        <v>29</v>
      </c>
      <c r="Y737" s="65" t="s">
        <v>69</v>
      </c>
      <c r="AD737" s="65" t="s">
        <v>23</v>
      </c>
      <c r="AE737" s="65" t="s">
        <v>24</v>
      </c>
      <c r="BO737" s="185" t="s">
        <v>3794</v>
      </c>
      <c r="BP737" s="185" t="s">
        <v>3794</v>
      </c>
      <c r="BQ737" s="185" t="s">
        <v>3794</v>
      </c>
      <c r="BW737" s="73"/>
      <c r="BY737" s="185" t="s">
        <v>3794</v>
      </c>
      <c r="CJ737" t="s">
        <v>25</v>
      </c>
      <c r="CK737" t="s">
        <v>25</v>
      </c>
      <c r="CL737" t="s">
        <v>25</v>
      </c>
      <c r="CM737" t="s">
        <v>25</v>
      </c>
      <c r="CN737" t="s">
        <v>25</v>
      </c>
      <c r="CO737" t="s">
        <v>25</v>
      </c>
      <c r="CP737" t="s">
        <v>25</v>
      </c>
      <c r="CQ737" t="s">
        <v>25</v>
      </c>
      <c r="CR737" t="s">
        <v>25</v>
      </c>
      <c r="CS737" t="s">
        <v>25</v>
      </c>
      <c r="CT737" t="s">
        <v>25</v>
      </c>
      <c r="CU737" t="s">
        <v>25</v>
      </c>
      <c r="CV737" t="s">
        <v>25</v>
      </c>
      <c r="CW737" t="s">
        <v>25</v>
      </c>
      <c r="CX737" t="s">
        <v>25</v>
      </c>
      <c r="CY737" t="s">
        <v>25</v>
      </c>
      <c r="CZ737" t="s">
        <v>25</v>
      </c>
      <c r="DA737" t="s">
        <v>25</v>
      </c>
      <c r="DB737" t="s">
        <v>25</v>
      </c>
      <c r="DC737" t="s">
        <v>25</v>
      </c>
      <c r="DD737" t="s">
        <v>25</v>
      </c>
      <c r="DE737" t="s">
        <v>25</v>
      </c>
      <c r="DF737" t="s">
        <v>25</v>
      </c>
      <c r="DG737" t="s">
        <v>25</v>
      </c>
      <c r="DH737" t="s">
        <v>25</v>
      </c>
      <c r="DI737" t="s">
        <v>25</v>
      </c>
      <c r="DJ737" s="76">
        <v>0</v>
      </c>
      <c r="DK737" s="73">
        <v>0</v>
      </c>
      <c r="DL737" s="73">
        <v>21</v>
      </c>
      <c r="DM737" s="73">
        <v>-21</v>
      </c>
      <c r="DU737"/>
      <c r="DZ737" s="73">
        <v>83</v>
      </c>
      <c r="EA737" s="73">
        <v>0</v>
      </c>
      <c r="EB737" s="73">
        <v>83</v>
      </c>
      <c r="EC737" s="65" t="s">
        <v>126</v>
      </c>
    </row>
    <row r="738" spans="1:133" ht="12" customHeight="1" x14ac:dyDescent="0.2">
      <c r="A738" t="s">
        <v>2937</v>
      </c>
      <c r="B738" t="s">
        <v>2948</v>
      </c>
      <c r="C738" t="str">
        <f t="shared" si="34"/>
        <v>Prior Approval</v>
      </c>
      <c r="E738" s="65">
        <v>6600</v>
      </c>
      <c r="F738" t="s">
        <v>2451</v>
      </c>
      <c r="G738" s="71" t="s">
        <v>2904</v>
      </c>
      <c r="H738" s="67">
        <v>8.9999996125698107E-3</v>
      </c>
      <c r="I738" s="65">
        <v>525959</v>
      </c>
      <c r="J738" s="65">
        <v>174033</v>
      </c>
      <c r="L738" s="65" t="s">
        <v>2452</v>
      </c>
      <c r="M738" s="65" t="s">
        <v>244</v>
      </c>
      <c r="N738" s="69">
        <v>42998</v>
      </c>
      <c r="O738" s="69">
        <v>43054</v>
      </c>
      <c r="P738" s="65" t="s">
        <v>126</v>
      </c>
      <c r="R738" s="65" t="s">
        <v>28</v>
      </c>
      <c r="U738" t="s">
        <v>2453</v>
      </c>
      <c r="V738" t="s">
        <v>3686</v>
      </c>
      <c r="W738" s="65" t="s">
        <v>21</v>
      </c>
      <c r="X738" s="65" t="s">
        <v>21</v>
      </c>
      <c r="Y738" s="65" t="s">
        <v>69</v>
      </c>
      <c r="AD738" s="65" t="s">
        <v>23</v>
      </c>
      <c r="AE738" s="65" t="s">
        <v>24</v>
      </c>
      <c r="AZ738" s="73">
        <v>89</v>
      </c>
      <c r="BE738" s="73">
        <v>89</v>
      </c>
      <c r="BO738" s="185" t="s">
        <v>126</v>
      </c>
      <c r="BP738" s="185" t="s">
        <v>3794</v>
      </c>
      <c r="BQ738" s="185" t="s">
        <v>3794</v>
      </c>
      <c r="BR738" s="73">
        <v>-89</v>
      </c>
      <c r="BW738" s="73">
        <v>-89</v>
      </c>
      <c r="BY738" s="185" t="s">
        <v>3794</v>
      </c>
      <c r="CJ738" t="s">
        <v>25</v>
      </c>
      <c r="CK738" t="s">
        <v>25</v>
      </c>
      <c r="CL738" t="s">
        <v>25</v>
      </c>
      <c r="CM738" t="s">
        <v>25</v>
      </c>
      <c r="CN738" t="s">
        <v>25</v>
      </c>
      <c r="CO738" t="s">
        <v>25</v>
      </c>
      <c r="CP738" t="s">
        <v>25</v>
      </c>
      <c r="CQ738" t="s">
        <v>25</v>
      </c>
      <c r="CR738" t="s">
        <v>25</v>
      </c>
      <c r="CS738" t="s">
        <v>25</v>
      </c>
      <c r="CT738" t="s">
        <v>25</v>
      </c>
      <c r="CU738" t="s">
        <v>25</v>
      </c>
      <c r="CV738" t="s">
        <v>25</v>
      </c>
      <c r="CW738" t="s">
        <v>40</v>
      </c>
      <c r="CX738" t="s">
        <v>25</v>
      </c>
      <c r="CY738" t="s">
        <v>25</v>
      </c>
      <c r="CZ738" t="s">
        <v>25</v>
      </c>
      <c r="DA738" t="s">
        <v>25</v>
      </c>
      <c r="DB738" t="s">
        <v>25</v>
      </c>
      <c r="DC738" t="s">
        <v>25</v>
      </c>
      <c r="DD738" t="s">
        <v>25</v>
      </c>
      <c r="DE738" t="s">
        <v>25</v>
      </c>
      <c r="DF738" t="s">
        <v>25</v>
      </c>
      <c r="DG738" t="s">
        <v>25</v>
      </c>
      <c r="DH738" t="s">
        <v>25</v>
      </c>
      <c r="DI738" t="s">
        <v>25</v>
      </c>
      <c r="DJ738" s="76">
        <v>3.9999997243285205E-3</v>
      </c>
      <c r="DK738" s="73">
        <v>0</v>
      </c>
      <c r="DL738" s="73">
        <v>89</v>
      </c>
      <c r="DM738" s="73">
        <v>-89</v>
      </c>
      <c r="DU738"/>
      <c r="DZ738" s="73">
        <v>89</v>
      </c>
      <c r="EA738" s="73">
        <v>0</v>
      </c>
      <c r="EB738" s="73">
        <v>89</v>
      </c>
      <c r="EC738" s="65" t="s">
        <v>126</v>
      </c>
    </row>
    <row r="739" spans="1:133" ht="12" customHeight="1" x14ac:dyDescent="0.2">
      <c r="A739" t="s">
        <v>2937</v>
      </c>
      <c r="B739" t="s">
        <v>2946</v>
      </c>
      <c r="C739" t="str">
        <f t="shared" si="34"/>
        <v>Full</v>
      </c>
      <c r="E739" s="65">
        <v>6601</v>
      </c>
      <c r="F739" t="s">
        <v>2454</v>
      </c>
      <c r="G739" s="71" t="s">
        <v>3952</v>
      </c>
      <c r="H739" s="67">
        <v>1.09999999403954E-2</v>
      </c>
      <c r="I739" s="65">
        <v>528338</v>
      </c>
      <c r="J739" s="65">
        <v>172914</v>
      </c>
      <c r="L739" s="65" t="s">
        <v>2455</v>
      </c>
      <c r="M739" s="65" t="s">
        <v>27</v>
      </c>
      <c r="N739" s="69">
        <v>42989</v>
      </c>
      <c r="O739" s="69">
        <v>43073</v>
      </c>
      <c r="P739" s="65" t="s">
        <v>126</v>
      </c>
      <c r="R739" s="65" t="s">
        <v>28</v>
      </c>
      <c r="U739" t="s">
        <v>2456</v>
      </c>
      <c r="V739" t="s">
        <v>3145</v>
      </c>
      <c r="W739" s="65" t="s">
        <v>21</v>
      </c>
      <c r="X739" s="65" t="s">
        <v>21</v>
      </c>
      <c r="Y739" s="65" t="s">
        <v>69</v>
      </c>
      <c r="AD739" s="65" t="s">
        <v>23</v>
      </c>
      <c r="AE739" s="65" t="s">
        <v>24</v>
      </c>
      <c r="AL739" s="73">
        <v>119</v>
      </c>
      <c r="AO739" s="73">
        <v>119</v>
      </c>
      <c r="AZ739" s="73">
        <v>119</v>
      </c>
      <c r="BE739" s="73">
        <v>119</v>
      </c>
      <c r="BO739" s="185" t="s">
        <v>126</v>
      </c>
      <c r="BP739" s="185" t="s">
        <v>3794</v>
      </c>
      <c r="BQ739" s="185" t="s">
        <v>3794</v>
      </c>
      <c r="BR739" s="73">
        <v>-119</v>
      </c>
      <c r="BT739" s="73">
        <v>119</v>
      </c>
      <c r="BW739" s="73"/>
      <c r="BY739" s="185" t="s">
        <v>3794</v>
      </c>
      <c r="CJ739" t="s">
        <v>25</v>
      </c>
      <c r="CK739" t="s">
        <v>25</v>
      </c>
      <c r="CL739" t="s">
        <v>38</v>
      </c>
      <c r="CM739" t="s">
        <v>25</v>
      </c>
      <c r="CN739" t="s">
        <v>25</v>
      </c>
      <c r="CO739" t="s">
        <v>25</v>
      </c>
      <c r="CP739" t="s">
        <v>25</v>
      </c>
      <c r="CQ739" t="s">
        <v>25</v>
      </c>
      <c r="CR739" t="s">
        <v>25</v>
      </c>
      <c r="CS739" t="s">
        <v>25</v>
      </c>
      <c r="CT739" t="s">
        <v>25</v>
      </c>
      <c r="CU739" t="s">
        <v>25</v>
      </c>
      <c r="CV739" t="s">
        <v>25</v>
      </c>
      <c r="CW739" t="s">
        <v>31</v>
      </c>
      <c r="CX739" t="s">
        <v>25</v>
      </c>
      <c r="CY739" t="s">
        <v>25</v>
      </c>
      <c r="CZ739" t="s">
        <v>25</v>
      </c>
      <c r="DA739" t="s">
        <v>25</v>
      </c>
      <c r="DB739" t="s">
        <v>25</v>
      </c>
      <c r="DC739" t="s">
        <v>25</v>
      </c>
      <c r="DD739" t="s">
        <v>25</v>
      </c>
      <c r="DE739" t="s">
        <v>25</v>
      </c>
      <c r="DF739" t="s">
        <v>25</v>
      </c>
      <c r="DG739" t="s">
        <v>25</v>
      </c>
      <c r="DH739" t="s">
        <v>25</v>
      </c>
      <c r="DI739" t="s">
        <v>25</v>
      </c>
      <c r="DJ739" s="76">
        <v>1.09999999403954E-2</v>
      </c>
      <c r="DK739" s="73">
        <v>119</v>
      </c>
      <c r="DL739" s="73">
        <v>119</v>
      </c>
      <c r="DM739" s="73">
        <v>0</v>
      </c>
      <c r="DU739"/>
      <c r="DZ739" s="73">
        <v>0</v>
      </c>
      <c r="EA739" s="73">
        <v>0</v>
      </c>
      <c r="EB739" s="73">
        <v>0</v>
      </c>
    </row>
    <row r="740" spans="1:133" ht="12" customHeight="1" x14ac:dyDescent="0.2">
      <c r="A740" t="s">
        <v>2937</v>
      </c>
      <c r="B740" t="s">
        <v>2946</v>
      </c>
      <c r="C740" t="str">
        <f t="shared" si="34"/>
        <v>Full</v>
      </c>
      <c r="E740" s="65">
        <v>6605</v>
      </c>
      <c r="F740" t="s">
        <v>2457</v>
      </c>
      <c r="G740" s="71" t="s">
        <v>2904</v>
      </c>
      <c r="H740" s="67">
        <v>8.5000000894069699E-2</v>
      </c>
      <c r="I740" s="65">
        <v>526077</v>
      </c>
      <c r="J740" s="65">
        <v>171912</v>
      </c>
      <c r="L740" s="65" t="s">
        <v>2458</v>
      </c>
      <c r="M740" s="65" t="s">
        <v>27</v>
      </c>
      <c r="N740" s="69">
        <v>43040</v>
      </c>
      <c r="O740" s="69">
        <v>43084</v>
      </c>
      <c r="P740" s="65" t="s">
        <v>126</v>
      </c>
      <c r="R740" s="65" t="s">
        <v>28</v>
      </c>
      <c r="U740" t="s">
        <v>2459</v>
      </c>
      <c r="V740" t="s">
        <v>3687</v>
      </c>
      <c r="W740" s="65" t="s">
        <v>29</v>
      </c>
      <c r="X740" s="65" t="s">
        <v>29</v>
      </c>
      <c r="Y740" s="65" t="s">
        <v>69</v>
      </c>
      <c r="AD740" s="65" t="s">
        <v>23</v>
      </c>
      <c r="AE740" s="65" t="s">
        <v>24</v>
      </c>
      <c r="AP740" s="73">
        <v>530</v>
      </c>
      <c r="AS740" s="73">
        <v>530</v>
      </c>
      <c r="AT740" s="73">
        <v>190</v>
      </c>
      <c r="AU740" s="73">
        <v>190</v>
      </c>
      <c r="AV740" s="73">
        <v>910</v>
      </c>
      <c r="BO740" s="185" t="s">
        <v>3794</v>
      </c>
      <c r="BP740" s="185" t="s">
        <v>126</v>
      </c>
      <c r="BQ740" s="185" t="s">
        <v>3794</v>
      </c>
      <c r="BW740" s="73"/>
      <c r="BX740" s="73">
        <v>530</v>
      </c>
      <c r="BY740" s="185" t="s">
        <v>3794</v>
      </c>
      <c r="CB740" s="73">
        <v>190</v>
      </c>
      <c r="CC740" s="73">
        <v>190</v>
      </c>
      <c r="CD740" s="73">
        <v>910</v>
      </c>
      <c r="CJ740" t="s">
        <v>25</v>
      </c>
      <c r="CK740" t="s">
        <v>25</v>
      </c>
      <c r="CL740" t="s">
        <v>25</v>
      </c>
      <c r="CM740" t="s">
        <v>25</v>
      </c>
      <c r="CN740" t="s">
        <v>25</v>
      </c>
      <c r="CO740" t="s">
        <v>31</v>
      </c>
      <c r="CP740" t="s">
        <v>25</v>
      </c>
      <c r="CQ740" t="s">
        <v>25</v>
      </c>
      <c r="CR740" t="s">
        <v>32</v>
      </c>
      <c r="CS740" t="s">
        <v>49</v>
      </c>
      <c r="CT740" t="s">
        <v>25</v>
      </c>
      <c r="CU740" t="s">
        <v>25</v>
      </c>
      <c r="CV740" t="s">
        <v>25</v>
      </c>
      <c r="CW740" t="s">
        <v>25</v>
      </c>
      <c r="CX740" t="s">
        <v>25</v>
      </c>
      <c r="CY740" t="s">
        <v>25</v>
      </c>
      <c r="CZ740" t="s">
        <v>25</v>
      </c>
      <c r="DA740" t="s">
        <v>25</v>
      </c>
      <c r="DB740" t="s">
        <v>25</v>
      </c>
      <c r="DC740" t="s">
        <v>25</v>
      </c>
      <c r="DD740" t="s">
        <v>25</v>
      </c>
      <c r="DE740" t="s">
        <v>25</v>
      </c>
      <c r="DF740" t="s">
        <v>25</v>
      </c>
      <c r="DG740" t="s">
        <v>25</v>
      </c>
      <c r="DH740" t="s">
        <v>25</v>
      </c>
      <c r="DI740" t="s">
        <v>25</v>
      </c>
      <c r="DJ740" s="76">
        <v>8.5000000894069699E-2</v>
      </c>
      <c r="DK740" s="73">
        <v>910</v>
      </c>
      <c r="DL740" s="73">
        <v>0</v>
      </c>
      <c r="DM740" s="73">
        <v>910</v>
      </c>
      <c r="DQ740" s="65" t="s">
        <v>126</v>
      </c>
      <c r="DR740" t="s">
        <v>2903</v>
      </c>
      <c r="DU740"/>
      <c r="DZ740" s="73">
        <v>0</v>
      </c>
      <c r="EA740" s="73">
        <v>0</v>
      </c>
      <c r="EB740" s="73">
        <v>0</v>
      </c>
    </row>
    <row r="741" spans="1:133" ht="12" customHeight="1" x14ac:dyDescent="0.2">
      <c r="A741" t="s">
        <v>2938</v>
      </c>
      <c r="B741" t="s">
        <v>2959</v>
      </c>
      <c r="C741" t="str">
        <f t="shared" si="34"/>
        <v>Appeal</v>
      </c>
      <c r="E741" s="65">
        <v>6607</v>
      </c>
      <c r="F741" t="s">
        <v>2460</v>
      </c>
      <c r="G741" s="71" t="s">
        <v>3946</v>
      </c>
      <c r="H741" s="67">
        <v>1.8999999389052401E-2</v>
      </c>
      <c r="I741" s="65">
        <v>524617</v>
      </c>
      <c r="J741" s="65">
        <v>175406</v>
      </c>
      <c r="L741" s="65" t="s">
        <v>2461</v>
      </c>
      <c r="M741" s="65" t="s">
        <v>19</v>
      </c>
      <c r="N741" s="69">
        <v>42912</v>
      </c>
      <c r="O741" s="69">
        <v>42965</v>
      </c>
      <c r="P741" s="65" t="s">
        <v>126</v>
      </c>
      <c r="R741" s="65" t="s">
        <v>987</v>
      </c>
      <c r="S741" s="69">
        <v>43145</v>
      </c>
      <c r="U741" t="s">
        <v>2462</v>
      </c>
      <c r="V741" t="s">
        <v>3688</v>
      </c>
      <c r="W741" s="65" t="s">
        <v>21</v>
      </c>
      <c r="X741" s="65" t="s">
        <v>21</v>
      </c>
      <c r="Y741" s="65" t="s">
        <v>69</v>
      </c>
      <c r="AD741" s="65" t="s">
        <v>23</v>
      </c>
      <c r="AE741" s="65" t="s">
        <v>24</v>
      </c>
      <c r="BM741" s="73">
        <v>176</v>
      </c>
      <c r="BN741" s="73">
        <v>176</v>
      </c>
      <c r="BO741" s="185" t="s">
        <v>3794</v>
      </c>
      <c r="BP741" s="185" t="s">
        <v>3794</v>
      </c>
      <c r="BQ741" s="185" t="s">
        <v>126</v>
      </c>
      <c r="BW741" s="73"/>
      <c r="BY741" s="185" t="s">
        <v>3794</v>
      </c>
      <c r="CH741" s="73">
        <v>-176</v>
      </c>
      <c r="CI741" s="73">
        <v>-176</v>
      </c>
      <c r="CJ741" t="s">
        <v>25</v>
      </c>
      <c r="CK741" t="s">
        <v>25</v>
      </c>
      <c r="CL741" t="s">
        <v>25</v>
      </c>
      <c r="CM741" t="s">
        <v>25</v>
      </c>
      <c r="CN741" t="s">
        <v>25</v>
      </c>
      <c r="CO741" t="s">
        <v>25</v>
      </c>
      <c r="CP741" t="s">
        <v>25</v>
      </c>
      <c r="CQ741" t="s">
        <v>25</v>
      </c>
      <c r="CR741" t="s">
        <v>25</v>
      </c>
      <c r="CS741" t="s">
        <v>25</v>
      </c>
      <c r="CT741" t="s">
        <v>25</v>
      </c>
      <c r="CU741" t="s">
        <v>25</v>
      </c>
      <c r="CV741" t="s">
        <v>25</v>
      </c>
      <c r="CW741" t="s">
        <v>25</v>
      </c>
      <c r="CX741" t="s">
        <v>25</v>
      </c>
      <c r="CY741" t="s">
        <v>25</v>
      </c>
      <c r="CZ741" t="s">
        <v>25</v>
      </c>
      <c r="DA741" t="s">
        <v>25</v>
      </c>
      <c r="DB741" t="s">
        <v>25</v>
      </c>
      <c r="DC741" t="s">
        <v>25</v>
      </c>
      <c r="DD741" t="s">
        <v>25</v>
      </c>
      <c r="DE741" t="s">
        <v>25</v>
      </c>
      <c r="DF741" t="s">
        <v>25</v>
      </c>
      <c r="DG741" t="s">
        <v>25</v>
      </c>
      <c r="DH741" t="s">
        <v>25</v>
      </c>
      <c r="DI741" t="s">
        <v>49</v>
      </c>
      <c r="DJ741" s="76">
        <v>1.8999999389052401E-2</v>
      </c>
      <c r="DK741" s="73">
        <v>0</v>
      </c>
      <c r="DL741" s="73">
        <v>176</v>
      </c>
      <c r="DM741" s="73">
        <v>-176</v>
      </c>
      <c r="DN741" s="65" t="s">
        <v>126</v>
      </c>
      <c r="DU741"/>
      <c r="DZ741" s="73">
        <v>176</v>
      </c>
      <c r="EA741" s="73">
        <v>0</v>
      </c>
      <c r="EB741" s="73">
        <v>176</v>
      </c>
      <c r="EC741" s="65" t="s">
        <v>126</v>
      </c>
    </row>
    <row r="742" spans="1:133" ht="12" customHeight="1" x14ac:dyDescent="0.2">
      <c r="A742" t="s">
        <v>2937</v>
      </c>
      <c r="B742" t="s">
        <v>2946</v>
      </c>
      <c r="C742" t="str">
        <f t="shared" si="34"/>
        <v>Full</v>
      </c>
      <c r="E742" s="65">
        <v>6609</v>
      </c>
      <c r="F742" t="s">
        <v>2463</v>
      </c>
      <c r="G742" s="71" t="s">
        <v>3947</v>
      </c>
      <c r="H742" s="67">
        <v>2.8099999427795401</v>
      </c>
      <c r="I742" s="65">
        <v>529294</v>
      </c>
      <c r="J742" s="65">
        <v>176489</v>
      </c>
      <c r="K742" s="65" t="s">
        <v>1922</v>
      </c>
      <c r="L742" s="65" t="s">
        <v>2464</v>
      </c>
      <c r="M742" s="65" t="s">
        <v>27</v>
      </c>
      <c r="N742" s="69">
        <v>42797</v>
      </c>
      <c r="O742" s="69">
        <v>42872</v>
      </c>
      <c r="P742" s="65" t="s">
        <v>126</v>
      </c>
      <c r="R742" s="65" t="s">
        <v>28</v>
      </c>
      <c r="U742" t="s">
        <v>2465</v>
      </c>
      <c r="V742" t="s">
        <v>3689</v>
      </c>
      <c r="W742" s="65" t="s">
        <v>39</v>
      </c>
      <c r="X742" s="65" t="s">
        <v>39</v>
      </c>
      <c r="Y742" s="65" t="s">
        <v>69</v>
      </c>
      <c r="AD742" s="65" t="s">
        <v>23</v>
      </c>
      <c r="AE742" s="65" t="s">
        <v>24</v>
      </c>
      <c r="BO742" s="185" t="s">
        <v>3794</v>
      </c>
      <c r="BP742" s="185" t="s">
        <v>3794</v>
      </c>
      <c r="BQ742" s="185" t="s">
        <v>3794</v>
      </c>
      <c r="BW742" s="73"/>
      <c r="BY742" s="185" t="s">
        <v>3794</v>
      </c>
      <c r="CJ742" t="s">
        <v>25</v>
      </c>
      <c r="CK742" t="s">
        <v>25</v>
      </c>
      <c r="CL742" t="s">
        <v>25</v>
      </c>
      <c r="CM742" t="s">
        <v>25</v>
      </c>
      <c r="CN742" t="s">
        <v>25</v>
      </c>
      <c r="CO742" t="s">
        <v>25</v>
      </c>
      <c r="CP742" t="s">
        <v>25</v>
      </c>
      <c r="CQ742" t="s">
        <v>25</v>
      </c>
      <c r="CR742" t="s">
        <v>25</v>
      </c>
      <c r="CS742" t="s">
        <v>25</v>
      </c>
      <c r="CT742" t="s">
        <v>25</v>
      </c>
      <c r="CU742" t="s">
        <v>25</v>
      </c>
      <c r="CV742" t="s">
        <v>25</v>
      </c>
      <c r="CW742" t="s">
        <v>25</v>
      </c>
      <c r="CX742" t="s">
        <v>25</v>
      </c>
      <c r="CY742" t="s">
        <v>25</v>
      </c>
      <c r="CZ742" t="s">
        <v>25</v>
      </c>
      <c r="DA742" t="s">
        <v>25</v>
      </c>
      <c r="DB742" t="s">
        <v>25</v>
      </c>
      <c r="DC742" t="s">
        <v>25</v>
      </c>
      <c r="DD742" t="s">
        <v>25</v>
      </c>
      <c r="DE742" t="s">
        <v>25</v>
      </c>
      <c r="DF742" t="s">
        <v>25</v>
      </c>
      <c r="DG742" t="s">
        <v>25</v>
      </c>
      <c r="DH742" t="s">
        <v>25</v>
      </c>
      <c r="DI742" t="s">
        <v>25</v>
      </c>
      <c r="DJ742" s="76">
        <v>2.8099999427795401</v>
      </c>
      <c r="DK742" s="73">
        <v>26</v>
      </c>
      <c r="DL742" s="73">
        <v>0</v>
      </c>
      <c r="DM742" s="73">
        <v>26</v>
      </c>
      <c r="DO742" s="65" t="s">
        <v>126</v>
      </c>
      <c r="DP742" t="s">
        <v>74</v>
      </c>
      <c r="DU742" s="65" t="s">
        <v>126</v>
      </c>
      <c r="DZ742" s="73">
        <v>0</v>
      </c>
      <c r="EA742" s="73">
        <v>0</v>
      </c>
      <c r="EB742" s="73">
        <v>0</v>
      </c>
    </row>
    <row r="743" spans="1:133" ht="12" customHeight="1" x14ac:dyDescent="0.2">
      <c r="A743" t="s">
        <v>2936</v>
      </c>
      <c r="B743" t="s">
        <v>2948</v>
      </c>
      <c r="C743" t="str">
        <f t="shared" si="34"/>
        <v>Prior Approval</v>
      </c>
      <c r="D743" t="s">
        <v>2942</v>
      </c>
      <c r="E743" s="65">
        <v>6610</v>
      </c>
      <c r="F743" t="s">
        <v>2466</v>
      </c>
      <c r="G743" s="71" t="s">
        <v>3942</v>
      </c>
      <c r="H743" s="67">
        <v>9.9999997764825804E-3</v>
      </c>
      <c r="I743" s="65">
        <v>527447</v>
      </c>
      <c r="J743" s="65">
        <v>175149</v>
      </c>
      <c r="L743" s="65" t="s">
        <v>2467</v>
      </c>
      <c r="M743" s="65" t="s">
        <v>243</v>
      </c>
      <c r="N743" s="69">
        <v>42888</v>
      </c>
      <c r="O743" s="69">
        <v>42943</v>
      </c>
      <c r="P743" s="65" t="s">
        <v>126</v>
      </c>
      <c r="R743" s="65" t="s">
        <v>28</v>
      </c>
      <c r="U743" t="s">
        <v>954</v>
      </c>
      <c r="V743" t="s">
        <v>3030</v>
      </c>
      <c r="W743" s="65" t="s">
        <v>21</v>
      </c>
      <c r="X743" s="65" t="s">
        <v>21</v>
      </c>
      <c r="Y743" s="65" t="s">
        <v>22</v>
      </c>
      <c r="AA743" s="69">
        <v>42943</v>
      </c>
      <c r="AB743" s="69">
        <v>43190</v>
      </c>
      <c r="AD743" s="65" t="s">
        <v>23</v>
      </c>
      <c r="AE743" s="65" t="s">
        <v>24</v>
      </c>
      <c r="AH743" s="69">
        <f t="shared" si="33"/>
        <v>42943</v>
      </c>
      <c r="AI743" s="69">
        <f t="shared" si="35"/>
        <v>43190</v>
      </c>
      <c r="AL743" s="73">
        <v>134</v>
      </c>
      <c r="AO743" s="73">
        <v>134</v>
      </c>
      <c r="AZ743" s="73">
        <v>134</v>
      </c>
      <c r="BE743" s="73">
        <v>134</v>
      </c>
      <c r="BO743" s="185" t="s">
        <v>126</v>
      </c>
      <c r="BP743" s="185" t="s">
        <v>3794</v>
      </c>
      <c r="BQ743" s="185" t="s">
        <v>3794</v>
      </c>
      <c r="BR743" s="73">
        <v>-134</v>
      </c>
      <c r="BT743" s="73">
        <v>134</v>
      </c>
      <c r="BW743" s="73"/>
      <c r="BY743" s="185" t="s">
        <v>3794</v>
      </c>
      <c r="CJ743" t="s">
        <v>25</v>
      </c>
      <c r="CK743" t="s">
        <v>25</v>
      </c>
      <c r="CL743" t="s">
        <v>38</v>
      </c>
      <c r="CM743" t="s">
        <v>25</v>
      </c>
      <c r="CN743" t="s">
        <v>25</v>
      </c>
      <c r="CO743" t="s">
        <v>25</v>
      </c>
      <c r="CP743" t="s">
        <v>25</v>
      </c>
      <c r="CQ743" t="s">
        <v>25</v>
      </c>
      <c r="CR743" t="s">
        <v>25</v>
      </c>
      <c r="CS743" t="s">
        <v>25</v>
      </c>
      <c r="CT743" t="s">
        <v>25</v>
      </c>
      <c r="CU743" t="s">
        <v>25</v>
      </c>
      <c r="CV743" t="s">
        <v>25</v>
      </c>
      <c r="CW743" t="s">
        <v>31</v>
      </c>
      <c r="CX743" t="s">
        <v>25</v>
      </c>
      <c r="CY743" t="s">
        <v>25</v>
      </c>
      <c r="CZ743" t="s">
        <v>25</v>
      </c>
      <c r="DA743" t="s">
        <v>25</v>
      </c>
      <c r="DB743" t="s">
        <v>25</v>
      </c>
      <c r="DC743" t="s">
        <v>25</v>
      </c>
      <c r="DD743" t="s">
        <v>25</v>
      </c>
      <c r="DE743" t="s">
        <v>25</v>
      </c>
      <c r="DF743" t="s">
        <v>25</v>
      </c>
      <c r="DG743" t="s">
        <v>25</v>
      </c>
      <c r="DH743" t="s">
        <v>25</v>
      </c>
      <c r="DI743" t="s">
        <v>25</v>
      </c>
      <c r="DJ743" s="76">
        <v>9.9999997764825804E-3</v>
      </c>
      <c r="DK743" s="73">
        <v>134</v>
      </c>
      <c r="DL743" s="73">
        <v>134</v>
      </c>
      <c r="DM743" s="73">
        <v>0</v>
      </c>
      <c r="DU743"/>
      <c r="DV743" s="65" t="s">
        <v>126</v>
      </c>
      <c r="DW743" t="s">
        <v>132</v>
      </c>
      <c r="DZ743" s="73">
        <v>0</v>
      </c>
      <c r="EA743" s="73">
        <v>0</v>
      </c>
      <c r="EB743" s="73">
        <v>0</v>
      </c>
    </row>
    <row r="744" spans="1:133" ht="12" customHeight="1" x14ac:dyDescent="0.2">
      <c r="A744" t="s">
        <v>2938</v>
      </c>
      <c r="B744" t="s">
        <v>2946</v>
      </c>
      <c r="C744" t="str">
        <f t="shared" si="34"/>
        <v>Full</v>
      </c>
      <c r="E744" s="65">
        <v>6613</v>
      </c>
      <c r="F744" t="s">
        <v>2468</v>
      </c>
      <c r="G744" s="71" t="s">
        <v>3946</v>
      </c>
      <c r="H744" s="67">
        <v>3.9000000804662698E-2</v>
      </c>
      <c r="I744" s="65">
        <v>523233</v>
      </c>
      <c r="J744" s="65">
        <v>176094</v>
      </c>
      <c r="L744" s="65" t="s">
        <v>2469</v>
      </c>
      <c r="M744" s="65" t="s">
        <v>172</v>
      </c>
      <c r="N744" s="69">
        <v>43088</v>
      </c>
      <c r="R744" s="65" t="s">
        <v>28</v>
      </c>
      <c r="U744" t="s">
        <v>2470</v>
      </c>
      <c r="V744" t="s">
        <v>3690</v>
      </c>
      <c r="W744" s="65" t="s">
        <v>29</v>
      </c>
      <c r="X744" s="65" t="s">
        <v>29</v>
      </c>
      <c r="Y744" s="65" t="s">
        <v>69</v>
      </c>
      <c r="AD744" s="65" t="s">
        <v>173</v>
      </c>
      <c r="AE744" s="65" t="s">
        <v>24</v>
      </c>
      <c r="AJ744" s="73">
        <v>35</v>
      </c>
      <c r="AK744" s="73">
        <v>35</v>
      </c>
      <c r="AO744" s="73">
        <v>70</v>
      </c>
      <c r="AP744" s="73">
        <v>35</v>
      </c>
      <c r="AS744" s="73">
        <v>35</v>
      </c>
      <c r="AV744" s="73">
        <v>35</v>
      </c>
      <c r="BF744" s="73">
        <v>100</v>
      </c>
      <c r="BJ744" s="73">
        <v>40</v>
      </c>
      <c r="BK744" s="73">
        <v>140</v>
      </c>
      <c r="BO744" s="185" t="s">
        <v>126</v>
      </c>
      <c r="BP744" s="185" t="s">
        <v>126</v>
      </c>
      <c r="BQ744" s="185" t="s">
        <v>3794</v>
      </c>
      <c r="BR744" s="73">
        <v>35</v>
      </c>
      <c r="BS744" s="73">
        <v>35</v>
      </c>
      <c r="BW744" s="73">
        <v>70</v>
      </c>
      <c r="BX744" s="73">
        <v>-65</v>
      </c>
      <c r="BY744" s="185" t="s">
        <v>126</v>
      </c>
      <c r="CC744" s="73">
        <v>-40</v>
      </c>
      <c r="CD744" s="73">
        <v>-105</v>
      </c>
      <c r="CE744" s="65" t="s">
        <v>126</v>
      </c>
      <c r="CJ744" t="s">
        <v>31</v>
      </c>
      <c r="CK744" t="s">
        <v>31</v>
      </c>
      <c r="CL744" t="s">
        <v>25</v>
      </c>
      <c r="CM744" t="s">
        <v>25</v>
      </c>
      <c r="CN744" t="s">
        <v>25</v>
      </c>
      <c r="CO744" t="s">
        <v>31</v>
      </c>
      <c r="CP744" t="s">
        <v>25</v>
      </c>
      <c r="CQ744" t="s">
        <v>25</v>
      </c>
      <c r="CR744" t="s">
        <v>25</v>
      </c>
      <c r="CS744" t="s">
        <v>25</v>
      </c>
      <c r="CT744" t="s">
        <v>25</v>
      </c>
      <c r="CU744" t="s">
        <v>25</v>
      </c>
      <c r="CV744" t="s">
        <v>25</v>
      </c>
      <c r="CW744" t="s">
        <v>25</v>
      </c>
      <c r="CX744" t="s">
        <v>25</v>
      </c>
      <c r="CY744" t="s">
        <v>25</v>
      </c>
      <c r="CZ744" t="s">
        <v>25</v>
      </c>
      <c r="DA744" t="s">
        <v>25</v>
      </c>
      <c r="DB744" t="s">
        <v>49</v>
      </c>
      <c r="DC744" t="s">
        <v>25</v>
      </c>
      <c r="DD744" t="s">
        <v>25</v>
      </c>
      <c r="DE744" t="s">
        <v>25</v>
      </c>
      <c r="DF744" t="s">
        <v>53</v>
      </c>
      <c r="DG744" t="s">
        <v>25</v>
      </c>
      <c r="DH744" t="s">
        <v>25</v>
      </c>
      <c r="DI744" t="s">
        <v>25</v>
      </c>
      <c r="DJ744" s="76">
        <v>8.0000013113021989E-3</v>
      </c>
      <c r="DK744" s="73">
        <v>105</v>
      </c>
      <c r="DL744" s="73">
        <v>278</v>
      </c>
      <c r="DM744" s="73">
        <v>-173</v>
      </c>
      <c r="DU744"/>
      <c r="DZ744" s="73">
        <v>408</v>
      </c>
      <c r="EA744" s="73">
        <v>0</v>
      </c>
      <c r="EB744" s="73">
        <v>408</v>
      </c>
      <c r="EC744" s="65" t="s">
        <v>126</v>
      </c>
    </row>
    <row r="745" spans="1:133" ht="12" customHeight="1" x14ac:dyDescent="0.2">
      <c r="A745" t="s">
        <v>2936</v>
      </c>
      <c r="B745" t="s">
        <v>2948</v>
      </c>
      <c r="C745" t="str">
        <f t="shared" si="34"/>
        <v>Prior Approval</v>
      </c>
      <c r="D745" t="s">
        <v>2943</v>
      </c>
      <c r="E745" s="65">
        <v>6616</v>
      </c>
      <c r="F745" t="s">
        <v>2471</v>
      </c>
      <c r="G745" s="71" t="s">
        <v>149</v>
      </c>
      <c r="H745" s="67">
        <v>6.0000000521540598E-3</v>
      </c>
      <c r="I745" s="65">
        <v>528584</v>
      </c>
      <c r="J745" s="65">
        <v>173374</v>
      </c>
      <c r="L745" s="65" t="s">
        <v>2472</v>
      </c>
      <c r="M745" s="65" t="s">
        <v>243</v>
      </c>
      <c r="N745" s="69">
        <v>42887</v>
      </c>
      <c r="O745" s="69">
        <v>42941</v>
      </c>
      <c r="P745" s="65" t="s">
        <v>126</v>
      </c>
      <c r="R745" s="65" t="s">
        <v>28</v>
      </c>
      <c r="U745" t="s">
        <v>2473</v>
      </c>
      <c r="V745" t="s">
        <v>3030</v>
      </c>
      <c r="W745" s="65" t="s">
        <v>21</v>
      </c>
      <c r="X745" s="65" t="s">
        <v>21</v>
      </c>
      <c r="Y745" s="65" t="s">
        <v>35</v>
      </c>
      <c r="AA745" s="69">
        <v>42941</v>
      </c>
      <c r="AB745" s="69">
        <v>43190</v>
      </c>
      <c r="AC745" s="69">
        <v>43190</v>
      </c>
      <c r="AD745" s="65" t="s">
        <v>23</v>
      </c>
      <c r="AE745" s="65" t="s">
        <v>24</v>
      </c>
      <c r="AH745" s="69">
        <f t="shared" si="33"/>
        <v>42941</v>
      </c>
      <c r="AI745" s="69">
        <f t="shared" si="35"/>
        <v>43190</v>
      </c>
      <c r="AL745" s="73">
        <v>74</v>
      </c>
      <c r="AO745" s="73">
        <v>74</v>
      </c>
      <c r="AZ745" s="73">
        <v>74</v>
      </c>
      <c r="BE745" s="73">
        <v>74</v>
      </c>
      <c r="BO745" s="185" t="s">
        <v>126</v>
      </c>
      <c r="BP745" s="185" t="s">
        <v>3794</v>
      </c>
      <c r="BQ745" s="185" t="s">
        <v>3794</v>
      </c>
      <c r="BR745" s="73">
        <v>-74</v>
      </c>
      <c r="BT745" s="73">
        <v>74</v>
      </c>
      <c r="BW745" s="73"/>
      <c r="BY745" s="185" t="s">
        <v>3794</v>
      </c>
      <c r="CJ745" t="s">
        <v>25</v>
      </c>
      <c r="CK745" t="s">
        <v>25</v>
      </c>
      <c r="CL745" t="s">
        <v>50</v>
      </c>
      <c r="CM745" t="s">
        <v>25</v>
      </c>
      <c r="CN745" t="s">
        <v>25</v>
      </c>
      <c r="CO745" t="s">
        <v>25</v>
      </c>
      <c r="CP745" t="s">
        <v>25</v>
      </c>
      <c r="CQ745" t="s">
        <v>25</v>
      </c>
      <c r="CR745" t="s">
        <v>25</v>
      </c>
      <c r="CS745" t="s">
        <v>25</v>
      </c>
      <c r="CT745" t="s">
        <v>25</v>
      </c>
      <c r="CU745" t="s">
        <v>25</v>
      </c>
      <c r="CV745" t="s">
        <v>25</v>
      </c>
      <c r="CW745" t="s">
        <v>40</v>
      </c>
      <c r="CX745" t="s">
        <v>25</v>
      </c>
      <c r="CY745" t="s">
        <v>25</v>
      </c>
      <c r="CZ745" t="s">
        <v>25</v>
      </c>
      <c r="DA745" t="s">
        <v>25</v>
      </c>
      <c r="DB745" t="s">
        <v>25</v>
      </c>
      <c r="DC745" t="s">
        <v>25</v>
      </c>
      <c r="DD745" t="s">
        <v>25</v>
      </c>
      <c r="DE745" t="s">
        <v>25</v>
      </c>
      <c r="DF745" t="s">
        <v>25</v>
      </c>
      <c r="DG745" t="s">
        <v>25</v>
      </c>
      <c r="DH745" t="s">
        <v>25</v>
      </c>
      <c r="DI745" t="s">
        <v>25</v>
      </c>
      <c r="DJ745" s="76">
        <v>6.0000000521540598E-3</v>
      </c>
      <c r="DK745" s="73">
        <v>74</v>
      </c>
      <c r="DL745" s="73">
        <v>74</v>
      </c>
      <c r="DM745" s="73">
        <v>0</v>
      </c>
      <c r="DU745"/>
      <c r="DV745" s="65" t="s">
        <v>126</v>
      </c>
      <c r="DW745" t="s">
        <v>149</v>
      </c>
      <c r="DZ745" s="73">
        <v>0</v>
      </c>
      <c r="EA745" s="73">
        <v>0</v>
      </c>
      <c r="EB745" s="73">
        <v>0</v>
      </c>
    </row>
    <row r="746" spans="1:133" ht="12" customHeight="1" x14ac:dyDescent="0.2">
      <c r="A746" t="s">
        <v>2937</v>
      </c>
      <c r="B746" t="s">
        <v>2946</v>
      </c>
      <c r="C746" t="str">
        <f t="shared" si="34"/>
        <v>Full</v>
      </c>
      <c r="E746" s="65">
        <v>6617</v>
      </c>
      <c r="F746" t="s">
        <v>2474</v>
      </c>
      <c r="G746" s="71" t="s">
        <v>3952</v>
      </c>
      <c r="H746" s="67">
        <v>1.60000007599592E-2</v>
      </c>
      <c r="I746" s="65">
        <v>528284</v>
      </c>
      <c r="J746" s="65">
        <v>172328</v>
      </c>
      <c r="L746" s="65" t="s">
        <v>2475</v>
      </c>
      <c r="M746" s="65" t="s">
        <v>27</v>
      </c>
      <c r="N746" s="69">
        <v>43011</v>
      </c>
      <c r="O746" s="69">
        <v>43129</v>
      </c>
      <c r="P746" s="65" t="s">
        <v>126</v>
      </c>
      <c r="R746" s="65" t="s">
        <v>28</v>
      </c>
      <c r="U746" t="s">
        <v>2476</v>
      </c>
      <c r="V746" t="s">
        <v>3691</v>
      </c>
      <c r="W746" s="65" t="s">
        <v>34</v>
      </c>
      <c r="X746" s="65" t="s">
        <v>29</v>
      </c>
      <c r="Y746" s="65" t="s">
        <v>69</v>
      </c>
      <c r="AD746" s="65" t="s">
        <v>23</v>
      </c>
      <c r="AE746" s="65" t="s">
        <v>24</v>
      </c>
      <c r="BO746" s="185" t="s">
        <v>3794</v>
      </c>
      <c r="BP746" s="185" t="s">
        <v>3794</v>
      </c>
      <c r="BQ746" s="185" t="s">
        <v>3794</v>
      </c>
      <c r="BW746" s="73"/>
      <c r="BY746" s="185" t="s">
        <v>3794</v>
      </c>
      <c r="CJ746" t="s">
        <v>25</v>
      </c>
      <c r="CK746" t="s">
        <v>25</v>
      </c>
      <c r="CL746" t="s">
        <v>25</v>
      </c>
      <c r="CM746" t="s">
        <v>25</v>
      </c>
      <c r="CN746" t="s">
        <v>25</v>
      </c>
      <c r="CO746" t="s">
        <v>25</v>
      </c>
      <c r="CP746" t="s">
        <v>25</v>
      </c>
      <c r="CQ746" t="s">
        <v>25</v>
      </c>
      <c r="CR746" t="s">
        <v>25</v>
      </c>
      <c r="CS746" t="s">
        <v>25</v>
      </c>
      <c r="CT746" t="s">
        <v>25</v>
      </c>
      <c r="CU746" t="s">
        <v>25</v>
      </c>
      <c r="CV746" t="s">
        <v>25</v>
      </c>
      <c r="CW746" t="s">
        <v>25</v>
      </c>
      <c r="CX746" t="s">
        <v>25</v>
      </c>
      <c r="CY746" t="s">
        <v>25</v>
      </c>
      <c r="CZ746" t="s">
        <v>25</v>
      </c>
      <c r="DA746" t="s">
        <v>25</v>
      </c>
      <c r="DB746" t="s">
        <v>25</v>
      </c>
      <c r="DC746" t="s">
        <v>25</v>
      </c>
      <c r="DD746" t="s">
        <v>25</v>
      </c>
      <c r="DE746" t="s">
        <v>25</v>
      </c>
      <c r="DF746" t="s">
        <v>25</v>
      </c>
      <c r="DG746" t="s">
        <v>25</v>
      </c>
      <c r="DH746" t="s">
        <v>25</v>
      </c>
      <c r="DI746" t="s">
        <v>25</v>
      </c>
      <c r="DJ746" s="76">
        <v>0</v>
      </c>
      <c r="DK746" s="73">
        <v>0</v>
      </c>
      <c r="DL746" s="73">
        <v>98</v>
      </c>
      <c r="DM746" s="73">
        <v>-98</v>
      </c>
      <c r="DU746"/>
      <c r="DZ746" s="73">
        <v>247</v>
      </c>
      <c r="EA746" s="73">
        <v>97</v>
      </c>
      <c r="EB746" s="73">
        <v>150</v>
      </c>
      <c r="EC746" s="65" t="s">
        <v>126</v>
      </c>
    </row>
    <row r="747" spans="1:133" ht="12" customHeight="1" x14ac:dyDescent="0.2">
      <c r="A747" t="s">
        <v>2937</v>
      </c>
      <c r="B747" t="s">
        <v>2946</v>
      </c>
      <c r="C747" t="str">
        <f t="shared" si="34"/>
        <v>Full</v>
      </c>
      <c r="E747" s="65">
        <v>6620</v>
      </c>
      <c r="F747" t="s">
        <v>2477</v>
      </c>
      <c r="G747" s="71" t="s">
        <v>3940</v>
      </c>
      <c r="H747" s="67">
        <v>5.7000000029802302E-2</v>
      </c>
      <c r="I747" s="65">
        <v>521316</v>
      </c>
      <c r="J747" s="65">
        <v>174751</v>
      </c>
      <c r="L747" s="65" t="s">
        <v>2478</v>
      </c>
      <c r="M747" s="65" t="s">
        <v>27</v>
      </c>
      <c r="N747" s="69">
        <v>42891</v>
      </c>
      <c r="O747" s="69">
        <v>42947</v>
      </c>
      <c r="P747" s="65" t="s">
        <v>126</v>
      </c>
      <c r="R747" s="65" t="s">
        <v>28</v>
      </c>
      <c r="U747" t="s">
        <v>2479</v>
      </c>
      <c r="V747" t="s">
        <v>3692</v>
      </c>
      <c r="W747" s="65" t="s">
        <v>21</v>
      </c>
      <c r="X747" s="65" t="s">
        <v>21</v>
      </c>
      <c r="Y747" s="65" t="s">
        <v>59</v>
      </c>
      <c r="AD747" s="65" t="s">
        <v>23</v>
      </c>
      <c r="AE747" s="65" t="s">
        <v>24</v>
      </c>
      <c r="AP747" s="73">
        <v>263</v>
      </c>
      <c r="AS747" s="73">
        <v>263</v>
      </c>
      <c r="AV747" s="73">
        <v>263</v>
      </c>
      <c r="BM747" s="73">
        <v>263</v>
      </c>
      <c r="BN747" s="73">
        <v>263</v>
      </c>
      <c r="BO747" s="185" t="s">
        <v>3794</v>
      </c>
      <c r="BP747" s="185" t="s">
        <v>126</v>
      </c>
      <c r="BQ747" s="185" t="s">
        <v>126</v>
      </c>
      <c r="BW747" s="73"/>
      <c r="BX747" s="73">
        <v>263</v>
      </c>
      <c r="BY747" s="185" t="s">
        <v>3794</v>
      </c>
      <c r="CD747" s="73">
        <v>263</v>
      </c>
      <c r="CH747" s="73">
        <v>-263</v>
      </c>
      <c r="CI747" s="73">
        <v>-263</v>
      </c>
      <c r="CJ747" t="s">
        <v>25</v>
      </c>
      <c r="CK747" t="s">
        <v>25</v>
      </c>
      <c r="CL747" t="s">
        <v>25</v>
      </c>
      <c r="CM747" t="s">
        <v>25</v>
      </c>
      <c r="CN747" t="s">
        <v>25</v>
      </c>
      <c r="CO747" t="s">
        <v>31</v>
      </c>
      <c r="CP747" t="s">
        <v>25</v>
      </c>
      <c r="CQ747" t="s">
        <v>25</v>
      </c>
      <c r="CR747" t="s">
        <v>25</v>
      </c>
      <c r="CS747" t="s">
        <v>25</v>
      </c>
      <c r="CT747" t="s">
        <v>25</v>
      </c>
      <c r="CU747" t="s">
        <v>25</v>
      </c>
      <c r="CV747" t="s">
        <v>25</v>
      </c>
      <c r="CW747" t="s">
        <v>25</v>
      </c>
      <c r="CX747" t="s">
        <v>25</v>
      </c>
      <c r="CY747" t="s">
        <v>25</v>
      </c>
      <c r="CZ747" t="s">
        <v>25</v>
      </c>
      <c r="DA747" t="s">
        <v>25</v>
      </c>
      <c r="DB747" t="s">
        <v>25</v>
      </c>
      <c r="DC747" t="s">
        <v>25</v>
      </c>
      <c r="DD747" t="s">
        <v>25</v>
      </c>
      <c r="DE747" t="s">
        <v>25</v>
      </c>
      <c r="DF747" t="s">
        <v>25</v>
      </c>
      <c r="DG747" t="s">
        <v>25</v>
      </c>
      <c r="DH747" t="s">
        <v>25</v>
      </c>
      <c r="DI747" t="s">
        <v>47</v>
      </c>
      <c r="DJ747" s="76">
        <v>5.7000000029802302E-2</v>
      </c>
      <c r="DK747" s="73">
        <v>263</v>
      </c>
      <c r="DL747" s="73">
        <v>263</v>
      </c>
      <c r="DM747" s="73">
        <v>0</v>
      </c>
      <c r="DU747"/>
      <c r="DZ747" s="73">
        <v>0</v>
      </c>
      <c r="EA747" s="73">
        <v>0</v>
      </c>
      <c r="EB747" s="73">
        <v>0</v>
      </c>
    </row>
    <row r="748" spans="1:133" ht="12" customHeight="1" x14ac:dyDescent="0.2">
      <c r="A748" t="s">
        <v>2935</v>
      </c>
      <c r="B748" t="s">
        <v>2946</v>
      </c>
      <c r="C748" t="str">
        <f t="shared" si="34"/>
        <v>Full</v>
      </c>
      <c r="E748" s="65">
        <v>6624</v>
      </c>
      <c r="F748" t="s">
        <v>2480</v>
      </c>
      <c r="G748" s="71" t="s">
        <v>3942</v>
      </c>
      <c r="H748" s="67">
        <v>1.30000002682209E-2</v>
      </c>
      <c r="I748" s="65">
        <v>527563</v>
      </c>
      <c r="J748" s="65">
        <v>174577</v>
      </c>
      <c r="L748" s="65" t="s">
        <v>2481</v>
      </c>
      <c r="M748" s="65" t="s">
        <v>27</v>
      </c>
      <c r="N748" s="69">
        <v>42899</v>
      </c>
      <c r="O748" s="69">
        <v>43032</v>
      </c>
      <c r="P748" s="65" t="s">
        <v>126</v>
      </c>
      <c r="R748" s="65" t="s">
        <v>28</v>
      </c>
      <c r="U748" t="s">
        <v>2482</v>
      </c>
      <c r="V748" t="s">
        <v>3693</v>
      </c>
      <c r="W748" s="65" t="s">
        <v>34</v>
      </c>
      <c r="X748" s="65" t="s">
        <v>29</v>
      </c>
      <c r="Y748" s="65" t="s">
        <v>30</v>
      </c>
      <c r="AA748" s="69">
        <v>41091</v>
      </c>
      <c r="AD748" s="65" t="s">
        <v>23</v>
      </c>
      <c r="AE748" s="65" t="s">
        <v>24</v>
      </c>
      <c r="AH748" s="69">
        <f t="shared" si="33"/>
        <v>41091</v>
      </c>
      <c r="AL748" s="73">
        <v>144</v>
      </c>
      <c r="AO748" s="73">
        <v>144</v>
      </c>
      <c r="AZ748" s="73">
        <v>57</v>
      </c>
      <c r="BE748" s="73">
        <v>57</v>
      </c>
      <c r="BO748" s="185" t="s">
        <v>126</v>
      </c>
      <c r="BP748" s="185" t="s">
        <v>3794</v>
      </c>
      <c r="BQ748" s="185" t="s">
        <v>3794</v>
      </c>
      <c r="BR748" s="73">
        <v>-57</v>
      </c>
      <c r="BT748" s="73">
        <v>144</v>
      </c>
      <c r="BW748" s="73">
        <v>87</v>
      </c>
      <c r="BY748" s="185" t="s">
        <v>3794</v>
      </c>
      <c r="CJ748" t="s">
        <v>25</v>
      </c>
      <c r="CK748" t="s">
        <v>25</v>
      </c>
      <c r="CL748" t="s">
        <v>38</v>
      </c>
      <c r="CM748" t="s">
        <v>25</v>
      </c>
      <c r="CN748" t="s">
        <v>25</v>
      </c>
      <c r="CO748" t="s">
        <v>25</v>
      </c>
      <c r="CP748" t="s">
        <v>25</v>
      </c>
      <c r="CQ748" t="s">
        <v>25</v>
      </c>
      <c r="CR748" t="s">
        <v>25</v>
      </c>
      <c r="CS748" t="s">
        <v>25</v>
      </c>
      <c r="CT748" t="s">
        <v>25</v>
      </c>
      <c r="CU748" t="s">
        <v>25</v>
      </c>
      <c r="CV748" t="s">
        <v>25</v>
      </c>
      <c r="CW748" t="s">
        <v>31</v>
      </c>
      <c r="CX748" t="s">
        <v>25</v>
      </c>
      <c r="CY748" t="s">
        <v>25</v>
      </c>
      <c r="CZ748" t="s">
        <v>25</v>
      </c>
      <c r="DA748" t="s">
        <v>25</v>
      </c>
      <c r="DB748" t="s">
        <v>25</v>
      </c>
      <c r="DC748" t="s">
        <v>25</v>
      </c>
      <c r="DD748" t="s">
        <v>25</v>
      </c>
      <c r="DE748" t="s">
        <v>25</v>
      </c>
      <c r="DF748" t="s">
        <v>25</v>
      </c>
      <c r="DG748" t="s">
        <v>25</v>
      </c>
      <c r="DH748" t="s">
        <v>25</v>
      </c>
      <c r="DI748" t="s">
        <v>25</v>
      </c>
      <c r="DJ748" s="76">
        <v>1.30000002682209E-2</v>
      </c>
      <c r="DK748" s="73">
        <v>144</v>
      </c>
      <c r="DL748" s="73">
        <v>57</v>
      </c>
      <c r="DM748" s="73">
        <v>87</v>
      </c>
      <c r="DU748"/>
      <c r="DZ748" s="73">
        <v>0</v>
      </c>
      <c r="EA748" s="73">
        <v>0</v>
      </c>
      <c r="EB748" s="73">
        <v>0</v>
      </c>
    </row>
    <row r="749" spans="1:133" ht="12" customHeight="1" x14ac:dyDescent="0.2">
      <c r="A749" t="s">
        <v>2937</v>
      </c>
      <c r="B749" t="s">
        <v>2946</v>
      </c>
      <c r="C749" t="str">
        <f t="shared" si="34"/>
        <v>Full</v>
      </c>
      <c r="E749" s="65">
        <v>6625</v>
      </c>
      <c r="F749" t="s">
        <v>2483</v>
      </c>
      <c r="G749" s="71" t="s">
        <v>3942</v>
      </c>
      <c r="H749" s="67">
        <v>9.9999997764825804E-3</v>
      </c>
      <c r="I749" s="65">
        <v>527466</v>
      </c>
      <c r="J749" s="65">
        <v>174983</v>
      </c>
      <c r="L749" s="65" t="s">
        <v>2484</v>
      </c>
      <c r="M749" s="65" t="s">
        <v>27</v>
      </c>
      <c r="N749" s="69">
        <v>42898</v>
      </c>
      <c r="O749" s="69">
        <v>42954</v>
      </c>
      <c r="P749" s="65" t="s">
        <v>126</v>
      </c>
      <c r="R749" s="65" t="s">
        <v>28</v>
      </c>
      <c r="U749" t="s">
        <v>2485</v>
      </c>
      <c r="V749" t="s">
        <v>3145</v>
      </c>
      <c r="W749" s="65" t="s">
        <v>21</v>
      </c>
      <c r="X749" s="65" t="s">
        <v>21</v>
      </c>
      <c r="Y749" s="65" t="s">
        <v>69</v>
      </c>
      <c r="AD749" s="65" t="s">
        <v>23</v>
      </c>
      <c r="AE749" s="65" t="s">
        <v>24</v>
      </c>
      <c r="AL749" s="73">
        <v>112</v>
      </c>
      <c r="AO749" s="73">
        <v>112</v>
      </c>
      <c r="AZ749" s="73">
        <v>112</v>
      </c>
      <c r="BE749" s="73">
        <v>112</v>
      </c>
      <c r="BO749" s="185" t="s">
        <v>126</v>
      </c>
      <c r="BP749" s="185" t="s">
        <v>3794</v>
      </c>
      <c r="BQ749" s="185" t="s">
        <v>3794</v>
      </c>
      <c r="BR749" s="73">
        <v>-112</v>
      </c>
      <c r="BT749" s="73">
        <v>112</v>
      </c>
      <c r="BW749" s="73"/>
      <c r="BY749" s="185" t="s">
        <v>3794</v>
      </c>
      <c r="CJ749" t="s">
        <v>25</v>
      </c>
      <c r="CK749" t="s">
        <v>25</v>
      </c>
      <c r="CL749" t="s">
        <v>38</v>
      </c>
      <c r="CM749" t="s">
        <v>25</v>
      </c>
      <c r="CN749" t="s">
        <v>25</v>
      </c>
      <c r="CO749" t="s">
        <v>25</v>
      </c>
      <c r="CP749" t="s">
        <v>25</v>
      </c>
      <c r="CQ749" t="s">
        <v>25</v>
      </c>
      <c r="CR749" t="s">
        <v>25</v>
      </c>
      <c r="CS749" t="s">
        <v>25</v>
      </c>
      <c r="CT749" t="s">
        <v>25</v>
      </c>
      <c r="CU749" t="s">
        <v>25</v>
      </c>
      <c r="CV749" t="s">
        <v>25</v>
      </c>
      <c r="CW749" t="s">
        <v>40</v>
      </c>
      <c r="CX749" t="s">
        <v>25</v>
      </c>
      <c r="CY749" t="s">
        <v>25</v>
      </c>
      <c r="CZ749" t="s">
        <v>25</v>
      </c>
      <c r="DA749" t="s">
        <v>25</v>
      </c>
      <c r="DB749" t="s">
        <v>25</v>
      </c>
      <c r="DC749" t="s">
        <v>25</v>
      </c>
      <c r="DD749" t="s">
        <v>25</v>
      </c>
      <c r="DE749" t="s">
        <v>25</v>
      </c>
      <c r="DF749" t="s">
        <v>25</v>
      </c>
      <c r="DG749" t="s">
        <v>25</v>
      </c>
      <c r="DH749" t="s">
        <v>25</v>
      </c>
      <c r="DI749" t="s">
        <v>25</v>
      </c>
      <c r="DJ749" s="76">
        <v>9.9999997764825804E-3</v>
      </c>
      <c r="DK749" s="73">
        <v>112</v>
      </c>
      <c r="DL749" s="73">
        <v>112</v>
      </c>
      <c r="DM749" s="73">
        <v>0</v>
      </c>
      <c r="DU749"/>
      <c r="DV749" s="65" t="s">
        <v>126</v>
      </c>
      <c r="DW749" t="s">
        <v>132</v>
      </c>
      <c r="DZ749" s="73">
        <v>0</v>
      </c>
      <c r="EA749" s="73">
        <v>0</v>
      </c>
      <c r="EB749" s="73">
        <v>0</v>
      </c>
    </row>
    <row r="750" spans="1:133" ht="12" customHeight="1" x14ac:dyDescent="0.2">
      <c r="A750" t="s">
        <v>2938</v>
      </c>
      <c r="B750" t="s">
        <v>2946</v>
      </c>
      <c r="C750" t="str">
        <f t="shared" si="34"/>
        <v>Full</v>
      </c>
      <c r="E750" s="65">
        <v>6626</v>
      </c>
      <c r="F750" t="s">
        <v>2486</v>
      </c>
      <c r="G750" s="71" t="s">
        <v>3947</v>
      </c>
      <c r="H750" s="67">
        <v>2.4000000208616298E-2</v>
      </c>
      <c r="I750" s="65">
        <v>528645</v>
      </c>
      <c r="J750" s="65">
        <v>175982</v>
      </c>
      <c r="L750" s="65" t="s">
        <v>2487</v>
      </c>
      <c r="M750" s="65" t="s">
        <v>172</v>
      </c>
      <c r="N750" s="69">
        <v>43042</v>
      </c>
      <c r="R750" s="65" t="s">
        <v>28</v>
      </c>
      <c r="U750" t="s">
        <v>2488</v>
      </c>
      <c r="V750" t="s">
        <v>3694</v>
      </c>
      <c r="W750" s="65" t="s">
        <v>29</v>
      </c>
      <c r="X750" s="65" t="s">
        <v>29</v>
      </c>
      <c r="Y750" s="65" t="s">
        <v>69</v>
      </c>
      <c r="AD750" s="65" t="s">
        <v>173</v>
      </c>
      <c r="AE750" s="65" t="s">
        <v>24</v>
      </c>
      <c r="BC750" s="73">
        <v>11</v>
      </c>
      <c r="BE750" s="73">
        <v>11</v>
      </c>
      <c r="BO750" s="185" t="s">
        <v>126</v>
      </c>
      <c r="BP750" s="185" t="s">
        <v>3794</v>
      </c>
      <c r="BQ750" s="185" t="s">
        <v>3794</v>
      </c>
      <c r="BU750" s="73">
        <v>-11</v>
      </c>
      <c r="BW750" s="73">
        <v>-11</v>
      </c>
      <c r="BY750" s="185" t="s">
        <v>3794</v>
      </c>
      <c r="CJ750" t="s">
        <v>25</v>
      </c>
      <c r="CK750" t="s">
        <v>25</v>
      </c>
      <c r="CL750" t="s">
        <v>25</v>
      </c>
      <c r="CM750" t="s">
        <v>25</v>
      </c>
      <c r="CN750" t="s">
        <v>25</v>
      </c>
      <c r="CO750" t="s">
        <v>25</v>
      </c>
      <c r="CP750" t="s">
        <v>25</v>
      </c>
      <c r="CQ750" t="s">
        <v>25</v>
      </c>
      <c r="CR750" t="s">
        <v>25</v>
      </c>
      <c r="CS750" t="s">
        <v>25</v>
      </c>
      <c r="CT750" t="s">
        <v>25</v>
      </c>
      <c r="CU750" t="s">
        <v>25</v>
      </c>
      <c r="CV750" t="s">
        <v>25</v>
      </c>
      <c r="CW750" t="s">
        <v>25</v>
      </c>
      <c r="CX750" t="s">
        <v>25</v>
      </c>
      <c r="CY750" t="s">
        <v>25</v>
      </c>
      <c r="CZ750" t="s">
        <v>71</v>
      </c>
      <c r="DA750" t="s">
        <v>25</v>
      </c>
      <c r="DB750" t="s">
        <v>25</v>
      </c>
      <c r="DC750" t="s">
        <v>25</v>
      </c>
      <c r="DD750" t="s">
        <v>25</v>
      </c>
      <c r="DE750" t="s">
        <v>25</v>
      </c>
      <c r="DF750" t="s">
        <v>25</v>
      </c>
      <c r="DG750" t="s">
        <v>25</v>
      </c>
      <c r="DH750" t="s">
        <v>25</v>
      </c>
      <c r="DI750" t="s">
        <v>25</v>
      </c>
      <c r="DJ750" s="76">
        <v>9.0000005438923992E-3</v>
      </c>
      <c r="DK750" s="73">
        <v>0</v>
      </c>
      <c r="DL750" s="73">
        <v>11</v>
      </c>
      <c r="DM750" s="73">
        <v>-11</v>
      </c>
      <c r="DU750"/>
      <c r="DZ750" s="73">
        <v>150</v>
      </c>
      <c r="EA750" s="73">
        <v>0</v>
      </c>
      <c r="EB750" s="73">
        <v>150</v>
      </c>
      <c r="EC750" s="65" t="s">
        <v>126</v>
      </c>
    </row>
    <row r="751" spans="1:133" ht="12" customHeight="1" x14ac:dyDescent="0.2">
      <c r="A751" t="s">
        <v>2938</v>
      </c>
      <c r="B751" t="s">
        <v>2946</v>
      </c>
      <c r="C751" t="str">
        <f t="shared" si="34"/>
        <v>Full</v>
      </c>
      <c r="E751" s="65">
        <v>6626</v>
      </c>
      <c r="F751" t="s">
        <v>2486</v>
      </c>
      <c r="G751" s="71" t="s">
        <v>3947</v>
      </c>
      <c r="H751" s="67">
        <v>2.4000000208616298E-2</v>
      </c>
      <c r="I751" s="65">
        <v>528645</v>
      </c>
      <c r="J751" s="65">
        <v>175982</v>
      </c>
      <c r="L751" s="65" t="s">
        <v>2489</v>
      </c>
      <c r="M751" s="65" t="s">
        <v>172</v>
      </c>
      <c r="N751" s="69">
        <v>43123</v>
      </c>
      <c r="R751" s="65" t="s">
        <v>28</v>
      </c>
      <c r="U751" t="s">
        <v>2490</v>
      </c>
      <c r="V751" t="s">
        <v>3695</v>
      </c>
      <c r="W751" s="65" t="s">
        <v>34</v>
      </c>
      <c r="X751" s="65" t="s">
        <v>29</v>
      </c>
      <c r="Y751" s="65" t="s">
        <v>69</v>
      </c>
      <c r="AD751" s="65" t="s">
        <v>173</v>
      </c>
      <c r="AE751" s="65" t="s">
        <v>24</v>
      </c>
      <c r="AM751" s="73">
        <v>352</v>
      </c>
      <c r="AO751" s="73">
        <v>352</v>
      </c>
      <c r="BC751" s="73">
        <v>714</v>
      </c>
      <c r="BE751" s="73">
        <v>714</v>
      </c>
      <c r="BO751" s="185" t="s">
        <v>126</v>
      </c>
      <c r="BP751" s="185" t="s">
        <v>3794</v>
      </c>
      <c r="BQ751" s="185" t="s">
        <v>3794</v>
      </c>
      <c r="BU751" s="73">
        <v>-362</v>
      </c>
      <c r="BW751" s="73">
        <v>-362</v>
      </c>
      <c r="BY751" s="185" t="s">
        <v>3794</v>
      </c>
      <c r="CJ751" t="s">
        <v>25</v>
      </c>
      <c r="CK751" t="s">
        <v>25</v>
      </c>
      <c r="CL751" t="s">
        <v>25</v>
      </c>
      <c r="CM751" t="s">
        <v>71</v>
      </c>
      <c r="CN751" t="s">
        <v>25</v>
      </c>
      <c r="CO751" t="s">
        <v>25</v>
      </c>
      <c r="CP751" t="s">
        <v>25</v>
      </c>
      <c r="CQ751" t="s">
        <v>25</v>
      </c>
      <c r="CR751" t="s">
        <v>25</v>
      </c>
      <c r="CS751" t="s">
        <v>25</v>
      </c>
      <c r="CT751" t="s">
        <v>25</v>
      </c>
      <c r="CU751" t="s">
        <v>25</v>
      </c>
      <c r="CV751" t="s">
        <v>25</v>
      </c>
      <c r="CW751" t="s">
        <v>25</v>
      </c>
      <c r="CX751" t="s">
        <v>25</v>
      </c>
      <c r="CY751" t="s">
        <v>25</v>
      </c>
      <c r="CZ751" t="s">
        <v>71</v>
      </c>
      <c r="DA751" t="s">
        <v>25</v>
      </c>
      <c r="DB751" t="s">
        <v>25</v>
      </c>
      <c r="DC751" t="s">
        <v>25</v>
      </c>
      <c r="DD751" t="s">
        <v>25</v>
      </c>
      <c r="DE751" t="s">
        <v>25</v>
      </c>
      <c r="DF751" t="s">
        <v>25</v>
      </c>
      <c r="DG751" t="s">
        <v>25</v>
      </c>
      <c r="DH751" t="s">
        <v>25</v>
      </c>
      <c r="DI751" t="s">
        <v>25</v>
      </c>
      <c r="DJ751" s="76">
        <v>1.0000000009313299E-2</v>
      </c>
      <c r="DK751" s="73">
        <v>352</v>
      </c>
      <c r="DL751" s="73">
        <v>714</v>
      </c>
      <c r="DM751" s="73">
        <v>-362</v>
      </c>
      <c r="DU751"/>
      <c r="DZ751" s="73">
        <v>453</v>
      </c>
      <c r="EA751" s="73">
        <v>0</v>
      </c>
      <c r="EB751" s="73">
        <v>453</v>
      </c>
      <c r="EC751" s="65" t="s">
        <v>126</v>
      </c>
    </row>
    <row r="752" spans="1:133" ht="12" customHeight="1" x14ac:dyDescent="0.2">
      <c r="A752" t="s">
        <v>2937</v>
      </c>
      <c r="B752" t="s">
        <v>2946</v>
      </c>
      <c r="C752" t="str">
        <f t="shared" si="34"/>
        <v>Full</v>
      </c>
      <c r="E752" s="65">
        <v>6627</v>
      </c>
      <c r="F752" t="s">
        <v>2491</v>
      </c>
      <c r="G752" s="71" t="s">
        <v>3947</v>
      </c>
      <c r="H752" s="67">
        <v>1.09999999403954E-2</v>
      </c>
      <c r="I752" s="65">
        <v>528710</v>
      </c>
      <c r="J752" s="65">
        <v>176889</v>
      </c>
      <c r="K752" s="65" t="s">
        <v>2071</v>
      </c>
      <c r="L752" s="65" t="s">
        <v>2492</v>
      </c>
      <c r="M752" s="65" t="s">
        <v>27</v>
      </c>
      <c r="N752" s="69">
        <v>42895</v>
      </c>
      <c r="O752" s="69">
        <v>42984</v>
      </c>
      <c r="P752" s="65" t="s">
        <v>126</v>
      </c>
      <c r="R752" s="65" t="s">
        <v>28</v>
      </c>
      <c r="U752" t="s">
        <v>2493</v>
      </c>
      <c r="V752" t="s">
        <v>3696</v>
      </c>
      <c r="W752" s="65" t="s">
        <v>34</v>
      </c>
      <c r="X752" s="65" t="s">
        <v>29</v>
      </c>
      <c r="Y752" s="65" t="s">
        <v>69</v>
      </c>
      <c r="AD752" s="65" t="s">
        <v>23</v>
      </c>
      <c r="AE752" s="65" t="s">
        <v>24</v>
      </c>
      <c r="AU752" s="73">
        <v>73</v>
      </c>
      <c r="AV752" s="73">
        <v>73</v>
      </c>
      <c r="BO752" s="185" t="s">
        <v>3794</v>
      </c>
      <c r="BP752" s="185" t="s">
        <v>126</v>
      </c>
      <c r="BQ752" s="185" t="s">
        <v>3794</v>
      </c>
      <c r="BW752" s="73"/>
      <c r="BY752" s="185" t="s">
        <v>3794</v>
      </c>
      <c r="CC752" s="73">
        <v>73</v>
      </c>
      <c r="CD752" s="73">
        <v>73</v>
      </c>
      <c r="CJ752" t="s">
        <v>25</v>
      </c>
      <c r="CK752" t="s">
        <v>25</v>
      </c>
      <c r="CL752" t="s">
        <v>25</v>
      </c>
      <c r="CM752" t="s">
        <v>25</v>
      </c>
      <c r="CN752" t="s">
        <v>25</v>
      </c>
      <c r="CO752" t="s">
        <v>25</v>
      </c>
      <c r="CP752" t="s">
        <v>25</v>
      </c>
      <c r="CQ752" t="s">
        <v>25</v>
      </c>
      <c r="CR752" t="s">
        <v>25</v>
      </c>
      <c r="CS752" t="s">
        <v>53</v>
      </c>
      <c r="CT752" t="s">
        <v>25</v>
      </c>
      <c r="CU752" t="s">
        <v>25</v>
      </c>
      <c r="CV752" t="s">
        <v>25</v>
      </c>
      <c r="CW752" t="s">
        <v>25</v>
      </c>
      <c r="CX752" t="s">
        <v>25</v>
      </c>
      <c r="CY752" t="s">
        <v>25</v>
      </c>
      <c r="CZ752" t="s">
        <v>25</v>
      </c>
      <c r="DA752" t="s">
        <v>25</v>
      </c>
      <c r="DB752" t="s">
        <v>25</v>
      </c>
      <c r="DC752" t="s">
        <v>25</v>
      </c>
      <c r="DD752" t="s">
        <v>25</v>
      </c>
      <c r="DE752" t="s">
        <v>25</v>
      </c>
      <c r="DF752" t="s">
        <v>25</v>
      </c>
      <c r="DG752" t="s">
        <v>25</v>
      </c>
      <c r="DH752" t="s">
        <v>25</v>
      </c>
      <c r="DI752" t="s">
        <v>25</v>
      </c>
      <c r="DJ752" s="76">
        <v>3.9999997243285604E-3</v>
      </c>
      <c r="DK752" s="73">
        <v>73</v>
      </c>
      <c r="DL752" s="73">
        <v>0</v>
      </c>
      <c r="DM752" s="73">
        <v>73</v>
      </c>
      <c r="DU752" s="65" t="s">
        <v>126</v>
      </c>
      <c r="DZ752" s="73">
        <v>199</v>
      </c>
      <c r="EA752" s="73">
        <v>177</v>
      </c>
      <c r="EB752" s="73">
        <v>22</v>
      </c>
      <c r="EC752" s="65" t="s">
        <v>126</v>
      </c>
    </row>
    <row r="753" spans="1:133" ht="12" customHeight="1" x14ac:dyDescent="0.2">
      <c r="A753" t="s">
        <v>2938</v>
      </c>
      <c r="B753" t="s">
        <v>2946</v>
      </c>
      <c r="C753" t="str">
        <f t="shared" si="34"/>
        <v>Full</v>
      </c>
      <c r="E753" s="65">
        <v>6633</v>
      </c>
      <c r="F753" t="s">
        <v>2494</v>
      </c>
      <c r="G753" s="71" t="s">
        <v>3945</v>
      </c>
      <c r="H753" s="67">
        <v>9.4999998807907104E-2</v>
      </c>
      <c r="I753" s="65">
        <v>528446</v>
      </c>
      <c r="J753" s="65">
        <v>175694</v>
      </c>
      <c r="L753" s="65" t="s">
        <v>2496</v>
      </c>
      <c r="M753" s="65" t="s">
        <v>172</v>
      </c>
      <c r="N753" s="69">
        <v>43129</v>
      </c>
      <c r="R753" s="65" t="s">
        <v>28</v>
      </c>
      <c r="U753" t="s">
        <v>2495</v>
      </c>
      <c r="V753" t="s">
        <v>3697</v>
      </c>
      <c r="W753" s="65" t="s">
        <v>29</v>
      </c>
      <c r="X753" s="65" t="s">
        <v>29</v>
      </c>
      <c r="Y753" s="65" t="s">
        <v>69</v>
      </c>
      <c r="AD753" s="65" t="s">
        <v>173</v>
      </c>
      <c r="AE753" s="65" t="s">
        <v>24</v>
      </c>
      <c r="BF753" s="73">
        <v>427</v>
      </c>
      <c r="BK753" s="73">
        <v>427</v>
      </c>
      <c r="BO753" s="185" t="s">
        <v>3794</v>
      </c>
      <c r="BP753" s="185" t="s">
        <v>126</v>
      </c>
      <c r="BQ753" s="185" t="s">
        <v>3794</v>
      </c>
      <c r="BW753" s="73"/>
      <c r="BX753" s="73">
        <v>-427</v>
      </c>
      <c r="BY753" s="185" t="s">
        <v>126</v>
      </c>
      <c r="CD753" s="73">
        <v>-427</v>
      </c>
      <c r="CE753" s="65" t="s">
        <v>126</v>
      </c>
      <c r="CJ753" t="s">
        <v>25</v>
      </c>
      <c r="CK753" t="s">
        <v>25</v>
      </c>
      <c r="CL753" t="s">
        <v>25</v>
      </c>
      <c r="CM753" t="s">
        <v>25</v>
      </c>
      <c r="CN753" t="s">
        <v>25</v>
      </c>
      <c r="CO753" t="s">
        <v>25</v>
      </c>
      <c r="CP753" t="s">
        <v>25</v>
      </c>
      <c r="CQ753" t="s">
        <v>25</v>
      </c>
      <c r="CR753" t="s">
        <v>25</v>
      </c>
      <c r="CS753" t="s">
        <v>25</v>
      </c>
      <c r="CT753" t="s">
        <v>25</v>
      </c>
      <c r="CU753" t="s">
        <v>25</v>
      </c>
      <c r="CV753" t="s">
        <v>25</v>
      </c>
      <c r="CW753" t="s">
        <v>25</v>
      </c>
      <c r="CX753" t="s">
        <v>25</v>
      </c>
      <c r="CY753" t="s">
        <v>25</v>
      </c>
      <c r="CZ753" t="s">
        <v>25</v>
      </c>
      <c r="DA753" t="s">
        <v>25</v>
      </c>
      <c r="DB753" t="s">
        <v>47</v>
      </c>
      <c r="DC753" t="s">
        <v>25</v>
      </c>
      <c r="DD753" t="s">
        <v>25</v>
      </c>
      <c r="DE753" t="s">
        <v>25</v>
      </c>
      <c r="DF753" t="s">
        <v>25</v>
      </c>
      <c r="DG753" t="s">
        <v>25</v>
      </c>
      <c r="DH753" t="s">
        <v>25</v>
      </c>
      <c r="DI753" t="s">
        <v>25</v>
      </c>
      <c r="DJ753" s="76">
        <v>0</v>
      </c>
      <c r="DK753" s="73">
        <v>0</v>
      </c>
      <c r="DL753" s="73">
        <v>427</v>
      </c>
      <c r="DM753" s="73">
        <v>-427</v>
      </c>
      <c r="DU753"/>
      <c r="DZ753" s="73">
        <v>762</v>
      </c>
      <c r="EA753" s="73">
        <v>178</v>
      </c>
      <c r="EB753" s="73">
        <v>584</v>
      </c>
      <c r="EC753" s="65" t="s">
        <v>126</v>
      </c>
    </row>
    <row r="754" spans="1:133" ht="12" customHeight="1" x14ac:dyDescent="0.2">
      <c r="A754" t="s">
        <v>2935</v>
      </c>
      <c r="B754" t="s">
        <v>2946</v>
      </c>
      <c r="C754" t="str">
        <f t="shared" si="34"/>
        <v>Full</v>
      </c>
      <c r="E754" s="65">
        <v>6642</v>
      </c>
      <c r="F754" t="s">
        <v>2503</v>
      </c>
      <c r="G754" s="71" t="s">
        <v>3941</v>
      </c>
      <c r="H754" s="67">
        <v>4.0000001899898104E-3</v>
      </c>
      <c r="I754" s="65">
        <v>528440</v>
      </c>
      <c r="J754" s="65">
        <v>173266</v>
      </c>
      <c r="L754" s="65" t="s">
        <v>2504</v>
      </c>
      <c r="M754" s="65" t="s">
        <v>27</v>
      </c>
      <c r="N754" s="69">
        <v>42923</v>
      </c>
      <c r="O754" s="69">
        <v>43039</v>
      </c>
      <c r="P754" s="65" t="s">
        <v>126</v>
      </c>
      <c r="R754" s="65" t="s">
        <v>28</v>
      </c>
      <c r="U754" t="s">
        <v>2505</v>
      </c>
      <c r="V754" t="s">
        <v>3698</v>
      </c>
      <c r="W754" s="65" t="s">
        <v>21</v>
      </c>
      <c r="X754" s="65" t="s">
        <v>21</v>
      </c>
      <c r="Y754" s="65" t="s">
        <v>30</v>
      </c>
      <c r="AA754" s="69">
        <v>43190</v>
      </c>
      <c r="AD754" s="65" t="s">
        <v>23</v>
      </c>
      <c r="AE754" s="65" t="s">
        <v>24</v>
      </c>
      <c r="AH754" s="69">
        <f t="shared" si="33"/>
        <v>43190</v>
      </c>
      <c r="AL754" s="73">
        <v>34</v>
      </c>
      <c r="AO754" s="73">
        <v>34</v>
      </c>
      <c r="AZ754" s="73">
        <v>34</v>
      </c>
      <c r="BE754" s="73">
        <v>34</v>
      </c>
      <c r="BO754" s="185" t="s">
        <v>126</v>
      </c>
      <c r="BP754" s="185" t="s">
        <v>3794</v>
      </c>
      <c r="BQ754" s="185" t="s">
        <v>3794</v>
      </c>
      <c r="BR754" s="73">
        <v>-34</v>
      </c>
      <c r="BT754" s="73">
        <v>34</v>
      </c>
      <c r="BY754" s="185" t="s">
        <v>3794</v>
      </c>
      <c r="CJ754" t="s">
        <v>25</v>
      </c>
      <c r="CK754" t="s">
        <v>25</v>
      </c>
      <c r="CL754" t="s">
        <v>38</v>
      </c>
      <c r="CM754" t="s">
        <v>25</v>
      </c>
      <c r="CN754" t="s">
        <v>25</v>
      </c>
      <c r="CO754" t="s">
        <v>25</v>
      </c>
      <c r="CP754" t="s">
        <v>25</v>
      </c>
      <c r="CQ754" t="s">
        <v>25</v>
      </c>
      <c r="CR754" t="s">
        <v>25</v>
      </c>
      <c r="CS754" t="s">
        <v>25</v>
      </c>
      <c r="CT754" t="s">
        <v>25</v>
      </c>
      <c r="CU754" t="s">
        <v>25</v>
      </c>
      <c r="CV754" t="s">
        <v>25</v>
      </c>
      <c r="CW754" t="s">
        <v>47</v>
      </c>
      <c r="CX754" t="s">
        <v>25</v>
      </c>
      <c r="CY754" t="s">
        <v>25</v>
      </c>
      <c r="CZ754" t="s">
        <v>25</v>
      </c>
      <c r="DA754" t="s">
        <v>25</v>
      </c>
      <c r="DB754" t="s">
        <v>25</v>
      </c>
      <c r="DC754" t="s">
        <v>25</v>
      </c>
      <c r="DD754" t="s">
        <v>25</v>
      </c>
      <c r="DE754" t="s">
        <v>25</v>
      </c>
      <c r="DF754" t="s">
        <v>25</v>
      </c>
      <c r="DG754" t="s">
        <v>25</v>
      </c>
      <c r="DH754" t="s">
        <v>25</v>
      </c>
      <c r="DI754" t="s">
        <v>25</v>
      </c>
      <c r="DJ754" s="76">
        <v>4.0000001899898104E-3</v>
      </c>
      <c r="DK754" s="73">
        <v>34</v>
      </c>
      <c r="DL754" s="73">
        <v>34</v>
      </c>
      <c r="DM754" s="73">
        <v>0</v>
      </c>
      <c r="DU754"/>
      <c r="DV754" s="65" t="s">
        <v>126</v>
      </c>
      <c r="DW754" t="s">
        <v>149</v>
      </c>
      <c r="DZ754" s="73">
        <v>0</v>
      </c>
      <c r="EA754" s="73">
        <v>0</v>
      </c>
      <c r="EB754" s="73">
        <v>0</v>
      </c>
    </row>
    <row r="755" spans="1:133" ht="12" customHeight="1" x14ac:dyDescent="0.2">
      <c r="A755" t="s">
        <v>2937</v>
      </c>
      <c r="B755" t="s">
        <v>2946</v>
      </c>
      <c r="C755" t="str">
        <f t="shared" si="34"/>
        <v>Full</v>
      </c>
      <c r="E755" s="65">
        <v>6644</v>
      </c>
      <c r="F755" t="s">
        <v>2506</v>
      </c>
      <c r="G755" s="71" t="s">
        <v>3943</v>
      </c>
      <c r="H755" s="67">
        <v>5.4000000953674299</v>
      </c>
      <c r="I755" s="65">
        <v>526166</v>
      </c>
      <c r="J755" s="65">
        <v>175349</v>
      </c>
      <c r="L755" s="65" t="s">
        <v>2507</v>
      </c>
      <c r="M755" s="65" t="s">
        <v>27</v>
      </c>
      <c r="N755" s="69">
        <v>42913</v>
      </c>
      <c r="O755" s="69">
        <v>42969</v>
      </c>
      <c r="P755" s="65" t="s">
        <v>126</v>
      </c>
      <c r="R755" s="65" t="s">
        <v>28</v>
      </c>
      <c r="U755" t="s">
        <v>2508</v>
      </c>
      <c r="V755" t="s">
        <v>3699</v>
      </c>
      <c r="W755" s="65" t="s">
        <v>21</v>
      </c>
      <c r="X755" s="65" t="s">
        <v>21</v>
      </c>
      <c r="Y755" s="65" t="s">
        <v>69</v>
      </c>
      <c r="AD755" s="65" t="s">
        <v>23</v>
      </c>
      <c r="AE755" s="65" t="s">
        <v>24</v>
      </c>
      <c r="AX755" s="73">
        <v>176</v>
      </c>
      <c r="AY755" s="73">
        <v>176</v>
      </c>
      <c r="AZ755" s="73">
        <v>44</v>
      </c>
      <c r="BA755" s="73">
        <v>44</v>
      </c>
      <c r="BB755" s="73">
        <v>44</v>
      </c>
      <c r="BE755" s="73">
        <v>132</v>
      </c>
      <c r="BF755" s="73">
        <v>44</v>
      </c>
      <c r="BK755" s="73">
        <v>44</v>
      </c>
      <c r="BO755" s="185" t="s">
        <v>126</v>
      </c>
      <c r="BP755" s="185" t="s">
        <v>126</v>
      </c>
      <c r="BQ755" s="185" t="s">
        <v>126</v>
      </c>
      <c r="BR755" s="73">
        <v>-44</v>
      </c>
      <c r="BS755" s="73">
        <v>-44</v>
      </c>
      <c r="BT755" s="73">
        <v>-44</v>
      </c>
      <c r="BW755" s="73">
        <v>-132</v>
      </c>
      <c r="BX755" s="73">
        <v>-44</v>
      </c>
      <c r="BY755" s="185" t="s">
        <v>126</v>
      </c>
      <c r="CD755" s="73">
        <v>-44</v>
      </c>
      <c r="CE755" s="65" t="s">
        <v>126</v>
      </c>
      <c r="CH755" s="73">
        <v>176</v>
      </c>
      <c r="CI755" s="73">
        <v>176</v>
      </c>
      <c r="CJ755" t="s">
        <v>25</v>
      </c>
      <c r="CK755" t="s">
        <v>25</v>
      </c>
      <c r="CL755" t="s">
        <v>25</v>
      </c>
      <c r="CM755" t="s">
        <v>25</v>
      </c>
      <c r="CN755" t="s">
        <v>25</v>
      </c>
      <c r="CO755" t="s">
        <v>25</v>
      </c>
      <c r="CP755" t="s">
        <v>25</v>
      </c>
      <c r="CQ755" t="s">
        <v>25</v>
      </c>
      <c r="CR755" t="s">
        <v>25</v>
      </c>
      <c r="CS755" t="s">
        <v>25</v>
      </c>
      <c r="CT755" t="s">
        <v>25</v>
      </c>
      <c r="CU755" t="s">
        <v>25</v>
      </c>
      <c r="CV755" t="s">
        <v>31</v>
      </c>
      <c r="CW755" t="s">
        <v>47</v>
      </c>
      <c r="CX755" t="s">
        <v>47</v>
      </c>
      <c r="CY755" t="s">
        <v>47</v>
      </c>
      <c r="CZ755" t="s">
        <v>25</v>
      </c>
      <c r="DA755" t="s">
        <v>25</v>
      </c>
      <c r="DB755" t="s">
        <v>47</v>
      </c>
      <c r="DC755" t="s">
        <v>25</v>
      </c>
      <c r="DD755" t="s">
        <v>25</v>
      </c>
      <c r="DE755" t="s">
        <v>25</v>
      </c>
      <c r="DF755" t="s">
        <v>25</v>
      </c>
      <c r="DG755" t="s">
        <v>25</v>
      </c>
      <c r="DH755" t="s">
        <v>25</v>
      </c>
      <c r="DI755" t="s">
        <v>25</v>
      </c>
      <c r="DJ755" s="76">
        <v>5.4000000953674299</v>
      </c>
      <c r="DK755" s="73">
        <v>176</v>
      </c>
      <c r="DL755" s="73">
        <v>176</v>
      </c>
      <c r="DM755" s="73">
        <v>0</v>
      </c>
      <c r="DN755" s="65" t="s">
        <v>126</v>
      </c>
      <c r="DU755"/>
      <c r="DZ755" s="73">
        <v>0</v>
      </c>
      <c r="EA755" s="73">
        <v>0</v>
      </c>
      <c r="EB755" s="73">
        <v>0</v>
      </c>
    </row>
    <row r="756" spans="1:133" ht="12" customHeight="1" x14ac:dyDescent="0.2">
      <c r="A756" t="s">
        <v>2936</v>
      </c>
      <c r="B756" t="s">
        <v>2948</v>
      </c>
      <c r="C756" t="str">
        <f t="shared" si="34"/>
        <v>Prior Approval</v>
      </c>
      <c r="D756" t="s">
        <v>2943</v>
      </c>
      <c r="E756" s="65">
        <v>6645</v>
      </c>
      <c r="F756" t="s">
        <v>2509</v>
      </c>
      <c r="G756" s="71" t="s">
        <v>149</v>
      </c>
      <c r="H756" s="67">
        <v>8.9999996125698107E-3</v>
      </c>
      <c r="I756" s="65">
        <v>528766</v>
      </c>
      <c r="J756" s="65">
        <v>173833</v>
      </c>
      <c r="L756" s="65" t="s">
        <v>2510</v>
      </c>
      <c r="M756" s="65" t="s">
        <v>243</v>
      </c>
      <c r="N756" s="69">
        <v>42979</v>
      </c>
      <c r="O756" s="69">
        <v>42982</v>
      </c>
      <c r="P756" s="65" t="s">
        <v>126</v>
      </c>
      <c r="R756" s="65" t="s">
        <v>28</v>
      </c>
      <c r="U756" t="s">
        <v>2511</v>
      </c>
      <c r="V756" t="s">
        <v>3700</v>
      </c>
      <c r="W756" s="65" t="s">
        <v>21</v>
      </c>
      <c r="X756" s="65" t="s">
        <v>21</v>
      </c>
      <c r="Y756" s="65" t="s">
        <v>35</v>
      </c>
      <c r="AA756" s="69">
        <v>42982</v>
      </c>
      <c r="AB756" s="69">
        <v>43190</v>
      </c>
      <c r="AC756" s="69">
        <v>43190</v>
      </c>
      <c r="AD756" s="65" t="s">
        <v>23</v>
      </c>
      <c r="AE756" s="65" t="s">
        <v>24</v>
      </c>
      <c r="AH756" s="69">
        <f t="shared" si="33"/>
        <v>42982</v>
      </c>
      <c r="AI756" s="69">
        <f t="shared" si="35"/>
        <v>43190</v>
      </c>
      <c r="AX756" s="73">
        <v>65</v>
      </c>
      <c r="AY756" s="73">
        <v>65</v>
      </c>
      <c r="BA756" s="73">
        <v>65</v>
      </c>
      <c r="BE756" s="73">
        <v>65</v>
      </c>
      <c r="BO756" s="185" t="s">
        <v>126</v>
      </c>
      <c r="BP756" s="185" t="s">
        <v>3794</v>
      </c>
      <c r="BQ756" s="185" t="s">
        <v>126</v>
      </c>
      <c r="BS756" s="73">
        <v>-65</v>
      </c>
      <c r="BW756" s="73">
        <v>-65</v>
      </c>
      <c r="BY756" s="185" t="s">
        <v>3794</v>
      </c>
      <c r="CH756" s="73">
        <v>65</v>
      </c>
      <c r="CI756" s="73">
        <v>65</v>
      </c>
      <c r="CJ756" t="s">
        <v>25</v>
      </c>
      <c r="CK756" t="s">
        <v>25</v>
      </c>
      <c r="CL756" t="s">
        <v>25</v>
      </c>
      <c r="CM756" t="s">
        <v>25</v>
      </c>
      <c r="CN756" t="s">
        <v>25</v>
      </c>
      <c r="CO756" t="s">
        <v>25</v>
      </c>
      <c r="CP756" t="s">
        <v>25</v>
      </c>
      <c r="CQ756" t="s">
        <v>25</v>
      </c>
      <c r="CR756" t="s">
        <v>25</v>
      </c>
      <c r="CS756" t="s">
        <v>25</v>
      </c>
      <c r="CT756" t="s">
        <v>25</v>
      </c>
      <c r="CU756" t="s">
        <v>25</v>
      </c>
      <c r="CV756" t="s">
        <v>49</v>
      </c>
      <c r="CW756" t="s">
        <v>25</v>
      </c>
      <c r="CX756" t="s">
        <v>64</v>
      </c>
      <c r="CY756" t="s">
        <v>25</v>
      </c>
      <c r="CZ756" t="s">
        <v>25</v>
      </c>
      <c r="DA756" t="s">
        <v>25</v>
      </c>
      <c r="DB756" t="s">
        <v>25</v>
      </c>
      <c r="DC756" t="s">
        <v>25</v>
      </c>
      <c r="DD756" t="s">
        <v>25</v>
      </c>
      <c r="DE756" t="s">
        <v>25</v>
      </c>
      <c r="DF756" t="s">
        <v>25</v>
      </c>
      <c r="DG756" t="s">
        <v>25</v>
      </c>
      <c r="DH756" t="s">
        <v>25</v>
      </c>
      <c r="DI756" t="s">
        <v>25</v>
      </c>
      <c r="DJ756" s="76">
        <v>8.9999996125698107E-3</v>
      </c>
      <c r="DK756" s="73">
        <v>65</v>
      </c>
      <c r="DL756" s="73">
        <v>65</v>
      </c>
      <c r="DM756" s="73">
        <v>0</v>
      </c>
      <c r="DU756"/>
      <c r="DZ756" s="73">
        <v>0</v>
      </c>
      <c r="EA756" s="73">
        <v>0</v>
      </c>
      <c r="EB756" s="73">
        <v>0</v>
      </c>
    </row>
    <row r="757" spans="1:133" ht="12" customHeight="1" x14ac:dyDescent="0.2">
      <c r="A757" t="s">
        <v>2938</v>
      </c>
      <c r="B757" t="s">
        <v>2946</v>
      </c>
      <c r="C757" t="str">
        <f t="shared" si="34"/>
        <v>Full</v>
      </c>
      <c r="E757" s="65">
        <v>6657</v>
      </c>
      <c r="F757" t="s">
        <v>2512</v>
      </c>
      <c r="G757" s="71" t="s">
        <v>2904</v>
      </c>
      <c r="H757" s="67">
        <v>0.27399998903274497</v>
      </c>
      <c r="I757" s="65">
        <v>525999</v>
      </c>
      <c r="J757" s="65">
        <v>173647</v>
      </c>
      <c r="L757" s="65" t="s">
        <v>2513</v>
      </c>
      <c r="M757" s="65" t="s">
        <v>172</v>
      </c>
      <c r="N757" s="69">
        <v>42943</v>
      </c>
      <c r="R757" s="65" t="s">
        <v>28</v>
      </c>
      <c r="U757" t="s">
        <v>2514</v>
      </c>
      <c r="V757" t="s">
        <v>3701</v>
      </c>
      <c r="W757" s="65" t="s">
        <v>29</v>
      </c>
      <c r="X757" s="65" t="s">
        <v>29</v>
      </c>
      <c r="Y757" s="65" t="s">
        <v>69</v>
      </c>
      <c r="AD757" s="65" t="s">
        <v>173</v>
      </c>
      <c r="AE757" s="65" t="s">
        <v>24</v>
      </c>
      <c r="AJ757" s="73">
        <v>141</v>
      </c>
      <c r="AK757" s="73">
        <v>47</v>
      </c>
      <c r="AL757" s="73">
        <v>47</v>
      </c>
      <c r="AO757" s="73">
        <v>235</v>
      </c>
      <c r="AP757" s="73">
        <v>48</v>
      </c>
      <c r="AS757" s="73">
        <v>48</v>
      </c>
      <c r="AV757" s="73">
        <v>48</v>
      </c>
      <c r="AW757" s="73">
        <v>1873</v>
      </c>
      <c r="AY757" s="73">
        <v>1873</v>
      </c>
      <c r="BL757" s="73">
        <v>4313</v>
      </c>
      <c r="BN757" s="73">
        <v>4313</v>
      </c>
      <c r="BO757" s="185" t="s">
        <v>126</v>
      </c>
      <c r="BP757" s="185" t="s">
        <v>126</v>
      </c>
      <c r="BQ757" s="185" t="s">
        <v>126</v>
      </c>
      <c r="BR757" s="73">
        <v>141</v>
      </c>
      <c r="BS757" s="73">
        <v>47</v>
      </c>
      <c r="BT757" s="73">
        <v>47</v>
      </c>
      <c r="BW757" s="73">
        <v>235</v>
      </c>
      <c r="BX757" s="73">
        <v>48</v>
      </c>
      <c r="BY757" s="185" t="s">
        <v>3794</v>
      </c>
      <c r="CD757" s="73">
        <v>48</v>
      </c>
      <c r="CG757" s="73">
        <v>-2440</v>
      </c>
      <c r="CI757" s="73">
        <v>-2440</v>
      </c>
      <c r="CJ757" t="s">
        <v>46</v>
      </c>
      <c r="CK757" t="s">
        <v>31</v>
      </c>
      <c r="CL757" t="s">
        <v>31</v>
      </c>
      <c r="CM757" t="s">
        <v>25</v>
      </c>
      <c r="CN757" t="s">
        <v>25</v>
      </c>
      <c r="CO757" t="s">
        <v>31</v>
      </c>
      <c r="CP757" t="s">
        <v>25</v>
      </c>
      <c r="CQ757" t="s">
        <v>25</v>
      </c>
      <c r="CR757" t="s">
        <v>25</v>
      </c>
      <c r="CS757" t="s">
        <v>25</v>
      </c>
      <c r="CT757" t="s">
        <v>25</v>
      </c>
      <c r="CU757" t="s">
        <v>56</v>
      </c>
      <c r="CV757" t="s">
        <v>25</v>
      </c>
      <c r="CW757" t="s">
        <v>25</v>
      </c>
      <c r="CX757" t="s">
        <v>25</v>
      </c>
      <c r="CY757" t="s">
        <v>25</v>
      </c>
      <c r="CZ757" t="s">
        <v>25</v>
      </c>
      <c r="DA757" t="s">
        <v>25</v>
      </c>
      <c r="DB757" t="s">
        <v>25</v>
      </c>
      <c r="DC757" t="s">
        <v>25</v>
      </c>
      <c r="DD757" t="s">
        <v>25</v>
      </c>
      <c r="DE757" t="s">
        <v>25</v>
      </c>
      <c r="DF757" t="s">
        <v>25</v>
      </c>
      <c r="DG757" t="s">
        <v>25</v>
      </c>
      <c r="DH757" t="s">
        <v>56</v>
      </c>
      <c r="DI757" t="s">
        <v>25</v>
      </c>
      <c r="DJ757" s="76">
        <v>0.27399998903274497</v>
      </c>
      <c r="DK757" s="73">
        <v>2156</v>
      </c>
      <c r="DL757" s="73">
        <v>4313</v>
      </c>
      <c r="DM757" s="73">
        <v>-2157</v>
      </c>
      <c r="DU757"/>
      <c r="DZ757" s="73">
        <v>18768</v>
      </c>
      <c r="EA757" s="73">
        <v>0</v>
      </c>
      <c r="EB757" s="73">
        <v>18768</v>
      </c>
      <c r="EC757" s="65" t="s">
        <v>126</v>
      </c>
    </row>
    <row r="758" spans="1:133" ht="12" customHeight="1" x14ac:dyDescent="0.2">
      <c r="A758" t="s">
        <v>2937</v>
      </c>
      <c r="B758" t="s">
        <v>2949</v>
      </c>
      <c r="C758" t="str">
        <f t="shared" si="34"/>
        <v>Certificate of Lawful Development</v>
      </c>
      <c r="E758" s="65">
        <v>6662</v>
      </c>
      <c r="F758" t="s">
        <v>2515</v>
      </c>
      <c r="G758" s="71" t="s">
        <v>2907</v>
      </c>
      <c r="H758" s="67">
        <v>9.9999997764825804E-3</v>
      </c>
      <c r="I758" s="65">
        <v>525227</v>
      </c>
      <c r="J758" s="65">
        <v>173755</v>
      </c>
      <c r="L758" s="65" t="s">
        <v>2516</v>
      </c>
      <c r="M758" s="65" t="s">
        <v>436</v>
      </c>
      <c r="N758" s="69">
        <v>42957</v>
      </c>
      <c r="O758" s="69">
        <v>42999</v>
      </c>
      <c r="P758" s="65" t="s">
        <v>126</v>
      </c>
      <c r="R758" s="65" t="s">
        <v>28</v>
      </c>
      <c r="U758" t="s">
        <v>2517</v>
      </c>
      <c r="V758" t="s">
        <v>3702</v>
      </c>
      <c r="W758" s="65" t="s">
        <v>21</v>
      </c>
      <c r="X758" s="65" t="s">
        <v>21</v>
      </c>
      <c r="Y758" s="65" t="s">
        <v>69</v>
      </c>
      <c r="AD758" s="65" t="s">
        <v>23</v>
      </c>
      <c r="AE758" s="65" t="s">
        <v>24</v>
      </c>
      <c r="AJ758" s="73">
        <v>73</v>
      </c>
      <c r="AO758" s="73">
        <v>73</v>
      </c>
      <c r="BB758" s="73">
        <v>73</v>
      </c>
      <c r="BE758" s="73">
        <v>73</v>
      </c>
      <c r="BO758" s="185" t="s">
        <v>126</v>
      </c>
      <c r="BP758" s="185" t="s">
        <v>3794</v>
      </c>
      <c r="BQ758" s="185" t="s">
        <v>3794</v>
      </c>
      <c r="BR758" s="73">
        <v>73</v>
      </c>
      <c r="BT758" s="73">
        <v>-73</v>
      </c>
      <c r="BW758" s="73"/>
      <c r="BY758" s="185" t="s">
        <v>3794</v>
      </c>
      <c r="CJ758" t="s">
        <v>31</v>
      </c>
      <c r="CK758" t="s">
        <v>25</v>
      </c>
      <c r="CL758" t="s">
        <v>25</v>
      </c>
      <c r="CM758" t="s">
        <v>25</v>
      </c>
      <c r="CN758" t="s">
        <v>25</v>
      </c>
      <c r="CO758" t="s">
        <v>25</v>
      </c>
      <c r="CP758" t="s">
        <v>25</v>
      </c>
      <c r="CQ758" t="s">
        <v>25</v>
      </c>
      <c r="CR758" t="s">
        <v>25</v>
      </c>
      <c r="CS758" t="s">
        <v>25</v>
      </c>
      <c r="CT758" t="s">
        <v>25</v>
      </c>
      <c r="CU758" t="s">
        <v>25</v>
      </c>
      <c r="CV758" t="s">
        <v>25</v>
      </c>
      <c r="CW758" t="s">
        <v>25</v>
      </c>
      <c r="CX758" t="s">
        <v>25</v>
      </c>
      <c r="CY758" t="s">
        <v>47</v>
      </c>
      <c r="CZ758" t="s">
        <v>25</v>
      </c>
      <c r="DA758" t="s">
        <v>25</v>
      </c>
      <c r="DB758" t="s">
        <v>25</v>
      </c>
      <c r="DC758" t="s">
        <v>25</v>
      </c>
      <c r="DD758" t="s">
        <v>25</v>
      </c>
      <c r="DE758" t="s">
        <v>25</v>
      </c>
      <c r="DF758" t="s">
        <v>25</v>
      </c>
      <c r="DG758" t="s">
        <v>25</v>
      </c>
      <c r="DH758" t="s">
        <v>25</v>
      </c>
      <c r="DI758" t="s">
        <v>25</v>
      </c>
      <c r="DJ758" s="76">
        <v>9.9999997764825804E-3</v>
      </c>
      <c r="DK758" s="73">
        <v>73</v>
      </c>
      <c r="DL758" s="73">
        <v>73</v>
      </c>
      <c r="DM758" s="73">
        <v>0</v>
      </c>
      <c r="DU758"/>
      <c r="DZ758" s="73">
        <v>0</v>
      </c>
      <c r="EA758" s="73">
        <v>0</v>
      </c>
      <c r="EB758" s="73">
        <v>0</v>
      </c>
    </row>
    <row r="759" spans="1:133" ht="12" customHeight="1" x14ac:dyDescent="0.2">
      <c r="A759" t="s">
        <v>2937</v>
      </c>
      <c r="B759" t="s">
        <v>2946</v>
      </c>
      <c r="C759" t="str">
        <f t="shared" si="34"/>
        <v>Full</v>
      </c>
      <c r="E759" s="65">
        <v>6664</v>
      </c>
      <c r="F759" t="s">
        <v>2518</v>
      </c>
      <c r="G759" s="71" t="s">
        <v>3946</v>
      </c>
      <c r="H759" s="67">
        <v>1.4999999664723899E-2</v>
      </c>
      <c r="I759" s="65">
        <v>523713</v>
      </c>
      <c r="J759" s="65">
        <v>175159</v>
      </c>
      <c r="L759" s="65" t="s">
        <v>2519</v>
      </c>
      <c r="M759" s="65" t="s">
        <v>27</v>
      </c>
      <c r="N759" s="69">
        <v>42942</v>
      </c>
      <c r="O759" s="69">
        <v>42989</v>
      </c>
      <c r="P759" s="65" t="s">
        <v>126</v>
      </c>
      <c r="R759" s="65" t="s">
        <v>28</v>
      </c>
      <c r="U759" t="s">
        <v>2520</v>
      </c>
      <c r="V759" t="s">
        <v>3703</v>
      </c>
      <c r="W759" s="65" t="s">
        <v>21</v>
      </c>
      <c r="X759" s="65" t="s">
        <v>21</v>
      </c>
      <c r="Y759" s="65" t="s">
        <v>69</v>
      </c>
      <c r="AD759" s="65" t="s">
        <v>23</v>
      </c>
      <c r="AE759" s="65" t="s">
        <v>24</v>
      </c>
      <c r="AW759" s="73">
        <v>45</v>
      </c>
      <c r="AY759" s="73">
        <v>45</v>
      </c>
      <c r="AZ759" s="73">
        <v>45</v>
      </c>
      <c r="BE759" s="73">
        <v>45</v>
      </c>
      <c r="BO759" s="185" t="s">
        <v>126</v>
      </c>
      <c r="BP759" s="185" t="s">
        <v>3794</v>
      </c>
      <c r="BQ759" s="185" t="s">
        <v>126</v>
      </c>
      <c r="BR759" s="73">
        <v>-45</v>
      </c>
      <c r="BW759" s="73">
        <v>-45</v>
      </c>
      <c r="BY759" s="185" t="s">
        <v>3794</v>
      </c>
      <c r="CG759" s="73">
        <v>45</v>
      </c>
      <c r="CI759" s="73">
        <v>45</v>
      </c>
      <c r="CJ759" t="s">
        <v>25</v>
      </c>
      <c r="CK759" t="s">
        <v>25</v>
      </c>
      <c r="CL759" t="s">
        <v>25</v>
      </c>
      <c r="CM759" t="s">
        <v>25</v>
      </c>
      <c r="CN759" t="s">
        <v>25</v>
      </c>
      <c r="CO759" t="s">
        <v>25</v>
      </c>
      <c r="CP759" t="s">
        <v>25</v>
      </c>
      <c r="CQ759" t="s">
        <v>25</v>
      </c>
      <c r="CR759" t="s">
        <v>25</v>
      </c>
      <c r="CS759" t="s">
        <v>25</v>
      </c>
      <c r="CT759" t="s">
        <v>25</v>
      </c>
      <c r="CU759" t="s">
        <v>49</v>
      </c>
      <c r="CV759" t="s">
        <v>25</v>
      </c>
      <c r="CW759" t="s">
        <v>46</v>
      </c>
      <c r="CX759" t="s">
        <v>25</v>
      </c>
      <c r="CY759" t="s">
        <v>25</v>
      </c>
      <c r="CZ759" t="s">
        <v>25</v>
      </c>
      <c r="DA759" t="s">
        <v>25</v>
      </c>
      <c r="DB759" t="s">
        <v>25</v>
      </c>
      <c r="DC759" t="s">
        <v>25</v>
      </c>
      <c r="DD759" t="s">
        <v>25</v>
      </c>
      <c r="DE759" t="s">
        <v>25</v>
      </c>
      <c r="DF759" t="s">
        <v>25</v>
      </c>
      <c r="DG759" t="s">
        <v>25</v>
      </c>
      <c r="DH759" t="s">
        <v>25</v>
      </c>
      <c r="DI759" t="s">
        <v>25</v>
      </c>
      <c r="DJ759" s="76">
        <v>1.4999999664723899E-2</v>
      </c>
      <c r="DK759" s="73">
        <v>45</v>
      </c>
      <c r="DL759" s="73">
        <v>45</v>
      </c>
      <c r="DM759" s="73">
        <v>0</v>
      </c>
      <c r="DU759"/>
      <c r="DV759" s="65" t="s">
        <v>126</v>
      </c>
      <c r="DW759" t="s">
        <v>131</v>
      </c>
      <c r="DZ759" s="73">
        <v>0</v>
      </c>
      <c r="EA759" s="73">
        <v>0</v>
      </c>
      <c r="EB759" s="73">
        <v>0</v>
      </c>
    </row>
    <row r="760" spans="1:133" ht="12" customHeight="1" x14ac:dyDescent="0.2">
      <c r="A760" t="s">
        <v>2937</v>
      </c>
      <c r="B760" t="s">
        <v>2946</v>
      </c>
      <c r="C760" t="str">
        <f t="shared" si="34"/>
        <v>Full</v>
      </c>
      <c r="E760" s="65">
        <v>6665</v>
      </c>
      <c r="F760" t="s">
        <v>2521</v>
      </c>
      <c r="G760" s="71" t="s">
        <v>149</v>
      </c>
      <c r="H760" s="67">
        <v>1.30000002682209E-2</v>
      </c>
      <c r="I760" s="65">
        <v>528744</v>
      </c>
      <c r="J760" s="65">
        <v>173591</v>
      </c>
      <c r="L760" s="65" t="s">
        <v>2522</v>
      </c>
      <c r="M760" s="65" t="s">
        <v>27</v>
      </c>
      <c r="N760" s="69">
        <v>42950</v>
      </c>
      <c r="O760" s="69">
        <v>43063</v>
      </c>
      <c r="P760" s="65" t="s">
        <v>126</v>
      </c>
      <c r="R760" s="65" t="s">
        <v>28</v>
      </c>
      <c r="U760" t="s">
        <v>2523</v>
      </c>
      <c r="V760" t="s">
        <v>3704</v>
      </c>
      <c r="W760" s="65" t="s">
        <v>21</v>
      </c>
      <c r="X760" s="65" t="s">
        <v>21</v>
      </c>
      <c r="Y760" s="65" t="s">
        <v>69</v>
      </c>
      <c r="AD760" s="65" t="s">
        <v>23</v>
      </c>
      <c r="AE760" s="65" t="s">
        <v>24</v>
      </c>
      <c r="AP760" s="73">
        <v>76</v>
      </c>
      <c r="AS760" s="73">
        <v>76</v>
      </c>
      <c r="AV760" s="73">
        <v>76</v>
      </c>
      <c r="BI760" s="73">
        <v>121</v>
      </c>
      <c r="BK760" s="73">
        <v>121</v>
      </c>
      <c r="BO760" s="185" t="s">
        <v>3794</v>
      </c>
      <c r="BP760" s="185" t="s">
        <v>126</v>
      </c>
      <c r="BQ760" s="185" t="s">
        <v>3794</v>
      </c>
      <c r="BW760" s="73"/>
      <c r="BX760" s="73">
        <v>76</v>
      </c>
      <c r="BY760" s="185" t="s">
        <v>3794</v>
      </c>
      <c r="CB760" s="73">
        <v>-121</v>
      </c>
      <c r="CD760" s="73">
        <v>-45</v>
      </c>
      <c r="CE760" s="65" t="s">
        <v>126</v>
      </c>
      <c r="CJ760" t="s">
        <v>25</v>
      </c>
      <c r="CK760" t="s">
        <v>25</v>
      </c>
      <c r="CL760" t="s">
        <v>25</v>
      </c>
      <c r="CM760" t="s">
        <v>25</v>
      </c>
      <c r="CN760" t="s">
        <v>25</v>
      </c>
      <c r="CO760" t="s">
        <v>31</v>
      </c>
      <c r="CP760" t="s">
        <v>25</v>
      </c>
      <c r="CQ760" t="s">
        <v>25</v>
      </c>
      <c r="CR760" t="s">
        <v>25</v>
      </c>
      <c r="CS760" t="s">
        <v>25</v>
      </c>
      <c r="CT760" t="s">
        <v>25</v>
      </c>
      <c r="CU760" t="s">
        <v>25</v>
      </c>
      <c r="CV760" t="s">
        <v>25</v>
      </c>
      <c r="CW760" t="s">
        <v>25</v>
      </c>
      <c r="CX760" t="s">
        <v>25</v>
      </c>
      <c r="CY760" t="s">
        <v>25</v>
      </c>
      <c r="CZ760" t="s">
        <v>25</v>
      </c>
      <c r="DA760" t="s">
        <v>25</v>
      </c>
      <c r="DB760" t="s">
        <v>25</v>
      </c>
      <c r="DC760" t="s">
        <v>25</v>
      </c>
      <c r="DD760" t="s">
        <v>25</v>
      </c>
      <c r="DE760" t="s">
        <v>32</v>
      </c>
      <c r="DF760" t="s">
        <v>25</v>
      </c>
      <c r="DG760" t="s">
        <v>25</v>
      </c>
      <c r="DH760" t="s">
        <v>25</v>
      </c>
      <c r="DI760" t="s">
        <v>25</v>
      </c>
      <c r="DJ760" s="76">
        <v>6.0000002849847096E-3</v>
      </c>
      <c r="DK760" s="73">
        <v>76</v>
      </c>
      <c r="DL760" s="73">
        <v>121</v>
      </c>
      <c r="DM760" s="73">
        <v>-45</v>
      </c>
      <c r="DU760"/>
      <c r="DZ760" s="73">
        <v>50</v>
      </c>
      <c r="EA760" s="73">
        <v>0</v>
      </c>
      <c r="EB760" s="73">
        <v>50</v>
      </c>
      <c r="EC760" s="65" t="s">
        <v>126</v>
      </c>
    </row>
    <row r="761" spans="1:133" ht="12" customHeight="1" x14ac:dyDescent="0.2">
      <c r="A761" t="s">
        <v>2938</v>
      </c>
      <c r="B761" t="s">
        <v>2946</v>
      </c>
      <c r="C761" t="str">
        <f t="shared" si="34"/>
        <v>Full</v>
      </c>
      <c r="E761" s="65">
        <v>6669</v>
      </c>
      <c r="F761" t="s">
        <v>2524</v>
      </c>
      <c r="G761" s="71" t="s">
        <v>150</v>
      </c>
      <c r="H761" s="67">
        <v>7.0000002160668399E-3</v>
      </c>
      <c r="I761" s="65">
        <v>527101</v>
      </c>
      <c r="J761" s="65">
        <v>170989</v>
      </c>
      <c r="L761" s="65" t="s">
        <v>2525</v>
      </c>
      <c r="M761" s="65" t="s">
        <v>172</v>
      </c>
      <c r="N761" s="69">
        <v>42948</v>
      </c>
      <c r="R761" s="65" t="s">
        <v>28</v>
      </c>
      <c r="U761" t="s">
        <v>2526</v>
      </c>
      <c r="V761" t="s">
        <v>3705</v>
      </c>
      <c r="W761" s="65" t="s">
        <v>21</v>
      </c>
      <c r="X761" s="65" t="s">
        <v>21</v>
      </c>
      <c r="Y761" s="65" t="s">
        <v>69</v>
      </c>
      <c r="AD761" s="65" t="s">
        <v>173</v>
      </c>
      <c r="AE761" s="65" t="s">
        <v>24</v>
      </c>
      <c r="AR761" s="73">
        <v>70</v>
      </c>
      <c r="AS761" s="73">
        <v>70</v>
      </c>
      <c r="AV761" s="73">
        <v>70</v>
      </c>
      <c r="AZ761" s="73">
        <v>70</v>
      </c>
      <c r="BE761" s="73">
        <v>70</v>
      </c>
      <c r="BO761" s="185" t="s">
        <v>126</v>
      </c>
      <c r="BP761" s="185" t="s">
        <v>126</v>
      </c>
      <c r="BQ761" s="185" t="s">
        <v>3794</v>
      </c>
      <c r="BR761" s="73">
        <v>-70</v>
      </c>
      <c r="BW761" s="73">
        <v>-70</v>
      </c>
      <c r="BY761" s="185" t="s">
        <v>3794</v>
      </c>
      <c r="CA761" s="73">
        <v>70</v>
      </c>
      <c r="CD761" s="73">
        <v>70</v>
      </c>
      <c r="CJ761" t="s">
        <v>25</v>
      </c>
      <c r="CK761" t="s">
        <v>25</v>
      </c>
      <c r="CL761" t="s">
        <v>25</v>
      </c>
      <c r="CM761" t="s">
        <v>25</v>
      </c>
      <c r="CN761" t="s">
        <v>25</v>
      </c>
      <c r="CO761" t="s">
        <v>25</v>
      </c>
      <c r="CP761" t="s">
        <v>25</v>
      </c>
      <c r="CQ761" t="s">
        <v>51</v>
      </c>
      <c r="CR761" t="s">
        <v>25</v>
      </c>
      <c r="CS761" t="s">
        <v>25</v>
      </c>
      <c r="CT761" t="s">
        <v>25</v>
      </c>
      <c r="CU761" t="s">
        <v>25</v>
      </c>
      <c r="CV761" t="s">
        <v>25</v>
      </c>
      <c r="CW761" t="s">
        <v>46</v>
      </c>
      <c r="CX761" t="s">
        <v>25</v>
      </c>
      <c r="CY761" t="s">
        <v>25</v>
      </c>
      <c r="CZ761" t="s">
        <v>25</v>
      </c>
      <c r="DA761" t="s">
        <v>25</v>
      </c>
      <c r="DB761" t="s">
        <v>25</v>
      </c>
      <c r="DC761" t="s">
        <v>25</v>
      </c>
      <c r="DD761" t="s">
        <v>25</v>
      </c>
      <c r="DE761" t="s">
        <v>25</v>
      </c>
      <c r="DF761" t="s">
        <v>25</v>
      </c>
      <c r="DG761" t="s">
        <v>25</v>
      </c>
      <c r="DH761" t="s">
        <v>25</v>
      </c>
      <c r="DI761" t="s">
        <v>25</v>
      </c>
      <c r="DJ761" s="76">
        <v>7.0000002160668399E-3</v>
      </c>
      <c r="DK761" s="73">
        <v>70</v>
      </c>
      <c r="DL761" s="73">
        <v>70</v>
      </c>
      <c r="DM761" s="73">
        <v>0</v>
      </c>
      <c r="DU761"/>
      <c r="DZ761" s="73">
        <v>0</v>
      </c>
      <c r="EA761" s="73">
        <v>0</v>
      </c>
      <c r="EB761" s="73">
        <v>0</v>
      </c>
    </row>
    <row r="762" spans="1:133" ht="12" customHeight="1" x14ac:dyDescent="0.2">
      <c r="A762" t="s">
        <v>2938</v>
      </c>
      <c r="B762" t="s">
        <v>2946</v>
      </c>
      <c r="C762" t="str">
        <f t="shared" si="34"/>
        <v>Full</v>
      </c>
      <c r="E762" s="65">
        <v>6669</v>
      </c>
      <c r="F762" t="s">
        <v>2524</v>
      </c>
      <c r="G762" s="71" t="s">
        <v>150</v>
      </c>
      <c r="H762" s="67">
        <v>7.0000002160668399E-3</v>
      </c>
      <c r="I762" s="65">
        <v>527101</v>
      </c>
      <c r="J762" s="65">
        <v>170989</v>
      </c>
      <c r="L762" s="65" t="s">
        <v>2527</v>
      </c>
      <c r="M762" s="65" t="s">
        <v>172</v>
      </c>
      <c r="N762" s="69">
        <v>43174</v>
      </c>
      <c r="R762" s="65" t="s">
        <v>28</v>
      </c>
      <c r="U762" t="s">
        <v>2528</v>
      </c>
      <c r="V762" t="s">
        <v>3706</v>
      </c>
      <c r="W762" s="65" t="s">
        <v>29</v>
      </c>
      <c r="X762" s="65" t="s">
        <v>29</v>
      </c>
      <c r="Y762" s="65" t="s">
        <v>69</v>
      </c>
      <c r="AD762" s="65" t="s">
        <v>173</v>
      </c>
      <c r="AE762" s="65" t="s">
        <v>24</v>
      </c>
      <c r="BH762" s="73">
        <v>66</v>
      </c>
      <c r="BK762" s="73">
        <v>66</v>
      </c>
      <c r="BO762" s="185" t="s">
        <v>3794</v>
      </c>
      <c r="BP762" s="185" t="s">
        <v>126</v>
      </c>
      <c r="BQ762" s="185" t="s">
        <v>3794</v>
      </c>
      <c r="BW762" s="73"/>
      <c r="BY762" s="185" t="s">
        <v>3794</v>
      </c>
      <c r="CA762" s="73">
        <v>-66</v>
      </c>
      <c r="CD762" s="73">
        <v>-66</v>
      </c>
      <c r="CE762" s="65" t="s">
        <v>126</v>
      </c>
      <c r="CJ762" t="s">
        <v>25</v>
      </c>
      <c r="CK762" t="s">
        <v>25</v>
      </c>
      <c r="CL762" t="s">
        <v>25</v>
      </c>
      <c r="CM762" t="s">
        <v>25</v>
      </c>
      <c r="CN762" t="s">
        <v>25</v>
      </c>
      <c r="CO762" t="s">
        <v>25</v>
      </c>
      <c r="CP762" t="s">
        <v>25</v>
      </c>
      <c r="CQ762" t="s">
        <v>25</v>
      </c>
      <c r="CR762" t="s">
        <v>25</v>
      </c>
      <c r="CS762" t="s">
        <v>25</v>
      </c>
      <c r="CT762" t="s">
        <v>25</v>
      </c>
      <c r="CU762" t="s">
        <v>25</v>
      </c>
      <c r="CV762" t="s">
        <v>25</v>
      </c>
      <c r="CW762" t="s">
        <v>25</v>
      </c>
      <c r="CX762" t="s">
        <v>25</v>
      </c>
      <c r="CY762" t="s">
        <v>25</v>
      </c>
      <c r="CZ762" t="s">
        <v>25</v>
      </c>
      <c r="DA762" t="s">
        <v>25</v>
      </c>
      <c r="DB762" t="s">
        <v>25</v>
      </c>
      <c r="DC762" t="s">
        <v>25</v>
      </c>
      <c r="DD762" t="s">
        <v>51</v>
      </c>
      <c r="DE762" t="s">
        <v>25</v>
      </c>
      <c r="DF762" t="s">
        <v>25</v>
      </c>
      <c r="DG762" t="s">
        <v>25</v>
      </c>
      <c r="DH762" t="s">
        <v>25</v>
      </c>
      <c r="DI762" t="s">
        <v>25</v>
      </c>
      <c r="DJ762" s="76">
        <v>0</v>
      </c>
      <c r="DK762" s="73">
        <v>0</v>
      </c>
      <c r="DL762" s="73">
        <v>66</v>
      </c>
      <c r="DM762" s="73">
        <v>-66</v>
      </c>
      <c r="DU762"/>
      <c r="DZ762" s="73">
        <v>49</v>
      </c>
      <c r="EA762" s="73">
        <v>0</v>
      </c>
      <c r="EB762" s="73">
        <v>49</v>
      </c>
      <c r="EC762" s="65" t="s">
        <v>126</v>
      </c>
    </row>
    <row r="763" spans="1:133" ht="12" customHeight="1" x14ac:dyDescent="0.2">
      <c r="A763" t="s">
        <v>2937</v>
      </c>
      <c r="B763" t="s">
        <v>2946</v>
      </c>
      <c r="C763" t="str">
        <f t="shared" si="34"/>
        <v>Full</v>
      </c>
      <c r="E763" s="65">
        <v>6670</v>
      </c>
      <c r="F763" t="s">
        <v>2529</v>
      </c>
      <c r="G763" s="71" t="s">
        <v>150</v>
      </c>
      <c r="H763" s="67">
        <v>0.11599999666214</v>
      </c>
      <c r="I763" s="65">
        <v>527469</v>
      </c>
      <c r="J763" s="65">
        <v>171617</v>
      </c>
      <c r="L763" s="65" t="s">
        <v>2530</v>
      </c>
      <c r="M763" s="65" t="s">
        <v>27</v>
      </c>
      <c r="N763" s="69">
        <v>42958</v>
      </c>
      <c r="O763" s="69">
        <v>43158</v>
      </c>
      <c r="P763" s="65" t="s">
        <v>126</v>
      </c>
      <c r="R763" s="65" t="s">
        <v>28</v>
      </c>
      <c r="U763" t="s">
        <v>2531</v>
      </c>
      <c r="V763" t="s">
        <v>3707</v>
      </c>
      <c r="W763" s="65" t="s">
        <v>29</v>
      </c>
      <c r="X763" s="65" t="s">
        <v>29</v>
      </c>
      <c r="Y763" s="65" t="s">
        <v>69</v>
      </c>
      <c r="AD763" s="65" t="s">
        <v>23</v>
      </c>
      <c r="AE763" s="65" t="s">
        <v>24</v>
      </c>
      <c r="BI763" s="73">
        <v>541</v>
      </c>
      <c r="BK763" s="73">
        <v>541</v>
      </c>
      <c r="BO763" s="185" t="s">
        <v>3794</v>
      </c>
      <c r="BP763" s="185" t="s">
        <v>126</v>
      </c>
      <c r="BQ763" s="185" t="s">
        <v>3794</v>
      </c>
      <c r="BW763" s="73"/>
      <c r="BY763" s="185" t="s">
        <v>3794</v>
      </c>
      <c r="CB763" s="73">
        <v>-541</v>
      </c>
      <c r="CD763" s="73">
        <v>-541</v>
      </c>
      <c r="CE763" s="65" t="s">
        <v>126</v>
      </c>
      <c r="CJ763" t="s">
        <v>25</v>
      </c>
      <c r="CK763" t="s">
        <v>25</v>
      </c>
      <c r="CL763" t="s">
        <v>25</v>
      </c>
      <c r="CM763" t="s">
        <v>25</v>
      </c>
      <c r="CN763" t="s">
        <v>25</v>
      </c>
      <c r="CO763" t="s">
        <v>25</v>
      </c>
      <c r="CP763" t="s">
        <v>25</v>
      </c>
      <c r="CQ763" t="s">
        <v>25</v>
      </c>
      <c r="CR763" t="s">
        <v>25</v>
      </c>
      <c r="CS763" t="s">
        <v>25</v>
      </c>
      <c r="CT763" t="s">
        <v>25</v>
      </c>
      <c r="CU763" t="s">
        <v>25</v>
      </c>
      <c r="CV763" t="s">
        <v>25</v>
      </c>
      <c r="CW763" t="s">
        <v>25</v>
      </c>
      <c r="CX763" t="s">
        <v>25</v>
      </c>
      <c r="CY763" t="s">
        <v>25</v>
      </c>
      <c r="CZ763" t="s">
        <v>25</v>
      </c>
      <c r="DA763" t="s">
        <v>25</v>
      </c>
      <c r="DB763" t="s">
        <v>25</v>
      </c>
      <c r="DC763" t="s">
        <v>25</v>
      </c>
      <c r="DD763" t="s">
        <v>25</v>
      </c>
      <c r="DE763" t="s">
        <v>32</v>
      </c>
      <c r="DF763" t="s">
        <v>25</v>
      </c>
      <c r="DG763" t="s">
        <v>25</v>
      </c>
      <c r="DH763" t="s">
        <v>25</v>
      </c>
      <c r="DI763" t="s">
        <v>25</v>
      </c>
      <c r="DJ763" s="76">
        <v>0</v>
      </c>
      <c r="DK763" s="73">
        <v>0</v>
      </c>
      <c r="DL763" s="73">
        <v>541</v>
      </c>
      <c r="DM763" s="73">
        <v>-541</v>
      </c>
      <c r="DU763"/>
      <c r="DV763" s="65" t="s">
        <v>126</v>
      </c>
      <c r="DW763" t="s">
        <v>150</v>
      </c>
      <c r="DZ763" s="73">
        <v>639</v>
      </c>
      <c r="EA763" s="73">
        <v>0</v>
      </c>
      <c r="EB763" s="73">
        <v>639</v>
      </c>
      <c r="EC763" s="65" t="s">
        <v>126</v>
      </c>
    </row>
    <row r="764" spans="1:133" ht="12" customHeight="1" x14ac:dyDescent="0.2">
      <c r="A764" t="s">
        <v>2936</v>
      </c>
      <c r="B764" t="s">
        <v>2946</v>
      </c>
      <c r="C764" t="str">
        <f t="shared" si="34"/>
        <v>Full</v>
      </c>
      <c r="D764" t="s">
        <v>2943</v>
      </c>
      <c r="E764" s="65">
        <v>6671</v>
      </c>
      <c r="F764" t="s">
        <v>2532</v>
      </c>
      <c r="G764" s="71" t="s">
        <v>150</v>
      </c>
      <c r="H764" s="67">
        <v>1.7999999225139601E-2</v>
      </c>
      <c r="I764" s="65">
        <v>527838</v>
      </c>
      <c r="J764" s="65">
        <v>172151</v>
      </c>
      <c r="L764" s="65" t="s">
        <v>2533</v>
      </c>
      <c r="M764" s="65" t="s">
        <v>27</v>
      </c>
      <c r="N764" s="69">
        <v>42955</v>
      </c>
      <c r="O764" s="69">
        <v>43047</v>
      </c>
      <c r="P764" s="65" t="s">
        <v>126</v>
      </c>
      <c r="R764" s="65" t="s">
        <v>28</v>
      </c>
      <c r="U764" t="s">
        <v>2534</v>
      </c>
      <c r="V764" t="s">
        <v>3708</v>
      </c>
      <c r="W764" s="65" t="s">
        <v>21</v>
      </c>
      <c r="X764" s="65" t="s">
        <v>21</v>
      </c>
      <c r="Y764" s="65" t="s">
        <v>35</v>
      </c>
      <c r="AA764" s="69">
        <v>43047</v>
      </c>
      <c r="AB764" s="69">
        <v>43190</v>
      </c>
      <c r="AC764" s="69">
        <v>43190</v>
      </c>
      <c r="AD764" s="65" t="s">
        <v>23</v>
      </c>
      <c r="AE764" s="65" t="s">
        <v>24</v>
      </c>
      <c r="AH764" s="69">
        <f t="shared" ref="AH764:AH805" si="36">AA764</f>
        <v>43047</v>
      </c>
      <c r="AI764" s="69">
        <f t="shared" ref="AI764:AI813" si="37">AB764</f>
        <v>43190</v>
      </c>
      <c r="AW764" s="73">
        <v>80</v>
      </c>
      <c r="AY764" s="73">
        <v>80</v>
      </c>
      <c r="AZ764" s="73">
        <v>80</v>
      </c>
      <c r="BE764" s="73">
        <v>80</v>
      </c>
      <c r="BO764" s="185" t="s">
        <v>126</v>
      </c>
      <c r="BP764" s="185" t="s">
        <v>3794</v>
      </c>
      <c r="BQ764" s="185" t="s">
        <v>126</v>
      </c>
      <c r="BR764" s="73">
        <v>-80</v>
      </c>
      <c r="BW764" s="73">
        <v>-80</v>
      </c>
      <c r="BY764" s="185" t="s">
        <v>3794</v>
      </c>
      <c r="CG764" s="73">
        <v>80</v>
      </c>
      <c r="CI764" s="73">
        <v>80</v>
      </c>
      <c r="CJ764" t="s">
        <v>25</v>
      </c>
      <c r="CK764" t="s">
        <v>25</v>
      </c>
      <c r="CL764" t="s">
        <v>25</v>
      </c>
      <c r="CM764" t="s">
        <v>25</v>
      </c>
      <c r="CN764" t="s">
        <v>25</v>
      </c>
      <c r="CO764" t="s">
        <v>25</v>
      </c>
      <c r="CP764" t="s">
        <v>25</v>
      </c>
      <c r="CQ764" t="s">
        <v>25</v>
      </c>
      <c r="CR764" t="s">
        <v>25</v>
      </c>
      <c r="CS764" t="s">
        <v>25</v>
      </c>
      <c r="CT764" t="s">
        <v>25</v>
      </c>
      <c r="CU764" t="s">
        <v>60</v>
      </c>
      <c r="CV764" t="s">
        <v>25</v>
      </c>
      <c r="CW764" t="s">
        <v>47</v>
      </c>
      <c r="CX764" t="s">
        <v>25</v>
      </c>
      <c r="CY764" t="s">
        <v>25</v>
      </c>
      <c r="CZ764" t="s">
        <v>25</v>
      </c>
      <c r="DA764" t="s">
        <v>25</v>
      </c>
      <c r="DB764" t="s">
        <v>25</v>
      </c>
      <c r="DC764" t="s">
        <v>25</v>
      </c>
      <c r="DD764" t="s">
        <v>25</v>
      </c>
      <c r="DE764" t="s">
        <v>25</v>
      </c>
      <c r="DF764" t="s">
        <v>25</v>
      </c>
      <c r="DG764" t="s">
        <v>25</v>
      </c>
      <c r="DH764" t="s">
        <v>25</v>
      </c>
      <c r="DI764" t="s">
        <v>25</v>
      </c>
      <c r="DJ764" s="76">
        <v>1.7999999225139601E-2</v>
      </c>
      <c r="DK764" s="73">
        <v>80</v>
      </c>
      <c r="DL764" s="73">
        <v>80</v>
      </c>
      <c r="DM764" s="73">
        <v>0</v>
      </c>
      <c r="DU764"/>
      <c r="DZ764" s="73">
        <v>0</v>
      </c>
      <c r="EA764" s="73">
        <v>0</v>
      </c>
      <c r="EB764" s="73">
        <v>0</v>
      </c>
    </row>
    <row r="765" spans="1:133" ht="12" customHeight="1" x14ac:dyDescent="0.2">
      <c r="A765" t="s">
        <v>2937</v>
      </c>
      <c r="B765" t="s">
        <v>2946</v>
      </c>
      <c r="C765" t="str">
        <f t="shared" si="34"/>
        <v>Full</v>
      </c>
      <c r="E765" s="65">
        <v>6674</v>
      </c>
      <c r="F765" t="s">
        <v>2535</v>
      </c>
      <c r="G765" s="71" t="s">
        <v>3950</v>
      </c>
      <c r="H765" s="67">
        <v>2.5000000372528999E-2</v>
      </c>
      <c r="I765" s="65">
        <v>528839</v>
      </c>
      <c r="J765" s="65">
        <v>171136</v>
      </c>
      <c r="L765" s="65" t="s">
        <v>2536</v>
      </c>
      <c r="M765" s="65" t="s">
        <v>27</v>
      </c>
      <c r="N765" s="69">
        <v>43003</v>
      </c>
      <c r="O765" s="69">
        <v>43059</v>
      </c>
      <c r="P765" s="65" t="s">
        <v>126</v>
      </c>
      <c r="R765" s="65" t="s">
        <v>28</v>
      </c>
      <c r="U765" t="s">
        <v>2537</v>
      </c>
      <c r="V765" t="s">
        <v>3709</v>
      </c>
      <c r="W765" s="65" t="s">
        <v>34</v>
      </c>
      <c r="X765" s="65" t="s">
        <v>29</v>
      </c>
      <c r="Y765" s="65" t="s">
        <v>69</v>
      </c>
      <c r="AD765" s="65" t="s">
        <v>23</v>
      </c>
      <c r="AE765" s="65" t="s">
        <v>24</v>
      </c>
      <c r="AZ765" s="73">
        <v>183</v>
      </c>
      <c r="BE765" s="73">
        <v>183</v>
      </c>
      <c r="BO765" s="185" t="s">
        <v>126</v>
      </c>
      <c r="BP765" s="185" t="s">
        <v>3794</v>
      </c>
      <c r="BQ765" s="185" t="s">
        <v>3794</v>
      </c>
      <c r="BR765" s="73">
        <v>-183</v>
      </c>
      <c r="BW765" s="73">
        <v>-183</v>
      </c>
      <c r="BY765" s="185" t="s">
        <v>3794</v>
      </c>
      <c r="CJ765" t="s">
        <v>25</v>
      </c>
      <c r="CK765" t="s">
        <v>25</v>
      </c>
      <c r="CL765" t="s">
        <v>25</v>
      </c>
      <c r="CM765" t="s">
        <v>25</v>
      </c>
      <c r="CN765" t="s">
        <v>25</v>
      </c>
      <c r="CO765" t="s">
        <v>25</v>
      </c>
      <c r="CP765" t="s">
        <v>25</v>
      </c>
      <c r="CQ765" t="s">
        <v>25</v>
      </c>
      <c r="CR765" t="s">
        <v>25</v>
      </c>
      <c r="CS765" t="s">
        <v>25</v>
      </c>
      <c r="CT765" t="s">
        <v>25</v>
      </c>
      <c r="CU765" t="s">
        <v>25</v>
      </c>
      <c r="CV765" t="s">
        <v>25</v>
      </c>
      <c r="CW765" t="s">
        <v>31</v>
      </c>
      <c r="CX765" t="s">
        <v>25</v>
      </c>
      <c r="CY765" t="s">
        <v>25</v>
      </c>
      <c r="CZ765" t="s">
        <v>25</v>
      </c>
      <c r="DA765" t="s">
        <v>25</v>
      </c>
      <c r="DB765" t="s">
        <v>25</v>
      </c>
      <c r="DC765" t="s">
        <v>25</v>
      </c>
      <c r="DD765" t="s">
        <v>25</v>
      </c>
      <c r="DE765" t="s">
        <v>25</v>
      </c>
      <c r="DF765" t="s">
        <v>25</v>
      </c>
      <c r="DG765" t="s">
        <v>25</v>
      </c>
      <c r="DH765" t="s">
        <v>25</v>
      </c>
      <c r="DI765" t="s">
        <v>25</v>
      </c>
      <c r="DJ765" s="76">
        <v>1.6000000294297899E-2</v>
      </c>
      <c r="DK765" s="73">
        <v>0</v>
      </c>
      <c r="DL765" s="73">
        <v>183</v>
      </c>
      <c r="DM765" s="73">
        <v>-183</v>
      </c>
      <c r="DU765"/>
      <c r="DZ765" s="73">
        <v>246</v>
      </c>
      <c r="EA765" s="73">
        <v>0</v>
      </c>
      <c r="EB765" s="73">
        <v>246</v>
      </c>
      <c r="EC765" s="65" t="s">
        <v>126</v>
      </c>
    </row>
    <row r="766" spans="1:133" ht="12" customHeight="1" x14ac:dyDescent="0.2">
      <c r="A766" t="s">
        <v>2936</v>
      </c>
      <c r="B766" t="s">
        <v>2949</v>
      </c>
      <c r="C766" t="str">
        <f t="shared" si="34"/>
        <v>Certificate of Lawful Development</v>
      </c>
      <c r="D766" t="s">
        <v>2943</v>
      </c>
      <c r="E766" s="65">
        <v>6675</v>
      </c>
      <c r="F766" t="s">
        <v>2538</v>
      </c>
      <c r="G766" s="71" t="s">
        <v>3950</v>
      </c>
      <c r="H766" s="67">
        <v>4.0000001899898104E-3</v>
      </c>
      <c r="I766" s="65">
        <v>529302</v>
      </c>
      <c r="J766" s="65">
        <v>170727</v>
      </c>
      <c r="L766" s="65" t="s">
        <v>2539</v>
      </c>
      <c r="M766" s="65" t="s">
        <v>430</v>
      </c>
      <c r="N766" s="69">
        <v>42965</v>
      </c>
      <c r="O766" s="69">
        <v>43021</v>
      </c>
      <c r="P766" s="65" t="s">
        <v>126</v>
      </c>
      <c r="R766" s="65" t="s">
        <v>28</v>
      </c>
      <c r="U766" t="s">
        <v>2540</v>
      </c>
      <c r="V766" t="s">
        <v>3710</v>
      </c>
      <c r="W766" s="65" t="s">
        <v>21</v>
      </c>
      <c r="X766" s="65" t="s">
        <v>21</v>
      </c>
      <c r="Y766" s="65" t="s">
        <v>35</v>
      </c>
      <c r="AA766" s="69">
        <v>43021</v>
      </c>
      <c r="AB766" s="69">
        <v>43021</v>
      </c>
      <c r="AC766" s="69">
        <v>43021</v>
      </c>
      <c r="AD766" s="65" t="s">
        <v>23</v>
      </c>
      <c r="AE766" s="65" t="s">
        <v>24</v>
      </c>
      <c r="AH766" s="69">
        <f t="shared" si="36"/>
        <v>43021</v>
      </c>
      <c r="AI766" s="69">
        <f t="shared" si="37"/>
        <v>43021</v>
      </c>
      <c r="AU766" s="73">
        <v>40</v>
      </c>
      <c r="AV766" s="73">
        <v>40</v>
      </c>
      <c r="BO766" s="185" t="s">
        <v>3794</v>
      </c>
      <c r="BP766" s="185" t="s">
        <v>126</v>
      </c>
      <c r="BQ766" s="185" t="s">
        <v>3794</v>
      </c>
      <c r="BW766" s="73"/>
      <c r="BY766" s="185" t="s">
        <v>3794</v>
      </c>
      <c r="CC766" s="73">
        <v>40</v>
      </c>
      <c r="CD766" s="73">
        <v>40</v>
      </c>
      <c r="CJ766" t="s">
        <v>25</v>
      </c>
      <c r="CK766" t="s">
        <v>25</v>
      </c>
      <c r="CL766" t="s">
        <v>25</v>
      </c>
      <c r="CM766" t="s">
        <v>25</v>
      </c>
      <c r="CN766" t="s">
        <v>25</v>
      </c>
      <c r="CO766" t="s">
        <v>25</v>
      </c>
      <c r="CP766" t="s">
        <v>25</v>
      </c>
      <c r="CQ766" t="s">
        <v>25</v>
      </c>
      <c r="CR766" t="s">
        <v>25</v>
      </c>
      <c r="CS766" t="s">
        <v>25</v>
      </c>
      <c r="CT766" t="s">
        <v>25</v>
      </c>
      <c r="CU766" t="s">
        <v>25</v>
      </c>
      <c r="CV766" t="s">
        <v>25</v>
      </c>
      <c r="CW766" t="s">
        <v>25</v>
      </c>
      <c r="CX766" t="s">
        <v>25</v>
      </c>
      <c r="CY766" t="s">
        <v>25</v>
      </c>
      <c r="CZ766" t="s">
        <v>25</v>
      </c>
      <c r="DA766" t="s">
        <v>25</v>
      </c>
      <c r="DB766" t="s">
        <v>25</v>
      </c>
      <c r="DC766" t="s">
        <v>25</v>
      </c>
      <c r="DD766" t="s">
        <v>25</v>
      </c>
      <c r="DE766" t="s">
        <v>25</v>
      </c>
      <c r="DF766" t="s">
        <v>25</v>
      </c>
      <c r="DG766" t="s">
        <v>25</v>
      </c>
      <c r="DH766" t="s">
        <v>25</v>
      </c>
      <c r="DI766" t="s">
        <v>25</v>
      </c>
      <c r="DJ766" s="76">
        <v>4.0000001899898104E-3</v>
      </c>
      <c r="DK766" s="73">
        <v>40</v>
      </c>
      <c r="DL766" s="73">
        <v>40</v>
      </c>
      <c r="DM766" s="73">
        <v>0</v>
      </c>
      <c r="DU766"/>
      <c r="DZ766" s="73">
        <v>0</v>
      </c>
      <c r="EA766" s="73">
        <v>0</v>
      </c>
      <c r="EB766" s="73">
        <v>0</v>
      </c>
    </row>
    <row r="767" spans="1:133" ht="12" customHeight="1" x14ac:dyDescent="0.2">
      <c r="A767" t="s">
        <v>2936</v>
      </c>
      <c r="B767" t="s">
        <v>2946</v>
      </c>
      <c r="C767" t="str">
        <f t="shared" si="34"/>
        <v>Full</v>
      </c>
      <c r="D767" t="s">
        <v>2943</v>
      </c>
      <c r="E767" s="65">
        <v>6678</v>
      </c>
      <c r="F767" t="s">
        <v>2541</v>
      </c>
      <c r="G767" s="71" t="s">
        <v>3945</v>
      </c>
      <c r="H767" s="67">
        <v>1.60000007599592E-2</v>
      </c>
      <c r="I767" s="65">
        <v>528146</v>
      </c>
      <c r="J767" s="65">
        <v>175643</v>
      </c>
      <c r="L767" s="65" t="s">
        <v>2542</v>
      </c>
      <c r="M767" s="65" t="s">
        <v>27</v>
      </c>
      <c r="N767" s="69">
        <v>42948</v>
      </c>
      <c r="O767" s="69">
        <v>43003</v>
      </c>
      <c r="P767" s="65" t="s">
        <v>126</v>
      </c>
      <c r="R767" s="65" t="s">
        <v>28</v>
      </c>
      <c r="U767" t="s">
        <v>2543</v>
      </c>
      <c r="V767" t="s">
        <v>3711</v>
      </c>
      <c r="W767" s="65" t="s">
        <v>34</v>
      </c>
      <c r="X767" s="65" t="s">
        <v>29</v>
      </c>
      <c r="Y767" s="65" t="s">
        <v>35</v>
      </c>
      <c r="AA767" s="69">
        <v>43003</v>
      </c>
      <c r="AB767" s="69">
        <v>43190</v>
      </c>
      <c r="AC767" s="69">
        <v>43190</v>
      </c>
      <c r="AD767" s="65" t="s">
        <v>23</v>
      </c>
      <c r="AE767" s="65" t="s">
        <v>24</v>
      </c>
      <c r="AH767" s="69">
        <f t="shared" si="36"/>
        <v>43003</v>
      </c>
      <c r="AI767" s="69">
        <f t="shared" si="37"/>
        <v>43190</v>
      </c>
      <c r="AJ767" s="73">
        <v>47</v>
      </c>
      <c r="AO767" s="73">
        <v>47</v>
      </c>
      <c r="AZ767" s="73">
        <v>96</v>
      </c>
      <c r="BE767" s="73">
        <v>96</v>
      </c>
      <c r="BO767" s="185" t="s">
        <v>126</v>
      </c>
      <c r="BP767" s="185" t="s">
        <v>3794</v>
      </c>
      <c r="BQ767" s="185" t="s">
        <v>3794</v>
      </c>
      <c r="BR767" s="73">
        <v>-49</v>
      </c>
      <c r="BW767" s="73">
        <v>-49</v>
      </c>
      <c r="BY767" s="185" t="s">
        <v>3794</v>
      </c>
      <c r="CJ767" t="s">
        <v>31</v>
      </c>
      <c r="CK767" t="s">
        <v>25</v>
      </c>
      <c r="CL767" t="s">
        <v>25</v>
      </c>
      <c r="CM767" t="s">
        <v>25</v>
      </c>
      <c r="CN767" t="s">
        <v>25</v>
      </c>
      <c r="CO767" t="s">
        <v>25</v>
      </c>
      <c r="CP767" t="s">
        <v>25</v>
      </c>
      <c r="CQ767" t="s">
        <v>25</v>
      </c>
      <c r="CR767" t="s">
        <v>25</v>
      </c>
      <c r="CS767" t="s">
        <v>25</v>
      </c>
      <c r="CT767" t="s">
        <v>25</v>
      </c>
      <c r="CU767" t="s">
        <v>25</v>
      </c>
      <c r="CV767" t="s">
        <v>25</v>
      </c>
      <c r="CW767" t="s">
        <v>47</v>
      </c>
      <c r="CX767" t="s">
        <v>25</v>
      </c>
      <c r="CY767" t="s">
        <v>25</v>
      </c>
      <c r="CZ767" t="s">
        <v>25</v>
      </c>
      <c r="DA767" t="s">
        <v>25</v>
      </c>
      <c r="DB767" t="s">
        <v>25</v>
      </c>
      <c r="DC767" t="s">
        <v>25</v>
      </c>
      <c r="DD767" t="s">
        <v>25</v>
      </c>
      <c r="DE767" t="s">
        <v>25</v>
      </c>
      <c r="DF767" t="s">
        <v>25</v>
      </c>
      <c r="DG767" t="s">
        <v>25</v>
      </c>
      <c r="DH767" t="s">
        <v>25</v>
      </c>
      <c r="DI767" t="s">
        <v>25</v>
      </c>
      <c r="DJ767" s="76">
        <v>1.0000000707805139E-2</v>
      </c>
      <c r="DK767" s="73">
        <v>47</v>
      </c>
      <c r="DL767" s="73">
        <v>96</v>
      </c>
      <c r="DM767" s="73">
        <v>-49</v>
      </c>
      <c r="DU767"/>
      <c r="DZ767" s="73">
        <v>66</v>
      </c>
      <c r="EA767" s="73">
        <v>0</v>
      </c>
      <c r="EB767" s="73">
        <v>66</v>
      </c>
      <c r="EC767" s="65" t="s">
        <v>126</v>
      </c>
    </row>
    <row r="768" spans="1:133" ht="12" customHeight="1" x14ac:dyDescent="0.2">
      <c r="A768" t="s">
        <v>2938</v>
      </c>
      <c r="B768" t="s">
        <v>2946</v>
      </c>
      <c r="C768" t="str">
        <f t="shared" si="34"/>
        <v>Full</v>
      </c>
      <c r="E768" s="65">
        <v>6682</v>
      </c>
      <c r="F768" t="s">
        <v>2544</v>
      </c>
      <c r="G768" s="71" t="s">
        <v>150</v>
      </c>
      <c r="H768" s="67">
        <v>1.2000000104308101E-2</v>
      </c>
      <c r="I768" s="65">
        <v>526464</v>
      </c>
      <c r="J768" s="65">
        <v>171923</v>
      </c>
      <c r="L768" s="65" t="s">
        <v>2545</v>
      </c>
      <c r="M768" s="65" t="s">
        <v>172</v>
      </c>
      <c r="N768" s="69">
        <v>42961</v>
      </c>
      <c r="R768" s="65" t="s">
        <v>28</v>
      </c>
      <c r="U768" t="s">
        <v>2546</v>
      </c>
      <c r="V768" t="s">
        <v>3145</v>
      </c>
      <c r="W768" s="65" t="s">
        <v>21</v>
      </c>
      <c r="X768" s="65" t="s">
        <v>21</v>
      </c>
      <c r="Y768" s="65" t="s">
        <v>69</v>
      </c>
      <c r="AD768" s="65" t="s">
        <v>173</v>
      </c>
      <c r="AE768" s="65" t="s">
        <v>24</v>
      </c>
      <c r="AL768" s="73">
        <v>57</v>
      </c>
      <c r="AO768" s="73">
        <v>57</v>
      </c>
      <c r="AZ768" s="73">
        <v>57</v>
      </c>
      <c r="BE768" s="73">
        <v>57</v>
      </c>
      <c r="BO768" s="185" t="s">
        <v>126</v>
      </c>
      <c r="BP768" s="185" t="s">
        <v>3794</v>
      </c>
      <c r="BQ768" s="185" t="s">
        <v>3794</v>
      </c>
      <c r="BR768" s="73">
        <v>-57</v>
      </c>
      <c r="BT768" s="73">
        <v>57</v>
      </c>
      <c r="BW768" s="73"/>
      <c r="BY768" s="185" t="s">
        <v>3794</v>
      </c>
      <c r="CJ768" t="s">
        <v>25</v>
      </c>
      <c r="CK768" t="s">
        <v>25</v>
      </c>
      <c r="CL768" t="s">
        <v>38</v>
      </c>
      <c r="CM768" t="s">
        <v>25</v>
      </c>
      <c r="CN768" t="s">
        <v>25</v>
      </c>
      <c r="CO768" t="s">
        <v>25</v>
      </c>
      <c r="CP768" t="s">
        <v>25</v>
      </c>
      <c r="CQ768" t="s">
        <v>25</v>
      </c>
      <c r="CR768" t="s">
        <v>25</v>
      </c>
      <c r="CS768" t="s">
        <v>25</v>
      </c>
      <c r="CT768" t="s">
        <v>25</v>
      </c>
      <c r="CU768" t="s">
        <v>25</v>
      </c>
      <c r="CV768" t="s">
        <v>25</v>
      </c>
      <c r="CW768" t="s">
        <v>47</v>
      </c>
      <c r="CX768" t="s">
        <v>25</v>
      </c>
      <c r="CY768" t="s">
        <v>25</v>
      </c>
      <c r="CZ768" t="s">
        <v>25</v>
      </c>
      <c r="DA768" t="s">
        <v>25</v>
      </c>
      <c r="DB768" t="s">
        <v>25</v>
      </c>
      <c r="DC768" t="s">
        <v>25</v>
      </c>
      <c r="DD768" t="s">
        <v>25</v>
      </c>
      <c r="DE768" t="s">
        <v>25</v>
      </c>
      <c r="DF768" t="s">
        <v>25</v>
      </c>
      <c r="DG768" t="s">
        <v>25</v>
      </c>
      <c r="DH768" t="s">
        <v>25</v>
      </c>
      <c r="DI768" t="s">
        <v>25</v>
      </c>
      <c r="DJ768" s="76">
        <v>1.2000000104308101E-2</v>
      </c>
      <c r="DK768" s="73">
        <v>57</v>
      </c>
      <c r="DL768" s="73">
        <v>57</v>
      </c>
      <c r="DM768" s="73">
        <v>0</v>
      </c>
      <c r="DU768"/>
      <c r="DZ768" s="73">
        <v>0</v>
      </c>
      <c r="EA768" s="73">
        <v>0</v>
      </c>
      <c r="EB768" s="73">
        <v>0</v>
      </c>
    </row>
    <row r="769" spans="1:133" ht="12" customHeight="1" x14ac:dyDescent="0.2">
      <c r="A769" t="s">
        <v>2937</v>
      </c>
      <c r="B769" t="s">
        <v>2946</v>
      </c>
      <c r="C769" t="str">
        <f t="shared" si="34"/>
        <v>Full</v>
      </c>
      <c r="E769" s="65">
        <v>6685</v>
      </c>
      <c r="F769" t="s">
        <v>2547</v>
      </c>
      <c r="G769" s="71" t="s">
        <v>2904</v>
      </c>
      <c r="H769" s="67">
        <v>5.4000001400709201E-2</v>
      </c>
      <c r="I769" s="65">
        <v>525907</v>
      </c>
      <c r="J769" s="65">
        <v>172088</v>
      </c>
      <c r="L769" s="65" t="s">
        <v>2548</v>
      </c>
      <c r="M769" s="65" t="s">
        <v>27</v>
      </c>
      <c r="N769" s="69">
        <v>42984</v>
      </c>
      <c r="O769" s="69">
        <v>43122</v>
      </c>
      <c r="P769" s="65" t="s">
        <v>126</v>
      </c>
      <c r="R769" s="65" t="s">
        <v>28</v>
      </c>
      <c r="U769" t="s">
        <v>2549</v>
      </c>
      <c r="V769" t="s">
        <v>3712</v>
      </c>
      <c r="W769" s="65" t="s">
        <v>29</v>
      </c>
      <c r="X769" s="65" t="s">
        <v>29</v>
      </c>
      <c r="Y769" s="65" t="s">
        <v>69</v>
      </c>
      <c r="AD769" s="65" t="s">
        <v>23</v>
      </c>
      <c r="AE769" s="65" t="s">
        <v>24</v>
      </c>
      <c r="AU769" s="73">
        <v>187</v>
      </c>
      <c r="AV769" s="73">
        <v>187</v>
      </c>
      <c r="BJ769" s="73">
        <v>10</v>
      </c>
      <c r="BK769" s="73">
        <v>10</v>
      </c>
      <c r="BO769" s="185" t="s">
        <v>3794</v>
      </c>
      <c r="BP769" s="185" t="s">
        <v>126</v>
      </c>
      <c r="BQ769" s="185" t="s">
        <v>3794</v>
      </c>
      <c r="BW769" s="73"/>
      <c r="BY769" s="185" t="s">
        <v>3794</v>
      </c>
      <c r="CC769" s="73">
        <v>177</v>
      </c>
      <c r="CD769" s="73">
        <v>177</v>
      </c>
      <c r="CJ769" t="s">
        <v>25</v>
      </c>
      <c r="CK769" t="s">
        <v>25</v>
      </c>
      <c r="CL769" t="s">
        <v>25</v>
      </c>
      <c r="CM769" t="s">
        <v>25</v>
      </c>
      <c r="CN769" t="s">
        <v>25</v>
      </c>
      <c r="CO769" t="s">
        <v>25</v>
      </c>
      <c r="CP769" t="s">
        <v>25</v>
      </c>
      <c r="CQ769" t="s">
        <v>25</v>
      </c>
      <c r="CR769" t="s">
        <v>25</v>
      </c>
      <c r="CS769" t="s">
        <v>53</v>
      </c>
      <c r="CT769" t="s">
        <v>25</v>
      </c>
      <c r="CU769" t="s">
        <v>25</v>
      </c>
      <c r="CV769" t="s">
        <v>25</v>
      </c>
      <c r="CW769" t="s">
        <v>25</v>
      </c>
      <c r="CX769" t="s">
        <v>25</v>
      </c>
      <c r="CY769" t="s">
        <v>25</v>
      </c>
      <c r="CZ769" t="s">
        <v>25</v>
      </c>
      <c r="DA769" t="s">
        <v>25</v>
      </c>
      <c r="DB769" t="s">
        <v>25</v>
      </c>
      <c r="DC769" t="s">
        <v>25</v>
      </c>
      <c r="DD769" t="s">
        <v>25</v>
      </c>
      <c r="DE769" t="s">
        <v>25</v>
      </c>
      <c r="DF769" t="s">
        <v>53</v>
      </c>
      <c r="DG769" t="s">
        <v>25</v>
      </c>
      <c r="DH769" t="s">
        <v>25</v>
      </c>
      <c r="DI769" t="s">
        <v>25</v>
      </c>
      <c r="DJ769" s="76">
        <v>5.4000001400709201E-2</v>
      </c>
      <c r="DK769" s="73">
        <v>187</v>
      </c>
      <c r="DL769" s="73">
        <v>10</v>
      </c>
      <c r="DM769" s="73">
        <v>177</v>
      </c>
      <c r="DQ769" s="65" t="s">
        <v>126</v>
      </c>
      <c r="DR769" t="s">
        <v>2903</v>
      </c>
      <c r="DU769"/>
      <c r="DZ769" s="73">
        <v>0</v>
      </c>
      <c r="EA769" s="73">
        <v>0</v>
      </c>
      <c r="EB769" s="73">
        <v>0</v>
      </c>
    </row>
    <row r="770" spans="1:133" ht="12" customHeight="1" x14ac:dyDescent="0.2">
      <c r="A770" t="s">
        <v>2936</v>
      </c>
      <c r="B770" t="s">
        <v>2946</v>
      </c>
      <c r="C770" t="str">
        <f t="shared" si="34"/>
        <v>Full</v>
      </c>
      <c r="D770" t="s">
        <v>2943</v>
      </c>
      <c r="E770" s="65">
        <v>6687</v>
      </c>
      <c r="F770" t="s">
        <v>2550</v>
      </c>
      <c r="G770" s="71" t="s">
        <v>3940</v>
      </c>
      <c r="H770" s="67">
        <v>0.140000000596046</v>
      </c>
      <c r="I770" s="65">
        <v>522164</v>
      </c>
      <c r="J770" s="65">
        <v>172848</v>
      </c>
      <c r="L770" s="65" t="s">
        <v>2551</v>
      </c>
      <c r="M770" s="65" t="s">
        <v>27</v>
      </c>
      <c r="N770" s="69">
        <v>42982</v>
      </c>
      <c r="O770" s="69">
        <v>43053</v>
      </c>
      <c r="P770" s="65" t="s">
        <v>126</v>
      </c>
      <c r="R770" s="65" t="s">
        <v>28</v>
      </c>
      <c r="U770" t="s">
        <v>2552</v>
      </c>
      <c r="V770" t="s">
        <v>3713</v>
      </c>
      <c r="W770" s="65" t="s">
        <v>21</v>
      </c>
      <c r="X770" s="65" t="s">
        <v>21</v>
      </c>
      <c r="Y770" s="65" t="s">
        <v>35</v>
      </c>
      <c r="AA770" s="69">
        <v>43053</v>
      </c>
      <c r="AB770" s="69">
        <v>43190</v>
      </c>
      <c r="AC770" s="69">
        <v>43190</v>
      </c>
      <c r="AD770" s="65" t="s">
        <v>23</v>
      </c>
      <c r="AE770" s="65" t="s">
        <v>24</v>
      </c>
      <c r="AH770" s="69">
        <f t="shared" si="36"/>
        <v>43053</v>
      </c>
      <c r="AI770" s="69">
        <f t="shared" si="37"/>
        <v>43190</v>
      </c>
      <c r="AW770" s="73">
        <v>286</v>
      </c>
      <c r="AY770" s="73">
        <v>286</v>
      </c>
      <c r="BF770" s="73">
        <v>286</v>
      </c>
      <c r="BK770" s="73">
        <v>286</v>
      </c>
      <c r="BO770" s="185" t="s">
        <v>3794</v>
      </c>
      <c r="BP770" s="185" t="s">
        <v>126</v>
      </c>
      <c r="BQ770" s="185" t="s">
        <v>126</v>
      </c>
      <c r="BW770" s="73"/>
      <c r="BX770" s="73">
        <v>-286</v>
      </c>
      <c r="BY770" s="185" t="s">
        <v>126</v>
      </c>
      <c r="CD770" s="73">
        <v>-286</v>
      </c>
      <c r="CE770" s="65" t="s">
        <v>126</v>
      </c>
      <c r="CG770" s="73">
        <v>286</v>
      </c>
      <c r="CI770" s="73">
        <v>286</v>
      </c>
      <c r="CJ770" t="s">
        <v>25</v>
      </c>
      <c r="CK770" t="s">
        <v>25</v>
      </c>
      <c r="CL770" t="s">
        <v>25</v>
      </c>
      <c r="CM770" t="s">
        <v>25</v>
      </c>
      <c r="CN770" t="s">
        <v>25</v>
      </c>
      <c r="CO770" t="s">
        <v>25</v>
      </c>
      <c r="CP770" t="s">
        <v>25</v>
      </c>
      <c r="CQ770" t="s">
        <v>25</v>
      </c>
      <c r="CR770" t="s">
        <v>25</v>
      </c>
      <c r="CS770" t="s">
        <v>25</v>
      </c>
      <c r="CT770" t="s">
        <v>25</v>
      </c>
      <c r="CU770" t="s">
        <v>49</v>
      </c>
      <c r="CV770" t="s">
        <v>25</v>
      </c>
      <c r="CW770" t="s">
        <v>25</v>
      </c>
      <c r="CX770" t="s">
        <v>25</v>
      </c>
      <c r="CY770" t="s">
        <v>25</v>
      </c>
      <c r="CZ770" t="s">
        <v>25</v>
      </c>
      <c r="DA770" t="s">
        <v>25</v>
      </c>
      <c r="DB770" t="s">
        <v>31</v>
      </c>
      <c r="DC770" t="s">
        <v>25</v>
      </c>
      <c r="DD770" t="s">
        <v>25</v>
      </c>
      <c r="DE770" t="s">
        <v>25</v>
      </c>
      <c r="DF770" t="s">
        <v>25</v>
      </c>
      <c r="DG770" t="s">
        <v>25</v>
      </c>
      <c r="DH770" t="s">
        <v>25</v>
      </c>
      <c r="DI770" t="s">
        <v>25</v>
      </c>
      <c r="DJ770" s="76">
        <v>0.140000000596046</v>
      </c>
      <c r="DK770" s="73">
        <v>286</v>
      </c>
      <c r="DL770" s="73">
        <v>286</v>
      </c>
      <c r="DM770" s="73">
        <v>0</v>
      </c>
      <c r="DU770"/>
      <c r="DZ770" s="73">
        <v>0</v>
      </c>
      <c r="EA770" s="73">
        <v>0</v>
      </c>
      <c r="EB770" s="73">
        <v>0</v>
      </c>
    </row>
    <row r="771" spans="1:133" ht="12" customHeight="1" x14ac:dyDescent="0.2">
      <c r="A771" t="s">
        <v>2935</v>
      </c>
      <c r="B771" t="s">
        <v>2946</v>
      </c>
      <c r="C771" t="str">
        <f t="shared" ref="C771:C834" si="38">RIGHT(B771,LEN(B771)-3)</f>
        <v>Full</v>
      </c>
      <c r="E771" s="65">
        <v>6692</v>
      </c>
      <c r="F771" t="s">
        <v>2553</v>
      </c>
      <c r="G771" s="71" t="s">
        <v>3952</v>
      </c>
      <c r="H771" s="67">
        <v>1.09999999403954E-2</v>
      </c>
      <c r="I771" s="65">
        <v>528269</v>
      </c>
      <c r="J771" s="65">
        <v>172648</v>
      </c>
      <c r="L771" s="65" t="s">
        <v>2554</v>
      </c>
      <c r="M771" s="65" t="s">
        <v>27</v>
      </c>
      <c r="N771" s="69">
        <v>42978</v>
      </c>
      <c r="O771" s="69">
        <v>43034</v>
      </c>
      <c r="P771" s="65" t="s">
        <v>126</v>
      </c>
      <c r="R771" s="65" t="s">
        <v>28</v>
      </c>
      <c r="U771" t="s">
        <v>2555</v>
      </c>
      <c r="V771" t="s">
        <v>3714</v>
      </c>
      <c r="W771" s="65" t="s">
        <v>21</v>
      </c>
      <c r="X771" s="65" t="s">
        <v>21</v>
      </c>
      <c r="Y771" s="65" t="s">
        <v>30</v>
      </c>
      <c r="AA771" s="69">
        <v>43190</v>
      </c>
      <c r="AD771" s="65" t="s">
        <v>23</v>
      </c>
      <c r="AE771" s="65" t="s">
        <v>24</v>
      </c>
      <c r="AH771" s="69">
        <f t="shared" si="36"/>
        <v>43190</v>
      </c>
      <c r="AZ771" s="73">
        <v>86</v>
      </c>
      <c r="BE771" s="73">
        <v>86</v>
      </c>
      <c r="BO771" s="185" t="s">
        <v>126</v>
      </c>
      <c r="BP771" s="185" t="s">
        <v>3794</v>
      </c>
      <c r="BQ771" s="185" t="s">
        <v>3794</v>
      </c>
      <c r="BR771" s="73">
        <v>-86</v>
      </c>
      <c r="BW771" s="73">
        <v>-86</v>
      </c>
      <c r="BY771" s="185" t="s">
        <v>3794</v>
      </c>
      <c r="CJ771" t="s">
        <v>25</v>
      </c>
      <c r="CK771" t="s">
        <v>25</v>
      </c>
      <c r="CL771" t="s">
        <v>25</v>
      </c>
      <c r="CM771" t="s">
        <v>25</v>
      </c>
      <c r="CN771" t="s">
        <v>25</v>
      </c>
      <c r="CO771" t="s">
        <v>25</v>
      </c>
      <c r="CP771" t="s">
        <v>25</v>
      </c>
      <c r="CQ771" t="s">
        <v>25</v>
      </c>
      <c r="CR771" t="s">
        <v>25</v>
      </c>
      <c r="CS771" t="s">
        <v>25</v>
      </c>
      <c r="CT771" t="s">
        <v>25</v>
      </c>
      <c r="CU771" t="s">
        <v>25</v>
      </c>
      <c r="CV771" t="s">
        <v>25</v>
      </c>
      <c r="CW771" t="s">
        <v>47</v>
      </c>
      <c r="CX771" t="s">
        <v>25</v>
      </c>
      <c r="CY771" t="s">
        <v>25</v>
      </c>
      <c r="CZ771" t="s">
        <v>25</v>
      </c>
      <c r="DA771" t="s">
        <v>25</v>
      </c>
      <c r="DB771" t="s">
        <v>25</v>
      </c>
      <c r="DC771" t="s">
        <v>25</v>
      </c>
      <c r="DD771" t="s">
        <v>25</v>
      </c>
      <c r="DE771" t="s">
        <v>25</v>
      </c>
      <c r="DF771" t="s">
        <v>25</v>
      </c>
      <c r="DG771" t="s">
        <v>25</v>
      </c>
      <c r="DH771" t="s">
        <v>25</v>
      </c>
      <c r="DI771" t="s">
        <v>25</v>
      </c>
      <c r="DJ771" s="76">
        <v>1.09999999403954E-2</v>
      </c>
      <c r="DK771" s="73">
        <v>86</v>
      </c>
      <c r="DL771" s="73">
        <v>86</v>
      </c>
      <c r="DM771" s="73">
        <v>0</v>
      </c>
      <c r="DU771"/>
      <c r="DZ771" s="73">
        <v>0</v>
      </c>
      <c r="EA771" s="73">
        <v>0</v>
      </c>
      <c r="EB771" s="73">
        <v>0</v>
      </c>
    </row>
    <row r="772" spans="1:133" ht="12" customHeight="1" x14ac:dyDescent="0.2">
      <c r="A772" t="s">
        <v>2938</v>
      </c>
      <c r="B772" t="s">
        <v>2959</v>
      </c>
      <c r="C772" t="str">
        <f t="shared" si="38"/>
        <v>Appeal</v>
      </c>
      <c r="E772" s="65">
        <v>6694</v>
      </c>
      <c r="F772" t="s">
        <v>2556</v>
      </c>
      <c r="G772" s="71" t="s">
        <v>3952</v>
      </c>
      <c r="H772" s="67">
        <v>0.103000000119209</v>
      </c>
      <c r="I772" s="65">
        <v>528424</v>
      </c>
      <c r="J772" s="65">
        <v>173046</v>
      </c>
      <c r="L772" s="65" t="s">
        <v>2557</v>
      </c>
      <c r="M772" s="65" t="s">
        <v>19</v>
      </c>
      <c r="N772" s="69">
        <v>42978</v>
      </c>
      <c r="O772" s="69">
        <v>43063</v>
      </c>
      <c r="P772" s="65" t="s">
        <v>126</v>
      </c>
      <c r="R772" s="65" t="s">
        <v>987</v>
      </c>
      <c r="S772" s="69">
        <v>43090</v>
      </c>
      <c r="U772" t="s">
        <v>2558</v>
      </c>
      <c r="V772" t="s">
        <v>3715</v>
      </c>
      <c r="W772" s="65" t="s">
        <v>29</v>
      </c>
      <c r="X772" s="65" t="s">
        <v>29</v>
      </c>
      <c r="Y772" s="65" t="s">
        <v>69</v>
      </c>
      <c r="AD772" s="65" t="s">
        <v>23</v>
      </c>
      <c r="AE772" s="65" t="s">
        <v>24</v>
      </c>
      <c r="BH772" s="73">
        <v>84</v>
      </c>
      <c r="BK772" s="73">
        <v>84</v>
      </c>
      <c r="BO772" s="185" t="s">
        <v>3794</v>
      </c>
      <c r="BP772" s="185" t="s">
        <v>126</v>
      </c>
      <c r="BQ772" s="185" t="s">
        <v>3794</v>
      </c>
      <c r="BW772" s="73"/>
      <c r="BY772" s="185" t="s">
        <v>3794</v>
      </c>
      <c r="CA772" s="73">
        <v>-84</v>
      </c>
      <c r="CD772" s="73">
        <v>-84</v>
      </c>
      <c r="CE772" s="65" t="s">
        <v>126</v>
      </c>
      <c r="CJ772" t="s">
        <v>25</v>
      </c>
      <c r="CK772" t="s">
        <v>25</v>
      </c>
      <c r="CL772" t="s">
        <v>25</v>
      </c>
      <c r="CM772" t="s">
        <v>25</v>
      </c>
      <c r="CN772" t="s">
        <v>25</v>
      </c>
      <c r="CO772" t="s">
        <v>25</v>
      </c>
      <c r="CP772" t="s">
        <v>25</v>
      </c>
      <c r="CQ772" t="s">
        <v>25</v>
      </c>
      <c r="CR772" t="s">
        <v>25</v>
      </c>
      <c r="CS772" t="s">
        <v>25</v>
      </c>
      <c r="CT772" t="s">
        <v>25</v>
      </c>
      <c r="CU772" t="s">
        <v>25</v>
      </c>
      <c r="CV772" t="s">
        <v>25</v>
      </c>
      <c r="CW772" t="s">
        <v>25</v>
      </c>
      <c r="CX772" t="s">
        <v>25</v>
      </c>
      <c r="CY772" t="s">
        <v>25</v>
      </c>
      <c r="CZ772" t="s">
        <v>25</v>
      </c>
      <c r="DA772" t="s">
        <v>25</v>
      </c>
      <c r="DB772" t="s">
        <v>25</v>
      </c>
      <c r="DC772" t="s">
        <v>25</v>
      </c>
      <c r="DD772" t="s">
        <v>51</v>
      </c>
      <c r="DE772" t="s">
        <v>25</v>
      </c>
      <c r="DF772" t="s">
        <v>25</v>
      </c>
      <c r="DG772" t="s">
        <v>25</v>
      </c>
      <c r="DH772" t="s">
        <v>25</v>
      </c>
      <c r="DI772" t="s">
        <v>25</v>
      </c>
      <c r="DJ772" s="76">
        <v>0</v>
      </c>
      <c r="DK772" s="73">
        <v>0</v>
      </c>
      <c r="DL772" s="73">
        <v>513</v>
      </c>
      <c r="DM772" s="73">
        <v>-513</v>
      </c>
      <c r="DU772"/>
      <c r="DZ772" s="73">
        <v>808</v>
      </c>
      <c r="EA772" s="73">
        <v>0</v>
      </c>
      <c r="EB772" s="73">
        <v>808</v>
      </c>
      <c r="EC772" s="65" t="s">
        <v>126</v>
      </c>
    </row>
    <row r="773" spans="1:133" ht="12" customHeight="1" x14ac:dyDescent="0.2">
      <c r="A773" t="s">
        <v>2936</v>
      </c>
      <c r="B773" t="s">
        <v>2946</v>
      </c>
      <c r="C773" t="str">
        <f t="shared" si="38"/>
        <v>Full</v>
      </c>
      <c r="D773" t="s">
        <v>2943</v>
      </c>
      <c r="E773" s="65">
        <v>6699</v>
      </c>
      <c r="F773" t="s">
        <v>2559</v>
      </c>
      <c r="G773" s="71" t="s">
        <v>3943</v>
      </c>
      <c r="H773" s="67">
        <v>9.9999997764825804E-3</v>
      </c>
      <c r="I773" s="65">
        <v>527473</v>
      </c>
      <c r="J773" s="65">
        <v>176396</v>
      </c>
      <c r="L773" s="65" t="s">
        <v>2560</v>
      </c>
      <c r="M773" s="65" t="s">
        <v>27</v>
      </c>
      <c r="N773" s="69">
        <v>42986</v>
      </c>
      <c r="O773" s="69">
        <v>43042</v>
      </c>
      <c r="P773" s="65" t="s">
        <v>126</v>
      </c>
      <c r="R773" s="65" t="s">
        <v>28</v>
      </c>
      <c r="U773" t="s">
        <v>2561</v>
      </c>
      <c r="V773" t="s">
        <v>3716</v>
      </c>
      <c r="W773" s="65" t="s">
        <v>21</v>
      </c>
      <c r="X773" s="65" t="s">
        <v>21</v>
      </c>
      <c r="Y773" s="65" t="s">
        <v>35</v>
      </c>
      <c r="AA773" s="69">
        <v>43042</v>
      </c>
      <c r="AB773" s="69">
        <v>43190</v>
      </c>
      <c r="AC773" s="69">
        <v>43190</v>
      </c>
      <c r="AD773" s="65" t="s">
        <v>23</v>
      </c>
      <c r="AE773" s="65" t="s">
        <v>24</v>
      </c>
      <c r="AH773" s="69">
        <f t="shared" si="36"/>
        <v>43042</v>
      </c>
      <c r="AI773" s="69">
        <f t="shared" si="37"/>
        <v>43190</v>
      </c>
      <c r="AJ773" s="73">
        <v>32</v>
      </c>
      <c r="AO773" s="73">
        <v>32</v>
      </c>
      <c r="AZ773" s="73">
        <v>62</v>
      </c>
      <c r="BE773" s="73">
        <v>62</v>
      </c>
      <c r="BO773" s="185" t="s">
        <v>126</v>
      </c>
      <c r="BP773" s="185" t="s">
        <v>3794</v>
      </c>
      <c r="BQ773" s="185" t="s">
        <v>3794</v>
      </c>
      <c r="BR773" s="73">
        <v>-30</v>
      </c>
      <c r="BW773" s="73">
        <v>-30</v>
      </c>
      <c r="BY773" s="185" t="s">
        <v>3794</v>
      </c>
      <c r="CJ773" t="s">
        <v>31</v>
      </c>
      <c r="CK773" t="s">
        <v>25</v>
      </c>
      <c r="CL773" t="s">
        <v>25</v>
      </c>
      <c r="CM773" t="s">
        <v>25</v>
      </c>
      <c r="CN773" t="s">
        <v>25</v>
      </c>
      <c r="CO773" t="s">
        <v>25</v>
      </c>
      <c r="CP773" t="s">
        <v>25</v>
      </c>
      <c r="CQ773" t="s">
        <v>25</v>
      </c>
      <c r="CR773" t="s">
        <v>25</v>
      </c>
      <c r="CS773" t="s">
        <v>25</v>
      </c>
      <c r="CT773" t="s">
        <v>25</v>
      </c>
      <c r="CU773" t="s">
        <v>25</v>
      </c>
      <c r="CV773" t="s">
        <v>25</v>
      </c>
      <c r="CW773" t="s">
        <v>47</v>
      </c>
      <c r="CX773" t="s">
        <v>25</v>
      </c>
      <c r="CY773" t="s">
        <v>25</v>
      </c>
      <c r="CZ773" t="s">
        <v>25</v>
      </c>
      <c r="DA773" t="s">
        <v>25</v>
      </c>
      <c r="DB773" t="s">
        <v>25</v>
      </c>
      <c r="DC773" t="s">
        <v>25</v>
      </c>
      <c r="DD773" t="s">
        <v>25</v>
      </c>
      <c r="DE773" t="s">
        <v>25</v>
      </c>
      <c r="DF773" t="s">
        <v>25</v>
      </c>
      <c r="DG773" t="s">
        <v>25</v>
      </c>
      <c r="DH773" t="s">
        <v>25</v>
      </c>
      <c r="DI773" t="s">
        <v>25</v>
      </c>
      <c r="DJ773" s="76">
        <v>9.9999997764825804E-3</v>
      </c>
      <c r="DK773" s="73">
        <v>62</v>
      </c>
      <c r="DL773" s="73">
        <v>62</v>
      </c>
      <c r="DM773" s="73">
        <v>0</v>
      </c>
      <c r="DU773"/>
      <c r="DX773" s="65" t="s">
        <v>126</v>
      </c>
      <c r="DY773" t="s">
        <v>36</v>
      </c>
      <c r="DZ773" s="73">
        <v>0</v>
      </c>
      <c r="EA773" s="73">
        <v>0</v>
      </c>
      <c r="EB773" s="73">
        <v>0</v>
      </c>
    </row>
    <row r="774" spans="1:133" ht="12" customHeight="1" x14ac:dyDescent="0.2">
      <c r="A774" t="s">
        <v>2936</v>
      </c>
      <c r="B774" t="s">
        <v>2946</v>
      </c>
      <c r="C774" t="str">
        <f t="shared" si="38"/>
        <v>Full</v>
      </c>
      <c r="D774" t="s">
        <v>2943</v>
      </c>
      <c r="E774" s="65">
        <v>6700</v>
      </c>
      <c r="F774" t="s">
        <v>2562</v>
      </c>
      <c r="G774" s="71" t="s">
        <v>2904</v>
      </c>
      <c r="H774" s="67">
        <v>1.2000000104308101E-2</v>
      </c>
      <c r="I774" s="65">
        <v>526042</v>
      </c>
      <c r="J774" s="65">
        <v>172960</v>
      </c>
      <c r="L774" s="65" t="s">
        <v>2563</v>
      </c>
      <c r="M774" s="65" t="s">
        <v>27</v>
      </c>
      <c r="N774" s="69">
        <v>42993</v>
      </c>
      <c r="O774" s="69">
        <v>43049</v>
      </c>
      <c r="P774" s="65" t="s">
        <v>126</v>
      </c>
      <c r="R774" s="65" t="s">
        <v>28</v>
      </c>
      <c r="U774" t="s">
        <v>2564</v>
      </c>
      <c r="V774" t="s">
        <v>3717</v>
      </c>
      <c r="W774" s="65" t="s">
        <v>21</v>
      </c>
      <c r="X774" s="65" t="s">
        <v>21</v>
      </c>
      <c r="Y774" s="65" t="s">
        <v>35</v>
      </c>
      <c r="AB774" s="69">
        <v>43190</v>
      </c>
      <c r="AC774" s="69">
        <v>43190</v>
      </c>
      <c r="AD774" s="65" t="s">
        <v>23</v>
      </c>
      <c r="AE774" s="65" t="s">
        <v>24</v>
      </c>
      <c r="AI774" s="69">
        <f t="shared" si="37"/>
        <v>43190</v>
      </c>
      <c r="AL774" s="73">
        <v>74</v>
      </c>
      <c r="AO774" s="73">
        <v>74</v>
      </c>
      <c r="BC774" s="73">
        <v>74</v>
      </c>
      <c r="BE774" s="73">
        <v>74</v>
      </c>
      <c r="BO774" s="185" t="s">
        <v>126</v>
      </c>
      <c r="BP774" s="185" t="s">
        <v>3794</v>
      </c>
      <c r="BQ774" s="185" t="s">
        <v>3794</v>
      </c>
      <c r="BT774" s="73">
        <v>74</v>
      </c>
      <c r="BU774" s="73">
        <v>-74</v>
      </c>
      <c r="BW774" s="73"/>
      <c r="BY774" s="185" t="s">
        <v>3794</v>
      </c>
      <c r="CJ774" t="s">
        <v>25</v>
      </c>
      <c r="CK774" t="s">
        <v>25</v>
      </c>
      <c r="CL774" t="s">
        <v>38</v>
      </c>
      <c r="CM774" t="s">
        <v>25</v>
      </c>
      <c r="CN774" t="s">
        <v>25</v>
      </c>
      <c r="CO774" t="s">
        <v>25</v>
      </c>
      <c r="CP774" t="s">
        <v>25</v>
      </c>
      <c r="CQ774" t="s">
        <v>25</v>
      </c>
      <c r="CR774" t="s">
        <v>25</v>
      </c>
      <c r="CS774" t="s">
        <v>25</v>
      </c>
      <c r="CT774" t="s">
        <v>25</v>
      </c>
      <c r="CU774" t="s">
        <v>25</v>
      </c>
      <c r="CV774" t="s">
        <v>25</v>
      </c>
      <c r="CW774" t="s">
        <v>25</v>
      </c>
      <c r="CX774" t="s">
        <v>25</v>
      </c>
      <c r="CY774" t="s">
        <v>25</v>
      </c>
      <c r="CZ774" t="s">
        <v>47</v>
      </c>
      <c r="DA774" t="s">
        <v>25</v>
      </c>
      <c r="DB774" t="s">
        <v>25</v>
      </c>
      <c r="DC774" t="s">
        <v>25</v>
      </c>
      <c r="DD774" t="s">
        <v>25</v>
      </c>
      <c r="DE774" t="s">
        <v>25</v>
      </c>
      <c r="DF774" t="s">
        <v>25</v>
      </c>
      <c r="DG774" t="s">
        <v>25</v>
      </c>
      <c r="DH774" t="s">
        <v>25</v>
      </c>
      <c r="DI774" t="s">
        <v>25</v>
      </c>
      <c r="DJ774" s="76">
        <v>1.2000000104308101E-2</v>
      </c>
      <c r="DK774" s="73">
        <v>74</v>
      </c>
      <c r="DL774" s="73">
        <v>74</v>
      </c>
      <c r="DM774" s="73">
        <v>0</v>
      </c>
      <c r="DU774"/>
      <c r="DX774" s="65" t="s">
        <v>126</v>
      </c>
      <c r="DY774" t="s">
        <v>2904</v>
      </c>
      <c r="DZ774" s="73">
        <v>0</v>
      </c>
      <c r="EA774" s="73">
        <v>0</v>
      </c>
      <c r="EB774" s="73">
        <v>0</v>
      </c>
    </row>
    <row r="775" spans="1:133" ht="12" customHeight="1" x14ac:dyDescent="0.2">
      <c r="A775" t="s">
        <v>2936</v>
      </c>
      <c r="B775" t="s">
        <v>2946</v>
      </c>
      <c r="C775" t="str">
        <f t="shared" si="38"/>
        <v>Full</v>
      </c>
      <c r="D775" t="s">
        <v>2943</v>
      </c>
      <c r="E775" s="65">
        <v>6701</v>
      </c>
      <c r="F775" t="s">
        <v>2565</v>
      </c>
      <c r="G775" s="71" t="s">
        <v>3951</v>
      </c>
      <c r="H775" s="67">
        <v>9.9999997764825804E-3</v>
      </c>
      <c r="I775" s="65">
        <v>527904</v>
      </c>
      <c r="J775" s="65">
        <v>170625</v>
      </c>
      <c r="L775" s="65" t="s">
        <v>2566</v>
      </c>
      <c r="M775" s="65" t="s">
        <v>27</v>
      </c>
      <c r="N775" s="69">
        <v>42986</v>
      </c>
      <c r="O775" s="69">
        <v>43041</v>
      </c>
      <c r="P775" s="65" t="s">
        <v>126</v>
      </c>
      <c r="R775" s="65" t="s">
        <v>28</v>
      </c>
      <c r="U775" t="s">
        <v>2567</v>
      </c>
      <c r="V775" t="s">
        <v>3718</v>
      </c>
      <c r="W775" s="65" t="s">
        <v>21</v>
      </c>
      <c r="X775" s="65" t="s">
        <v>21</v>
      </c>
      <c r="Y775" s="65" t="s">
        <v>35</v>
      </c>
      <c r="AA775" s="69">
        <v>43041</v>
      </c>
      <c r="AB775" s="69">
        <v>43190</v>
      </c>
      <c r="AC775" s="69">
        <v>43190</v>
      </c>
      <c r="AD775" s="65" t="s">
        <v>23</v>
      </c>
      <c r="AE775" s="65" t="s">
        <v>24</v>
      </c>
      <c r="AH775" s="69">
        <f t="shared" si="36"/>
        <v>43041</v>
      </c>
      <c r="AI775" s="69">
        <f t="shared" si="37"/>
        <v>43190</v>
      </c>
      <c r="AZ775" s="73">
        <v>90</v>
      </c>
      <c r="BE775" s="73">
        <v>90</v>
      </c>
      <c r="BO775" s="185" t="s">
        <v>126</v>
      </c>
      <c r="BP775" s="185" t="s">
        <v>3794</v>
      </c>
      <c r="BQ775" s="185" t="s">
        <v>3794</v>
      </c>
      <c r="BR775" s="73">
        <v>-90</v>
      </c>
      <c r="BW775" s="73">
        <v>-90</v>
      </c>
      <c r="BY775" s="185" t="s">
        <v>3794</v>
      </c>
      <c r="CJ775" t="s">
        <v>25</v>
      </c>
      <c r="CK775" t="s">
        <v>25</v>
      </c>
      <c r="CL775" t="s">
        <v>25</v>
      </c>
      <c r="CM775" t="s">
        <v>25</v>
      </c>
      <c r="CN775" t="s">
        <v>25</v>
      </c>
      <c r="CO775" t="s">
        <v>25</v>
      </c>
      <c r="CP775" t="s">
        <v>25</v>
      </c>
      <c r="CQ775" t="s">
        <v>25</v>
      </c>
      <c r="CR775" t="s">
        <v>25</v>
      </c>
      <c r="CS775" t="s">
        <v>25</v>
      </c>
      <c r="CT775" t="s">
        <v>25</v>
      </c>
      <c r="CU775" t="s">
        <v>25</v>
      </c>
      <c r="CV775" t="s">
        <v>25</v>
      </c>
      <c r="CW775" t="s">
        <v>46</v>
      </c>
      <c r="CX775" t="s">
        <v>25</v>
      </c>
      <c r="CY775" t="s">
        <v>25</v>
      </c>
      <c r="CZ775" t="s">
        <v>25</v>
      </c>
      <c r="DA775" t="s">
        <v>25</v>
      </c>
      <c r="DB775" t="s">
        <v>25</v>
      </c>
      <c r="DC775" t="s">
        <v>25</v>
      </c>
      <c r="DD775" t="s">
        <v>25</v>
      </c>
      <c r="DE775" t="s">
        <v>25</v>
      </c>
      <c r="DF775" t="s">
        <v>25</v>
      </c>
      <c r="DG775" t="s">
        <v>25</v>
      </c>
      <c r="DH775" t="s">
        <v>25</v>
      </c>
      <c r="DI775" t="s">
        <v>25</v>
      </c>
      <c r="DJ775" s="76">
        <v>9.9999997764825804E-3</v>
      </c>
      <c r="DK775" s="73">
        <v>90</v>
      </c>
      <c r="DL775" s="73">
        <v>90</v>
      </c>
      <c r="DM775" s="73">
        <v>0</v>
      </c>
      <c r="DU775"/>
      <c r="DZ775" s="73">
        <v>0</v>
      </c>
      <c r="EA775" s="73">
        <v>0</v>
      </c>
      <c r="EB775" s="73">
        <v>0</v>
      </c>
    </row>
    <row r="776" spans="1:133" ht="12" customHeight="1" x14ac:dyDescent="0.2">
      <c r="A776" t="s">
        <v>2937</v>
      </c>
      <c r="B776" t="s">
        <v>2948</v>
      </c>
      <c r="C776" t="str">
        <f t="shared" si="38"/>
        <v>Prior Approval</v>
      </c>
      <c r="E776" s="65">
        <v>6707</v>
      </c>
      <c r="F776" t="s">
        <v>2568</v>
      </c>
      <c r="G776" s="71" t="s">
        <v>149</v>
      </c>
      <c r="H776" s="67">
        <v>2.8000000864267301E-2</v>
      </c>
      <c r="I776" s="65">
        <v>528529</v>
      </c>
      <c r="J776" s="65">
        <v>173387</v>
      </c>
      <c r="L776" s="65" t="s">
        <v>2569</v>
      </c>
      <c r="M776" s="65" t="s">
        <v>243</v>
      </c>
      <c r="N776" s="69">
        <v>43003</v>
      </c>
      <c r="O776" s="69">
        <v>43059</v>
      </c>
      <c r="P776" s="65" t="s">
        <v>126</v>
      </c>
      <c r="R776" s="65" t="s">
        <v>28</v>
      </c>
      <c r="U776" t="s">
        <v>2570</v>
      </c>
      <c r="V776" t="s">
        <v>3719</v>
      </c>
      <c r="W776" s="65" t="s">
        <v>21</v>
      </c>
      <c r="X776" s="65" t="s">
        <v>21</v>
      </c>
      <c r="Y776" s="65" t="s">
        <v>69</v>
      </c>
      <c r="AD776" s="65" t="s">
        <v>23</v>
      </c>
      <c r="AE776" s="65" t="s">
        <v>24</v>
      </c>
      <c r="BF776" s="73">
        <v>202</v>
      </c>
      <c r="BK776" s="73">
        <v>202</v>
      </c>
      <c r="BO776" s="185" t="s">
        <v>3794</v>
      </c>
      <c r="BP776" s="185" t="s">
        <v>126</v>
      </c>
      <c r="BQ776" s="185" t="s">
        <v>3794</v>
      </c>
      <c r="BW776" s="73"/>
      <c r="BX776" s="73">
        <v>-202</v>
      </c>
      <c r="BY776" s="185" t="s">
        <v>126</v>
      </c>
      <c r="CD776" s="73">
        <v>-202</v>
      </c>
      <c r="CE776" s="65" t="s">
        <v>126</v>
      </c>
      <c r="CJ776" t="s">
        <v>25</v>
      </c>
      <c r="CK776" t="s">
        <v>25</v>
      </c>
      <c r="CL776" t="s">
        <v>25</v>
      </c>
      <c r="CM776" t="s">
        <v>25</v>
      </c>
      <c r="CN776" t="s">
        <v>25</v>
      </c>
      <c r="CO776" t="s">
        <v>25</v>
      </c>
      <c r="CP776" t="s">
        <v>25</v>
      </c>
      <c r="CQ776" t="s">
        <v>25</v>
      </c>
      <c r="CR776" t="s">
        <v>25</v>
      </c>
      <c r="CS776" t="s">
        <v>25</v>
      </c>
      <c r="CT776" t="s">
        <v>25</v>
      </c>
      <c r="CU776" t="s">
        <v>25</v>
      </c>
      <c r="CV776" t="s">
        <v>25</v>
      </c>
      <c r="CW776" t="s">
        <v>25</v>
      </c>
      <c r="CX776" t="s">
        <v>25</v>
      </c>
      <c r="CY776" t="s">
        <v>25</v>
      </c>
      <c r="CZ776" t="s">
        <v>25</v>
      </c>
      <c r="DA776" t="s">
        <v>25</v>
      </c>
      <c r="DB776" t="s">
        <v>47</v>
      </c>
      <c r="DC776" t="s">
        <v>25</v>
      </c>
      <c r="DD776" t="s">
        <v>25</v>
      </c>
      <c r="DE776" t="s">
        <v>25</v>
      </c>
      <c r="DF776" t="s">
        <v>25</v>
      </c>
      <c r="DG776" t="s">
        <v>25</v>
      </c>
      <c r="DH776" t="s">
        <v>25</v>
      </c>
      <c r="DI776" t="s">
        <v>25</v>
      </c>
      <c r="DJ776" s="76">
        <v>1.0000001639127003E-3</v>
      </c>
      <c r="DK776" s="73">
        <v>0</v>
      </c>
      <c r="DL776" s="73">
        <v>202</v>
      </c>
      <c r="DM776" s="73">
        <v>-202</v>
      </c>
      <c r="DU776"/>
      <c r="DV776" s="65" t="s">
        <v>126</v>
      </c>
      <c r="DW776" t="s">
        <v>149</v>
      </c>
      <c r="DZ776" s="73">
        <v>200</v>
      </c>
      <c r="EA776" s="73">
        <v>0</v>
      </c>
      <c r="EB776" s="73">
        <v>200</v>
      </c>
      <c r="EC776" s="65" t="s">
        <v>126</v>
      </c>
    </row>
    <row r="777" spans="1:133" ht="12" customHeight="1" x14ac:dyDescent="0.2">
      <c r="A777" t="s">
        <v>2938</v>
      </c>
      <c r="B777" t="s">
        <v>2946</v>
      </c>
      <c r="C777" t="str">
        <f t="shared" si="38"/>
        <v>Full</v>
      </c>
      <c r="E777" s="65">
        <v>6710</v>
      </c>
      <c r="F777" t="s">
        <v>2571</v>
      </c>
      <c r="G777" s="71" t="s">
        <v>3943</v>
      </c>
      <c r="H777" s="67">
        <v>2.8000000864267301E-2</v>
      </c>
      <c r="I777" s="65">
        <v>526684</v>
      </c>
      <c r="J777" s="65">
        <v>176405</v>
      </c>
      <c r="L777" s="65" t="s">
        <v>2572</v>
      </c>
      <c r="M777" s="65" t="s">
        <v>172</v>
      </c>
      <c r="N777" s="69">
        <v>43130</v>
      </c>
      <c r="R777" s="65" t="s">
        <v>28</v>
      </c>
      <c r="U777" t="s">
        <v>2573</v>
      </c>
      <c r="V777" t="s">
        <v>3720</v>
      </c>
      <c r="W777" s="65" t="s">
        <v>21</v>
      </c>
      <c r="X777" s="65" t="s">
        <v>21</v>
      </c>
      <c r="Y777" s="65" t="s">
        <v>69</v>
      </c>
      <c r="AD777" s="65" t="s">
        <v>173</v>
      </c>
      <c r="AE777" s="65" t="s">
        <v>24</v>
      </c>
      <c r="AX777" s="73">
        <v>104</v>
      </c>
      <c r="AY777" s="73">
        <v>104</v>
      </c>
      <c r="BJ777" s="73">
        <v>104</v>
      </c>
      <c r="BK777" s="73">
        <v>104</v>
      </c>
      <c r="BO777" s="185" t="s">
        <v>3794</v>
      </c>
      <c r="BP777" s="185" t="s">
        <v>126</v>
      </c>
      <c r="BQ777" s="185" t="s">
        <v>126</v>
      </c>
      <c r="BW777" s="73"/>
      <c r="BY777" s="185" t="s">
        <v>3794</v>
      </c>
      <c r="CC777" s="73">
        <v>-104</v>
      </c>
      <c r="CD777" s="73">
        <v>-104</v>
      </c>
      <c r="CE777" s="65" t="s">
        <v>126</v>
      </c>
      <c r="CH777" s="73">
        <v>104</v>
      </c>
      <c r="CI777" s="73">
        <v>104</v>
      </c>
      <c r="CJ777" t="s">
        <v>25</v>
      </c>
      <c r="CK777" t="s">
        <v>25</v>
      </c>
      <c r="CL777" t="s">
        <v>25</v>
      </c>
      <c r="CM777" t="s">
        <v>25</v>
      </c>
      <c r="CN777" t="s">
        <v>25</v>
      </c>
      <c r="CO777" t="s">
        <v>25</v>
      </c>
      <c r="CP777" t="s">
        <v>25</v>
      </c>
      <c r="CQ777" t="s">
        <v>25</v>
      </c>
      <c r="CR777" t="s">
        <v>25</v>
      </c>
      <c r="CS777" t="s">
        <v>25</v>
      </c>
      <c r="CT777" t="s">
        <v>25</v>
      </c>
      <c r="CU777" t="s">
        <v>25</v>
      </c>
      <c r="CV777" t="s">
        <v>49</v>
      </c>
      <c r="CW777" t="s">
        <v>25</v>
      </c>
      <c r="CX777" t="s">
        <v>25</v>
      </c>
      <c r="CY777" t="s">
        <v>25</v>
      </c>
      <c r="CZ777" t="s">
        <v>25</v>
      </c>
      <c r="DA777" t="s">
        <v>25</v>
      </c>
      <c r="DB777" t="s">
        <v>25</v>
      </c>
      <c r="DC777" t="s">
        <v>25</v>
      </c>
      <c r="DD777" t="s">
        <v>25</v>
      </c>
      <c r="DE777" t="s">
        <v>25</v>
      </c>
      <c r="DF777" t="s">
        <v>53</v>
      </c>
      <c r="DG777" t="s">
        <v>25</v>
      </c>
      <c r="DH777" t="s">
        <v>25</v>
      </c>
      <c r="DI777" t="s">
        <v>25</v>
      </c>
      <c r="DJ777" s="76">
        <v>2.8000000864267301E-2</v>
      </c>
      <c r="DK777" s="73">
        <v>104</v>
      </c>
      <c r="DL777" s="73">
        <v>104</v>
      </c>
      <c r="DM777" s="73">
        <v>0</v>
      </c>
      <c r="DN777" s="65" t="s">
        <v>126</v>
      </c>
      <c r="DU777"/>
      <c r="DZ777" s="73">
        <v>0</v>
      </c>
      <c r="EA777" s="73">
        <v>0</v>
      </c>
      <c r="EB777" s="73">
        <v>0</v>
      </c>
    </row>
    <row r="778" spans="1:133" ht="12" customHeight="1" x14ac:dyDescent="0.2">
      <c r="A778" t="s">
        <v>2938</v>
      </c>
      <c r="B778" t="s">
        <v>2946</v>
      </c>
      <c r="C778" t="str">
        <f t="shared" si="38"/>
        <v>Full</v>
      </c>
      <c r="E778" s="65">
        <v>6711</v>
      </c>
      <c r="F778" t="s">
        <v>2574</v>
      </c>
      <c r="G778" s="71" t="s">
        <v>3946</v>
      </c>
      <c r="H778" s="67">
        <v>1.4000000432133701E-2</v>
      </c>
      <c r="I778" s="65">
        <v>523785</v>
      </c>
      <c r="J778" s="65">
        <v>175744</v>
      </c>
      <c r="L778" s="65" t="s">
        <v>2575</v>
      </c>
      <c r="M778" s="65" t="s">
        <v>172</v>
      </c>
      <c r="N778" s="69">
        <v>43091</v>
      </c>
      <c r="R778" s="65" t="s">
        <v>28</v>
      </c>
      <c r="U778" t="s">
        <v>2576</v>
      </c>
      <c r="V778" t="s">
        <v>3721</v>
      </c>
      <c r="W778" s="65" t="s">
        <v>21</v>
      </c>
      <c r="X778" s="65" t="s">
        <v>21</v>
      </c>
      <c r="Y778" s="65" t="s">
        <v>69</v>
      </c>
      <c r="AD778" s="65" t="s">
        <v>173</v>
      </c>
      <c r="AE778" s="65" t="s">
        <v>24</v>
      </c>
      <c r="AW778" s="73">
        <v>115</v>
      </c>
      <c r="AY778" s="73">
        <v>115</v>
      </c>
      <c r="AZ778" s="73">
        <v>125</v>
      </c>
      <c r="BE778" s="73">
        <v>125</v>
      </c>
      <c r="BO778" s="185" t="s">
        <v>126</v>
      </c>
      <c r="BP778" s="185" t="s">
        <v>3794</v>
      </c>
      <c r="BQ778" s="185" t="s">
        <v>126</v>
      </c>
      <c r="BR778" s="73">
        <v>-125</v>
      </c>
      <c r="BW778" s="73">
        <v>-125</v>
      </c>
      <c r="BY778" s="185" t="s">
        <v>3794</v>
      </c>
      <c r="CG778" s="73">
        <v>115</v>
      </c>
      <c r="CI778" s="73">
        <v>115</v>
      </c>
      <c r="CJ778" t="s">
        <v>25</v>
      </c>
      <c r="CK778" t="s">
        <v>25</v>
      </c>
      <c r="CL778" t="s">
        <v>25</v>
      </c>
      <c r="CM778" t="s">
        <v>25</v>
      </c>
      <c r="CN778" t="s">
        <v>25</v>
      </c>
      <c r="CO778" t="s">
        <v>25</v>
      </c>
      <c r="CP778" t="s">
        <v>25</v>
      </c>
      <c r="CQ778" t="s">
        <v>25</v>
      </c>
      <c r="CR778" t="s">
        <v>25</v>
      </c>
      <c r="CS778" t="s">
        <v>25</v>
      </c>
      <c r="CT778" t="s">
        <v>25</v>
      </c>
      <c r="CU778" t="s">
        <v>43</v>
      </c>
      <c r="CV778" t="s">
        <v>25</v>
      </c>
      <c r="CW778" t="s">
        <v>47</v>
      </c>
      <c r="CX778" t="s">
        <v>25</v>
      </c>
      <c r="CY778" t="s">
        <v>25</v>
      </c>
      <c r="CZ778" t="s">
        <v>25</v>
      </c>
      <c r="DA778" t="s">
        <v>25</v>
      </c>
      <c r="DB778" t="s">
        <v>25</v>
      </c>
      <c r="DC778" t="s">
        <v>25</v>
      </c>
      <c r="DD778" t="s">
        <v>25</v>
      </c>
      <c r="DE778" t="s">
        <v>25</v>
      </c>
      <c r="DF778" t="s">
        <v>25</v>
      </c>
      <c r="DG778" t="s">
        <v>25</v>
      </c>
      <c r="DH778" t="s">
        <v>25</v>
      </c>
      <c r="DI778" t="s">
        <v>25</v>
      </c>
      <c r="DJ778" s="76">
        <v>1.4000000432133701E-2</v>
      </c>
      <c r="DK778" s="73">
        <v>115</v>
      </c>
      <c r="DL778" s="73">
        <v>125</v>
      </c>
      <c r="DM778" s="73">
        <v>-10</v>
      </c>
      <c r="DU778"/>
      <c r="DZ778" s="73">
        <v>0</v>
      </c>
      <c r="EA778" s="73">
        <v>0</v>
      </c>
      <c r="EB778" s="73">
        <v>0</v>
      </c>
    </row>
    <row r="779" spans="1:133" ht="12" customHeight="1" x14ac:dyDescent="0.2">
      <c r="A779" t="s">
        <v>2938</v>
      </c>
      <c r="B779" t="s">
        <v>2946</v>
      </c>
      <c r="C779" t="str">
        <f t="shared" si="38"/>
        <v>Full</v>
      </c>
      <c r="E779" s="65">
        <v>6714</v>
      </c>
      <c r="F779" t="s">
        <v>2580</v>
      </c>
      <c r="G779" s="71" t="s">
        <v>3952</v>
      </c>
      <c r="H779" s="67">
        <v>1.2000000104308101E-2</v>
      </c>
      <c r="I779" s="65">
        <v>527984</v>
      </c>
      <c r="J779" s="65">
        <v>172301</v>
      </c>
      <c r="L779" s="65" t="s">
        <v>2581</v>
      </c>
      <c r="M779" s="65" t="s">
        <v>172</v>
      </c>
      <c r="N779" s="69">
        <v>43006</v>
      </c>
      <c r="R779" s="65" t="s">
        <v>28</v>
      </c>
      <c r="U779" t="s">
        <v>2582</v>
      </c>
      <c r="V779" t="s">
        <v>3722</v>
      </c>
      <c r="W779" s="65" t="s">
        <v>34</v>
      </c>
      <c r="X779" s="65" t="s">
        <v>29</v>
      </c>
      <c r="Y779" s="65" t="s">
        <v>69</v>
      </c>
      <c r="AD779" s="65" t="s">
        <v>173</v>
      </c>
      <c r="AE779" s="65" t="s">
        <v>24</v>
      </c>
      <c r="AL779" s="73">
        <v>118</v>
      </c>
      <c r="AO779" s="73">
        <v>118</v>
      </c>
      <c r="AZ779" s="73">
        <v>113</v>
      </c>
      <c r="BE779" s="73">
        <v>113</v>
      </c>
      <c r="BO779" s="185" t="s">
        <v>126</v>
      </c>
      <c r="BP779" s="185" t="s">
        <v>3794</v>
      </c>
      <c r="BQ779" s="185" t="s">
        <v>3794</v>
      </c>
      <c r="BR779" s="73">
        <v>-113</v>
      </c>
      <c r="BT779" s="73">
        <v>118</v>
      </c>
      <c r="BW779" s="73">
        <v>5</v>
      </c>
      <c r="BY779" s="185" t="s">
        <v>3794</v>
      </c>
      <c r="CJ779" t="s">
        <v>25</v>
      </c>
      <c r="CK779" t="s">
        <v>25</v>
      </c>
      <c r="CL779" t="s">
        <v>38</v>
      </c>
      <c r="CM779" t="s">
        <v>25</v>
      </c>
      <c r="CN779" t="s">
        <v>25</v>
      </c>
      <c r="CO779" t="s">
        <v>25</v>
      </c>
      <c r="CP779" t="s">
        <v>25</v>
      </c>
      <c r="CQ779" t="s">
        <v>25</v>
      </c>
      <c r="CR779" t="s">
        <v>25</v>
      </c>
      <c r="CS779" t="s">
        <v>25</v>
      </c>
      <c r="CT779" t="s">
        <v>25</v>
      </c>
      <c r="CU779" t="s">
        <v>25</v>
      </c>
      <c r="CV779" t="s">
        <v>25</v>
      </c>
      <c r="CW779" t="s">
        <v>31</v>
      </c>
      <c r="CX779" t="s">
        <v>25</v>
      </c>
      <c r="CY779" t="s">
        <v>25</v>
      </c>
      <c r="CZ779" t="s">
        <v>25</v>
      </c>
      <c r="DA779" t="s">
        <v>25</v>
      </c>
      <c r="DB779" t="s">
        <v>25</v>
      </c>
      <c r="DC779" t="s">
        <v>25</v>
      </c>
      <c r="DD779" t="s">
        <v>25</v>
      </c>
      <c r="DE779" t="s">
        <v>25</v>
      </c>
      <c r="DF779" t="s">
        <v>25</v>
      </c>
      <c r="DG779" t="s">
        <v>25</v>
      </c>
      <c r="DH779" t="s">
        <v>25</v>
      </c>
      <c r="DI779" t="s">
        <v>25</v>
      </c>
      <c r="DJ779" s="76">
        <v>3.9999997243284902E-3</v>
      </c>
      <c r="DK779" s="73">
        <v>118</v>
      </c>
      <c r="DL779" s="73">
        <v>113</v>
      </c>
      <c r="DM779" s="73">
        <v>5</v>
      </c>
      <c r="DU779"/>
      <c r="DZ779" s="73">
        <v>229</v>
      </c>
      <c r="EA779" s="73">
        <v>165</v>
      </c>
      <c r="EB779" s="73">
        <v>64</v>
      </c>
      <c r="EC779" s="65" t="s">
        <v>126</v>
      </c>
    </row>
    <row r="780" spans="1:133" ht="12" customHeight="1" x14ac:dyDescent="0.2">
      <c r="A780" t="s">
        <v>2937</v>
      </c>
      <c r="B780" t="s">
        <v>2948</v>
      </c>
      <c r="C780" t="str">
        <f t="shared" si="38"/>
        <v>Prior Approval</v>
      </c>
      <c r="E780" s="65">
        <v>6716</v>
      </c>
      <c r="F780" t="s">
        <v>2583</v>
      </c>
      <c r="G780" s="71" t="s">
        <v>2907</v>
      </c>
      <c r="H780" s="67">
        <v>4.8999998718500103E-2</v>
      </c>
      <c r="I780" s="65">
        <v>525381</v>
      </c>
      <c r="J780" s="65">
        <v>174614</v>
      </c>
      <c r="L780" s="65" t="s">
        <v>2584</v>
      </c>
      <c r="M780" s="65" t="s">
        <v>244</v>
      </c>
      <c r="N780" s="69">
        <v>43018</v>
      </c>
      <c r="O780" s="69">
        <v>43067</v>
      </c>
      <c r="P780" s="65" t="s">
        <v>126</v>
      </c>
      <c r="R780" s="65" t="s">
        <v>28</v>
      </c>
      <c r="U780" t="s">
        <v>2585</v>
      </c>
      <c r="V780" t="s">
        <v>3723</v>
      </c>
      <c r="W780" s="65" t="s">
        <v>21</v>
      </c>
      <c r="X780" s="65" t="s">
        <v>21</v>
      </c>
      <c r="Y780" s="65" t="s">
        <v>69</v>
      </c>
      <c r="AD780" s="65" t="s">
        <v>23</v>
      </c>
      <c r="AE780" s="65" t="s">
        <v>24</v>
      </c>
      <c r="BF780" s="73">
        <v>456</v>
      </c>
      <c r="BK780" s="73">
        <v>456</v>
      </c>
      <c r="BO780" s="185" t="s">
        <v>3794</v>
      </c>
      <c r="BP780" s="185" t="s">
        <v>126</v>
      </c>
      <c r="BQ780" s="185" t="s">
        <v>3794</v>
      </c>
      <c r="BW780" s="73"/>
      <c r="BX780" s="73">
        <v>-456</v>
      </c>
      <c r="BY780" s="185" t="s">
        <v>126</v>
      </c>
      <c r="CD780" s="73">
        <v>-456</v>
      </c>
      <c r="CE780" s="65" t="s">
        <v>126</v>
      </c>
      <c r="CJ780" t="s">
        <v>25</v>
      </c>
      <c r="CK780" t="s">
        <v>25</v>
      </c>
      <c r="CL780" t="s">
        <v>25</v>
      </c>
      <c r="CM780" t="s">
        <v>25</v>
      </c>
      <c r="CN780" t="s">
        <v>25</v>
      </c>
      <c r="CO780" t="s">
        <v>25</v>
      </c>
      <c r="CP780" t="s">
        <v>25</v>
      </c>
      <c r="CQ780" t="s">
        <v>25</v>
      </c>
      <c r="CR780" t="s">
        <v>25</v>
      </c>
      <c r="CS780" t="s">
        <v>25</v>
      </c>
      <c r="CT780" t="s">
        <v>25</v>
      </c>
      <c r="CU780" t="s">
        <v>25</v>
      </c>
      <c r="CV780" t="s">
        <v>25</v>
      </c>
      <c r="CW780" t="s">
        <v>25</v>
      </c>
      <c r="CX780" t="s">
        <v>25</v>
      </c>
      <c r="CY780" t="s">
        <v>25</v>
      </c>
      <c r="CZ780" t="s">
        <v>25</v>
      </c>
      <c r="DA780" t="s">
        <v>25</v>
      </c>
      <c r="DB780" t="s">
        <v>47</v>
      </c>
      <c r="DC780" t="s">
        <v>25</v>
      </c>
      <c r="DD780" t="s">
        <v>25</v>
      </c>
      <c r="DE780" t="s">
        <v>25</v>
      </c>
      <c r="DF780" t="s">
        <v>25</v>
      </c>
      <c r="DG780" t="s">
        <v>25</v>
      </c>
      <c r="DH780" t="s">
        <v>25</v>
      </c>
      <c r="DI780" t="s">
        <v>25</v>
      </c>
      <c r="DJ780" s="76">
        <v>3.0999999493360502E-2</v>
      </c>
      <c r="DK780" s="73">
        <v>0</v>
      </c>
      <c r="DL780" s="73">
        <v>456</v>
      </c>
      <c r="DM780" s="73">
        <v>-456</v>
      </c>
      <c r="DU780"/>
      <c r="DV780" s="65" t="s">
        <v>126</v>
      </c>
      <c r="DW780" t="s">
        <v>151</v>
      </c>
      <c r="DZ780" s="73">
        <v>456</v>
      </c>
      <c r="EA780" s="73">
        <v>0</v>
      </c>
      <c r="EB780" s="73">
        <v>456</v>
      </c>
      <c r="EC780" s="65" t="s">
        <v>126</v>
      </c>
    </row>
    <row r="781" spans="1:133" ht="12" customHeight="1" x14ac:dyDescent="0.2">
      <c r="A781" t="s">
        <v>2936</v>
      </c>
      <c r="B781" t="s">
        <v>2946</v>
      </c>
      <c r="C781" t="str">
        <f t="shared" si="38"/>
        <v>Full</v>
      </c>
      <c r="D781" t="s">
        <v>2943</v>
      </c>
      <c r="E781" s="65">
        <v>6717</v>
      </c>
      <c r="F781" t="s">
        <v>2586</v>
      </c>
      <c r="G781" s="71" t="s">
        <v>3946</v>
      </c>
      <c r="H781" s="67">
        <v>1.4000000432133701E-2</v>
      </c>
      <c r="I781" s="65">
        <v>523291</v>
      </c>
      <c r="J781" s="65">
        <v>175853</v>
      </c>
      <c r="L781" s="65" t="s">
        <v>2587</v>
      </c>
      <c r="M781" s="65" t="s">
        <v>27</v>
      </c>
      <c r="N781" s="69">
        <v>43025</v>
      </c>
      <c r="O781" s="69">
        <v>43080</v>
      </c>
      <c r="P781" s="65" t="s">
        <v>126</v>
      </c>
      <c r="R781" s="65" t="s">
        <v>28</v>
      </c>
      <c r="U781" t="s">
        <v>2588</v>
      </c>
      <c r="V781" t="s">
        <v>3724</v>
      </c>
      <c r="W781" s="65" t="s">
        <v>21</v>
      </c>
      <c r="X781" s="65" t="s">
        <v>21</v>
      </c>
      <c r="Y781" s="65" t="s">
        <v>35</v>
      </c>
      <c r="AA781" s="69">
        <v>43080</v>
      </c>
      <c r="AB781" s="69">
        <v>43190</v>
      </c>
      <c r="AC781" s="69">
        <v>43190</v>
      </c>
      <c r="AD781" s="65" t="s">
        <v>23</v>
      </c>
      <c r="AE781" s="65" t="s">
        <v>24</v>
      </c>
      <c r="AH781" s="69">
        <f t="shared" si="36"/>
        <v>43080</v>
      </c>
      <c r="AI781" s="69">
        <f t="shared" si="37"/>
        <v>43190</v>
      </c>
      <c r="AN781" s="73">
        <v>85</v>
      </c>
      <c r="AO781" s="73">
        <v>85</v>
      </c>
      <c r="BB781" s="73">
        <v>85</v>
      </c>
      <c r="BE781" s="73">
        <v>85</v>
      </c>
      <c r="BO781" s="185" t="s">
        <v>126</v>
      </c>
      <c r="BP781" s="185" t="s">
        <v>3794</v>
      </c>
      <c r="BQ781" s="185" t="s">
        <v>3794</v>
      </c>
      <c r="BT781" s="73">
        <v>-85</v>
      </c>
      <c r="BV781" s="73">
        <v>85</v>
      </c>
      <c r="BW781" s="73"/>
      <c r="BY781" s="185" t="s">
        <v>3794</v>
      </c>
      <c r="CJ781" t="s">
        <v>25</v>
      </c>
      <c r="CK781" t="s">
        <v>25</v>
      </c>
      <c r="CL781" t="s">
        <v>25</v>
      </c>
      <c r="CM781" t="s">
        <v>25</v>
      </c>
      <c r="CN781" t="s">
        <v>65</v>
      </c>
      <c r="CO781" t="s">
        <v>25</v>
      </c>
      <c r="CP781" t="s">
        <v>25</v>
      </c>
      <c r="CQ781" t="s">
        <v>25</v>
      </c>
      <c r="CR781" t="s">
        <v>25</v>
      </c>
      <c r="CS781" t="s">
        <v>25</v>
      </c>
      <c r="CT781" t="s">
        <v>25</v>
      </c>
      <c r="CU781" t="s">
        <v>25</v>
      </c>
      <c r="CV781" t="s">
        <v>25</v>
      </c>
      <c r="CW781" t="s">
        <v>25</v>
      </c>
      <c r="CX781" t="s">
        <v>25</v>
      </c>
      <c r="CY781" t="s">
        <v>38</v>
      </c>
      <c r="CZ781" t="s">
        <v>25</v>
      </c>
      <c r="DA781" t="s">
        <v>25</v>
      </c>
      <c r="DB781" t="s">
        <v>25</v>
      </c>
      <c r="DC781" t="s">
        <v>25</v>
      </c>
      <c r="DD781" t="s">
        <v>25</v>
      </c>
      <c r="DE781" t="s">
        <v>25</v>
      </c>
      <c r="DF781" t="s">
        <v>25</v>
      </c>
      <c r="DG781" t="s">
        <v>25</v>
      </c>
      <c r="DH781" t="s">
        <v>25</v>
      </c>
      <c r="DI781" t="s">
        <v>25</v>
      </c>
      <c r="DJ781" s="76">
        <v>1.4000000432133701E-2</v>
      </c>
      <c r="DK781" s="73">
        <v>85</v>
      </c>
      <c r="DL781" s="73">
        <v>85</v>
      </c>
      <c r="DM781" s="73">
        <v>0</v>
      </c>
      <c r="DU781"/>
      <c r="DZ781" s="73">
        <v>0</v>
      </c>
      <c r="EA781" s="73">
        <v>0</v>
      </c>
      <c r="EB781" s="73">
        <v>0</v>
      </c>
    </row>
    <row r="782" spans="1:133" ht="12" customHeight="1" x14ac:dyDescent="0.2">
      <c r="A782" t="s">
        <v>2936</v>
      </c>
      <c r="B782" t="s">
        <v>2946</v>
      </c>
      <c r="C782" t="str">
        <f t="shared" si="38"/>
        <v>Full</v>
      </c>
      <c r="D782" t="s">
        <v>2943</v>
      </c>
      <c r="E782" s="65">
        <v>6720</v>
      </c>
      <c r="F782" t="s">
        <v>2589</v>
      </c>
      <c r="G782" s="71" t="s">
        <v>2904</v>
      </c>
      <c r="H782" s="67">
        <v>4.9999998882412902E-3</v>
      </c>
      <c r="I782" s="65">
        <v>526036</v>
      </c>
      <c r="J782" s="65">
        <v>172861</v>
      </c>
      <c r="L782" s="65" t="s">
        <v>2590</v>
      </c>
      <c r="M782" s="65" t="s">
        <v>27</v>
      </c>
      <c r="N782" s="69">
        <v>43027</v>
      </c>
      <c r="O782" s="69">
        <v>43082</v>
      </c>
      <c r="P782" s="65" t="s">
        <v>126</v>
      </c>
      <c r="R782" s="65" t="s">
        <v>28</v>
      </c>
      <c r="U782" t="s">
        <v>2591</v>
      </c>
      <c r="V782" t="s">
        <v>3725</v>
      </c>
      <c r="W782" s="65" t="s">
        <v>21</v>
      </c>
      <c r="X782" s="65" t="s">
        <v>21</v>
      </c>
      <c r="Y782" s="65" t="s">
        <v>35</v>
      </c>
      <c r="AA782" s="69">
        <v>42826</v>
      </c>
      <c r="AB782" s="69">
        <v>43190</v>
      </c>
      <c r="AC782" s="69">
        <v>43190</v>
      </c>
      <c r="AD782" s="65" t="s">
        <v>23</v>
      </c>
      <c r="AE782" s="65" t="s">
        <v>24</v>
      </c>
      <c r="AH782" s="69">
        <f t="shared" si="36"/>
        <v>42826</v>
      </c>
      <c r="AI782" s="69">
        <f t="shared" si="37"/>
        <v>43190</v>
      </c>
      <c r="AW782" s="73">
        <v>17</v>
      </c>
      <c r="AY782" s="73">
        <v>17</v>
      </c>
      <c r="BO782" s="185" t="s">
        <v>3794</v>
      </c>
      <c r="BP782" s="185" t="s">
        <v>3794</v>
      </c>
      <c r="BQ782" s="185" t="s">
        <v>126</v>
      </c>
      <c r="BW782" s="73"/>
      <c r="BY782" s="185" t="s">
        <v>3794</v>
      </c>
      <c r="CG782" s="73">
        <v>17</v>
      </c>
      <c r="CI782" s="73">
        <v>17</v>
      </c>
      <c r="CJ782" t="s">
        <v>25</v>
      </c>
      <c r="CK782" t="s">
        <v>25</v>
      </c>
      <c r="CL782" t="s">
        <v>25</v>
      </c>
      <c r="CM782" t="s">
        <v>25</v>
      </c>
      <c r="CN782" t="s">
        <v>25</v>
      </c>
      <c r="CO782" t="s">
        <v>25</v>
      </c>
      <c r="CP782" t="s">
        <v>25</v>
      </c>
      <c r="CQ782" t="s">
        <v>25</v>
      </c>
      <c r="CR782" t="s">
        <v>25</v>
      </c>
      <c r="CS782" t="s">
        <v>25</v>
      </c>
      <c r="CT782" t="s">
        <v>25</v>
      </c>
      <c r="CU782" t="s">
        <v>49</v>
      </c>
      <c r="CV782" t="s">
        <v>25</v>
      </c>
      <c r="CW782" t="s">
        <v>25</v>
      </c>
      <c r="CX782" t="s">
        <v>25</v>
      </c>
      <c r="CY782" t="s">
        <v>25</v>
      </c>
      <c r="CZ782" t="s">
        <v>25</v>
      </c>
      <c r="DA782" t="s">
        <v>25</v>
      </c>
      <c r="DB782" t="s">
        <v>25</v>
      </c>
      <c r="DC782" t="s">
        <v>25</v>
      </c>
      <c r="DD782" t="s">
        <v>25</v>
      </c>
      <c r="DE782" t="s">
        <v>25</v>
      </c>
      <c r="DF782" t="s">
        <v>25</v>
      </c>
      <c r="DG782" t="s">
        <v>25</v>
      </c>
      <c r="DH782" t="s">
        <v>25</v>
      </c>
      <c r="DI782" t="s">
        <v>25</v>
      </c>
      <c r="DJ782" s="76">
        <v>4.9999998882412902E-3</v>
      </c>
      <c r="DK782" s="73">
        <v>102</v>
      </c>
      <c r="DL782" s="73">
        <v>102</v>
      </c>
      <c r="DM782" s="73">
        <v>0</v>
      </c>
      <c r="DU782"/>
      <c r="DZ782" s="73">
        <v>0</v>
      </c>
      <c r="EA782" s="73">
        <v>0</v>
      </c>
      <c r="EB782" s="73">
        <v>0</v>
      </c>
    </row>
    <row r="783" spans="1:133" ht="12" customHeight="1" x14ac:dyDescent="0.2">
      <c r="A783" t="s">
        <v>2937</v>
      </c>
      <c r="B783" t="s">
        <v>2946</v>
      </c>
      <c r="C783" t="str">
        <f t="shared" si="38"/>
        <v>Full</v>
      </c>
      <c r="E783" s="65">
        <v>6724</v>
      </c>
      <c r="F783" t="s">
        <v>2592</v>
      </c>
      <c r="G783" s="71" t="s">
        <v>3946</v>
      </c>
      <c r="H783" s="67">
        <v>8.79999995231628E-2</v>
      </c>
      <c r="I783" s="65">
        <v>523952</v>
      </c>
      <c r="J783" s="65">
        <v>175317</v>
      </c>
      <c r="L783" s="65" t="s">
        <v>2593</v>
      </c>
      <c r="M783" s="65" t="s">
        <v>27</v>
      </c>
      <c r="N783" s="69">
        <v>43027</v>
      </c>
      <c r="O783" s="69">
        <v>43154</v>
      </c>
      <c r="P783" s="65" t="s">
        <v>126</v>
      </c>
      <c r="R783" s="65" t="s">
        <v>28</v>
      </c>
      <c r="U783" t="s">
        <v>2594</v>
      </c>
      <c r="V783" t="s">
        <v>3726</v>
      </c>
      <c r="W783" s="65" t="s">
        <v>21</v>
      </c>
      <c r="X783" s="65" t="s">
        <v>21</v>
      </c>
      <c r="Y783" s="65" t="s">
        <v>69</v>
      </c>
      <c r="AD783" s="65" t="s">
        <v>23</v>
      </c>
      <c r="AE783" s="65" t="s">
        <v>24</v>
      </c>
      <c r="AZ783" s="73">
        <v>588</v>
      </c>
      <c r="BE783" s="73">
        <v>588</v>
      </c>
      <c r="BO783" s="185" t="s">
        <v>126</v>
      </c>
      <c r="BP783" s="185" t="s">
        <v>3794</v>
      </c>
      <c r="BQ783" s="185" t="s">
        <v>3794</v>
      </c>
      <c r="BR783" s="73">
        <v>-588</v>
      </c>
      <c r="BW783" s="73">
        <v>-588</v>
      </c>
      <c r="BY783" s="185" t="s">
        <v>3794</v>
      </c>
      <c r="CJ783" t="s">
        <v>25</v>
      </c>
      <c r="CK783" t="s">
        <v>25</v>
      </c>
      <c r="CL783" t="s">
        <v>25</v>
      </c>
      <c r="CM783" t="s">
        <v>25</v>
      </c>
      <c r="CN783" t="s">
        <v>25</v>
      </c>
      <c r="CO783" t="s">
        <v>25</v>
      </c>
      <c r="CP783" t="s">
        <v>25</v>
      </c>
      <c r="CQ783" t="s">
        <v>25</v>
      </c>
      <c r="CR783" t="s">
        <v>25</v>
      </c>
      <c r="CS783" t="s">
        <v>25</v>
      </c>
      <c r="CT783" t="s">
        <v>25</v>
      </c>
      <c r="CU783" t="s">
        <v>25</v>
      </c>
      <c r="CV783" t="s">
        <v>25</v>
      </c>
      <c r="CW783" t="s">
        <v>47</v>
      </c>
      <c r="CX783" t="s">
        <v>25</v>
      </c>
      <c r="CY783" t="s">
        <v>25</v>
      </c>
      <c r="CZ783" t="s">
        <v>25</v>
      </c>
      <c r="DA783" t="s">
        <v>25</v>
      </c>
      <c r="DB783" t="s">
        <v>25</v>
      </c>
      <c r="DC783" t="s">
        <v>25</v>
      </c>
      <c r="DD783" t="s">
        <v>25</v>
      </c>
      <c r="DE783" t="s">
        <v>25</v>
      </c>
      <c r="DF783" t="s">
        <v>25</v>
      </c>
      <c r="DG783" t="s">
        <v>25</v>
      </c>
      <c r="DH783" t="s">
        <v>25</v>
      </c>
      <c r="DI783" t="s">
        <v>25</v>
      </c>
      <c r="DJ783" s="76">
        <v>8.79999995231628E-2</v>
      </c>
      <c r="DK783" s="73">
        <v>588</v>
      </c>
      <c r="DL783" s="73">
        <v>588</v>
      </c>
      <c r="DM783" s="73">
        <v>0</v>
      </c>
      <c r="DU783"/>
      <c r="DV783" s="65" t="s">
        <v>126</v>
      </c>
      <c r="DW783" t="s">
        <v>131</v>
      </c>
      <c r="DZ783" s="73">
        <v>0</v>
      </c>
      <c r="EA783" s="73">
        <v>0</v>
      </c>
      <c r="EB783" s="73">
        <v>0</v>
      </c>
    </row>
    <row r="784" spans="1:133" ht="12" customHeight="1" x14ac:dyDescent="0.2">
      <c r="A784" t="s">
        <v>2938</v>
      </c>
      <c r="B784" t="s">
        <v>2946</v>
      </c>
      <c r="C784" t="str">
        <f t="shared" si="38"/>
        <v>Full</v>
      </c>
      <c r="E784" s="65">
        <v>6726</v>
      </c>
      <c r="F784" t="s">
        <v>2595</v>
      </c>
      <c r="G784" s="71" t="s">
        <v>149</v>
      </c>
      <c r="H784" s="67">
        <v>1.60000007599592E-2</v>
      </c>
      <c r="I784" s="65">
        <v>528680</v>
      </c>
      <c r="J784" s="65">
        <v>173507</v>
      </c>
      <c r="L784" s="65" t="s">
        <v>2596</v>
      </c>
      <c r="M784" s="65" t="s">
        <v>172</v>
      </c>
      <c r="N784" s="69">
        <v>43087</v>
      </c>
      <c r="R784" s="65" t="s">
        <v>28</v>
      </c>
      <c r="U784" t="s">
        <v>2597</v>
      </c>
      <c r="V784" t="s">
        <v>3727</v>
      </c>
      <c r="W784" s="65" t="s">
        <v>34</v>
      </c>
      <c r="X784" s="65" t="s">
        <v>29</v>
      </c>
      <c r="Y784" s="65" t="s">
        <v>69</v>
      </c>
      <c r="AD784" s="65" t="s">
        <v>23</v>
      </c>
      <c r="AE784" s="65" t="s">
        <v>24</v>
      </c>
      <c r="AL784" s="73">
        <v>130</v>
      </c>
      <c r="AO784" s="73">
        <v>130</v>
      </c>
      <c r="AZ784" s="73">
        <v>220</v>
      </c>
      <c r="BE784" s="73">
        <v>220</v>
      </c>
      <c r="BO784" s="185" t="s">
        <v>126</v>
      </c>
      <c r="BP784" s="185" t="s">
        <v>3794</v>
      </c>
      <c r="BQ784" s="185" t="s">
        <v>3794</v>
      </c>
      <c r="BR784" s="73">
        <v>-220</v>
      </c>
      <c r="BT784" s="73">
        <v>130</v>
      </c>
      <c r="BW784" s="73">
        <v>-90</v>
      </c>
      <c r="BY784" s="185" t="s">
        <v>3794</v>
      </c>
      <c r="CJ784" t="s">
        <v>25</v>
      </c>
      <c r="CK784" t="s">
        <v>25</v>
      </c>
      <c r="CL784" t="s">
        <v>38</v>
      </c>
      <c r="CM784" t="s">
        <v>25</v>
      </c>
      <c r="CN784" t="s">
        <v>25</v>
      </c>
      <c r="CO784" t="s">
        <v>25</v>
      </c>
      <c r="CP784" t="s">
        <v>25</v>
      </c>
      <c r="CQ784" t="s">
        <v>25</v>
      </c>
      <c r="CR784" t="s">
        <v>25</v>
      </c>
      <c r="CS784" t="s">
        <v>25</v>
      </c>
      <c r="CT784" t="s">
        <v>25</v>
      </c>
      <c r="CU784" t="s">
        <v>25</v>
      </c>
      <c r="CV784" t="s">
        <v>25</v>
      </c>
      <c r="CW784" t="s">
        <v>47</v>
      </c>
      <c r="CX784" t="s">
        <v>25</v>
      </c>
      <c r="CY784" t="s">
        <v>25</v>
      </c>
      <c r="CZ784" t="s">
        <v>25</v>
      </c>
      <c r="DA784" t="s">
        <v>25</v>
      </c>
      <c r="DB784" t="s">
        <v>25</v>
      </c>
      <c r="DC784" t="s">
        <v>25</v>
      </c>
      <c r="DD784" t="s">
        <v>25</v>
      </c>
      <c r="DE784" t="s">
        <v>25</v>
      </c>
      <c r="DF784" t="s">
        <v>25</v>
      </c>
      <c r="DG784" t="s">
        <v>25</v>
      </c>
      <c r="DH784" t="s">
        <v>25</v>
      </c>
      <c r="DI784" t="s">
        <v>25</v>
      </c>
      <c r="DJ784" s="76">
        <v>8.0000003799795896E-3</v>
      </c>
      <c r="DK784" s="73">
        <v>130</v>
      </c>
      <c r="DL784" s="73">
        <v>220</v>
      </c>
      <c r="DM784" s="73">
        <v>-90</v>
      </c>
      <c r="DU784"/>
      <c r="DV784" s="65" t="s">
        <v>126</v>
      </c>
      <c r="DW784" t="s">
        <v>149</v>
      </c>
      <c r="DZ784" s="73">
        <v>127</v>
      </c>
      <c r="EA784" s="73">
        <v>0</v>
      </c>
      <c r="EB784" s="73">
        <v>127</v>
      </c>
      <c r="EC784" s="65" t="s">
        <v>126</v>
      </c>
    </row>
    <row r="785" spans="1:133" ht="12" customHeight="1" x14ac:dyDescent="0.2">
      <c r="A785" t="s">
        <v>2937</v>
      </c>
      <c r="B785" t="s">
        <v>2946</v>
      </c>
      <c r="C785" t="str">
        <f t="shared" si="38"/>
        <v>Full</v>
      </c>
      <c r="E785" s="65">
        <v>6730</v>
      </c>
      <c r="F785" t="s">
        <v>2598</v>
      </c>
      <c r="G785" s="71" t="s">
        <v>3946</v>
      </c>
      <c r="H785" s="67">
        <v>2.70000007003546E-2</v>
      </c>
      <c r="I785" s="65">
        <v>524317</v>
      </c>
      <c r="J785" s="65">
        <v>174958</v>
      </c>
      <c r="L785" s="65" t="s">
        <v>2599</v>
      </c>
      <c r="M785" s="65" t="s">
        <v>27</v>
      </c>
      <c r="N785" s="69">
        <v>43027</v>
      </c>
      <c r="O785" s="69">
        <v>43188</v>
      </c>
      <c r="P785" s="65" t="s">
        <v>126</v>
      </c>
      <c r="R785" s="65" t="s">
        <v>28</v>
      </c>
      <c r="U785" t="s">
        <v>2600</v>
      </c>
      <c r="V785" t="s">
        <v>3728</v>
      </c>
      <c r="W785" s="65" t="s">
        <v>34</v>
      </c>
      <c r="X785" s="65" t="s">
        <v>29</v>
      </c>
      <c r="Y785" s="65" t="s">
        <v>69</v>
      </c>
      <c r="AD785" s="65" t="s">
        <v>23</v>
      </c>
      <c r="AE785" s="65" t="s">
        <v>24</v>
      </c>
      <c r="AJ785" s="73">
        <v>138</v>
      </c>
      <c r="AO785" s="73">
        <v>138</v>
      </c>
      <c r="AZ785" s="73">
        <v>61</v>
      </c>
      <c r="BB785" s="73">
        <v>41</v>
      </c>
      <c r="BE785" s="73">
        <v>102</v>
      </c>
      <c r="BH785" s="73">
        <v>29</v>
      </c>
      <c r="BK785" s="73">
        <v>29</v>
      </c>
      <c r="BO785" s="185" t="s">
        <v>126</v>
      </c>
      <c r="BP785" s="185" t="s">
        <v>126</v>
      </c>
      <c r="BQ785" s="185" t="s">
        <v>3794</v>
      </c>
      <c r="BR785" s="73">
        <v>77</v>
      </c>
      <c r="BT785" s="73">
        <v>-41</v>
      </c>
      <c r="BW785" s="73">
        <v>36</v>
      </c>
      <c r="BY785" s="185" t="s">
        <v>3794</v>
      </c>
      <c r="CA785" s="73">
        <v>-29</v>
      </c>
      <c r="CD785" s="73">
        <v>-29</v>
      </c>
      <c r="CE785" s="65" t="s">
        <v>126</v>
      </c>
      <c r="CJ785" t="s">
        <v>40</v>
      </c>
      <c r="CK785" t="s">
        <v>25</v>
      </c>
      <c r="CL785" t="s">
        <v>25</v>
      </c>
      <c r="CM785" t="s">
        <v>25</v>
      </c>
      <c r="CN785" t="s">
        <v>25</v>
      </c>
      <c r="CO785" t="s">
        <v>25</v>
      </c>
      <c r="CP785" t="s">
        <v>25</v>
      </c>
      <c r="CQ785" t="s">
        <v>25</v>
      </c>
      <c r="CR785" t="s">
        <v>25</v>
      </c>
      <c r="CS785" t="s">
        <v>25</v>
      </c>
      <c r="CT785" t="s">
        <v>25</v>
      </c>
      <c r="CU785" t="s">
        <v>25</v>
      </c>
      <c r="CV785" t="s">
        <v>25</v>
      </c>
      <c r="CW785" t="s">
        <v>40</v>
      </c>
      <c r="CX785" t="s">
        <v>25</v>
      </c>
      <c r="CY785" t="s">
        <v>38</v>
      </c>
      <c r="CZ785" t="s">
        <v>25</v>
      </c>
      <c r="DA785" t="s">
        <v>25</v>
      </c>
      <c r="DB785" t="s">
        <v>25</v>
      </c>
      <c r="DC785" t="s">
        <v>25</v>
      </c>
      <c r="DD785" t="s">
        <v>51</v>
      </c>
      <c r="DE785" t="s">
        <v>25</v>
      </c>
      <c r="DF785" t="s">
        <v>25</v>
      </c>
      <c r="DG785" t="s">
        <v>25</v>
      </c>
      <c r="DH785" t="s">
        <v>25</v>
      </c>
      <c r="DI785" t="s">
        <v>25</v>
      </c>
      <c r="DJ785" s="76">
        <v>8.0000013113021989E-3</v>
      </c>
      <c r="DK785" s="73">
        <v>138</v>
      </c>
      <c r="DL785" s="73">
        <v>131</v>
      </c>
      <c r="DM785" s="73">
        <v>7</v>
      </c>
      <c r="DU785"/>
      <c r="DV785" s="65" t="s">
        <v>126</v>
      </c>
      <c r="DW785" t="s">
        <v>131</v>
      </c>
      <c r="DZ785" s="73">
        <v>282</v>
      </c>
      <c r="EA785" s="73">
        <v>174</v>
      </c>
      <c r="EB785" s="73">
        <v>108</v>
      </c>
      <c r="EC785" s="65" t="s">
        <v>126</v>
      </c>
    </row>
    <row r="786" spans="1:133" ht="12" customHeight="1" x14ac:dyDescent="0.2">
      <c r="A786" t="s">
        <v>2935</v>
      </c>
      <c r="B786" t="s">
        <v>2946</v>
      </c>
      <c r="C786" t="str">
        <f t="shared" si="38"/>
        <v>Full</v>
      </c>
      <c r="E786" s="65">
        <v>6733</v>
      </c>
      <c r="F786" t="s">
        <v>2601</v>
      </c>
      <c r="G786" s="71" t="s">
        <v>3943</v>
      </c>
      <c r="H786" s="67">
        <v>0.44800001382827798</v>
      </c>
      <c r="I786" s="65">
        <v>527224</v>
      </c>
      <c r="J786" s="65">
        <v>177130</v>
      </c>
      <c r="L786" s="65" t="s">
        <v>2602</v>
      </c>
      <c r="M786" s="65" t="s">
        <v>33</v>
      </c>
      <c r="N786" s="69">
        <v>43040</v>
      </c>
      <c r="O786" s="69">
        <v>43185</v>
      </c>
      <c r="P786" s="65" t="s">
        <v>126</v>
      </c>
      <c r="Q786" s="69">
        <v>43125</v>
      </c>
      <c r="R786" s="65" t="s">
        <v>28</v>
      </c>
      <c r="U786" t="s">
        <v>2603</v>
      </c>
      <c r="V786" t="s">
        <v>3729</v>
      </c>
      <c r="W786" s="65" t="s">
        <v>29</v>
      </c>
      <c r="X786" s="65" t="s">
        <v>29</v>
      </c>
      <c r="Y786" s="65" t="s">
        <v>30</v>
      </c>
      <c r="AA786" s="69">
        <v>43190</v>
      </c>
      <c r="AD786" s="65" t="s">
        <v>23</v>
      </c>
      <c r="AE786" s="65" t="s">
        <v>24</v>
      </c>
      <c r="AH786" s="69">
        <f t="shared" si="36"/>
        <v>43190</v>
      </c>
      <c r="AJ786" s="73">
        <v>40</v>
      </c>
      <c r="AL786" s="73">
        <v>81</v>
      </c>
      <c r="AO786" s="73">
        <v>121</v>
      </c>
      <c r="AW786" s="73">
        <v>15759</v>
      </c>
      <c r="AY786" s="73">
        <v>15759</v>
      </c>
      <c r="BI786" s="73">
        <v>460</v>
      </c>
      <c r="BK786" s="73">
        <v>460</v>
      </c>
      <c r="BL786" s="73">
        <v>2791</v>
      </c>
      <c r="BN786" s="73">
        <v>2791</v>
      </c>
      <c r="BO786" s="185" t="s">
        <v>126</v>
      </c>
      <c r="BP786" s="185" t="s">
        <v>126</v>
      </c>
      <c r="BQ786" s="185" t="s">
        <v>126</v>
      </c>
      <c r="BR786" s="73">
        <v>40</v>
      </c>
      <c r="BT786" s="73">
        <v>81</v>
      </c>
      <c r="BW786" s="73">
        <v>121</v>
      </c>
      <c r="BY786" s="185" t="s">
        <v>3794</v>
      </c>
      <c r="CB786" s="73">
        <v>-460</v>
      </c>
      <c r="CD786" s="73">
        <v>-460</v>
      </c>
      <c r="CE786" s="65" t="s">
        <v>126</v>
      </c>
      <c r="CG786" s="73">
        <v>12968</v>
      </c>
      <c r="CI786" s="73">
        <v>12968</v>
      </c>
      <c r="CJ786" t="s">
        <v>31</v>
      </c>
      <c r="CK786" t="s">
        <v>25</v>
      </c>
      <c r="CL786" t="s">
        <v>50</v>
      </c>
      <c r="CM786" t="s">
        <v>25</v>
      </c>
      <c r="CN786" t="s">
        <v>25</v>
      </c>
      <c r="CO786" t="s">
        <v>25</v>
      </c>
      <c r="CP786" t="s">
        <v>25</v>
      </c>
      <c r="CQ786" t="s">
        <v>25</v>
      </c>
      <c r="CR786" t="s">
        <v>25</v>
      </c>
      <c r="CS786" t="s">
        <v>25</v>
      </c>
      <c r="CT786" t="s">
        <v>25</v>
      </c>
      <c r="CU786" t="s">
        <v>60</v>
      </c>
      <c r="CV786" t="s">
        <v>25</v>
      </c>
      <c r="CW786" t="s">
        <v>25</v>
      </c>
      <c r="CX786" t="s">
        <v>25</v>
      </c>
      <c r="CY786" t="s">
        <v>25</v>
      </c>
      <c r="CZ786" t="s">
        <v>25</v>
      </c>
      <c r="DA786" t="s">
        <v>25</v>
      </c>
      <c r="DB786" t="s">
        <v>25</v>
      </c>
      <c r="DC786" t="s">
        <v>25</v>
      </c>
      <c r="DD786" t="s">
        <v>25</v>
      </c>
      <c r="DE786" t="s">
        <v>32</v>
      </c>
      <c r="DF786" t="s">
        <v>25</v>
      </c>
      <c r="DG786" t="s">
        <v>25</v>
      </c>
      <c r="DH786" t="s">
        <v>60</v>
      </c>
      <c r="DI786" t="s">
        <v>25</v>
      </c>
      <c r="DJ786" s="76">
        <v>0.42600001394748727</v>
      </c>
      <c r="DK786" s="73">
        <v>15880</v>
      </c>
      <c r="DL786" s="73">
        <v>3428</v>
      </c>
      <c r="DM786" s="73">
        <v>12452</v>
      </c>
      <c r="DN786" s="65" t="s">
        <v>126</v>
      </c>
      <c r="DS786" s="65" t="s">
        <v>126</v>
      </c>
      <c r="DT786" t="s">
        <v>2911</v>
      </c>
      <c r="DU786"/>
      <c r="DZ786" s="73">
        <v>0</v>
      </c>
      <c r="EA786" s="73">
        <v>0</v>
      </c>
      <c r="EB786" s="73">
        <v>0</v>
      </c>
    </row>
    <row r="787" spans="1:133" ht="12" customHeight="1" x14ac:dyDescent="0.2">
      <c r="A787" t="s">
        <v>2937</v>
      </c>
      <c r="B787" t="s">
        <v>2946</v>
      </c>
      <c r="C787" t="str">
        <f t="shared" si="38"/>
        <v>Full</v>
      </c>
      <c r="E787" s="65">
        <v>6734</v>
      </c>
      <c r="F787" t="s">
        <v>2604</v>
      </c>
      <c r="G787" s="71" t="s">
        <v>3951</v>
      </c>
      <c r="H787" s="67">
        <v>2.4000000208616298E-2</v>
      </c>
      <c r="I787" s="65">
        <v>527954</v>
      </c>
      <c r="J787" s="65">
        <v>171255</v>
      </c>
      <c r="L787" s="65" t="s">
        <v>2605</v>
      </c>
      <c r="M787" s="65" t="s">
        <v>27</v>
      </c>
      <c r="N787" s="69">
        <v>43011</v>
      </c>
      <c r="O787" s="69">
        <v>43153</v>
      </c>
      <c r="P787" s="65" t="s">
        <v>126</v>
      </c>
      <c r="R787" s="65" t="s">
        <v>28</v>
      </c>
      <c r="U787" t="s">
        <v>2606</v>
      </c>
      <c r="V787" t="s">
        <v>3730</v>
      </c>
      <c r="W787" s="65" t="s">
        <v>34</v>
      </c>
      <c r="X787" s="65" t="s">
        <v>29</v>
      </c>
      <c r="Y787" s="65" t="s">
        <v>69</v>
      </c>
      <c r="AD787" s="65" t="s">
        <v>23</v>
      </c>
      <c r="AE787" s="65" t="s">
        <v>24</v>
      </c>
      <c r="BF787" s="73">
        <v>17</v>
      </c>
      <c r="BK787" s="73">
        <v>17</v>
      </c>
      <c r="BO787" s="185" t="s">
        <v>3794</v>
      </c>
      <c r="BP787" s="185" t="s">
        <v>126</v>
      </c>
      <c r="BQ787" s="185" t="s">
        <v>3794</v>
      </c>
      <c r="BW787" s="73"/>
      <c r="BX787" s="73">
        <v>-17</v>
      </c>
      <c r="BY787" s="185" t="s">
        <v>126</v>
      </c>
      <c r="CD787" s="73">
        <v>-17</v>
      </c>
      <c r="CE787" s="65" t="s">
        <v>126</v>
      </c>
      <c r="CJ787" t="s">
        <v>25</v>
      </c>
      <c r="CK787" t="s">
        <v>25</v>
      </c>
      <c r="CL787" t="s">
        <v>25</v>
      </c>
      <c r="CM787" t="s">
        <v>25</v>
      </c>
      <c r="CN787" t="s">
        <v>25</v>
      </c>
      <c r="CO787" t="s">
        <v>25</v>
      </c>
      <c r="CP787" t="s">
        <v>25</v>
      </c>
      <c r="CQ787" t="s">
        <v>25</v>
      </c>
      <c r="CR787" t="s">
        <v>25</v>
      </c>
      <c r="CS787" t="s">
        <v>25</v>
      </c>
      <c r="CT787" t="s">
        <v>25</v>
      </c>
      <c r="CU787" t="s">
        <v>25</v>
      </c>
      <c r="CV787" t="s">
        <v>25</v>
      </c>
      <c r="CW787" t="s">
        <v>25</v>
      </c>
      <c r="CX787" t="s">
        <v>25</v>
      </c>
      <c r="CY787" t="s">
        <v>25</v>
      </c>
      <c r="CZ787" t="s">
        <v>25</v>
      </c>
      <c r="DA787" t="s">
        <v>25</v>
      </c>
      <c r="DB787" t="s">
        <v>49</v>
      </c>
      <c r="DC787" t="s">
        <v>25</v>
      </c>
      <c r="DD787" t="s">
        <v>25</v>
      </c>
      <c r="DE787" t="s">
        <v>25</v>
      </c>
      <c r="DF787" t="s">
        <v>25</v>
      </c>
      <c r="DG787" t="s">
        <v>25</v>
      </c>
      <c r="DH787" t="s">
        <v>25</v>
      </c>
      <c r="DI787" t="s">
        <v>25</v>
      </c>
      <c r="DJ787" s="76">
        <v>0</v>
      </c>
      <c r="DK787" s="73">
        <v>0</v>
      </c>
      <c r="DL787" s="73">
        <v>17</v>
      </c>
      <c r="DM787" s="73">
        <v>-17</v>
      </c>
      <c r="DU787"/>
      <c r="DZ787" s="73">
        <v>96</v>
      </c>
      <c r="EA787" s="73">
        <v>0</v>
      </c>
      <c r="EB787" s="73">
        <v>96</v>
      </c>
      <c r="EC787" s="65" t="s">
        <v>126</v>
      </c>
    </row>
    <row r="788" spans="1:133" ht="12" customHeight="1" x14ac:dyDescent="0.2">
      <c r="A788" t="s">
        <v>2938</v>
      </c>
      <c r="B788" t="s">
        <v>2946</v>
      </c>
      <c r="C788" t="str">
        <f t="shared" si="38"/>
        <v>Full</v>
      </c>
      <c r="E788" s="65">
        <v>6735</v>
      </c>
      <c r="F788" t="s">
        <v>2607</v>
      </c>
      <c r="G788" s="71" t="s">
        <v>3950</v>
      </c>
      <c r="H788" s="67">
        <v>3.70000004768372E-2</v>
      </c>
      <c r="I788" s="65">
        <v>529413</v>
      </c>
      <c r="J788" s="65">
        <v>171159</v>
      </c>
      <c r="L788" s="65" t="s">
        <v>2608</v>
      </c>
      <c r="M788" s="65" t="s">
        <v>172</v>
      </c>
      <c r="N788" s="69">
        <v>43026</v>
      </c>
      <c r="R788" s="65" t="s">
        <v>28</v>
      </c>
      <c r="U788" t="s">
        <v>2609</v>
      </c>
      <c r="V788" t="s">
        <v>3731</v>
      </c>
      <c r="W788" s="65" t="s">
        <v>34</v>
      </c>
      <c r="X788" s="65" t="s">
        <v>29</v>
      </c>
      <c r="Y788" s="65" t="s">
        <v>69</v>
      </c>
      <c r="AD788" s="65" t="s">
        <v>173</v>
      </c>
      <c r="AE788" s="65" t="s">
        <v>24</v>
      </c>
      <c r="BO788" s="185" t="s">
        <v>3794</v>
      </c>
      <c r="BP788" s="185" t="s">
        <v>3794</v>
      </c>
      <c r="BQ788" s="185" t="s">
        <v>3794</v>
      </c>
      <c r="BW788" s="73"/>
      <c r="BY788" s="185" t="s">
        <v>3794</v>
      </c>
      <c r="CJ788" t="s">
        <v>25</v>
      </c>
      <c r="CK788" t="s">
        <v>25</v>
      </c>
      <c r="CL788" t="s">
        <v>25</v>
      </c>
      <c r="CM788" t="s">
        <v>25</v>
      </c>
      <c r="CN788" t="s">
        <v>25</v>
      </c>
      <c r="CO788" t="s">
        <v>25</v>
      </c>
      <c r="CP788" t="s">
        <v>25</v>
      </c>
      <c r="CQ788" t="s">
        <v>25</v>
      </c>
      <c r="CR788" t="s">
        <v>25</v>
      </c>
      <c r="CS788" t="s">
        <v>25</v>
      </c>
      <c r="CT788" t="s">
        <v>25</v>
      </c>
      <c r="CU788" t="s">
        <v>25</v>
      </c>
      <c r="CV788" t="s">
        <v>25</v>
      </c>
      <c r="CW788" t="s">
        <v>25</v>
      </c>
      <c r="CX788" t="s">
        <v>25</v>
      </c>
      <c r="CY788" t="s">
        <v>25</v>
      </c>
      <c r="CZ788" t="s">
        <v>25</v>
      </c>
      <c r="DA788" t="s">
        <v>25</v>
      </c>
      <c r="DB788" t="s">
        <v>25</v>
      </c>
      <c r="DC788" t="s">
        <v>25</v>
      </c>
      <c r="DD788" t="s">
        <v>25</v>
      </c>
      <c r="DE788" t="s">
        <v>25</v>
      </c>
      <c r="DF788" t="s">
        <v>25</v>
      </c>
      <c r="DG788" t="s">
        <v>25</v>
      </c>
      <c r="DH788" t="s">
        <v>25</v>
      </c>
      <c r="DI788" t="s">
        <v>25</v>
      </c>
      <c r="DJ788" s="76">
        <v>2.9200000688433689E-2</v>
      </c>
      <c r="DK788" s="73">
        <v>0</v>
      </c>
      <c r="DL788" s="73">
        <v>36</v>
      </c>
      <c r="DM788" s="73">
        <v>-36</v>
      </c>
      <c r="DU788"/>
      <c r="DZ788" s="73">
        <v>169</v>
      </c>
      <c r="EA788" s="73">
        <v>40</v>
      </c>
      <c r="EB788" s="73">
        <v>129</v>
      </c>
      <c r="EC788" s="65" t="s">
        <v>126</v>
      </c>
    </row>
    <row r="789" spans="1:133" ht="12" customHeight="1" x14ac:dyDescent="0.2">
      <c r="A789" t="s">
        <v>2938</v>
      </c>
      <c r="B789" t="s">
        <v>2946</v>
      </c>
      <c r="C789" t="str">
        <f t="shared" si="38"/>
        <v>Full</v>
      </c>
      <c r="E789" s="65">
        <v>6736</v>
      </c>
      <c r="F789" t="s">
        <v>2610</v>
      </c>
      <c r="G789" s="71" t="s">
        <v>3951</v>
      </c>
      <c r="H789" s="67">
        <v>9.9999997764825804E-3</v>
      </c>
      <c r="I789" s="65">
        <v>527952</v>
      </c>
      <c r="J789" s="65">
        <v>171492</v>
      </c>
      <c r="L789" s="65" t="s">
        <v>2611</v>
      </c>
      <c r="M789" s="65" t="s">
        <v>172</v>
      </c>
      <c r="N789" s="69">
        <v>43147</v>
      </c>
      <c r="R789" s="65" t="s">
        <v>28</v>
      </c>
      <c r="U789" t="s">
        <v>2612</v>
      </c>
      <c r="V789" t="s">
        <v>3667</v>
      </c>
      <c r="W789" s="65" t="s">
        <v>21</v>
      </c>
      <c r="X789" s="65" t="s">
        <v>21</v>
      </c>
      <c r="Y789" s="65" t="s">
        <v>69</v>
      </c>
      <c r="AD789" s="65" t="s">
        <v>173</v>
      </c>
      <c r="AE789" s="65" t="s">
        <v>24</v>
      </c>
      <c r="AL789" s="73">
        <v>85</v>
      </c>
      <c r="AO789" s="73">
        <v>85</v>
      </c>
      <c r="AZ789" s="73">
        <v>85</v>
      </c>
      <c r="BE789" s="73">
        <v>85</v>
      </c>
      <c r="BO789" s="185" t="s">
        <v>126</v>
      </c>
      <c r="BP789" s="185" t="s">
        <v>3794</v>
      </c>
      <c r="BQ789" s="185" t="s">
        <v>3794</v>
      </c>
      <c r="BR789" s="73">
        <v>-85</v>
      </c>
      <c r="BT789" s="73">
        <v>85</v>
      </c>
      <c r="BW789" s="73"/>
      <c r="BY789" s="185" t="s">
        <v>3794</v>
      </c>
      <c r="CJ789" t="s">
        <v>25</v>
      </c>
      <c r="CK789" t="s">
        <v>25</v>
      </c>
      <c r="CL789" t="s">
        <v>50</v>
      </c>
      <c r="CM789" t="s">
        <v>25</v>
      </c>
      <c r="CN789" t="s">
        <v>25</v>
      </c>
      <c r="CO789" t="s">
        <v>25</v>
      </c>
      <c r="CP789" t="s">
        <v>25</v>
      </c>
      <c r="CQ789" t="s">
        <v>25</v>
      </c>
      <c r="CR789" t="s">
        <v>25</v>
      </c>
      <c r="CS789" t="s">
        <v>25</v>
      </c>
      <c r="CT789" t="s">
        <v>25</v>
      </c>
      <c r="CU789" t="s">
        <v>25</v>
      </c>
      <c r="CV789" t="s">
        <v>25</v>
      </c>
      <c r="CW789" t="s">
        <v>47</v>
      </c>
      <c r="CX789" t="s">
        <v>25</v>
      </c>
      <c r="CY789" t="s">
        <v>25</v>
      </c>
      <c r="CZ789" t="s">
        <v>25</v>
      </c>
      <c r="DA789" t="s">
        <v>25</v>
      </c>
      <c r="DB789" t="s">
        <v>25</v>
      </c>
      <c r="DC789" t="s">
        <v>25</v>
      </c>
      <c r="DD789" t="s">
        <v>25</v>
      </c>
      <c r="DE789" t="s">
        <v>25</v>
      </c>
      <c r="DF789" t="s">
        <v>25</v>
      </c>
      <c r="DG789" t="s">
        <v>25</v>
      </c>
      <c r="DH789" t="s">
        <v>25</v>
      </c>
      <c r="DI789" t="s">
        <v>25</v>
      </c>
      <c r="DJ789" s="76">
        <v>9.9999997764825804E-3</v>
      </c>
      <c r="DK789" s="73">
        <v>85</v>
      </c>
      <c r="DL789" s="73">
        <v>85</v>
      </c>
      <c r="DM789" s="73">
        <v>0</v>
      </c>
      <c r="DU789"/>
      <c r="DZ789" s="73">
        <v>0</v>
      </c>
      <c r="EA789" s="73">
        <v>0</v>
      </c>
      <c r="EB789" s="73">
        <v>0</v>
      </c>
    </row>
    <row r="790" spans="1:133" ht="12" customHeight="1" x14ac:dyDescent="0.2">
      <c r="A790" t="s">
        <v>2937</v>
      </c>
      <c r="B790" t="s">
        <v>2946</v>
      </c>
      <c r="C790" t="str">
        <f t="shared" si="38"/>
        <v>Full</v>
      </c>
      <c r="E790" s="65">
        <v>6738</v>
      </c>
      <c r="F790" t="s">
        <v>2613</v>
      </c>
      <c r="G790" s="71" t="s">
        <v>3948</v>
      </c>
      <c r="H790" s="67">
        <v>1.2000000104308101E-2</v>
      </c>
      <c r="I790" s="65">
        <v>527743</v>
      </c>
      <c r="J790" s="65">
        <v>176512</v>
      </c>
      <c r="L790" s="65" t="s">
        <v>2614</v>
      </c>
      <c r="M790" s="65" t="s">
        <v>27</v>
      </c>
      <c r="N790" s="69">
        <v>43109</v>
      </c>
      <c r="O790" s="69">
        <v>43165</v>
      </c>
      <c r="P790" s="65" t="s">
        <v>126</v>
      </c>
      <c r="R790" s="65" t="s">
        <v>28</v>
      </c>
      <c r="U790" t="s">
        <v>2615</v>
      </c>
      <c r="V790" t="s">
        <v>3732</v>
      </c>
      <c r="W790" s="65" t="s">
        <v>21</v>
      </c>
      <c r="X790" s="65" t="s">
        <v>21</v>
      </c>
      <c r="Y790" s="65" t="s">
        <v>69</v>
      </c>
      <c r="AD790" s="65" t="s">
        <v>23</v>
      </c>
      <c r="AE790" s="65" t="s">
        <v>24</v>
      </c>
      <c r="AJ790" s="73">
        <v>59</v>
      </c>
      <c r="AO790" s="73">
        <v>59</v>
      </c>
      <c r="BO790" s="185" t="s">
        <v>126</v>
      </c>
      <c r="BP790" s="185" t="s">
        <v>3794</v>
      </c>
      <c r="BQ790" s="185" t="s">
        <v>3794</v>
      </c>
      <c r="BR790" s="73">
        <v>59</v>
      </c>
      <c r="BW790" s="73">
        <v>59</v>
      </c>
      <c r="BY790" s="185" t="s">
        <v>3794</v>
      </c>
      <c r="CJ790" t="s">
        <v>26</v>
      </c>
      <c r="CK790" t="s">
        <v>25</v>
      </c>
      <c r="CL790" t="s">
        <v>25</v>
      </c>
      <c r="CM790" t="s">
        <v>25</v>
      </c>
      <c r="CN790" t="s">
        <v>25</v>
      </c>
      <c r="CO790" t="s">
        <v>25</v>
      </c>
      <c r="CP790" t="s">
        <v>25</v>
      </c>
      <c r="CQ790" t="s">
        <v>25</v>
      </c>
      <c r="CR790" t="s">
        <v>25</v>
      </c>
      <c r="CS790" t="s">
        <v>25</v>
      </c>
      <c r="CT790" t="s">
        <v>25</v>
      </c>
      <c r="CU790" t="s">
        <v>25</v>
      </c>
      <c r="CV790" t="s">
        <v>25</v>
      </c>
      <c r="CW790" t="s">
        <v>25</v>
      </c>
      <c r="CX790" t="s">
        <v>25</v>
      </c>
      <c r="CY790" t="s">
        <v>25</v>
      </c>
      <c r="CZ790" t="s">
        <v>25</v>
      </c>
      <c r="DA790" t="s">
        <v>25</v>
      </c>
      <c r="DB790" t="s">
        <v>25</v>
      </c>
      <c r="DC790" t="s">
        <v>25</v>
      </c>
      <c r="DD790" t="s">
        <v>25</v>
      </c>
      <c r="DE790" t="s">
        <v>25</v>
      </c>
      <c r="DF790" t="s">
        <v>25</v>
      </c>
      <c r="DG790" t="s">
        <v>25</v>
      </c>
      <c r="DH790" t="s">
        <v>25</v>
      </c>
      <c r="DI790" t="s">
        <v>25</v>
      </c>
      <c r="DJ790" s="76">
        <v>1.2000000104308101E-2</v>
      </c>
      <c r="DK790" s="73">
        <v>59</v>
      </c>
      <c r="DL790" s="73">
        <v>59</v>
      </c>
      <c r="DM790" s="73">
        <v>0</v>
      </c>
      <c r="DU790"/>
      <c r="DZ790" s="73">
        <v>0</v>
      </c>
      <c r="EA790" s="73">
        <v>0</v>
      </c>
      <c r="EB790" s="73">
        <v>0</v>
      </c>
    </row>
    <row r="791" spans="1:133" ht="12" customHeight="1" x14ac:dyDescent="0.2">
      <c r="A791" t="s">
        <v>2937</v>
      </c>
      <c r="B791" t="s">
        <v>2948</v>
      </c>
      <c r="C791" t="str">
        <f t="shared" si="38"/>
        <v>Prior Approval</v>
      </c>
      <c r="E791" s="65">
        <v>6739</v>
      </c>
      <c r="F791" t="s">
        <v>2616</v>
      </c>
      <c r="G791" s="71" t="s">
        <v>3941</v>
      </c>
      <c r="H791" s="67">
        <v>0.25600001215934798</v>
      </c>
      <c r="I791" s="65">
        <v>528376</v>
      </c>
      <c r="J791" s="65">
        <v>173160</v>
      </c>
      <c r="L791" s="65" t="s">
        <v>2617</v>
      </c>
      <c r="M791" s="65" t="s">
        <v>243</v>
      </c>
      <c r="N791" s="69">
        <v>43047</v>
      </c>
      <c r="O791" s="69">
        <v>43089</v>
      </c>
      <c r="P791" s="65" t="s">
        <v>126</v>
      </c>
      <c r="R791" s="65" t="s">
        <v>28</v>
      </c>
      <c r="U791" t="s">
        <v>2618</v>
      </c>
      <c r="V791" t="s">
        <v>3733</v>
      </c>
      <c r="W791" s="65" t="s">
        <v>21</v>
      </c>
      <c r="X791" s="65" t="s">
        <v>21</v>
      </c>
      <c r="Y791" s="65" t="s">
        <v>59</v>
      </c>
      <c r="AD791" s="65" t="s">
        <v>23</v>
      </c>
      <c r="AE791" s="65" t="s">
        <v>24</v>
      </c>
      <c r="BF791" s="73">
        <v>4644</v>
      </c>
      <c r="BK791" s="73">
        <v>4644</v>
      </c>
      <c r="BO791" s="185" t="s">
        <v>3794</v>
      </c>
      <c r="BP791" s="185" t="s">
        <v>126</v>
      </c>
      <c r="BQ791" s="185" t="s">
        <v>3794</v>
      </c>
      <c r="BW791" s="73"/>
      <c r="BX791" s="73">
        <v>-4644</v>
      </c>
      <c r="BY791" s="185" t="s">
        <v>126</v>
      </c>
      <c r="CD791" s="73">
        <v>-4644</v>
      </c>
      <c r="CE791" s="65" t="s">
        <v>126</v>
      </c>
      <c r="CJ791" t="s">
        <v>25</v>
      </c>
      <c r="CK791" t="s">
        <v>25</v>
      </c>
      <c r="CL791" t="s">
        <v>25</v>
      </c>
      <c r="CM791" t="s">
        <v>25</v>
      </c>
      <c r="CN791" t="s">
        <v>25</v>
      </c>
      <c r="CO791" t="s">
        <v>25</v>
      </c>
      <c r="CP791" t="s">
        <v>25</v>
      </c>
      <c r="CQ791" t="s">
        <v>25</v>
      </c>
      <c r="CR791" t="s">
        <v>25</v>
      </c>
      <c r="CS791" t="s">
        <v>25</v>
      </c>
      <c r="CT791" t="s">
        <v>25</v>
      </c>
      <c r="CU791" t="s">
        <v>25</v>
      </c>
      <c r="CV791" t="s">
        <v>25</v>
      </c>
      <c r="CW791" t="s">
        <v>25</v>
      </c>
      <c r="CX791" t="s">
        <v>25</v>
      </c>
      <c r="CY791" t="s">
        <v>25</v>
      </c>
      <c r="CZ791" t="s">
        <v>25</v>
      </c>
      <c r="DA791" t="s">
        <v>25</v>
      </c>
      <c r="DB791" t="s">
        <v>72</v>
      </c>
      <c r="DC791" t="s">
        <v>25</v>
      </c>
      <c r="DD791" t="s">
        <v>25</v>
      </c>
      <c r="DE791" t="s">
        <v>25</v>
      </c>
      <c r="DF791" t="s">
        <v>25</v>
      </c>
      <c r="DG791" t="s">
        <v>25</v>
      </c>
      <c r="DH791" t="s">
        <v>25</v>
      </c>
      <c r="DI791" t="s">
        <v>25</v>
      </c>
      <c r="DJ791" s="76">
        <v>0</v>
      </c>
      <c r="DK791" s="73">
        <v>0</v>
      </c>
      <c r="DL791" s="73">
        <v>4644</v>
      </c>
      <c r="DM791" s="73">
        <v>-4644</v>
      </c>
      <c r="DU791"/>
      <c r="DZ791" s="73">
        <v>4644</v>
      </c>
      <c r="EA791" s="73">
        <v>0</v>
      </c>
      <c r="EB791" s="73">
        <v>4644</v>
      </c>
      <c r="EC791" s="65" t="s">
        <v>126</v>
      </c>
    </row>
    <row r="792" spans="1:133" ht="12" customHeight="1" x14ac:dyDescent="0.2">
      <c r="A792" t="s">
        <v>2935</v>
      </c>
      <c r="B792" t="s">
        <v>2948</v>
      </c>
      <c r="C792" t="str">
        <f t="shared" si="38"/>
        <v>Prior Approval</v>
      </c>
      <c r="E792" s="65">
        <v>6740</v>
      </c>
      <c r="F792" t="s">
        <v>2619</v>
      </c>
      <c r="G792" s="71" t="s">
        <v>3941</v>
      </c>
      <c r="H792" s="67">
        <v>8.0000003799796104E-3</v>
      </c>
      <c r="I792" s="65">
        <v>528278</v>
      </c>
      <c r="J792" s="65">
        <v>173009</v>
      </c>
      <c r="L792" s="65" t="s">
        <v>2620</v>
      </c>
      <c r="M792" s="65" t="s">
        <v>244</v>
      </c>
      <c r="N792" s="69">
        <v>43052</v>
      </c>
      <c r="O792" s="69">
        <v>43108</v>
      </c>
      <c r="P792" s="65" t="s">
        <v>126</v>
      </c>
      <c r="R792" s="65" t="s">
        <v>28</v>
      </c>
      <c r="U792" t="s">
        <v>1159</v>
      </c>
      <c r="V792" t="s">
        <v>3734</v>
      </c>
      <c r="W792" s="65" t="s">
        <v>21</v>
      </c>
      <c r="X792" s="65" t="s">
        <v>21</v>
      </c>
      <c r="Y792" s="65" t="s">
        <v>30</v>
      </c>
      <c r="AA792" s="69">
        <v>43190</v>
      </c>
      <c r="AD792" s="65" t="s">
        <v>23</v>
      </c>
      <c r="AE792" s="65" t="s">
        <v>24</v>
      </c>
      <c r="AH792" s="69">
        <f t="shared" si="36"/>
        <v>43190</v>
      </c>
      <c r="AZ792" s="73">
        <v>73</v>
      </c>
      <c r="BE792" s="73">
        <v>73</v>
      </c>
      <c r="BO792" s="185" t="s">
        <v>126</v>
      </c>
      <c r="BP792" s="185" t="s">
        <v>3794</v>
      </c>
      <c r="BQ792" s="185" t="s">
        <v>3794</v>
      </c>
      <c r="BR792" s="73">
        <v>-73</v>
      </c>
      <c r="BW792" s="73">
        <v>-73</v>
      </c>
      <c r="BY792" s="185" t="s">
        <v>3794</v>
      </c>
      <c r="CJ792" t="s">
        <v>25</v>
      </c>
      <c r="CK792" t="s">
        <v>25</v>
      </c>
      <c r="CL792" t="s">
        <v>25</v>
      </c>
      <c r="CM792" t="s">
        <v>25</v>
      </c>
      <c r="CN792" t="s">
        <v>25</v>
      </c>
      <c r="CO792" t="s">
        <v>25</v>
      </c>
      <c r="CP792" t="s">
        <v>25</v>
      </c>
      <c r="CQ792" t="s">
        <v>25</v>
      </c>
      <c r="CR792" t="s">
        <v>25</v>
      </c>
      <c r="CS792" t="s">
        <v>25</v>
      </c>
      <c r="CT792" t="s">
        <v>25</v>
      </c>
      <c r="CU792" t="s">
        <v>25</v>
      </c>
      <c r="CV792" t="s">
        <v>25</v>
      </c>
      <c r="CW792" t="s">
        <v>40</v>
      </c>
      <c r="CX792" t="s">
        <v>25</v>
      </c>
      <c r="CY792" t="s">
        <v>25</v>
      </c>
      <c r="CZ792" t="s">
        <v>25</v>
      </c>
      <c r="DA792" t="s">
        <v>25</v>
      </c>
      <c r="DB792" t="s">
        <v>25</v>
      </c>
      <c r="DC792" t="s">
        <v>25</v>
      </c>
      <c r="DD792" t="s">
        <v>25</v>
      </c>
      <c r="DE792" t="s">
        <v>25</v>
      </c>
      <c r="DF792" t="s">
        <v>25</v>
      </c>
      <c r="DG792" t="s">
        <v>25</v>
      </c>
      <c r="DH792" t="s">
        <v>25</v>
      </c>
      <c r="DI792" t="s">
        <v>25</v>
      </c>
      <c r="DJ792" s="76">
        <v>0</v>
      </c>
      <c r="DK792" s="73">
        <v>0</v>
      </c>
      <c r="DL792" s="73">
        <v>73</v>
      </c>
      <c r="DM792" s="73">
        <v>-73</v>
      </c>
      <c r="DU792"/>
      <c r="DZ792" s="73">
        <v>73</v>
      </c>
      <c r="EA792" s="73">
        <v>0</v>
      </c>
      <c r="EB792" s="73">
        <v>73</v>
      </c>
      <c r="EC792" s="65" t="s">
        <v>126</v>
      </c>
    </row>
    <row r="793" spans="1:133" ht="12" customHeight="1" x14ac:dyDescent="0.2">
      <c r="A793" t="s">
        <v>2935</v>
      </c>
      <c r="B793" t="s">
        <v>2946</v>
      </c>
      <c r="C793" t="str">
        <f t="shared" si="38"/>
        <v>Full</v>
      </c>
      <c r="E793" s="65">
        <v>6741</v>
      </c>
      <c r="F793" t="s">
        <v>2621</v>
      </c>
      <c r="G793" s="71" t="s">
        <v>2907</v>
      </c>
      <c r="H793" s="67">
        <v>6.0000000521540598E-3</v>
      </c>
      <c r="I793" s="65">
        <v>525163</v>
      </c>
      <c r="J793" s="65">
        <v>173398</v>
      </c>
      <c r="L793" s="65" t="s">
        <v>2622</v>
      </c>
      <c r="M793" s="65" t="s">
        <v>27</v>
      </c>
      <c r="N793" s="69">
        <v>43049</v>
      </c>
      <c r="O793" s="69">
        <v>43153</v>
      </c>
      <c r="P793" s="65" t="s">
        <v>126</v>
      </c>
      <c r="R793" s="65" t="s">
        <v>28</v>
      </c>
      <c r="U793" t="s">
        <v>2623</v>
      </c>
      <c r="V793" t="s">
        <v>3735</v>
      </c>
      <c r="W793" s="65" t="s">
        <v>21</v>
      </c>
      <c r="X793" s="65" t="s">
        <v>21</v>
      </c>
      <c r="Y793" s="65" t="s">
        <v>30</v>
      </c>
      <c r="AA793" s="69">
        <v>43190</v>
      </c>
      <c r="AD793" s="65" t="s">
        <v>23</v>
      </c>
      <c r="AE793" s="65" t="s">
        <v>24</v>
      </c>
      <c r="AH793" s="69">
        <f t="shared" si="36"/>
        <v>43190</v>
      </c>
      <c r="BL793" s="73">
        <v>45</v>
      </c>
      <c r="BN793" s="73">
        <v>45</v>
      </c>
      <c r="BO793" s="185" t="s">
        <v>3794</v>
      </c>
      <c r="BP793" s="185" t="s">
        <v>3794</v>
      </c>
      <c r="BQ793" s="185" t="s">
        <v>126</v>
      </c>
      <c r="BW793" s="73"/>
      <c r="BY793" s="185" t="s">
        <v>3794</v>
      </c>
      <c r="CG793" s="73">
        <v>-45</v>
      </c>
      <c r="CI793" s="73">
        <v>-45</v>
      </c>
      <c r="CJ793" t="s">
        <v>25</v>
      </c>
      <c r="CK793" t="s">
        <v>25</v>
      </c>
      <c r="CL793" t="s">
        <v>25</v>
      </c>
      <c r="CM793" t="s">
        <v>25</v>
      </c>
      <c r="CN793" t="s">
        <v>25</v>
      </c>
      <c r="CO793" t="s">
        <v>25</v>
      </c>
      <c r="CP793" t="s">
        <v>25</v>
      </c>
      <c r="CQ793" t="s">
        <v>25</v>
      </c>
      <c r="CR793" t="s">
        <v>25</v>
      </c>
      <c r="CS793" t="s">
        <v>25</v>
      </c>
      <c r="CT793" t="s">
        <v>25</v>
      </c>
      <c r="CU793" t="s">
        <v>25</v>
      </c>
      <c r="CV793" t="s">
        <v>25</v>
      </c>
      <c r="CW793" t="s">
        <v>25</v>
      </c>
      <c r="CX793" t="s">
        <v>25</v>
      </c>
      <c r="CY793" t="s">
        <v>25</v>
      </c>
      <c r="CZ793" t="s">
        <v>25</v>
      </c>
      <c r="DA793" t="s">
        <v>25</v>
      </c>
      <c r="DB793" t="s">
        <v>25</v>
      </c>
      <c r="DC793" t="s">
        <v>25</v>
      </c>
      <c r="DD793" t="s">
        <v>25</v>
      </c>
      <c r="DE793" t="s">
        <v>25</v>
      </c>
      <c r="DF793" t="s">
        <v>25</v>
      </c>
      <c r="DG793" t="s">
        <v>25</v>
      </c>
      <c r="DH793" t="s">
        <v>49</v>
      </c>
      <c r="DI793" t="s">
        <v>25</v>
      </c>
      <c r="DJ793" s="76">
        <v>1.9999998621642494E-3</v>
      </c>
      <c r="DK793" s="73">
        <v>0</v>
      </c>
      <c r="DL793" s="73">
        <v>45</v>
      </c>
      <c r="DM793" s="73">
        <v>-45</v>
      </c>
      <c r="DU793"/>
      <c r="DZ793" s="73">
        <v>45</v>
      </c>
      <c r="EA793" s="73">
        <v>0</v>
      </c>
      <c r="EB793" s="73">
        <v>45</v>
      </c>
      <c r="EC793" s="65" t="s">
        <v>126</v>
      </c>
    </row>
    <row r="794" spans="1:133" ht="12" customHeight="1" x14ac:dyDescent="0.2">
      <c r="A794" t="s">
        <v>2936</v>
      </c>
      <c r="B794" t="s">
        <v>2946</v>
      </c>
      <c r="C794" t="str">
        <f t="shared" si="38"/>
        <v>Full</v>
      </c>
      <c r="D794" t="s">
        <v>2943</v>
      </c>
      <c r="E794" s="65">
        <v>6742</v>
      </c>
      <c r="F794" t="s">
        <v>2624</v>
      </c>
      <c r="G794" s="71" t="s">
        <v>149</v>
      </c>
      <c r="H794" s="67">
        <v>6.0000000521540598E-3</v>
      </c>
      <c r="I794" s="65">
        <v>528581</v>
      </c>
      <c r="J794" s="65">
        <v>173329</v>
      </c>
      <c r="L794" s="65" t="s">
        <v>2625</v>
      </c>
      <c r="M794" s="65" t="s">
        <v>27</v>
      </c>
      <c r="N794" s="69">
        <v>43059</v>
      </c>
      <c r="O794" s="69">
        <v>43118</v>
      </c>
      <c r="P794" s="65" t="s">
        <v>126</v>
      </c>
      <c r="R794" s="65" t="s">
        <v>28</v>
      </c>
      <c r="U794" t="s">
        <v>2626</v>
      </c>
      <c r="V794" t="s">
        <v>3698</v>
      </c>
      <c r="W794" s="65" t="s">
        <v>21</v>
      </c>
      <c r="X794" s="65" t="s">
        <v>21</v>
      </c>
      <c r="Y794" s="65" t="s">
        <v>35</v>
      </c>
      <c r="AA794" s="69">
        <v>43118</v>
      </c>
      <c r="AB794" s="69">
        <v>43190</v>
      </c>
      <c r="AC794" s="69">
        <v>43190</v>
      </c>
      <c r="AD794" s="65" t="s">
        <v>23</v>
      </c>
      <c r="AE794" s="65" t="s">
        <v>24</v>
      </c>
      <c r="AH794" s="69">
        <f t="shared" si="36"/>
        <v>43118</v>
      </c>
      <c r="AI794" s="69">
        <f t="shared" si="37"/>
        <v>43190</v>
      </c>
      <c r="AL794" s="73">
        <v>100</v>
      </c>
      <c r="AO794" s="73">
        <v>100</v>
      </c>
      <c r="AZ794" s="73">
        <v>100</v>
      </c>
      <c r="BE794" s="73">
        <v>100</v>
      </c>
      <c r="BO794" s="185" t="s">
        <v>126</v>
      </c>
      <c r="BP794" s="185" t="s">
        <v>3794</v>
      </c>
      <c r="BQ794" s="185" t="s">
        <v>3794</v>
      </c>
      <c r="BR794" s="73">
        <v>-100</v>
      </c>
      <c r="BT794" s="73">
        <v>100</v>
      </c>
      <c r="BW794" s="73"/>
      <c r="BY794" s="185" t="s">
        <v>3794</v>
      </c>
      <c r="CJ794" t="s">
        <v>25</v>
      </c>
      <c r="CK794" t="s">
        <v>25</v>
      </c>
      <c r="CL794" t="s">
        <v>38</v>
      </c>
      <c r="CM794" t="s">
        <v>25</v>
      </c>
      <c r="CN794" t="s">
        <v>25</v>
      </c>
      <c r="CO794" t="s">
        <v>25</v>
      </c>
      <c r="CP794" t="s">
        <v>25</v>
      </c>
      <c r="CQ794" t="s">
        <v>25</v>
      </c>
      <c r="CR794" t="s">
        <v>25</v>
      </c>
      <c r="CS794" t="s">
        <v>25</v>
      </c>
      <c r="CT794" t="s">
        <v>25</v>
      </c>
      <c r="CU794" t="s">
        <v>25</v>
      </c>
      <c r="CV794" t="s">
        <v>25</v>
      </c>
      <c r="CW794" t="s">
        <v>47</v>
      </c>
      <c r="CX794" t="s">
        <v>25</v>
      </c>
      <c r="CY794" t="s">
        <v>25</v>
      </c>
      <c r="CZ794" t="s">
        <v>25</v>
      </c>
      <c r="DA794" t="s">
        <v>25</v>
      </c>
      <c r="DB794" t="s">
        <v>25</v>
      </c>
      <c r="DC794" t="s">
        <v>25</v>
      </c>
      <c r="DD794" t="s">
        <v>25</v>
      </c>
      <c r="DE794" t="s">
        <v>25</v>
      </c>
      <c r="DF794" t="s">
        <v>25</v>
      </c>
      <c r="DG794" t="s">
        <v>25</v>
      </c>
      <c r="DH794" t="s">
        <v>25</v>
      </c>
      <c r="DI794" t="s">
        <v>25</v>
      </c>
      <c r="DJ794" s="76">
        <v>6.0000000521540598E-3</v>
      </c>
      <c r="DK794" s="73">
        <v>100</v>
      </c>
      <c r="DL794" s="73">
        <v>100</v>
      </c>
      <c r="DM794" s="73">
        <v>0</v>
      </c>
      <c r="DU794"/>
      <c r="DV794" s="65" t="s">
        <v>126</v>
      </c>
      <c r="DW794" t="s">
        <v>149</v>
      </c>
      <c r="DZ794" s="73">
        <v>0</v>
      </c>
      <c r="EA794" s="73">
        <v>0</v>
      </c>
      <c r="EB794" s="73">
        <v>0</v>
      </c>
    </row>
    <row r="795" spans="1:133" ht="12" customHeight="1" x14ac:dyDescent="0.2">
      <c r="A795" t="s">
        <v>2937</v>
      </c>
      <c r="B795" t="s">
        <v>2946</v>
      </c>
      <c r="C795" t="str">
        <f t="shared" si="38"/>
        <v>Full</v>
      </c>
      <c r="E795" s="65">
        <v>6746</v>
      </c>
      <c r="F795" t="s">
        <v>2627</v>
      </c>
      <c r="G795" s="71" t="s">
        <v>3942</v>
      </c>
      <c r="H795" s="67">
        <v>1.30000002682209E-2</v>
      </c>
      <c r="I795" s="65">
        <v>527452</v>
      </c>
      <c r="J795" s="65">
        <v>175150</v>
      </c>
      <c r="L795" s="65" t="s">
        <v>2628</v>
      </c>
      <c r="M795" s="65" t="s">
        <v>27</v>
      </c>
      <c r="N795" s="69">
        <v>43048</v>
      </c>
      <c r="O795" s="69">
        <v>43104</v>
      </c>
      <c r="P795" s="65" t="s">
        <v>126</v>
      </c>
      <c r="R795" s="65" t="s">
        <v>28</v>
      </c>
      <c r="U795" t="s">
        <v>2629</v>
      </c>
      <c r="V795" t="s">
        <v>3736</v>
      </c>
      <c r="W795" s="65" t="s">
        <v>21</v>
      </c>
      <c r="X795" s="65" t="s">
        <v>21</v>
      </c>
      <c r="Y795" s="65" t="s">
        <v>59</v>
      </c>
      <c r="AD795" s="65" t="s">
        <v>23</v>
      </c>
      <c r="AE795" s="65" t="s">
        <v>24</v>
      </c>
      <c r="AX795" s="73">
        <v>111</v>
      </c>
      <c r="AY795" s="73">
        <v>111</v>
      </c>
      <c r="AZ795" s="73">
        <v>111</v>
      </c>
      <c r="BE795" s="73">
        <v>111</v>
      </c>
      <c r="BO795" s="185" t="s">
        <v>126</v>
      </c>
      <c r="BP795" s="185" t="s">
        <v>3794</v>
      </c>
      <c r="BQ795" s="185" t="s">
        <v>126</v>
      </c>
      <c r="BR795" s="73">
        <v>-111</v>
      </c>
      <c r="BW795" s="73">
        <v>-111</v>
      </c>
      <c r="BY795" s="185" t="s">
        <v>3794</v>
      </c>
      <c r="CH795" s="73">
        <v>111</v>
      </c>
      <c r="CI795" s="73">
        <v>111</v>
      </c>
      <c r="CJ795" t="s">
        <v>25</v>
      </c>
      <c r="CK795" t="s">
        <v>25</v>
      </c>
      <c r="CL795" t="s">
        <v>25</v>
      </c>
      <c r="CM795" t="s">
        <v>25</v>
      </c>
      <c r="CN795" t="s">
        <v>25</v>
      </c>
      <c r="CO795" t="s">
        <v>25</v>
      </c>
      <c r="CP795" t="s">
        <v>25</v>
      </c>
      <c r="CQ795" t="s">
        <v>25</v>
      </c>
      <c r="CR795" t="s">
        <v>25</v>
      </c>
      <c r="CS795" t="s">
        <v>25</v>
      </c>
      <c r="CT795" t="s">
        <v>25</v>
      </c>
      <c r="CU795" t="s">
        <v>25</v>
      </c>
      <c r="CV795" t="s">
        <v>49</v>
      </c>
      <c r="CW795" t="s">
        <v>47</v>
      </c>
      <c r="CX795" t="s">
        <v>25</v>
      </c>
      <c r="CY795" t="s">
        <v>25</v>
      </c>
      <c r="CZ795" t="s">
        <v>25</v>
      </c>
      <c r="DA795" t="s">
        <v>25</v>
      </c>
      <c r="DB795" t="s">
        <v>25</v>
      </c>
      <c r="DC795" t="s">
        <v>25</v>
      </c>
      <c r="DD795" t="s">
        <v>25</v>
      </c>
      <c r="DE795" t="s">
        <v>25</v>
      </c>
      <c r="DF795" t="s">
        <v>25</v>
      </c>
      <c r="DG795" t="s">
        <v>25</v>
      </c>
      <c r="DH795" t="s">
        <v>25</v>
      </c>
      <c r="DI795" t="s">
        <v>25</v>
      </c>
      <c r="DJ795" s="76">
        <v>1.30000002682209E-2</v>
      </c>
      <c r="DK795" s="73">
        <v>111</v>
      </c>
      <c r="DL795" s="73">
        <v>111</v>
      </c>
      <c r="DM795" s="73">
        <v>0</v>
      </c>
      <c r="DU795"/>
      <c r="DV795" s="65" t="s">
        <v>126</v>
      </c>
      <c r="DW795" t="s">
        <v>132</v>
      </c>
      <c r="DZ795" s="73">
        <v>0</v>
      </c>
      <c r="EA795" s="73">
        <v>0</v>
      </c>
      <c r="EB795" s="73">
        <v>0</v>
      </c>
    </row>
    <row r="796" spans="1:133" ht="12" customHeight="1" x14ac:dyDescent="0.2">
      <c r="A796" t="s">
        <v>2937</v>
      </c>
      <c r="B796" t="s">
        <v>2946</v>
      </c>
      <c r="C796" t="str">
        <f t="shared" si="38"/>
        <v>Full</v>
      </c>
      <c r="E796" s="65">
        <v>6748</v>
      </c>
      <c r="F796" t="s">
        <v>2630</v>
      </c>
      <c r="G796" s="71" t="s">
        <v>3946</v>
      </c>
      <c r="H796" s="67">
        <v>0.104000002145767</v>
      </c>
      <c r="I796" s="65">
        <v>524016</v>
      </c>
      <c r="J796" s="65">
        <v>175204</v>
      </c>
      <c r="L796" s="65" t="s">
        <v>2631</v>
      </c>
      <c r="M796" s="65" t="s">
        <v>27</v>
      </c>
      <c r="N796" s="69">
        <v>43056</v>
      </c>
      <c r="O796" s="69">
        <v>43112</v>
      </c>
      <c r="P796" s="65" t="s">
        <v>126</v>
      </c>
      <c r="R796" s="65" t="s">
        <v>28</v>
      </c>
      <c r="U796" t="s">
        <v>2632</v>
      </c>
      <c r="V796" t="s">
        <v>3737</v>
      </c>
      <c r="W796" s="65" t="s">
        <v>34</v>
      </c>
      <c r="X796" s="65" t="s">
        <v>29</v>
      </c>
      <c r="Y796" s="65" t="s">
        <v>69</v>
      </c>
      <c r="AD796" s="65" t="s">
        <v>23</v>
      </c>
      <c r="AE796" s="65" t="s">
        <v>24</v>
      </c>
      <c r="AJ796" s="73">
        <v>1396</v>
      </c>
      <c r="AO796" s="73">
        <v>1396</v>
      </c>
      <c r="BO796" s="185" t="s">
        <v>126</v>
      </c>
      <c r="BP796" s="185" t="s">
        <v>3794</v>
      </c>
      <c r="BQ796" s="185" t="s">
        <v>3794</v>
      </c>
      <c r="BR796" s="73">
        <v>1396</v>
      </c>
      <c r="BW796" s="73">
        <v>1396</v>
      </c>
      <c r="BY796" s="185" t="s">
        <v>3794</v>
      </c>
      <c r="CJ796" t="s">
        <v>46</v>
      </c>
      <c r="CK796" t="s">
        <v>25</v>
      </c>
      <c r="CL796" t="s">
        <v>25</v>
      </c>
      <c r="CM796" t="s">
        <v>25</v>
      </c>
      <c r="CN796" t="s">
        <v>25</v>
      </c>
      <c r="CO796" t="s">
        <v>25</v>
      </c>
      <c r="CP796" t="s">
        <v>25</v>
      </c>
      <c r="CQ796" t="s">
        <v>25</v>
      </c>
      <c r="CR796" t="s">
        <v>25</v>
      </c>
      <c r="CS796" t="s">
        <v>25</v>
      </c>
      <c r="CT796" t="s">
        <v>25</v>
      </c>
      <c r="CU796" t="s">
        <v>25</v>
      </c>
      <c r="CV796" t="s">
        <v>25</v>
      </c>
      <c r="CW796" t="s">
        <v>25</v>
      </c>
      <c r="CX796" t="s">
        <v>25</v>
      </c>
      <c r="CY796" t="s">
        <v>25</v>
      </c>
      <c r="CZ796" t="s">
        <v>25</v>
      </c>
      <c r="DA796" t="s">
        <v>25</v>
      </c>
      <c r="DB796" t="s">
        <v>25</v>
      </c>
      <c r="DC796" t="s">
        <v>25</v>
      </c>
      <c r="DD796" t="s">
        <v>25</v>
      </c>
      <c r="DE796" t="s">
        <v>25</v>
      </c>
      <c r="DF796" t="s">
        <v>25</v>
      </c>
      <c r="DG796" t="s">
        <v>25</v>
      </c>
      <c r="DH796" t="s">
        <v>25</v>
      </c>
      <c r="DI796" t="s">
        <v>25</v>
      </c>
      <c r="DJ796" s="76">
        <v>2.6999998837709205E-2</v>
      </c>
      <c r="DK796" s="73">
        <v>1396</v>
      </c>
      <c r="DL796" s="73">
        <v>0</v>
      </c>
      <c r="DM796" s="73">
        <v>1396</v>
      </c>
      <c r="DU796"/>
      <c r="DV796" s="65" t="s">
        <v>126</v>
      </c>
      <c r="DW796" t="s">
        <v>131</v>
      </c>
      <c r="DZ796" s="73">
        <v>487</v>
      </c>
      <c r="EA796" s="73">
        <v>302</v>
      </c>
      <c r="EB796" s="73">
        <v>185</v>
      </c>
      <c r="EC796" s="65" t="s">
        <v>126</v>
      </c>
    </row>
    <row r="797" spans="1:133" ht="12" customHeight="1" x14ac:dyDescent="0.2">
      <c r="A797" t="s">
        <v>2937</v>
      </c>
      <c r="B797" t="s">
        <v>2946</v>
      </c>
      <c r="C797" t="str">
        <f t="shared" si="38"/>
        <v>Full</v>
      </c>
      <c r="E797" s="65">
        <v>6751</v>
      </c>
      <c r="F797" t="s">
        <v>2633</v>
      </c>
      <c r="G797" s="71" t="s">
        <v>3945</v>
      </c>
      <c r="H797" s="67">
        <v>2.0999999716877899E-2</v>
      </c>
      <c r="I797" s="65">
        <v>527935</v>
      </c>
      <c r="J797" s="65">
        <v>175416</v>
      </c>
      <c r="L797" s="65" t="s">
        <v>2634</v>
      </c>
      <c r="M797" s="65" t="s">
        <v>27</v>
      </c>
      <c r="N797" s="69">
        <v>43060</v>
      </c>
      <c r="O797" s="69">
        <v>43164</v>
      </c>
      <c r="P797" s="65" t="s">
        <v>126</v>
      </c>
      <c r="R797" s="65" t="s">
        <v>28</v>
      </c>
      <c r="U797" t="s">
        <v>2635</v>
      </c>
      <c r="V797" t="s">
        <v>3738</v>
      </c>
      <c r="W797" s="65" t="s">
        <v>34</v>
      </c>
      <c r="X797" s="65" t="s">
        <v>29</v>
      </c>
      <c r="Y797" s="65" t="s">
        <v>69</v>
      </c>
      <c r="AD797" s="65" t="s">
        <v>23</v>
      </c>
      <c r="AE797" s="65" t="s">
        <v>24</v>
      </c>
      <c r="BO797" s="185" t="s">
        <v>3794</v>
      </c>
      <c r="BP797" s="185" t="s">
        <v>3794</v>
      </c>
      <c r="BQ797" s="185" t="s">
        <v>3794</v>
      </c>
      <c r="BW797" s="73"/>
      <c r="BY797" s="185" t="s">
        <v>3794</v>
      </c>
      <c r="CJ797" t="s">
        <v>25</v>
      </c>
      <c r="CK797" t="s">
        <v>25</v>
      </c>
      <c r="CL797" t="s">
        <v>25</v>
      </c>
      <c r="CM797" t="s">
        <v>25</v>
      </c>
      <c r="CN797" t="s">
        <v>25</v>
      </c>
      <c r="CO797" t="s">
        <v>25</v>
      </c>
      <c r="CP797" t="s">
        <v>25</v>
      </c>
      <c r="CQ797" t="s">
        <v>25</v>
      </c>
      <c r="CR797" t="s">
        <v>25</v>
      </c>
      <c r="CS797" t="s">
        <v>25</v>
      </c>
      <c r="CT797" t="s">
        <v>25</v>
      </c>
      <c r="CU797" t="s">
        <v>25</v>
      </c>
      <c r="CV797" t="s">
        <v>25</v>
      </c>
      <c r="CW797" t="s">
        <v>25</v>
      </c>
      <c r="CX797" t="s">
        <v>25</v>
      </c>
      <c r="CY797" t="s">
        <v>25</v>
      </c>
      <c r="CZ797" t="s">
        <v>25</v>
      </c>
      <c r="DA797" t="s">
        <v>25</v>
      </c>
      <c r="DB797" t="s">
        <v>25</v>
      </c>
      <c r="DC797" t="s">
        <v>25</v>
      </c>
      <c r="DD797" t="s">
        <v>25</v>
      </c>
      <c r="DE797" t="s">
        <v>25</v>
      </c>
      <c r="DF797" t="s">
        <v>25</v>
      </c>
      <c r="DG797" t="s">
        <v>25</v>
      </c>
      <c r="DH797" t="s">
        <v>25</v>
      </c>
      <c r="DI797" t="s">
        <v>25</v>
      </c>
      <c r="DJ797" s="76">
        <v>0</v>
      </c>
      <c r="DK797" s="73">
        <v>0</v>
      </c>
      <c r="DL797" s="73">
        <v>255</v>
      </c>
      <c r="DM797" s="73">
        <v>-255</v>
      </c>
      <c r="DU797"/>
      <c r="DZ797" s="73">
        <v>423</v>
      </c>
      <c r="EA797" s="73">
        <v>0</v>
      </c>
      <c r="EB797" s="73">
        <v>423</v>
      </c>
      <c r="EC797" s="65" t="s">
        <v>126</v>
      </c>
    </row>
    <row r="798" spans="1:133" ht="12" customHeight="1" x14ac:dyDescent="0.2">
      <c r="A798" t="s">
        <v>2937</v>
      </c>
      <c r="B798" t="s">
        <v>2946</v>
      </c>
      <c r="C798" t="str">
        <f t="shared" si="38"/>
        <v>Full</v>
      </c>
      <c r="E798" s="65">
        <v>6754</v>
      </c>
      <c r="F798" t="s">
        <v>2636</v>
      </c>
      <c r="G798" s="71" t="s">
        <v>3948</v>
      </c>
      <c r="H798" s="67">
        <v>1.60000007599592E-2</v>
      </c>
      <c r="I798" s="65">
        <v>526823</v>
      </c>
      <c r="J798" s="65">
        <v>175858</v>
      </c>
      <c r="L798" s="65" t="s">
        <v>2637</v>
      </c>
      <c r="M798" s="65" t="s">
        <v>27</v>
      </c>
      <c r="N798" s="69">
        <v>43076</v>
      </c>
      <c r="O798" s="69">
        <v>43144</v>
      </c>
      <c r="P798" s="65" t="s">
        <v>126</v>
      </c>
      <c r="R798" s="65" t="s">
        <v>28</v>
      </c>
      <c r="U798" t="s">
        <v>2638</v>
      </c>
      <c r="V798" t="s">
        <v>3739</v>
      </c>
      <c r="W798" s="65" t="s">
        <v>34</v>
      </c>
      <c r="X798" s="65" t="s">
        <v>29</v>
      </c>
      <c r="Y798" s="65" t="s">
        <v>59</v>
      </c>
      <c r="AD798" s="65" t="s">
        <v>23</v>
      </c>
      <c r="AE798" s="65" t="s">
        <v>24</v>
      </c>
      <c r="AK798" s="73">
        <v>50</v>
      </c>
      <c r="AO798" s="73">
        <v>50</v>
      </c>
      <c r="AP798" s="73">
        <v>51</v>
      </c>
      <c r="AS798" s="73">
        <v>51</v>
      </c>
      <c r="AV798" s="73">
        <v>51</v>
      </c>
      <c r="AZ798" s="73">
        <v>51</v>
      </c>
      <c r="BA798" s="73">
        <v>50</v>
      </c>
      <c r="BE798" s="73">
        <v>101</v>
      </c>
      <c r="BO798" s="185" t="s">
        <v>126</v>
      </c>
      <c r="BP798" s="185" t="s">
        <v>126</v>
      </c>
      <c r="BQ798" s="185" t="s">
        <v>3794</v>
      </c>
      <c r="BR798" s="73">
        <v>-51</v>
      </c>
      <c r="BW798" s="73">
        <v>-51</v>
      </c>
      <c r="BX798" s="73">
        <v>51</v>
      </c>
      <c r="BY798" s="185" t="s">
        <v>3794</v>
      </c>
      <c r="CD798" s="73">
        <v>51</v>
      </c>
      <c r="CJ798" t="s">
        <v>25</v>
      </c>
      <c r="CK798" t="s">
        <v>64</v>
      </c>
      <c r="CL798" t="s">
        <v>25</v>
      </c>
      <c r="CM798" t="s">
        <v>25</v>
      </c>
      <c r="CN798" t="s">
        <v>25</v>
      </c>
      <c r="CO798" t="s">
        <v>49</v>
      </c>
      <c r="CP798" t="s">
        <v>25</v>
      </c>
      <c r="CQ798" t="s">
        <v>25</v>
      </c>
      <c r="CR798" t="s">
        <v>25</v>
      </c>
      <c r="CS798" t="s">
        <v>25</v>
      </c>
      <c r="CT798" t="s">
        <v>25</v>
      </c>
      <c r="CU798" t="s">
        <v>25</v>
      </c>
      <c r="CV798" t="s">
        <v>25</v>
      </c>
      <c r="CW798" t="s">
        <v>47</v>
      </c>
      <c r="CX798" t="s">
        <v>47</v>
      </c>
      <c r="CY798" t="s">
        <v>25</v>
      </c>
      <c r="CZ798" t="s">
        <v>25</v>
      </c>
      <c r="DA798" t="s">
        <v>25</v>
      </c>
      <c r="DB798" t="s">
        <v>25</v>
      </c>
      <c r="DC798" t="s">
        <v>25</v>
      </c>
      <c r="DD798" t="s">
        <v>25</v>
      </c>
      <c r="DE798" t="s">
        <v>25</v>
      </c>
      <c r="DF798" t="s">
        <v>25</v>
      </c>
      <c r="DG798" t="s">
        <v>25</v>
      </c>
      <c r="DH798" t="s">
        <v>25</v>
      </c>
      <c r="DI798" t="s">
        <v>25</v>
      </c>
      <c r="DJ798" s="76">
        <v>1.60000007599592E-2</v>
      </c>
      <c r="DK798" s="73">
        <v>101</v>
      </c>
      <c r="DL798" s="73">
        <v>101</v>
      </c>
      <c r="DM798" s="73">
        <v>0</v>
      </c>
      <c r="DU798"/>
      <c r="DZ798" s="73">
        <v>0</v>
      </c>
      <c r="EA798" s="73">
        <v>0</v>
      </c>
      <c r="EB798" s="73">
        <v>0</v>
      </c>
    </row>
    <row r="799" spans="1:133" ht="12" customHeight="1" x14ac:dyDescent="0.2">
      <c r="A799" t="s">
        <v>2937</v>
      </c>
      <c r="B799" t="s">
        <v>2946</v>
      </c>
      <c r="C799" t="str">
        <f t="shared" si="38"/>
        <v>Full</v>
      </c>
      <c r="E799" s="65">
        <v>6755</v>
      </c>
      <c r="F799" t="s">
        <v>2639</v>
      </c>
      <c r="G799" s="71" t="s">
        <v>2904</v>
      </c>
      <c r="H799" s="67">
        <v>7.0000002160668399E-3</v>
      </c>
      <c r="I799" s="65">
        <v>526150</v>
      </c>
      <c r="J799" s="65">
        <v>172704</v>
      </c>
      <c r="L799" s="65" t="s">
        <v>2640</v>
      </c>
      <c r="M799" s="65" t="s">
        <v>27</v>
      </c>
      <c r="N799" s="69">
        <v>43027</v>
      </c>
      <c r="O799" s="69">
        <v>43083</v>
      </c>
      <c r="P799" s="65" t="s">
        <v>126</v>
      </c>
      <c r="R799" s="65" t="s">
        <v>28</v>
      </c>
      <c r="U799" t="s">
        <v>2641</v>
      </c>
      <c r="V799" t="s">
        <v>3740</v>
      </c>
      <c r="W799" s="65" t="s">
        <v>29</v>
      </c>
      <c r="X799" s="65" t="s">
        <v>29</v>
      </c>
      <c r="Y799" s="65" t="s">
        <v>69</v>
      </c>
      <c r="AD799" s="65" t="s">
        <v>23</v>
      </c>
      <c r="AE799" s="65" t="s">
        <v>24</v>
      </c>
      <c r="BO799" s="185" t="s">
        <v>3794</v>
      </c>
      <c r="BP799" s="185" t="s">
        <v>3794</v>
      </c>
      <c r="BQ799" s="185" t="s">
        <v>3794</v>
      </c>
      <c r="BW799" s="73"/>
      <c r="BY799" s="185" t="s">
        <v>3794</v>
      </c>
      <c r="CJ799" t="s">
        <v>25</v>
      </c>
      <c r="CK799" t="s">
        <v>25</v>
      </c>
      <c r="CL799" t="s">
        <v>25</v>
      </c>
      <c r="CM799" t="s">
        <v>25</v>
      </c>
      <c r="CN799" t="s">
        <v>25</v>
      </c>
      <c r="CO799" t="s">
        <v>25</v>
      </c>
      <c r="CP799" t="s">
        <v>25</v>
      </c>
      <c r="CQ799" t="s">
        <v>25</v>
      </c>
      <c r="CR799" t="s">
        <v>25</v>
      </c>
      <c r="CS799" t="s">
        <v>25</v>
      </c>
      <c r="CT799" t="s">
        <v>25</v>
      </c>
      <c r="CU799" t="s">
        <v>25</v>
      </c>
      <c r="CV799" t="s">
        <v>25</v>
      </c>
      <c r="CW799" t="s">
        <v>25</v>
      </c>
      <c r="CX799" t="s">
        <v>25</v>
      </c>
      <c r="CY799" t="s">
        <v>25</v>
      </c>
      <c r="CZ799" t="s">
        <v>25</v>
      </c>
      <c r="DA799" t="s">
        <v>25</v>
      </c>
      <c r="DB799" t="s">
        <v>25</v>
      </c>
      <c r="DC799" t="s">
        <v>25</v>
      </c>
      <c r="DD799" t="s">
        <v>25</v>
      </c>
      <c r="DE799" t="s">
        <v>25</v>
      </c>
      <c r="DF799" t="s">
        <v>25</v>
      </c>
      <c r="DG799" t="s">
        <v>25</v>
      </c>
      <c r="DH799" t="s">
        <v>25</v>
      </c>
      <c r="DI799" t="s">
        <v>25</v>
      </c>
      <c r="DJ799" s="76">
        <v>0</v>
      </c>
      <c r="DK799" s="73">
        <v>0</v>
      </c>
      <c r="DL799" s="73">
        <v>37</v>
      </c>
      <c r="DM799" s="73">
        <v>-37</v>
      </c>
      <c r="DU799"/>
      <c r="DX799" s="65" t="s">
        <v>126</v>
      </c>
      <c r="DY799" t="s">
        <v>2904</v>
      </c>
      <c r="DZ799" s="73">
        <v>58</v>
      </c>
      <c r="EA799" s="73">
        <v>0</v>
      </c>
      <c r="EB799" s="73">
        <v>58</v>
      </c>
      <c r="EC799" s="65" t="s">
        <v>126</v>
      </c>
    </row>
    <row r="800" spans="1:133" ht="12" customHeight="1" x14ac:dyDescent="0.2">
      <c r="A800" t="s">
        <v>2938</v>
      </c>
      <c r="B800" t="s">
        <v>2946</v>
      </c>
      <c r="C800" t="str">
        <f t="shared" si="38"/>
        <v>Full</v>
      </c>
      <c r="E800" s="65">
        <v>6756</v>
      </c>
      <c r="F800" t="s">
        <v>2642</v>
      </c>
      <c r="G800" s="71" t="s">
        <v>3944</v>
      </c>
      <c r="H800" s="67">
        <v>5.4000001400709201E-2</v>
      </c>
      <c r="I800" s="65">
        <v>525755</v>
      </c>
      <c r="J800" s="65">
        <v>174872</v>
      </c>
      <c r="L800" s="65" t="s">
        <v>2643</v>
      </c>
      <c r="M800" s="65" t="s">
        <v>172</v>
      </c>
      <c r="N800" s="69">
        <v>43083</v>
      </c>
      <c r="U800" t="s">
        <v>2644</v>
      </c>
      <c r="V800" t="s">
        <v>3741</v>
      </c>
      <c r="W800" s="65" t="s">
        <v>29</v>
      </c>
      <c r="X800" s="65" t="s">
        <v>29</v>
      </c>
      <c r="Y800" s="65" t="s">
        <v>69</v>
      </c>
      <c r="AD800" s="65" t="s">
        <v>173</v>
      </c>
      <c r="AE800" s="65" t="s">
        <v>24</v>
      </c>
      <c r="AJ800" s="73">
        <v>149</v>
      </c>
      <c r="AK800" s="73">
        <v>150</v>
      </c>
      <c r="AO800" s="73">
        <v>299</v>
      </c>
      <c r="AP800" s="73">
        <v>1305</v>
      </c>
      <c r="AS800" s="73">
        <v>1305</v>
      </c>
      <c r="AV800" s="73">
        <v>1305</v>
      </c>
      <c r="AZ800" s="73">
        <v>121</v>
      </c>
      <c r="BE800" s="73">
        <v>121</v>
      </c>
      <c r="BO800" s="185" t="s">
        <v>126</v>
      </c>
      <c r="BP800" s="185" t="s">
        <v>126</v>
      </c>
      <c r="BQ800" s="185" t="s">
        <v>3794</v>
      </c>
      <c r="BR800" s="73">
        <v>28</v>
      </c>
      <c r="BS800" s="73">
        <v>150</v>
      </c>
      <c r="BW800" s="73">
        <v>178</v>
      </c>
      <c r="BX800" s="73">
        <v>1305</v>
      </c>
      <c r="BY800" s="185" t="s">
        <v>3794</v>
      </c>
      <c r="CD800" s="73">
        <v>1305</v>
      </c>
      <c r="CJ800" t="s">
        <v>40</v>
      </c>
      <c r="CK800" t="s">
        <v>31</v>
      </c>
      <c r="CL800" t="s">
        <v>25</v>
      </c>
      <c r="CM800" t="s">
        <v>25</v>
      </c>
      <c r="CN800" t="s">
        <v>25</v>
      </c>
      <c r="CO800" t="s">
        <v>72</v>
      </c>
      <c r="CP800" t="s">
        <v>25</v>
      </c>
      <c r="CQ800" t="s">
        <v>25</v>
      </c>
      <c r="CR800" t="s">
        <v>25</v>
      </c>
      <c r="CS800" t="s">
        <v>25</v>
      </c>
      <c r="CT800" t="s">
        <v>25</v>
      </c>
      <c r="CU800" t="s">
        <v>25</v>
      </c>
      <c r="CV800" t="s">
        <v>25</v>
      </c>
      <c r="CW800" t="s">
        <v>40</v>
      </c>
      <c r="CX800" t="s">
        <v>25</v>
      </c>
      <c r="CY800" t="s">
        <v>25</v>
      </c>
      <c r="CZ800" t="s">
        <v>25</v>
      </c>
      <c r="DA800" t="s">
        <v>25</v>
      </c>
      <c r="DB800" t="s">
        <v>25</v>
      </c>
      <c r="DC800" t="s">
        <v>25</v>
      </c>
      <c r="DD800" t="s">
        <v>25</v>
      </c>
      <c r="DE800" t="s">
        <v>25</v>
      </c>
      <c r="DF800" t="s">
        <v>25</v>
      </c>
      <c r="DG800" t="s">
        <v>25</v>
      </c>
      <c r="DH800" t="s">
        <v>25</v>
      </c>
      <c r="DI800" t="s">
        <v>25</v>
      </c>
      <c r="DJ800" s="76">
        <v>5.4000001400709201E-2</v>
      </c>
      <c r="DK800" s="73">
        <v>1604</v>
      </c>
      <c r="DL800" s="73">
        <v>121</v>
      </c>
      <c r="DM800" s="73">
        <v>1483</v>
      </c>
      <c r="DU800"/>
      <c r="DZ800" s="73">
        <v>0</v>
      </c>
      <c r="EA800" s="73">
        <v>0</v>
      </c>
      <c r="EB800" s="73">
        <v>0</v>
      </c>
    </row>
    <row r="801" spans="1:133" ht="12" customHeight="1" x14ac:dyDescent="0.2">
      <c r="A801" t="s">
        <v>2938</v>
      </c>
      <c r="B801" t="s">
        <v>2946</v>
      </c>
      <c r="C801" t="str">
        <f t="shared" si="38"/>
        <v>Full</v>
      </c>
      <c r="E801" s="65">
        <v>6757</v>
      </c>
      <c r="F801" t="s">
        <v>2645</v>
      </c>
      <c r="G801" s="71" t="s">
        <v>3944</v>
      </c>
      <c r="H801" s="67">
        <v>7.9000003635883304E-2</v>
      </c>
      <c r="I801" s="65">
        <v>525222</v>
      </c>
      <c r="J801" s="65">
        <v>174998</v>
      </c>
      <c r="L801" s="65" t="s">
        <v>2646</v>
      </c>
      <c r="M801" s="65" t="s">
        <v>172</v>
      </c>
      <c r="N801" s="69">
        <v>43074</v>
      </c>
      <c r="R801" s="65" t="s">
        <v>28</v>
      </c>
      <c r="U801" t="s">
        <v>2647</v>
      </c>
      <c r="V801" t="s">
        <v>3742</v>
      </c>
      <c r="W801" s="65" t="s">
        <v>29</v>
      </c>
      <c r="X801" s="65" t="s">
        <v>29</v>
      </c>
      <c r="Y801" s="65" t="s">
        <v>69</v>
      </c>
      <c r="AD801" s="65" t="s">
        <v>173</v>
      </c>
      <c r="AE801" s="65" t="s">
        <v>24</v>
      </c>
      <c r="AJ801" s="73">
        <v>77</v>
      </c>
      <c r="AK801" s="73">
        <v>77</v>
      </c>
      <c r="AL801" s="73">
        <v>77</v>
      </c>
      <c r="AO801" s="73">
        <v>231</v>
      </c>
      <c r="AP801" s="73">
        <v>839</v>
      </c>
      <c r="AS801" s="73">
        <v>839</v>
      </c>
      <c r="AV801" s="73">
        <v>839</v>
      </c>
      <c r="AW801" s="73">
        <v>78</v>
      </c>
      <c r="AY801" s="73">
        <v>78</v>
      </c>
      <c r="AZ801" s="73">
        <v>471</v>
      </c>
      <c r="BE801" s="73">
        <v>471</v>
      </c>
      <c r="BO801" s="185" t="s">
        <v>126</v>
      </c>
      <c r="BP801" s="185" t="s">
        <v>126</v>
      </c>
      <c r="BQ801" s="185" t="s">
        <v>126</v>
      </c>
      <c r="BR801" s="73">
        <v>-394</v>
      </c>
      <c r="BS801" s="73">
        <v>77</v>
      </c>
      <c r="BT801" s="73">
        <v>77</v>
      </c>
      <c r="BW801" s="73">
        <v>-240</v>
      </c>
      <c r="BX801" s="73">
        <v>839</v>
      </c>
      <c r="BY801" s="185" t="s">
        <v>3794</v>
      </c>
      <c r="CD801" s="73">
        <v>839</v>
      </c>
      <c r="CG801" s="73">
        <v>78</v>
      </c>
      <c r="CI801" s="73">
        <v>78</v>
      </c>
      <c r="CJ801" t="s">
        <v>31</v>
      </c>
      <c r="CK801" t="s">
        <v>31</v>
      </c>
      <c r="CL801" t="s">
        <v>31</v>
      </c>
      <c r="CM801" t="s">
        <v>25</v>
      </c>
      <c r="CN801" t="s">
        <v>25</v>
      </c>
      <c r="CO801" t="s">
        <v>31</v>
      </c>
      <c r="CP801" t="s">
        <v>25</v>
      </c>
      <c r="CQ801" t="s">
        <v>25</v>
      </c>
      <c r="CR801" t="s">
        <v>25</v>
      </c>
      <c r="CS801" t="s">
        <v>25</v>
      </c>
      <c r="CT801" t="s">
        <v>25</v>
      </c>
      <c r="CU801" t="s">
        <v>31</v>
      </c>
      <c r="CV801" t="s">
        <v>25</v>
      </c>
      <c r="CW801" t="s">
        <v>46</v>
      </c>
      <c r="CX801" t="s">
        <v>25</v>
      </c>
      <c r="CY801" t="s">
        <v>25</v>
      </c>
      <c r="CZ801" t="s">
        <v>25</v>
      </c>
      <c r="DA801" t="s">
        <v>25</v>
      </c>
      <c r="DB801" t="s">
        <v>25</v>
      </c>
      <c r="DC801" t="s">
        <v>25</v>
      </c>
      <c r="DD801" t="s">
        <v>25</v>
      </c>
      <c r="DE801" t="s">
        <v>25</v>
      </c>
      <c r="DF801" t="s">
        <v>25</v>
      </c>
      <c r="DG801" t="s">
        <v>25</v>
      </c>
      <c r="DH801" t="s">
        <v>25</v>
      </c>
      <c r="DI801" t="s">
        <v>25</v>
      </c>
      <c r="DJ801" s="76">
        <v>4.9000004306435599E-2</v>
      </c>
      <c r="DK801" s="73">
        <v>1148</v>
      </c>
      <c r="DL801" s="73">
        <v>471</v>
      </c>
      <c r="DM801" s="73">
        <v>677</v>
      </c>
      <c r="DQ801" s="65" t="s">
        <v>126</v>
      </c>
      <c r="DR801" t="s">
        <v>2916</v>
      </c>
      <c r="DU801"/>
      <c r="DZ801" s="73">
        <v>708</v>
      </c>
      <c r="EA801" s="73">
        <v>0</v>
      </c>
      <c r="EB801" s="73">
        <v>708</v>
      </c>
      <c r="EC801" s="65" t="s">
        <v>126</v>
      </c>
    </row>
    <row r="802" spans="1:133" ht="12" customHeight="1" x14ac:dyDescent="0.2">
      <c r="A802" t="s">
        <v>2938</v>
      </c>
      <c r="B802" t="s">
        <v>2946</v>
      </c>
      <c r="C802" t="str">
        <f t="shared" si="38"/>
        <v>Full</v>
      </c>
      <c r="E802" s="65">
        <v>6758</v>
      </c>
      <c r="F802" t="s">
        <v>2648</v>
      </c>
      <c r="G802" s="71" t="s">
        <v>3951</v>
      </c>
      <c r="H802" s="67">
        <v>0.18400000035762801</v>
      </c>
      <c r="I802" s="65">
        <v>527876</v>
      </c>
      <c r="J802" s="65">
        <v>171066</v>
      </c>
      <c r="L802" s="65" t="s">
        <v>2649</v>
      </c>
      <c r="M802" s="65" t="s">
        <v>172</v>
      </c>
      <c r="N802" s="69">
        <v>43075</v>
      </c>
      <c r="R802" s="65" t="s">
        <v>28</v>
      </c>
      <c r="U802" t="s">
        <v>2650</v>
      </c>
      <c r="V802" t="s">
        <v>3743</v>
      </c>
      <c r="W802" s="65" t="s">
        <v>29</v>
      </c>
      <c r="X802" s="65" t="s">
        <v>29</v>
      </c>
      <c r="Y802" s="65" t="s">
        <v>69</v>
      </c>
      <c r="AD802" s="65" t="s">
        <v>173</v>
      </c>
      <c r="AE802" s="65" t="s">
        <v>24</v>
      </c>
      <c r="AJ802" s="73">
        <v>117</v>
      </c>
      <c r="AO802" s="73">
        <v>117</v>
      </c>
      <c r="AP802" s="73">
        <v>141</v>
      </c>
      <c r="AS802" s="73">
        <v>141</v>
      </c>
      <c r="AV802" s="73">
        <v>141</v>
      </c>
      <c r="AX802" s="73">
        <v>555</v>
      </c>
      <c r="AY802" s="73">
        <v>555</v>
      </c>
      <c r="BL802" s="73">
        <v>530</v>
      </c>
      <c r="BN802" s="73">
        <v>530</v>
      </c>
      <c r="BO802" s="185" t="s">
        <v>126</v>
      </c>
      <c r="BP802" s="185" t="s">
        <v>126</v>
      </c>
      <c r="BQ802" s="185" t="s">
        <v>126</v>
      </c>
      <c r="BR802" s="73">
        <v>117</v>
      </c>
      <c r="BW802" s="73">
        <v>117</v>
      </c>
      <c r="BX802" s="73">
        <v>141</v>
      </c>
      <c r="BY802" s="185" t="s">
        <v>3794</v>
      </c>
      <c r="CD802" s="73">
        <v>141</v>
      </c>
      <c r="CG802" s="73">
        <v>-530</v>
      </c>
      <c r="CH802" s="73">
        <v>555</v>
      </c>
      <c r="CI802" s="73">
        <v>25</v>
      </c>
      <c r="CJ802" t="s">
        <v>31</v>
      </c>
      <c r="CK802" t="s">
        <v>25</v>
      </c>
      <c r="CL802" t="s">
        <v>25</v>
      </c>
      <c r="CM802" t="s">
        <v>25</v>
      </c>
      <c r="CN802" t="s">
        <v>25</v>
      </c>
      <c r="CO802" t="s">
        <v>31</v>
      </c>
      <c r="CP802" t="s">
        <v>25</v>
      </c>
      <c r="CQ802" t="s">
        <v>25</v>
      </c>
      <c r="CR802" t="s">
        <v>25</v>
      </c>
      <c r="CS802" t="s">
        <v>25</v>
      </c>
      <c r="CT802" t="s">
        <v>25</v>
      </c>
      <c r="CU802" t="s">
        <v>25</v>
      </c>
      <c r="CV802" t="s">
        <v>49</v>
      </c>
      <c r="CW802" t="s">
        <v>25</v>
      </c>
      <c r="CX802" t="s">
        <v>25</v>
      </c>
      <c r="CY802" t="s">
        <v>25</v>
      </c>
      <c r="CZ802" t="s">
        <v>25</v>
      </c>
      <c r="DA802" t="s">
        <v>25</v>
      </c>
      <c r="DB802" t="s">
        <v>25</v>
      </c>
      <c r="DC802" t="s">
        <v>25</v>
      </c>
      <c r="DD802" t="s">
        <v>25</v>
      </c>
      <c r="DE802" t="s">
        <v>25</v>
      </c>
      <c r="DF802" t="s">
        <v>25</v>
      </c>
      <c r="DG802" t="s">
        <v>25</v>
      </c>
      <c r="DH802" t="s">
        <v>41</v>
      </c>
      <c r="DI802" t="s">
        <v>25</v>
      </c>
      <c r="DJ802" s="76">
        <v>7.6999999582768014E-2</v>
      </c>
      <c r="DK802" s="73">
        <v>813</v>
      </c>
      <c r="DL802" s="73">
        <v>530</v>
      </c>
      <c r="DM802" s="73">
        <v>283</v>
      </c>
      <c r="DU802"/>
      <c r="DV802" s="65" t="s">
        <v>126</v>
      </c>
      <c r="DW802" t="s">
        <v>150</v>
      </c>
      <c r="DZ802" s="73">
        <v>822</v>
      </c>
      <c r="EA802" s="73">
        <v>0</v>
      </c>
      <c r="EB802" s="73">
        <v>822</v>
      </c>
      <c r="EC802" s="65" t="s">
        <v>126</v>
      </c>
    </row>
    <row r="803" spans="1:133" ht="12" customHeight="1" x14ac:dyDescent="0.2">
      <c r="A803" t="s">
        <v>2938</v>
      </c>
      <c r="B803" t="s">
        <v>2945</v>
      </c>
      <c r="C803" t="str">
        <f t="shared" si="38"/>
        <v>Pending Legal Agreement</v>
      </c>
      <c r="E803" s="65">
        <v>6759</v>
      </c>
      <c r="F803" t="s">
        <v>2651</v>
      </c>
      <c r="G803" s="71" t="s">
        <v>3947</v>
      </c>
      <c r="H803" s="67">
        <v>0.14599999785423301</v>
      </c>
      <c r="I803" s="65">
        <v>528871</v>
      </c>
      <c r="J803" s="65">
        <v>176673</v>
      </c>
      <c r="L803" s="65" t="s">
        <v>2652</v>
      </c>
      <c r="M803" s="65" t="s">
        <v>228</v>
      </c>
      <c r="N803" s="69">
        <v>43131</v>
      </c>
      <c r="Q803" s="69">
        <v>43277</v>
      </c>
      <c r="R803" s="65" t="s">
        <v>28</v>
      </c>
      <c r="U803" t="s">
        <v>2653</v>
      </c>
      <c r="V803" t="s">
        <v>3744</v>
      </c>
      <c r="W803" s="65" t="s">
        <v>29</v>
      </c>
      <c r="X803" s="65" t="s">
        <v>29</v>
      </c>
      <c r="Y803" s="65" t="s">
        <v>69</v>
      </c>
      <c r="AD803" s="65" t="s">
        <v>173</v>
      </c>
      <c r="AE803" s="65" t="s">
        <v>24</v>
      </c>
      <c r="AP803" s="73">
        <v>7668</v>
      </c>
      <c r="AR803" s="73">
        <v>1956</v>
      </c>
      <c r="AS803" s="73">
        <v>9624</v>
      </c>
      <c r="AV803" s="73">
        <v>9624</v>
      </c>
      <c r="BF803" s="73">
        <v>598</v>
      </c>
      <c r="BH803" s="73">
        <v>407</v>
      </c>
      <c r="BK803" s="73">
        <v>1005</v>
      </c>
      <c r="BO803" s="185" t="s">
        <v>3794</v>
      </c>
      <c r="BP803" s="185" t="s">
        <v>126</v>
      </c>
      <c r="BQ803" s="185" t="s">
        <v>3794</v>
      </c>
      <c r="BW803" s="73"/>
      <c r="BX803" s="73">
        <v>7070</v>
      </c>
      <c r="BY803" s="185" t="s">
        <v>3794</v>
      </c>
      <c r="CA803" s="73">
        <v>1549</v>
      </c>
      <c r="CD803" s="73">
        <v>8619</v>
      </c>
      <c r="CJ803" t="s">
        <v>25</v>
      </c>
      <c r="CK803" t="s">
        <v>25</v>
      </c>
      <c r="CL803" t="s">
        <v>25</v>
      </c>
      <c r="CM803" t="s">
        <v>25</v>
      </c>
      <c r="CN803" t="s">
        <v>25</v>
      </c>
      <c r="CO803" t="s">
        <v>72</v>
      </c>
      <c r="CP803" t="s">
        <v>25</v>
      </c>
      <c r="CQ803" t="s">
        <v>51</v>
      </c>
      <c r="CR803" t="s">
        <v>25</v>
      </c>
      <c r="CS803" t="s">
        <v>25</v>
      </c>
      <c r="CT803" t="s">
        <v>25</v>
      </c>
      <c r="CU803" t="s">
        <v>25</v>
      </c>
      <c r="CV803" t="s">
        <v>25</v>
      </c>
      <c r="CW803" t="s">
        <v>25</v>
      </c>
      <c r="CX803" t="s">
        <v>25</v>
      </c>
      <c r="CY803" t="s">
        <v>25</v>
      </c>
      <c r="CZ803" t="s">
        <v>25</v>
      </c>
      <c r="DA803" t="s">
        <v>25</v>
      </c>
      <c r="DB803" t="s">
        <v>49</v>
      </c>
      <c r="DC803" t="s">
        <v>25</v>
      </c>
      <c r="DD803" t="s">
        <v>51</v>
      </c>
      <c r="DE803" t="s">
        <v>25</v>
      </c>
      <c r="DF803" t="s">
        <v>25</v>
      </c>
      <c r="DG803" t="s">
        <v>25</v>
      </c>
      <c r="DH803" t="s">
        <v>25</v>
      </c>
      <c r="DI803" t="s">
        <v>25</v>
      </c>
      <c r="DJ803" s="76">
        <v>0.14599999785423301</v>
      </c>
      <c r="DK803" s="73">
        <v>10327</v>
      </c>
      <c r="DL803" s="73">
        <v>1005</v>
      </c>
      <c r="DM803" s="73">
        <v>9322</v>
      </c>
      <c r="DO803" s="65" t="s">
        <v>126</v>
      </c>
      <c r="DP803" t="s">
        <v>74</v>
      </c>
      <c r="DU803" s="65" t="s">
        <v>126</v>
      </c>
      <c r="DZ803" s="73">
        <v>0</v>
      </c>
      <c r="EA803" s="73">
        <v>0</v>
      </c>
      <c r="EB803" s="73">
        <v>0</v>
      </c>
    </row>
    <row r="804" spans="1:133" ht="12" customHeight="1" x14ac:dyDescent="0.2">
      <c r="A804" t="s">
        <v>2937</v>
      </c>
      <c r="B804" t="s">
        <v>2946</v>
      </c>
      <c r="C804" t="str">
        <f t="shared" si="38"/>
        <v>Full</v>
      </c>
      <c r="E804" s="65">
        <v>6761</v>
      </c>
      <c r="F804" t="s">
        <v>2654</v>
      </c>
      <c r="G804" s="71" t="s">
        <v>3943</v>
      </c>
      <c r="H804" s="67">
        <v>9.9999997764825804E-3</v>
      </c>
      <c r="I804" s="65">
        <v>526171</v>
      </c>
      <c r="J804" s="65">
        <v>175460</v>
      </c>
      <c r="L804" s="65" t="s">
        <v>2655</v>
      </c>
      <c r="M804" s="65" t="s">
        <v>27</v>
      </c>
      <c r="N804" s="69">
        <v>43077</v>
      </c>
      <c r="O804" s="69">
        <v>43147</v>
      </c>
      <c r="P804" s="65" t="s">
        <v>126</v>
      </c>
      <c r="R804" s="65" t="s">
        <v>28</v>
      </c>
      <c r="U804" t="s">
        <v>2656</v>
      </c>
      <c r="V804" t="s">
        <v>3745</v>
      </c>
      <c r="W804" s="65" t="s">
        <v>21</v>
      </c>
      <c r="X804" s="65" t="s">
        <v>21</v>
      </c>
      <c r="Y804" s="65" t="s">
        <v>69</v>
      </c>
      <c r="AD804" s="65" t="s">
        <v>23</v>
      </c>
      <c r="AE804" s="65" t="s">
        <v>24</v>
      </c>
      <c r="AP804" s="73">
        <v>66</v>
      </c>
      <c r="AS804" s="73">
        <v>66</v>
      </c>
      <c r="AV804" s="73">
        <v>66</v>
      </c>
      <c r="AX804" s="73">
        <v>65</v>
      </c>
      <c r="AY804" s="73">
        <v>65</v>
      </c>
      <c r="BM804" s="73">
        <v>131</v>
      </c>
      <c r="BN804" s="73">
        <v>131</v>
      </c>
      <c r="BO804" s="185" t="s">
        <v>3794</v>
      </c>
      <c r="BP804" s="185" t="s">
        <v>126</v>
      </c>
      <c r="BQ804" s="185" t="s">
        <v>126</v>
      </c>
      <c r="BW804" s="73"/>
      <c r="BX804" s="73">
        <v>66</v>
      </c>
      <c r="BY804" s="185" t="s">
        <v>3794</v>
      </c>
      <c r="CD804" s="73">
        <v>66</v>
      </c>
      <c r="CH804" s="73">
        <v>-66</v>
      </c>
      <c r="CI804" s="73">
        <v>-66</v>
      </c>
      <c r="CJ804" t="s">
        <v>25</v>
      </c>
      <c r="CK804" t="s">
        <v>25</v>
      </c>
      <c r="CL804" t="s">
        <v>25</v>
      </c>
      <c r="CM804" t="s">
        <v>25</v>
      </c>
      <c r="CN804" t="s">
        <v>25</v>
      </c>
      <c r="CO804" t="s">
        <v>31</v>
      </c>
      <c r="CP804" t="s">
        <v>25</v>
      </c>
      <c r="CQ804" t="s">
        <v>25</v>
      </c>
      <c r="CR804" t="s">
        <v>25</v>
      </c>
      <c r="CS804" t="s">
        <v>25</v>
      </c>
      <c r="CT804" t="s">
        <v>25</v>
      </c>
      <c r="CU804" t="s">
        <v>25</v>
      </c>
      <c r="CV804" t="s">
        <v>49</v>
      </c>
      <c r="CW804" t="s">
        <v>25</v>
      </c>
      <c r="CX804" t="s">
        <v>25</v>
      </c>
      <c r="CY804" t="s">
        <v>25</v>
      </c>
      <c r="CZ804" t="s">
        <v>25</v>
      </c>
      <c r="DA804" t="s">
        <v>25</v>
      </c>
      <c r="DB804" t="s">
        <v>25</v>
      </c>
      <c r="DC804" t="s">
        <v>25</v>
      </c>
      <c r="DD804" t="s">
        <v>25</v>
      </c>
      <c r="DE804" t="s">
        <v>25</v>
      </c>
      <c r="DF804" t="s">
        <v>25</v>
      </c>
      <c r="DG804" t="s">
        <v>25</v>
      </c>
      <c r="DH804" t="s">
        <v>25</v>
      </c>
      <c r="DI804" t="s">
        <v>49</v>
      </c>
      <c r="DJ804" s="76">
        <v>9.9999997764825804E-3</v>
      </c>
      <c r="DK804" s="73">
        <v>131</v>
      </c>
      <c r="DL804" s="73">
        <v>131</v>
      </c>
      <c r="DM804" s="73">
        <v>0</v>
      </c>
      <c r="DN804" s="65" t="s">
        <v>126</v>
      </c>
      <c r="DU804"/>
      <c r="DZ804" s="73">
        <v>0</v>
      </c>
      <c r="EA804" s="73">
        <v>0</v>
      </c>
      <c r="EB804" s="73">
        <v>0</v>
      </c>
    </row>
    <row r="805" spans="1:133" ht="12" customHeight="1" x14ac:dyDescent="0.2">
      <c r="A805" t="s">
        <v>2935</v>
      </c>
      <c r="B805" t="s">
        <v>2946</v>
      </c>
      <c r="C805" t="str">
        <f t="shared" si="38"/>
        <v>Full</v>
      </c>
      <c r="E805" s="65">
        <v>6763</v>
      </c>
      <c r="F805" t="s">
        <v>2657</v>
      </c>
      <c r="G805" s="71" t="s">
        <v>3946</v>
      </c>
      <c r="H805" s="67">
        <v>1.09999999403954E-2</v>
      </c>
      <c r="I805" s="65">
        <v>524349</v>
      </c>
      <c r="J805" s="65">
        <v>175321</v>
      </c>
      <c r="L805" s="65" t="s">
        <v>2658</v>
      </c>
      <c r="M805" s="65" t="s">
        <v>27</v>
      </c>
      <c r="N805" s="69">
        <v>43083</v>
      </c>
      <c r="O805" s="69">
        <v>43172</v>
      </c>
      <c r="P805" s="65" t="s">
        <v>126</v>
      </c>
      <c r="R805" s="65" t="s">
        <v>28</v>
      </c>
      <c r="U805" t="s">
        <v>2659</v>
      </c>
      <c r="V805" t="s">
        <v>3746</v>
      </c>
      <c r="W805" s="65" t="s">
        <v>21</v>
      </c>
      <c r="X805" s="65" t="s">
        <v>21</v>
      </c>
      <c r="Y805" s="65" t="s">
        <v>30</v>
      </c>
      <c r="AA805" s="69">
        <v>43190</v>
      </c>
      <c r="AD805" s="65" t="s">
        <v>23</v>
      </c>
      <c r="AE805" s="65" t="s">
        <v>24</v>
      </c>
      <c r="AH805" s="69">
        <f t="shared" si="36"/>
        <v>43190</v>
      </c>
      <c r="AJ805" s="73">
        <v>46</v>
      </c>
      <c r="AO805" s="73">
        <v>46</v>
      </c>
      <c r="AW805" s="73">
        <v>118</v>
      </c>
      <c r="AY805" s="73">
        <v>118</v>
      </c>
      <c r="AZ805" s="73">
        <v>164</v>
      </c>
      <c r="BE805" s="73">
        <v>164</v>
      </c>
      <c r="BO805" s="185" t="s">
        <v>126</v>
      </c>
      <c r="BP805" s="185" t="s">
        <v>3794</v>
      </c>
      <c r="BQ805" s="185" t="s">
        <v>126</v>
      </c>
      <c r="BR805" s="73">
        <v>-118</v>
      </c>
      <c r="BW805" s="73">
        <v>-118</v>
      </c>
      <c r="BY805" s="185" t="s">
        <v>3794</v>
      </c>
      <c r="CG805" s="73">
        <v>118</v>
      </c>
      <c r="CI805" s="73">
        <v>118</v>
      </c>
      <c r="CJ805" t="s">
        <v>31</v>
      </c>
      <c r="CK805" t="s">
        <v>25</v>
      </c>
      <c r="CL805" t="s">
        <v>25</v>
      </c>
      <c r="CM805" t="s">
        <v>25</v>
      </c>
      <c r="CN805" t="s">
        <v>25</v>
      </c>
      <c r="CO805" t="s">
        <v>25</v>
      </c>
      <c r="CP805" t="s">
        <v>25</v>
      </c>
      <c r="CQ805" t="s">
        <v>25</v>
      </c>
      <c r="CR805" t="s">
        <v>25</v>
      </c>
      <c r="CS805" t="s">
        <v>25</v>
      </c>
      <c r="CT805" t="s">
        <v>25</v>
      </c>
      <c r="CU805" t="s">
        <v>60</v>
      </c>
      <c r="CV805" t="s">
        <v>25</v>
      </c>
      <c r="CW805" t="s">
        <v>47</v>
      </c>
      <c r="CX805" t="s">
        <v>25</v>
      </c>
      <c r="CY805" t="s">
        <v>25</v>
      </c>
      <c r="CZ805" t="s">
        <v>25</v>
      </c>
      <c r="DA805" t="s">
        <v>25</v>
      </c>
      <c r="DB805" t="s">
        <v>25</v>
      </c>
      <c r="DC805" t="s">
        <v>25</v>
      </c>
      <c r="DD805" t="s">
        <v>25</v>
      </c>
      <c r="DE805" t="s">
        <v>25</v>
      </c>
      <c r="DF805" t="s">
        <v>25</v>
      </c>
      <c r="DG805" t="s">
        <v>25</v>
      </c>
      <c r="DH805" t="s">
        <v>25</v>
      </c>
      <c r="DI805" t="s">
        <v>25</v>
      </c>
      <c r="DJ805" s="76">
        <v>1.09999999403954E-2</v>
      </c>
      <c r="DK805" s="73">
        <v>164</v>
      </c>
      <c r="DL805" s="73">
        <v>164</v>
      </c>
      <c r="DM805" s="73">
        <v>0</v>
      </c>
      <c r="DU805"/>
      <c r="DZ805" s="73">
        <v>0</v>
      </c>
      <c r="EA805" s="73">
        <v>0</v>
      </c>
      <c r="EB805" s="73">
        <v>0</v>
      </c>
    </row>
    <row r="806" spans="1:133" ht="12" customHeight="1" x14ac:dyDescent="0.2">
      <c r="A806" t="s">
        <v>2938</v>
      </c>
      <c r="B806" t="s">
        <v>2946</v>
      </c>
      <c r="C806" t="str">
        <f t="shared" si="38"/>
        <v>Full</v>
      </c>
      <c r="E806" s="65">
        <v>6764</v>
      </c>
      <c r="F806" t="s">
        <v>2660</v>
      </c>
      <c r="G806" s="71" t="s">
        <v>3939</v>
      </c>
      <c r="H806" s="67">
        <v>2.9999999329447701E-2</v>
      </c>
      <c r="I806" s="65">
        <v>524365</v>
      </c>
      <c r="J806" s="65">
        <v>173954</v>
      </c>
      <c r="L806" s="65" t="s">
        <v>2661</v>
      </c>
      <c r="M806" s="65" t="s">
        <v>172</v>
      </c>
      <c r="N806" s="69">
        <v>43097</v>
      </c>
      <c r="R806" s="65" t="s">
        <v>28</v>
      </c>
      <c r="U806" t="s">
        <v>2662</v>
      </c>
      <c r="V806" t="s">
        <v>3747</v>
      </c>
      <c r="W806" s="65" t="s">
        <v>29</v>
      </c>
      <c r="X806" s="65" t="s">
        <v>29</v>
      </c>
      <c r="Y806" s="65" t="s">
        <v>69</v>
      </c>
      <c r="AD806" s="65" t="s">
        <v>173</v>
      </c>
      <c r="AE806" s="65" t="s">
        <v>24</v>
      </c>
      <c r="BO806" s="185" t="s">
        <v>3794</v>
      </c>
      <c r="BP806" s="185" t="s">
        <v>3794</v>
      </c>
      <c r="BQ806" s="185" t="s">
        <v>3794</v>
      </c>
      <c r="BW806" s="73"/>
      <c r="BY806" s="185" t="s">
        <v>3794</v>
      </c>
      <c r="CJ806" t="s">
        <v>25</v>
      </c>
      <c r="CK806" t="s">
        <v>25</v>
      </c>
      <c r="CL806" t="s">
        <v>25</v>
      </c>
      <c r="CM806" t="s">
        <v>25</v>
      </c>
      <c r="CN806" t="s">
        <v>25</v>
      </c>
      <c r="CO806" t="s">
        <v>25</v>
      </c>
      <c r="CP806" t="s">
        <v>25</v>
      </c>
      <c r="CQ806" t="s">
        <v>25</v>
      </c>
      <c r="CR806" t="s">
        <v>25</v>
      </c>
      <c r="CS806" t="s">
        <v>25</v>
      </c>
      <c r="CT806" t="s">
        <v>25</v>
      </c>
      <c r="CU806" t="s">
        <v>25</v>
      </c>
      <c r="CV806" t="s">
        <v>25</v>
      </c>
      <c r="CW806" t="s">
        <v>25</v>
      </c>
      <c r="CX806" t="s">
        <v>25</v>
      </c>
      <c r="CY806" t="s">
        <v>25</v>
      </c>
      <c r="CZ806" t="s">
        <v>25</v>
      </c>
      <c r="DA806" t="s">
        <v>25</v>
      </c>
      <c r="DB806" t="s">
        <v>25</v>
      </c>
      <c r="DC806" t="s">
        <v>25</v>
      </c>
      <c r="DD806" t="s">
        <v>25</v>
      </c>
      <c r="DE806" t="s">
        <v>25</v>
      </c>
      <c r="DF806" t="s">
        <v>25</v>
      </c>
      <c r="DG806" t="s">
        <v>25</v>
      </c>
      <c r="DH806" t="s">
        <v>25</v>
      </c>
      <c r="DI806" t="s">
        <v>25</v>
      </c>
      <c r="DJ806" s="76">
        <v>0</v>
      </c>
      <c r="DK806" s="73">
        <v>0</v>
      </c>
      <c r="DL806" s="73">
        <v>293</v>
      </c>
      <c r="DM806" s="73">
        <v>-293</v>
      </c>
      <c r="DU806"/>
      <c r="DZ806" s="73">
        <v>291</v>
      </c>
      <c r="EA806" s="73">
        <v>0</v>
      </c>
      <c r="EB806" s="73">
        <v>291</v>
      </c>
      <c r="EC806" s="65" t="s">
        <v>126</v>
      </c>
    </row>
    <row r="807" spans="1:133" ht="12" customHeight="1" x14ac:dyDescent="0.2">
      <c r="A807" t="s">
        <v>2938</v>
      </c>
      <c r="B807" t="s">
        <v>2946</v>
      </c>
      <c r="C807" t="str">
        <f t="shared" si="38"/>
        <v>Full</v>
      </c>
      <c r="E807" s="65">
        <v>6765</v>
      </c>
      <c r="F807" t="s">
        <v>2663</v>
      </c>
      <c r="G807" s="71" t="s">
        <v>3950</v>
      </c>
      <c r="H807" s="67">
        <v>3.70000004768372E-2</v>
      </c>
      <c r="I807" s="65">
        <v>529291</v>
      </c>
      <c r="J807" s="65">
        <v>171713</v>
      </c>
      <c r="L807" s="65" t="s">
        <v>2664</v>
      </c>
      <c r="M807" s="65" t="s">
        <v>172</v>
      </c>
      <c r="N807" s="69">
        <v>43090</v>
      </c>
      <c r="R807" s="65" t="s">
        <v>28</v>
      </c>
      <c r="U807" t="s">
        <v>2665</v>
      </c>
      <c r="V807" t="s">
        <v>3748</v>
      </c>
      <c r="W807" s="65" t="s">
        <v>29</v>
      </c>
      <c r="X807" s="65" t="s">
        <v>29</v>
      </c>
      <c r="Y807" s="65" t="s">
        <v>69</v>
      </c>
      <c r="AD807" s="65" t="s">
        <v>173</v>
      </c>
      <c r="AE807" s="65" t="s">
        <v>24</v>
      </c>
      <c r="BO807" s="185" t="s">
        <v>3794</v>
      </c>
      <c r="BP807" s="185" t="s">
        <v>3794</v>
      </c>
      <c r="BQ807" s="185" t="s">
        <v>3794</v>
      </c>
      <c r="BW807" s="73"/>
      <c r="BY807" s="185" t="s">
        <v>3794</v>
      </c>
      <c r="CJ807" t="s">
        <v>25</v>
      </c>
      <c r="CK807" t="s">
        <v>25</v>
      </c>
      <c r="CL807" t="s">
        <v>25</v>
      </c>
      <c r="CM807" t="s">
        <v>25</v>
      </c>
      <c r="CN807" t="s">
        <v>25</v>
      </c>
      <c r="CO807" t="s">
        <v>25</v>
      </c>
      <c r="CP807" t="s">
        <v>25</v>
      </c>
      <c r="CQ807" t="s">
        <v>25</v>
      </c>
      <c r="CR807" t="s">
        <v>25</v>
      </c>
      <c r="CS807" t="s">
        <v>25</v>
      </c>
      <c r="CT807" t="s">
        <v>25</v>
      </c>
      <c r="CU807" t="s">
        <v>25</v>
      </c>
      <c r="CV807" t="s">
        <v>25</v>
      </c>
      <c r="CW807" t="s">
        <v>25</v>
      </c>
      <c r="CX807" t="s">
        <v>25</v>
      </c>
      <c r="CY807" t="s">
        <v>25</v>
      </c>
      <c r="CZ807" t="s">
        <v>25</v>
      </c>
      <c r="DA807" t="s">
        <v>25</v>
      </c>
      <c r="DB807" t="s">
        <v>25</v>
      </c>
      <c r="DC807" t="s">
        <v>25</v>
      </c>
      <c r="DD807" t="s">
        <v>25</v>
      </c>
      <c r="DE807" t="s">
        <v>25</v>
      </c>
      <c r="DF807" t="s">
        <v>25</v>
      </c>
      <c r="DG807" t="s">
        <v>25</v>
      </c>
      <c r="DH807" t="s">
        <v>25</v>
      </c>
      <c r="DI807" t="s">
        <v>25</v>
      </c>
      <c r="DJ807" s="76">
        <v>0</v>
      </c>
      <c r="DK807" s="73">
        <v>0</v>
      </c>
      <c r="DL807" s="73">
        <v>193</v>
      </c>
      <c r="DM807" s="73">
        <v>-193</v>
      </c>
      <c r="DU807"/>
      <c r="DZ807" s="73">
        <v>573</v>
      </c>
      <c r="EA807" s="73">
        <v>0</v>
      </c>
      <c r="EB807" s="73">
        <v>573</v>
      </c>
      <c r="EC807" s="65" t="s">
        <v>126</v>
      </c>
    </row>
    <row r="808" spans="1:133" ht="12" customHeight="1" x14ac:dyDescent="0.2">
      <c r="A808" t="s">
        <v>2938</v>
      </c>
      <c r="B808" t="s">
        <v>2945</v>
      </c>
      <c r="C808" t="str">
        <f t="shared" si="38"/>
        <v>Pending Legal Agreement</v>
      </c>
      <c r="E808" s="65">
        <v>6766</v>
      </c>
      <c r="F808" t="s">
        <v>2666</v>
      </c>
      <c r="G808" s="71" t="s">
        <v>3948</v>
      </c>
      <c r="H808" s="67">
        <v>0.326999992132187</v>
      </c>
      <c r="I808" s="65">
        <v>526808</v>
      </c>
      <c r="J808" s="65">
        <v>175510</v>
      </c>
      <c r="K808" s="65" t="s">
        <v>2001</v>
      </c>
      <c r="L808" s="65" t="s">
        <v>2667</v>
      </c>
      <c r="M808" s="65" t="s">
        <v>228</v>
      </c>
      <c r="N808" s="69">
        <v>43087</v>
      </c>
      <c r="Q808" s="69">
        <v>43181</v>
      </c>
      <c r="R808" s="65" t="s">
        <v>28</v>
      </c>
      <c r="U808" t="s">
        <v>2668</v>
      </c>
      <c r="V808" t="s">
        <v>3749</v>
      </c>
      <c r="W808" s="65" t="s">
        <v>29</v>
      </c>
      <c r="X808" s="65" t="s">
        <v>29</v>
      </c>
      <c r="Y808" s="65" t="s">
        <v>69</v>
      </c>
      <c r="AD808" s="65" t="s">
        <v>173</v>
      </c>
      <c r="AE808" s="65" t="s">
        <v>24</v>
      </c>
      <c r="AK808" s="73">
        <v>110</v>
      </c>
      <c r="AO808" s="73">
        <v>110</v>
      </c>
      <c r="AP808" s="73">
        <v>109</v>
      </c>
      <c r="AS808" s="73">
        <v>109</v>
      </c>
      <c r="AV808" s="73">
        <v>109</v>
      </c>
      <c r="AW808" s="73">
        <v>5175</v>
      </c>
      <c r="AX808" s="73">
        <v>54</v>
      </c>
      <c r="AY808" s="73">
        <v>5229</v>
      </c>
      <c r="BO808" s="185" t="s">
        <v>126</v>
      </c>
      <c r="BP808" s="185" t="s">
        <v>126</v>
      </c>
      <c r="BQ808" s="185" t="s">
        <v>126</v>
      </c>
      <c r="BS808" s="73">
        <v>110</v>
      </c>
      <c r="BW808" s="73">
        <v>110</v>
      </c>
      <c r="BX808" s="73">
        <v>109</v>
      </c>
      <c r="BY808" s="185" t="s">
        <v>3794</v>
      </c>
      <c r="CD808" s="73">
        <v>109</v>
      </c>
      <c r="CG808" s="73">
        <v>5175</v>
      </c>
      <c r="CH808" s="73">
        <v>54</v>
      </c>
      <c r="CI808" s="73">
        <v>5229</v>
      </c>
      <c r="CJ808" t="s">
        <v>25</v>
      </c>
      <c r="CK808" t="s">
        <v>31</v>
      </c>
      <c r="CL808" t="s">
        <v>25</v>
      </c>
      <c r="CM808" t="s">
        <v>25</v>
      </c>
      <c r="CN808" t="s">
        <v>25</v>
      </c>
      <c r="CO808" t="s">
        <v>31</v>
      </c>
      <c r="CP808" t="s">
        <v>25</v>
      </c>
      <c r="CQ808" t="s">
        <v>25</v>
      </c>
      <c r="CR808" t="s">
        <v>25</v>
      </c>
      <c r="CS808" t="s">
        <v>25</v>
      </c>
      <c r="CT808" t="s">
        <v>25</v>
      </c>
      <c r="CU808" t="s">
        <v>60</v>
      </c>
      <c r="CV808" t="s">
        <v>31</v>
      </c>
      <c r="CW808" t="s">
        <v>25</v>
      </c>
      <c r="CX808" t="s">
        <v>25</v>
      </c>
      <c r="CY808" t="s">
        <v>25</v>
      </c>
      <c r="CZ808" t="s">
        <v>25</v>
      </c>
      <c r="DA808" t="s">
        <v>25</v>
      </c>
      <c r="DB808" t="s">
        <v>25</v>
      </c>
      <c r="DC808" t="s">
        <v>25</v>
      </c>
      <c r="DD808" t="s">
        <v>25</v>
      </c>
      <c r="DE808" t="s">
        <v>25</v>
      </c>
      <c r="DF808" t="s">
        <v>25</v>
      </c>
      <c r="DG808" t="s">
        <v>25</v>
      </c>
      <c r="DH808" t="s">
        <v>25</v>
      </c>
      <c r="DI808" t="s">
        <v>25</v>
      </c>
      <c r="DJ808" s="76">
        <v>7.2999999999999995E-2</v>
      </c>
      <c r="DK808" s="73">
        <v>5448</v>
      </c>
      <c r="DL808" s="73">
        <v>167</v>
      </c>
      <c r="DM808" s="73">
        <v>5281</v>
      </c>
      <c r="DU808"/>
      <c r="DZ808" s="73">
        <v>17634</v>
      </c>
      <c r="EA808" s="73">
        <v>0</v>
      </c>
      <c r="EB808" s="73">
        <v>17634</v>
      </c>
      <c r="EC808" s="65" t="s">
        <v>126</v>
      </c>
    </row>
    <row r="809" spans="1:133" ht="12" customHeight="1" x14ac:dyDescent="0.2">
      <c r="A809" t="s">
        <v>2938</v>
      </c>
      <c r="B809" t="s">
        <v>2945</v>
      </c>
      <c r="C809" t="str">
        <f t="shared" si="38"/>
        <v>Pending Legal Agreement</v>
      </c>
      <c r="E809" s="65">
        <v>6769</v>
      </c>
      <c r="F809" t="s">
        <v>2669</v>
      </c>
      <c r="G809" s="71" t="s">
        <v>3947</v>
      </c>
      <c r="H809" s="67">
        <v>3.9999999105930301E-2</v>
      </c>
      <c r="I809" s="65">
        <v>528983</v>
      </c>
      <c r="J809" s="65">
        <v>176965</v>
      </c>
      <c r="L809" s="65" t="s">
        <v>2670</v>
      </c>
      <c r="M809" s="65" t="s">
        <v>228</v>
      </c>
      <c r="N809" s="69">
        <v>43091</v>
      </c>
      <c r="Q809" s="69">
        <v>43181</v>
      </c>
      <c r="R809" s="65" t="s">
        <v>28</v>
      </c>
      <c r="U809" t="s">
        <v>2671</v>
      </c>
      <c r="V809" t="s">
        <v>3750</v>
      </c>
      <c r="W809" s="65" t="s">
        <v>29</v>
      </c>
      <c r="X809" s="65" t="s">
        <v>29</v>
      </c>
      <c r="Y809" s="65" t="s">
        <v>69</v>
      </c>
      <c r="AD809" s="65" t="s">
        <v>173</v>
      </c>
      <c r="AE809" s="65" t="s">
        <v>24</v>
      </c>
      <c r="AP809" s="73">
        <v>3050</v>
      </c>
      <c r="AR809" s="73">
        <v>594</v>
      </c>
      <c r="AS809" s="73">
        <v>3644</v>
      </c>
      <c r="AV809" s="73">
        <v>3644</v>
      </c>
      <c r="BH809" s="73">
        <v>410</v>
      </c>
      <c r="BK809" s="73">
        <v>410</v>
      </c>
      <c r="BO809" s="185" t="s">
        <v>3794</v>
      </c>
      <c r="BP809" s="185" t="s">
        <v>126</v>
      </c>
      <c r="BQ809" s="185" t="s">
        <v>3794</v>
      </c>
      <c r="BW809" s="73"/>
      <c r="BX809" s="73">
        <v>3050</v>
      </c>
      <c r="BY809" s="185" t="s">
        <v>3794</v>
      </c>
      <c r="CA809" s="73">
        <v>184</v>
      </c>
      <c r="CD809" s="73">
        <v>3234</v>
      </c>
      <c r="CJ809" t="s">
        <v>25</v>
      </c>
      <c r="CK809" t="s">
        <v>25</v>
      </c>
      <c r="CL809" t="s">
        <v>25</v>
      </c>
      <c r="CM809" t="s">
        <v>25</v>
      </c>
      <c r="CN809" t="s">
        <v>25</v>
      </c>
      <c r="CO809" t="s">
        <v>49</v>
      </c>
      <c r="CP809" t="s">
        <v>25</v>
      </c>
      <c r="CQ809" t="s">
        <v>25</v>
      </c>
      <c r="CR809" t="s">
        <v>25</v>
      </c>
      <c r="CS809" t="s">
        <v>25</v>
      </c>
      <c r="CT809" t="s">
        <v>25</v>
      </c>
      <c r="CU809" t="s">
        <v>25</v>
      </c>
      <c r="CV809" t="s">
        <v>25</v>
      </c>
      <c r="CW809" t="s">
        <v>25</v>
      </c>
      <c r="CX809" t="s">
        <v>25</v>
      </c>
      <c r="CY809" t="s">
        <v>25</v>
      </c>
      <c r="CZ809" t="s">
        <v>25</v>
      </c>
      <c r="DA809" t="s">
        <v>25</v>
      </c>
      <c r="DB809" t="s">
        <v>25</v>
      </c>
      <c r="DC809" t="s">
        <v>25</v>
      </c>
      <c r="DD809" t="s">
        <v>47</v>
      </c>
      <c r="DE809" t="s">
        <v>25</v>
      </c>
      <c r="DF809" t="s">
        <v>25</v>
      </c>
      <c r="DG809" t="s">
        <v>25</v>
      </c>
      <c r="DH809" t="s">
        <v>25</v>
      </c>
      <c r="DI809" t="s">
        <v>25</v>
      </c>
      <c r="DJ809" s="76">
        <v>3.9999999105930301E-2</v>
      </c>
      <c r="DK809" s="73">
        <v>4152</v>
      </c>
      <c r="DL809" s="73">
        <v>410</v>
      </c>
      <c r="DM809" s="73">
        <v>3742</v>
      </c>
      <c r="DO809" s="65" t="s">
        <v>126</v>
      </c>
      <c r="DP809" t="s">
        <v>74</v>
      </c>
      <c r="DU809" s="65" t="s">
        <v>126</v>
      </c>
      <c r="DZ809" s="73">
        <v>0</v>
      </c>
      <c r="EA809" s="73">
        <v>0</v>
      </c>
      <c r="EB809" s="73">
        <v>0</v>
      </c>
    </row>
    <row r="810" spans="1:133" ht="12" customHeight="1" x14ac:dyDescent="0.2">
      <c r="A810" t="s">
        <v>2937</v>
      </c>
      <c r="B810" t="s">
        <v>2946</v>
      </c>
      <c r="C810" t="str">
        <f t="shared" si="38"/>
        <v>Full</v>
      </c>
      <c r="E810" s="65">
        <v>6775</v>
      </c>
      <c r="F810" t="s">
        <v>2672</v>
      </c>
      <c r="G810" s="71" t="s">
        <v>3945</v>
      </c>
      <c r="I810" s="65">
        <v>528543</v>
      </c>
      <c r="J810" s="65">
        <v>175748</v>
      </c>
      <c r="L810" s="65" t="s">
        <v>2673</v>
      </c>
      <c r="M810" s="65" t="s">
        <v>27</v>
      </c>
      <c r="N810" s="69">
        <v>43089</v>
      </c>
      <c r="O810" s="69">
        <v>43145</v>
      </c>
      <c r="P810" s="65" t="s">
        <v>126</v>
      </c>
      <c r="R810" s="65" t="s">
        <v>28</v>
      </c>
      <c r="U810" t="s">
        <v>2674</v>
      </c>
      <c r="V810" t="s">
        <v>3751</v>
      </c>
      <c r="W810" s="65" t="s">
        <v>34</v>
      </c>
      <c r="X810" s="65" t="s">
        <v>29</v>
      </c>
      <c r="Y810" s="65" t="s">
        <v>59</v>
      </c>
      <c r="AD810" s="65" t="s">
        <v>23</v>
      </c>
      <c r="AE810" s="65" t="s">
        <v>24</v>
      </c>
      <c r="AL810" s="73">
        <v>279</v>
      </c>
      <c r="AO810" s="73">
        <v>279</v>
      </c>
      <c r="BC810" s="73">
        <v>352</v>
      </c>
      <c r="BE810" s="73">
        <v>352</v>
      </c>
      <c r="BO810" s="185" t="s">
        <v>126</v>
      </c>
      <c r="BP810" s="185" t="s">
        <v>3794</v>
      </c>
      <c r="BQ810" s="185" t="s">
        <v>3794</v>
      </c>
      <c r="BT810" s="73">
        <v>279</v>
      </c>
      <c r="BU810" s="73">
        <v>-352</v>
      </c>
      <c r="BW810" s="73">
        <v>-73</v>
      </c>
      <c r="BY810" s="185" t="s">
        <v>3794</v>
      </c>
      <c r="CJ810" t="s">
        <v>25</v>
      </c>
      <c r="CK810" t="s">
        <v>25</v>
      </c>
      <c r="CL810" t="s">
        <v>38</v>
      </c>
      <c r="CM810" t="s">
        <v>25</v>
      </c>
      <c r="CN810" t="s">
        <v>25</v>
      </c>
      <c r="CO810" t="s">
        <v>25</v>
      </c>
      <c r="CP810" t="s">
        <v>25</v>
      </c>
      <c r="CQ810" t="s">
        <v>25</v>
      </c>
      <c r="CR810" t="s">
        <v>25</v>
      </c>
      <c r="CS810" t="s">
        <v>25</v>
      </c>
      <c r="CT810" t="s">
        <v>25</v>
      </c>
      <c r="CU810" t="s">
        <v>25</v>
      </c>
      <c r="CV810" t="s">
        <v>25</v>
      </c>
      <c r="CW810" t="s">
        <v>25</v>
      </c>
      <c r="CX810" t="s">
        <v>25</v>
      </c>
      <c r="CY810" t="s">
        <v>25</v>
      </c>
      <c r="CZ810" t="s">
        <v>47</v>
      </c>
      <c r="DA810" t="s">
        <v>25</v>
      </c>
      <c r="DB810" t="s">
        <v>25</v>
      </c>
      <c r="DC810" t="s">
        <v>25</v>
      </c>
      <c r="DD810" t="s">
        <v>25</v>
      </c>
      <c r="DE810" t="s">
        <v>25</v>
      </c>
      <c r="DF810" t="s">
        <v>25</v>
      </c>
      <c r="DG810" t="s">
        <v>25</v>
      </c>
      <c r="DH810" t="s">
        <v>25</v>
      </c>
      <c r="DI810" t="s">
        <v>25</v>
      </c>
      <c r="DJ810" s="76">
        <v>1.0999999999999999E-2</v>
      </c>
      <c r="DK810" s="73">
        <v>279</v>
      </c>
      <c r="DL810" s="73">
        <v>352</v>
      </c>
      <c r="DM810" s="73">
        <v>-73</v>
      </c>
      <c r="DU810"/>
      <c r="DX810" s="65" t="s">
        <v>126</v>
      </c>
      <c r="DY810" t="s">
        <v>2908</v>
      </c>
      <c r="DZ810" s="73">
        <v>283</v>
      </c>
      <c r="EA810" s="73">
        <v>173</v>
      </c>
      <c r="EB810" s="73">
        <v>110</v>
      </c>
      <c r="EC810" s="65" t="s">
        <v>126</v>
      </c>
    </row>
    <row r="811" spans="1:133" ht="12" customHeight="1" x14ac:dyDescent="0.2">
      <c r="A811" t="s">
        <v>2936</v>
      </c>
      <c r="B811" t="s">
        <v>2946</v>
      </c>
      <c r="C811" t="str">
        <f t="shared" si="38"/>
        <v>Full</v>
      </c>
      <c r="D811" t="s">
        <v>2943</v>
      </c>
      <c r="E811" s="65">
        <v>6777</v>
      </c>
      <c r="F811" t="s">
        <v>2675</v>
      </c>
      <c r="G811" s="71" t="s">
        <v>3946</v>
      </c>
      <c r="H811" s="67">
        <v>3.0999999493360499E-2</v>
      </c>
      <c r="I811" s="65">
        <v>523750</v>
      </c>
      <c r="J811" s="65">
        <v>175138</v>
      </c>
      <c r="L811" s="65" t="s">
        <v>2676</v>
      </c>
      <c r="M811" s="65" t="s">
        <v>27</v>
      </c>
      <c r="N811" s="69">
        <v>43103</v>
      </c>
      <c r="O811" s="69">
        <v>43159</v>
      </c>
      <c r="P811" s="65" t="s">
        <v>126</v>
      </c>
      <c r="R811" s="65" t="s">
        <v>28</v>
      </c>
      <c r="U811" t="s">
        <v>2677</v>
      </c>
      <c r="V811" t="s">
        <v>3752</v>
      </c>
      <c r="W811" s="65" t="s">
        <v>21</v>
      </c>
      <c r="X811" s="65" t="s">
        <v>21</v>
      </c>
      <c r="Y811" s="65" t="s">
        <v>35</v>
      </c>
      <c r="AB811" s="69">
        <v>43190</v>
      </c>
      <c r="AC811" s="69">
        <v>43190</v>
      </c>
      <c r="AD811" s="65" t="s">
        <v>23</v>
      </c>
      <c r="AE811" s="65" t="s">
        <v>24</v>
      </c>
      <c r="AI811" s="69">
        <f t="shared" si="37"/>
        <v>43190</v>
      </c>
      <c r="AZ811" s="73">
        <v>64</v>
      </c>
      <c r="BE811" s="73">
        <v>64</v>
      </c>
      <c r="BO811" s="185" t="s">
        <v>126</v>
      </c>
      <c r="BP811" s="185" t="s">
        <v>3794</v>
      </c>
      <c r="BQ811" s="185" t="s">
        <v>3794</v>
      </c>
      <c r="BR811" s="73">
        <v>-64</v>
      </c>
      <c r="BW811" s="73">
        <v>-64</v>
      </c>
      <c r="BY811" s="185" t="s">
        <v>3794</v>
      </c>
      <c r="CJ811" t="s">
        <v>25</v>
      </c>
      <c r="CK811" t="s">
        <v>25</v>
      </c>
      <c r="CL811" t="s">
        <v>25</v>
      </c>
      <c r="CM811" t="s">
        <v>25</v>
      </c>
      <c r="CN811" t="s">
        <v>25</v>
      </c>
      <c r="CO811" t="s">
        <v>25</v>
      </c>
      <c r="CP811" t="s">
        <v>25</v>
      </c>
      <c r="CQ811" t="s">
        <v>25</v>
      </c>
      <c r="CR811" t="s">
        <v>25</v>
      </c>
      <c r="CS811" t="s">
        <v>25</v>
      </c>
      <c r="CT811" t="s">
        <v>25</v>
      </c>
      <c r="CU811" t="s">
        <v>25</v>
      </c>
      <c r="CV811" t="s">
        <v>25</v>
      </c>
      <c r="CW811" t="s">
        <v>47</v>
      </c>
      <c r="CX811" t="s">
        <v>25</v>
      </c>
      <c r="CY811" t="s">
        <v>25</v>
      </c>
      <c r="CZ811" t="s">
        <v>25</v>
      </c>
      <c r="DA811" t="s">
        <v>25</v>
      </c>
      <c r="DB811" t="s">
        <v>25</v>
      </c>
      <c r="DC811" t="s">
        <v>25</v>
      </c>
      <c r="DD811" t="s">
        <v>25</v>
      </c>
      <c r="DE811" t="s">
        <v>25</v>
      </c>
      <c r="DF811" t="s">
        <v>25</v>
      </c>
      <c r="DG811" t="s">
        <v>25</v>
      </c>
      <c r="DH811" t="s">
        <v>25</v>
      </c>
      <c r="DI811" t="s">
        <v>25</v>
      </c>
      <c r="DJ811" s="76">
        <v>3.0999999493360499E-2</v>
      </c>
      <c r="DK811" s="73">
        <v>53</v>
      </c>
      <c r="DL811" s="73">
        <v>64</v>
      </c>
      <c r="DM811" s="73">
        <v>-11</v>
      </c>
      <c r="DU811"/>
      <c r="DV811" s="65" t="s">
        <v>126</v>
      </c>
      <c r="DW811" t="s">
        <v>131</v>
      </c>
      <c r="DZ811" s="73">
        <v>0</v>
      </c>
      <c r="EA811" s="73">
        <v>0</v>
      </c>
      <c r="EB811" s="73">
        <v>0</v>
      </c>
    </row>
    <row r="812" spans="1:133" ht="12" customHeight="1" x14ac:dyDescent="0.2">
      <c r="A812" t="s">
        <v>2937</v>
      </c>
      <c r="B812" t="s">
        <v>2946</v>
      </c>
      <c r="C812" t="str">
        <f t="shared" si="38"/>
        <v>Full</v>
      </c>
      <c r="E812" s="65">
        <v>6783</v>
      </c>
      <c r="F812" t="s">
        <v>2678</v>
      </c>
      <c r="G812" s="71" t="s">
        <v>3942</v>
      </c>
      <c r="H812" s="67">
        <v>8.0000003799796104E-3</v>
      </c>
      <c r="I812" s="65">
        <v>527377</v>
      </c>
      <c r="J812" s="65">
        <v>175261</v>
      </c>
      <c r="L812" s="65" t="s">
        <v>2679</v>
      </c>
      <c r="M812" s="65" t="s">
        <v>27</v>
      </c>
      <c r="N812" s="69">
        <v>43105</v>
      </c>
      <c r="O812" s="69">
        <v>43188</v>
      </c>
      <c r="P812" s="65" t="s">
        <v>126</v>
      </c>
      <c r="R812" s="65" t="s">
        <v>28</v>
      </c>
      <c r="U812" t="s">
        <v>2680</v>
      </c>
      <c r="V812" t="s">
        <v>3753</v>
      </c>
      <c r="W812" s="65" t="s">
        <v>34</v>
      </c>
      <c r="X812" s="65" t="s">
        <v>29</v>
      </c>
      <c r="Y812" s="65" t="s">
        <v>59</v>
      </c>
      <c r="AD812" s="65" t="s">
        <v>23</v>
      </c>
      <c r="AE812" s="65" t="s">
        <v>24</v>
      </c>
      <c r="AJ812" s="73">
        <v>215</v>
      </c>
      <c r="AO812" s="73">
        <v>215</v>
      </c>
      <c r="AZ812" s="73">
        <v>343</v>
      </c>
      <c r="BE812" s="73">
        <v>343</v>
      </c>
      <c r="BO812" s="185" t="s">
        <v>126</v>
      </c>
      <c r="BP812" s="185" t="s">
        <v>3794</v>
      </c>
      <c r="BQ812" s="185" t="s">
        <v>3794</v>
      </c>
      <c r="BR812" s="73">
        <v>-128</v>
      </c>
      <c r="BW812" s="73">
        <v>-128</v>
      </c>
      <c r="BY812" s="185" t="s">
        <v>3794</v>
      </c>
      <c r="CJ812" t="s">
        <v>26</v>
      </c>
      <c r="CK812" t="s">
        <v>25</v>
      </c>
      <c r="CL812" t="s">
        <v>25</v>
      </c>
      <c r="CM812" t="s">
        <v>25</v>
      </c>
      <c r="CN812" t="s">
        <v>25</v>
      </c>
      <c r="CO812" t="s">
        <v>25</v>
      </c>
      <c r="CP812" t="s">
        <v>25</v>
      </c>
      <c r="CQ812" t="s">
        <v>25</v>
      </c>
      <c r="CR812" t="s">
        <v>25</v>
      </c>
      <c r="CS812" t="s">
        <v>25</v>
      </c>
      <c r="CT812" t="s">
        <v>25</v>
      </c>
      <c r="CU812" t="s">
        <v>25</v>
      </c>
      <c r="CV812" t="s">
        <v>25</v>
      </c>
      <c r="CW812" t="s">
        <v>26</v>
      </c>
      <c r="CX812" t="s">
        <v>25</v>
      </c>
      <c r="CY812" t="s">
        <v>25</v>
      </c>
      <c r="CZ812" t="s">
        <v>25</v>
      </c>
      <c r="DA812" t="s">
        <v>25</v>
      </c>
      <c r="DB812" t="s">
        <v>25</v>
      </c>
      <c r="DC812" t="s">
        <v>25</v>
      </c>
      <c r="DD812" t="s">
        <v>25</v>
      </c>
      <c r="DE812" t="s">
        <v>25</v>
      </c>
      <c r="DF812" t="s">
        <v>25</v>
      </c>
      <c r="DG812" t="s">
        <v>25</v>
      </c>
      <c r="DH812" t="s">
        <v>25</v>
      </c>
      <c r="DI812" t="s">
        <v>25</v>
      </c>
      <c r="DJ812" s="76">
        <v>4.0000001899898E-3</v>
      </c>
      <c r="DK812" s="73">
        <v>215</v>
      </c>
      <c r="DL812" s="73">
        <v>343</v>
      </c>
      <c r="DM812" s="73">
        <v>-128</v>
      </c>
      <c r="DU812"/>
      <c r="DV812" s="65" t="s">
        <v>126</v>
      </c>
      <c r="DW812" t="s">
        <v>132</v>
      </c>
      <c r="DZ812" s="73">
        <v>182</v>
      </c>
      <c r="EA812" s="73">
        <v>0</v>
      </c>
      <c r="EB812" s="73">
        <v>182</v>
      </c>
      <c r="EC812" s="65" t="s">
        <v>126</v>
      </c>
    </row>
    <row r="813" spans="1:133" ht="12" customHeight="1" x14ac:dyDescent="0.2">
      <c r="A813" t="s">
        <v>2936</v>
      </c>
      <c r="B813" t="s">
        <v>2949</v>
      </c>
      <c r="C813" t="str">
        <f t="shared" si="38"/>
        <v>Certificate of Lawful Development</v>
      </c>
      <c r="D813" t="s">
        <v>2943</v>
      </c>
      <c r="E813" s="65">
        <v>6787</v>
      </c>
      <c r="F813" t="s">
        <v>2681</v>
      </c>
      <c r="G813" s="71" t="s">
        <v>3950</v>
      </c>
      <c r="H813" s="67">
        <v>4.9999998882412902E-3</v>
      </c>
      <c r="I813" s="65">
        <v>529457</v>
      </c>
      <c r="J813" s="65">
        <v>170756</v>
      </c>
      <c r="L813" s="65" t="s">
        <v>2682</v>
      </c>
      <c r="M813" s="65" t="s">
        <v>430</v>
      </c>
      <c r="N813" s="69">
        <v>43116</v>
      </c>
      <c r="O813" s="69">
        <v>43171</v>
      </c>
      <c r="P813" s="65" t="s">
        <v>126</v>
      </c>
      <c r="R813" s="65" t="s">
        <v>28</v>
      </c>
      <c r="U813" t="s">
        <v>2683</v>
      </c>
      <c r="V813" t="s">
        <v>3754</v>
      </c>
      <c r="W813" s="65" t="s">
        <v>21</v>
      </c>
      <c r="X813" s="65" t="s">
        <v>21</v>
      </c>
      <c r="Y813" s="65" t="s">
        <v>35</v>
      </c>
      <c r="AB813" s="69">
        <v>43171</v>
      </c>
      <c r="AC813" s="69">
        <v>43171</v>
      </c>
      <c r="AD813" s="65" t="s">
        <v>23</v>
      </c>
      <c r="AE813" s="65" t="s">
        <v>24</v>
      </c>
      <c r="AI813" s="69">
        <f t="shared" si="37"/>
        <v>43171</v>
      </c>
      <c r="AZ813" s="73">
        <v>23</v>
      </c>
      <c r="BE813" s="73">
        <v>23</v>
      </c>
      <c r="BO813" s="185" t="s">
        <v>126</v>
      </c>
      <c r="BP813" s="185" t="s">
        <v>3794</v>
      </c>
      <c r="BQ813" s="185" t="s">
        <v>3794</v>
      </c>
      <c r="BR813" s="73">
        <v>-23</v>
      </c>
      <c r="BW813" s="73">
        <v>-23</v>
      </c>
      <c r="BY813" s="185" t="s">
        <v>3794</v>
      </c>
      <c r="CJ813" t="s">
        <v>25</v>
      </c>
      <c r="CK813" t="s">
        <v>25</v>
      </c>
      <c r="CL813" t="s">
        <v>25</v>
      </c>
      <c r="CM813" t="s">
        <v>25</v>
      </c>
      <c r="CN813" t="s">
        <v>25</v>
      </c>
      <c r="CO813" t="s">
        <v>25</v>
      </c>
      <c r="CP813" t="s">
        <v>25</v>
      </c>
      <c r="CQ813" t="s">
        <v>25</v>
      </c>
      <c r="CR813" t="s">
        <v>25</v>
      </c>
      <c r="CS813" t="s">
        <v>25</v>
      </c>
      <c r="CT813" t="s">
        <v>25</v>
      </c>
      <c r="CU813" t="s">
        <v>25</v>
      </c>
      <c r="CV813" t="s">
        <v>25</v>
      </c>
      <c r="CW813" t="s">
        <v>31</v>
      </c>
      <c r="CX813" t="s">
        <v>25</v>
      </c>
      <c r="CY813" t="s">
        <v>25</v>
      </c>
      <c r="CZ813" t="s">
        <v>25</v>
      </c>
      <c r="DA813" t="s">
        <v>25</v>
      </c>
      <c r="DB813" t="s">
        <v>25</v>
      </c>
      <c r="DC813" t="s">
        <v>25</v>
      </c>
      <c r="DD813" t="s">
        <v>25</v>
      </c>
      <c r="DE813" t="s">
        <v>25</v>
      </c>
      <c r="DF813" t="s">
        <v>25</v>
      </c>
      <c r="DG813" t="s">
        <v>25</v>
      </c>
      <c r="DH813" t="s">
        <v>25</v>
      </c>
      <c r="DI813" t="s">
        <v>25</v>
      </c>
      <c r="DJ813" s="76">
        <v>2.9999997932463902E-3</v>
      </c>
      <c r="DK813" s="73">
        <v>0</v>
      </c>
      <c r="DL813" s="73">
        <v>23</v>
      </c>
      <c r="DM813" s="73">
        <v>-23</v>
      </c>
      <c r="DU813"/>
      <c r="DZ813" s="73">
        <v>23</v>
      </c>
      <c r="EA813" s="73">
        <v>0</v>
      </c>
      <c r="EB813" s="73">
        <v>23</v>
      </c>
      <c r="EC813" s="65" t="s">
        <v>126</v>
      </c>
    </row>
    <row r="814" spans="1:133" ht="12" customHeight="1" x14ac:dyDescent="0.2">
      <c r="A814" t="s">
        <v>2937</v>
      </c>
      <c r="B814" t="s">
        <v>2946</v>
      </c>
      <c r="C814" t="str">
        <f t="shared" si="38"/>
        <v>Full</v>
      </c>
      <c r="E814" s="65">
        <v>6792</v>
      </c>
      <c r="F814" t="s">
        <v>2684</v>
      </c>
      <c r="G814" s="71" t="s">
        <v>149</v>
      </c>
      <c r="H814" s="67">
        <v>6.8000003695488004E-2</v>
      </c>
      <c r="I814" s="65">
        <v>528718</v>
      </c>
      <c r="J814" s="65">
        <v>173146</v>
      </c>
      <c r="L814" s="65" t="s">
        <v>2685</v>
      </c>
      <c r="M814" s="65" t="s">
        <v>27</v>
      </c>
      <c r="N814" s="69">
        <v>43118</v>
      </c>
      <c r="O814" s="69">
        <v>43174</v>
      </c>
      <c r="P814" s="65" t="s">
        <v>126</v>
      </c>
      <c r="R814" s="65" t="s">
        <v>28</v>
      </c>
      <c r="U814" t="s">
        <v>2686</v>
      </c>
      <c r="V814" t="s">
        <v>3755</v>
      </c>
      <c r="W814" s="65" t="s">
        <v>21</v>
      </c>
      <c r="X814" s="65" t="s">
        <v>21</v>
      </c>
      <c r="Y814" s="65" t="s">
        <v>69</v>
      </c>
      <c r="AD814" s="65" t="s">
        <v>23</v>
      </c>
      <c r="AE814" s="65" t="s">
        <v>24</v>
      </c>
      <c r="AM814" s="73">
        <v>2056</v>
      </c>
      <c r="AO814" s="73">
        <v>2056</v>
      </c>
      <c r="BC814" s="73">
        <v>2047</v>
      </c>
      <c r="BE814" s="73">
        <v>2047</v>
      </c>
      <c r="BO814" s="185" t="s">
        <v>126</v>
      </c>
      <c r="BP814" s="185" t="s">
        <v>3794</v>
      </c>
      <c r="BQ814" s="185" t="s">
        <v>3794</v>
      </c>
      <c r="BU814" s="73">
        <v>9</v>
      </c>
      <c r="BW814" s="73">
        <v>9</v>
      </c>
      <c r="BY814" s="185" t="s">
        <v>3794</v>
      </c>
      <c r="CJ814" t="s">
        <v>25</v>
      </c>
      <c r="CK814" t="s">
        <v>25</v>
      </c>
      <c r="CL814" t="s">
        <v>25</v>
      </c>
      <c r="CM814" t="s">
        <v>71</v>
      </c>
      <c r="CN814" t="s">
        <v>25</v>
      </c>
      <c r="CO814" t="s">
        <v>25</v>
      </c>
      <c r="CP814" t="s">
        <v>25</v>
      </c>
      <c r="CQ814" t="s">
        <v>25</v>
      </c>
      <c r="CR814" t="s">
        <v>25</v>
      </c>
      <c r="CS814" t="s">
        <v>25</v>
      </c>
      <c r="CT814" t="s">
        <v>25</v>
      </c>
      <c r="CU814" t="s">
        <v>25</v>
      </c>
      <c r="CV814" t="s">
        <v>25</v>
      </c>
      <c r="CW814" t="s">
        <v>25</v>
      </c>
      <c r="CX814" t="s">
        <v>25</v>
      </c>
      <c r="CY814" t="s">
        <v>25</v>
      </c>
      <c r="CZ814" t="s">
        <v>71</v>
      </c>
      <c r="DA814" t="s">
        <v>25</v>
      </c>
      <c r="DB814" t="s">
        <v>25</v>
      </c>
      <c r="DC814" t="s">
        <v>25</v>
      </c>
      <c r="DD814" t="s">
        <v>25</v>
      </c>
      <c r="DE814" t="s">
        <v>25</v>
      </c>
      <c r="DF814" t="s">
        <v>25</v>
      </c>
      <c r="DG814" t="s">
        <v>25</v>
      </c>
      <c r="DH814" t="s">
        <v>25</v>
      </c>
      <c r="DI814" t="s">
        <v>25</v>
      </c>
      <c r="DJ814" s="76">
        <v>6.8000003695488004E-2</v>
      </c>
      <c r="DK814" s="73">
        <v>2056</v>
      </c>
      <c r="DL814" s="73">
        <v>2047</v>
      </c>
      <c r="DM814" s="73">
        <v>9</v>
      </c>
      <c r="DU814"/>
      <c r="DV814" s="65" t="s">
        <v>126</v>
      </c>
      <c r="DW814" t="s">
        <v>149</v>
      </c>
      <c r="DZ814" s="73">
        <v>0</v>
      </c>
      <c r="EA814" s="73">
        <v>0</v>
      </c>
      <c r="EB814" s="73">
        <v>0</v>
      </c>
    </row>
    <row r="815" spans="1:133" ht="12" customHeight="1" x14ac:dyDescent="0.2">
      <c r="A815" t="s">
        <v>2938</v>
      </c>
      <c r="B815" t="s">
        <v>2946</v>
      </c>
      <c r="C815" t="str">
        <f t="shared" si="38"/>
        <v>Full</v>
      </c>
      <c r="E815" s="65">
        <v>6793</v>
      </c>
      <c r="F815" t="s">
        <v>2687</v>
      </c>
      <c r="G815" s="71" t="s">
        <v>149</v>
      </c>
      <c r="H815" s="67">
        <v>1.8999999389052401E-2</v>
      </c>
      <c r="I815" s="65">
        <v>527996</v>
      </c>
      <c r="J815" s="65">
        <v>174004</v>
      </c>
      <c r="L815" s="65" t="s">
        <v>2688</v>
      </c>
      <c r="M815" s="65" t="s">
        <v>172</v>
      </c>
      <c r="N815" s="69">
        <v>43124</v>
      </c>
      <c r="R815" s="65" t="s">
        <v>28</v>
      </c>
      <c r="U815" t="s">
        <v>2689</v>
      </c>
      <c r="V815" t="s">
        <v>3756</v>
      </c>
      <c r="W815" s="65" t="s">
        <v>39</v>
      </c>
      <c r="X815" s="65" t="s">
        <v>39</v>
      </c>
      <c r="Y815" s="65" t="s">
        <v>69</v>
      </c>
      <c r="AD815" s="65" t="s">
        <v>173</v>
      </c>
      <c r="AE815" s="65" t="s">
        <v>24</v>
      </c>
      <c r="AP815" s="73">
        <v>49</v>
      </c>
      <c r="AS815" s="73">
        <v>49</v>
      </c>
      <c r="AV815" s="73">
        <v>49</v>
      </c>
      <c r="BO815" s="185" t="s">
        <v>3794</v>
      </c>
      <c r="BP815" s="185" t="s">
        <v>126</v>
      </c>
      <c r="BQ815" s="185" t="s">
        <v>3794</v>
      </c>
      <c r="BW815" s="73"/>
      <c r="BX815" s="73">
        <v>49</v>
      </c>
      <c r="BY815" s="185" t="s">
        <v>3794</v>
      </c>
      <c r="CD815" s="73">
        <v>49</v>
      </c>
      <c r="CJ815" t="s">
        <v>25</v>
      </c>
      <c r="CK815" t="s">
        <v>25</v>
      </c>
      <c r="CL815" t="s">
        <v>25</v>
      </c>
      <c r="CM815" t="s">
        <v>25</v>
      </c>
      <c r="CN815" t="s">
        <v>25</v>
      </c>
      <c r="CO815" t="s">
        <v>72</v>
      </c>
      <c r="CP815" t="s">
        <v>25</v>
      </c>
      <c r="CQ815" t="s">
        <v>25</v>
      </c>
      <c r="CR815" t="s">
        <v>25</v>
      </c>
      <c r="CS815" t="s">
        <v>25</v>
      </c>
      <c r="CT815" t="s">
        <v>25</v>
      </c>
      <c r="CU815" t="s">
        <v>25</v>
      </c>
      <c r="CV815" t="s">
        <v>25</v>
      </c>
      <c r="CW815" t="s">
        <v>25</v>
      </c>
      <c r="CX815" t="s">
        <v>25</v>
      </c>
      <c r="CY815" t="s">
        <v>25</v>
      </c>
      <c r="CZ815" t="s">
        <v>25</v>
      </c>
      <c r="DA815" t="s">
        <v>25</v>
      </c>
      <c r="DB815" t="s">
        <v>25</v>
      </c>
      <c r="DC815" t="s">
        <v>25</v>
      </c>
      <c r="DD815" t="s">
        <v>25</v>
      </c>
      <c r="DE815" t="s">
        <v>25</v>
      </c>
      <c r="DF815" t="s">
        <v>25</v>
      </c>
      <c r="DG815" t="s">
        <v>25</v>
      </c>
      <c r="DH815" t="s">
        <v>25</v>
      </c>
      <c r="DI815" t="s">
        <v>25</v>
      </c>
      <c r="DJ815" s="76">
        <v>1.8999999389052401E-2</v>
      </c>
      <c r="DK815" s="73">
        <v>49</v>
      </c>
      <c r="DL815" s="73">
        <v>0</v>
      </c>
      <c r="DM815" s="73">
        <v>49</v>
      </c>
      <c r="DU815"/>
      <c r="DZ815" s="73">
        <v>0</v>
      </c>
      <c r="EA815" s="73">
        <v>0</v>
      </c>
      <c r="EB815" s="73">
        <v>0</v>
      </c>
    </row>
    <row r="816" spans="1:133" ht="12" customHeight="1" x14ac:dyDescent="0.2">
      <c r="A816" t="s">
        <v>2937</v>
      </c>
      <c r="B816" t="s">
        <v>2946</v>
      </c>
      <c r="C816" t="str">
        <f t="shared" si="38"/>
        <v>Full</v>
      </c>
      <c r="E816" s="65">
        <v>6797</v>
      </c>
      <c r="F816" t="s">
        <v>2690</v>
      </c>
      <c r="G816" s="71" t="s">
        <v>3953</v>
      </c>
      <c r="H816" s="67">
        <v>3.5000000149011598E-2</v>
      </c>
      <c r="I816" s="65">
        <v>527076</v>
      </c>
      <c r="J816" s="65">
        <v>173817</v>
      </c>
      <c r="L816" s="65" t="s">
        <v>2691</v>
      </c>
      <c r="M816" s="65" t="s">
        <v>27</v>
      </c>
      <c r="N816" s="69">
        <v>43119</v>
      </c>
      <c r="O816" s="69">
        <v>43172</v>
      </c>
      <c r="P816" s="65" t="s">
        <v>126</v>
      </c>
      <c r="R816" s="65" t="s">
        <v>28</v>
      </c>
      <c r="U816" t="s">
        <v>2692</v>
      </c>
      <c r="V816" t="s">
        <v>3757</v>
      </c>
      <c r="W816" s="65" t="s">
        <v>21</v>
      </c>
      <c r="X816" s="65" t="s">
        <v>21</v>
      </c>
      <c r="Y816" s="65" t="s">
        <v>69</v>
      </c>
      <c r="AD816" s="65" t="s">
        <v>23</v>
      </c>
      <c r="AE816" s="65" t="s">
        <v>24</v>
      </c>
      <c r="BL816" s="73">
        <v>55</v>
      </c>
      <c r="BN816" s="73">
        <v>55</v>
      </c>
      <c r="BO816" s="185" t="s">
        <v>3794</v>
      </c>
      <c r="BP816" s="185" t="s">
        <v>3794</v>
      </c>
      <c r="BQ816" s="185" t="s">
        <v>126</v>
      </c>
      <c r="BW816" s="73"/>
      <c r="BY816" s="185" t="s">
        <v>3794</v>
      </c>
      <c r="CG816" s="73">
        <v>-55</v>
      </c>
      <c r="CI816" s="73">
        <v>-55</v>
      </c>
      <c r="CJ816" t="s">
        <v>25</v>
      </c>
      <c r="CK816" t="s">
        <v>25</v>
      </c>
      <c r="CL816" t="s">
        <v>25</v>
      </c>
      <c r="CM816" t="s">
        <v>25</v>
      </c>
      <c r="CN816" t="s">
        <v>25</v>
      </c>
      <c r="CO816" t="s">
        <v>25</v>
      </c>
      <c r="CP816" t="s">
        <v>25</v>
      </c>
      <c r="CQ816" t="s">
        <v>25</v>
      </c>
      <c r="CR816" t="s">
        <v>25</v>
      </c>
      <c r="CS816" t="s">
        <v>25</v>
      </c>
      <c r="CT816" t="s">
        <v>25</v>
      </c>
      <c r="CU816" t="s">
        <v>25</v>
      </c>
      <c r="CV816" t="s">
        <v>25</v>
      </c>
      <c r="CW816" t="s">
        <v>25</v>
      </c>
      <c r="CX816" t="s">
        <v>25</v>
      </c>
      <c r="CY816" t="s">
        <v>25</v>
      </c>
      <c r="CZ816" t="s">
        <v>25</v>
      </c>
      <c r="DA816" t="s">
        <v>25</v>
      </c>
      <c r="DB816" t="s">
        <v>25</v>
      </c>
      <c r="DC816" t="s">
        <v>25</v>
      </c>
      <c r="DD816" t="s">
        <v>25</v>
      </c>
      <c r="DE816" t="s">
        <v>25</v>
      </c>
      <c r="DF816" t="s">
        <v>25</v>
      </c>
      <c r="DG816" t="s">
        <v>25</v>
      </c>
      <c r="DH816" t="s">
        <v>47</v>
      </c>
      <c r="DI816" t="s">
        <v>25</v>
      </c>
      <c r="DJ816" s="76">
        <v>2.7999999932944757E-2</v>
      </c>
      <c r="DK816" s="73">
        <v>0</v>
      </c>
      <c r="DL816" s="73">
        <v>55</v>
      </c>
      <c r="DM816" s="73">
        <v>-55</v>
      </c>
      <c r="DU816"/>
      <c r="DZ816" s="73">
        <v>55</v>
      </c>
      <c r="EA816" s="73">
        <v>0</v>
      </c>
      <c r="EB816" s="73">
        <v>55</v>
      </c>
      <c r="EC816" s="65" t="s">
        <v>126</v>
      </c>
    </row>
    <row r="817" spans="1:133" ht="12" customHeight="1" x14ac:dyDescent="0.2">
      <c r="A817" t="s">
        <v>2937</v>
      </c>
      <c r="B817" t="s">
        <v>2948</v>
      </c>
      <c r="C817" t="str">
        <f t="shared" si="38"/>
        <v>Prior Approval</v>
      </c>
      <c r="E817" s="65">
        <v>6802</v>
      </c>
      <c r="F817" t="s">
        <v>2693</v>
      </c>
      <c r="G817" s="71" t="s">
        <v>3942</v>
      </c>
      <c r="H817" s="67">
        <v>2.0000000949949E-3</v>
      </c>
      <c r="I817" s="65">
        <v>527680</v>
      </c>
      <c r="J817" s="65">
        <v>174924</v>
      </c>
      <c r="L817" s="65" t="s">
        <v>2694</v>
      </c>
      <c r="M817" s="65" t="s">
        <v>243</v>
      </c>
      <c r="N817" s="69">
        <v>43133</v>
      </c>
      <c r="O817" s="69">
        <v>43185</v>
      </c>
      <c r="P817" s="65" t="s">
        <v>126</v>
      </c>
      <c r="R817" s="65" t="s">
        <v>28</v>
      </c>
      <c r="U817" t="s">
        <v>2695</v>
      </c>
      <c r="V817" t="s">
        <v>3758</v>
      </c>
      <c r="W817" s="65" t="s">
        <v>21</v>
      </c>
      <c r="X817" s="65" t="s">
        <v>21</v>
      </c>
      <c r="Y817" s="65" t="s">
        <v>69</v>
      </c>
      <c r="AD817" s="65" t="s">
        <v>23</v>
      </c>
      <c r="AE817" s="65" t="s">
        <v>24</v>
      </c>
      <c r="BJ817" s="73">
        <v>18</v>
      </c>
      <c r="BK817" s="73">
        <v>18</v>
      </c>
      <c r="BO817" s="185" t="s">
        <v>3794</v>
      </c>
      <c r="BP817" s="185" t="s">
        <v>126</v>
      </c>
      <c r="BQ817" s="185" t="s">
        <v>3794</v>
      </c>
      <c r="BW817" s="73"/>
      <c r="BY817" s="185" t="s">
        <v>3794</v>
      </c>
      <c r="CC817" s="73">
        <v>-18</v>
      </c>
      <c r="CD817" s="73">
        <v>-18</v>
      </c>
      <c r="CE817" s="65" t="s">
        <v>126</v>
      </c>
      <c r="CJ817" t="s">
        <v>25</v>
      </c>
      <c r="CK817" t="s">
        <v>25</v>
      </c>
      <c r="CL817" t="s">
        <v>25</v>
      </c>
      <c r="CM817" t="s">
        <v>25</v>
      </c>
      <c r="CN817" t="s">
        <v>25</v>
      </c>
      <c r="CO817" t="s">
        <v>25</v>
      </c>
      <c r="CP817" t="s">
        <v>25</v>
      </c>
      <c r="CQ817" t="s">
        <v>25</v>
      </c>
      <c r="CR817" t="s">
        <v>25</v>
      </c>
      <c r="CS817" t="s">
        <v>25</v>
      </c>
      <c r="CT817" t="s">
        <v>25</v>
      </c>
      <c r="CU817" t="s">
        <v>25</v>
      </c>
      <c r="CV817" t="s">
        <v>25</v>
      </c>
      <c r="CW817" t="s">
        <v>25</v>
      </c>
      <c r="CX817" t="s">
        <v>25</v>
      </c>
      <c r="CY817" t="s">
        <v>25</v>
      </c>
      <c r="CZ817" t="s">
        <v>25</v>
      </c>
      <c r="DA817" t="s">
        <v>25</v>
      </c>
      <c r="DB817" t="s">
        <v>25</v>
      </c>
      <c r="DC817" t="s">
        <v>25</v>
      </c>
      <c r="DD817" t="s">
        <v>25</v>
      </c>
      <c r="DE817" t="s">
        <v>25</v>
      </c>
      <c r="DF817" t="s">
        <v>53</v>
      </c>
      <c r="DG817" t="s">
        <v>25</v>
      </c>
      <c r="DH817" t="s">
        <v>25</v>
      </c>
      <c r="DI817" t="s">
        <v>25</v>
      </c>
      <c r="DJ817" s="76">
        <v>0</v>
      </c>
      <c r="DK817" s="73">
        <v>0</v>
      </c>
      <c r="DL817" s="73">
        <v>18</v>
      </c>
      <c r="DM817" s="73">
        <v>-18</v>
      </c>
      <c r="DU817"/>
      <c r="DZ817" s="73">
        <v>18</v>
      </c>
      <c r="EA817" s="73">
        <v>0</v>
      </c>
      <c r="EB817" s="73">
        <v>18</v>
      </c>
      <c r="EC817" s="65" t="s">
        <v>126</v>
      </c>
    </row>
    <row r="818" spans="1:133" ht="12" customHeight="1" x14ac:dyDescent="0.2">
      <c r="A818" t="s">
        <v>2938</v>
      </c>
      <c r="B818" t="s">
        <v>2946</v>
      </c>
      <c r="C818" t="str">
        <f t="shared" si="38"/>
        <v>Full</v>
      </c>
      <c r="E818" s="65">
        <v>6803</v>
      </c>
      <c r="F818" t="s">
        <v>2696</v>
      </c>
      <c r="G818" s="71" t="s">
        <v>3943</v>
      </c>
      <c r="H818" s="67">
        <v>3.4000001847744002E-2</v>
      </c>
      <c r="I818" s="65">
        <v>526216</v>
      </c>
      <c r="J818" s="65">
        <v>175398</v>
      </c>
      <c r="L818" s="65" t="s">
        <v>2697</v>
      </c>
      <c r="M818" s="65" t="s">
        <v>172</v>
      </c>
      <c r="N818" s="69">
        <v>43130</v>
      </c>
      <c r="R818" s="65" t="s">
        <v>28</v>
      </c>
      <c r="U818" t="s">
        <v>2698</v>
      </c>
      <c r="V818" t="s">
        <v>3759</v>
      </c>
      <c r="W818" s="65" t="s">
        <v>21</v>
      </c>
      <c r="X818" s="65" t="s">
        <v>21</v>
      </c>
      <c r="Y818" s="65" t="s">
        <v>69</v>
      </c>
      <c r="AD818" s="65" t="s">
        <v>173</v>
      </c>
      <c r="AE818" s="65" t="s">
        <v>24</v>
      </c>
      <c r="AJ818" s="73">
        <v>58</v>
      </c>
      <c r="AK818" s="73">
        <v>58</v>
      </c>
      <c r="AL818" s="73">
        <v>58</v>
      </c>
      <c r="AO818" s="73">
        <v>174</v>
      </c>
      <c r="AP818" s="73">
        <v>58</v>
      </c>
      <c r="AS818" s="73">
        <v>58</v>
      </c>
      <c r="AV818" s="73">
        <v>58</v>
      </c>
      <c r="AX818" s="73">
        <v>57</v>
      </c>
      <c r="AY818" s="73">
        <v>57</v>
      </c>
      <c r="AZ818" s="73">
        <v>72</v>
      </c>
      <c r="BA818" s="73">
        <v>72</v>
      </c>
      <c r="BB818" s="73">
        <v>73</v>
      </c>
      <c r="BE818" s="73">
        <v>217</v>
      </c>
      <c r="BF818" s="73">
        <v>72</v>
      </c>
      <c r="BK818" s="73">
        <v>72</v>
      </c>
      <c r="BO818" s="185" t="s">
        <v>126</v>
      </c>
      <c r="BP818" s="185" t="s">
        <v>126</v>
      </c>
      <c r="BQ818" s="185" t="s">
        <v>126</v>
      </c>
      <c r="BR818" s="73">
        <v>-14</v>
      </c>
      <c r="BS818" s="73">
        <v>-14</v>
      </c>
      <c r="BT818" s="73">
        <v>-15</v>
      </c>
      <c r="BW818" s="73">
        <v>-43</v>
      </c>
      <c r="BX818" s="73">
        <v>-14</v>
      </c>
      <c r="BY818" s="185" t="s">
        <v>126</v>
      </c>
      <c r="CD818" s="73">
        <v>-14</v>
      </c>
      <c r="CE818" s="65" t="s">
        <v>126</v>
      </c>
      <c r="CH818" s="73">
        <v>57</v>
      </c>
      <c r="CI818" s="73">
        <v>57</v>
      </c>
      <c r="CJ818" t="s">
        <v>31</v>
      </c>
      <c r="CK818" t="s">
        <v>31</v>
      </c>
      <c r="CL818" t="s">
        <v>38</v>
      </c>
      <c r="CM818" t="s">
        <v>25</v>
      </c>
      <c r="CN818" t="s">
        <v>25</v>
      </c>
      <c r="CO818" t="s">
        <v>31</v>
      </c>
      <c r="CP818" t="s">
        <v>25</v>
      </c>
      <c r="CQ818" t="s">
        <v>25</v>
      </c>
      <c r="CR818" t="s">
        <v>25</v>
      </c>
      <c r="CS818" t="s">
        <v>25</v>
      </c>
      <c r="CT818" t="s">
        <v>25</v>
      </c>
      <c r="CU818" t="s">
        <v>25</v>
      </c>
      <c r="CV818" t="s">
        <v>49</v>
      </c>
      <c r="CW818" t="s">
        <v>47</v>
      </c>
      <c r="CX818" t="s">
        <v>47</v>
      </c>
      <c r="CY818" t="s">
        <v>47</v>
      </c>
      <c r="CZ818" t="s">
        <v>25</v>
      </c>
      <c r="DA818" t="s">
        <v>25</v>
      </c>
      <c r="DB818" t="s">
        <v>47</v>
      </c>
      <c r="DC818" t="s">
        <v>25</v>
      </c>
      <c r="DD818" t="s">
        <v>25</v>
      </c>
      <c r="DE818" t="s">
        <v>25</v>
      </c>
      <c r="DF818" t="s">
        <v>25</v>
      </c>
      <c r="DG818" t="s">
        <v>25</v>
      </c>
      <c r="DH818" t="s">
        <v>25</v>
      </c>
      <c r="DI818" t="s">
        <v>25</v>
      </c>
      <c r="DJ818" s="76">
        <v>3.4000001847744002E-2</v>
      </c>
      <c r="DK818" s="73">
        <v>289</v>
      </c>
      <c r="DL818" s="73">
        <v>289</v>
      </c>
      <c r="DM818" s="73">
        <v>0</v>
      </c>
      <c r="DN818" s="65" t="s">
        <v>126</v>
      </c>
      <c r="DU818"/>
      <c r="DZ818" s="73">
        <v>0</v>
      </c>
      <c r="EA818" s="73">
        <v>0</v>
      </c>
      <c r="EB818" s="73">
        <v>0</v>
      </c>
    </row>
    <row r="819" spans="1:133" ht="12" customHeight="1" x14ac:dyDescent="0.2">
      <c r="A819" t="s">
        <v>2938</v>
      </c>
      <c r="B819" t="s">
        <v>2946</v>
      </c>
      <c r="C819" t="str">
        <f t="shared" si="38"/>
        <v>Full</v>
      </c>
      <c r="E819" s="65">
        <v>6804</v>
      </c>
      <c r="F819" t="s">
        <v>2699</v>
      </c>
      <c r="G819" s="71" t="s">
        <v>3946</v>
      </c>
      <c r="H819" s="67">
        <v>1.60000007599592E-2</v>
      </c>
      <c r="I819" s="65">
        <v>523594</v>
      </c>
      <c r="J819" s="65">
        <v>175801</v>
      </c>
      <c r="L819" s="65" t="s">
        <v>2700</v>
      </c>
      <c r="M819" s="65" t="s">
        <v>172</v>
      </c>
      <c r="N819" s="69">
        <v>43123</v>
      </c>
      <c r="R819" s="65" t="s">
        <v>28</v>
      </c>
      <c r="U819" t="s">
        <v>2701</v>
      </c>
      <c r="V819" t="s">
        <v>3760</v>
      </c>
      <c r="W819" s="65" t="s">
        <v>34</v>
      </c>
      <c r="X819" s="65" t="s">
        <v>29</v>
      </c>
      <c r="Y819" s="65" t="s">
        <v>69</v>
      </c>
      <c r="AD819" s="65" t="s">
        <v>173</v>
      </c>
      <c r="AE819" s="65" t="s">
        <v>24</v>
      </c>
      <c r="AJ819" s="73">
        <v>40</v>
      </c>
      <c r="AK819" s="73">
        <v>39</v>
      </c>
      <c r="AO819" s="73">
        <v>79</v>
      </c>
      <c r="AZ819" s="73">
        <v>59</v>
      </c>
      <c r="BE819" s="73">
        <v>59</v>
      </c>
      <c r="BI819" s="73">
        <v>88</v>
      </c>
      <c r="BK819" s="73">
        <v>88</v>
      </c>
      <c r="BO819" s="185" t="s">
        <v>126</v>
      </c>
      <c r="BP819" s="185" t="s">
        <v>126</v>
      </c>
      <c r="BQ819" s="185" t="s">
        <v>3794</v>
      </c>
      <c r="BR819" s="73">
        <v>-19</v>
      </c>
      <c r="BS819" s="73">
        <v>39</v>
      </c>
      <c r="BW819" s="73">
        <v>20</v>
      </c>
      <c r="BY819" s="185" t="s">
        <v>3794</v>
      </c>
      <c r="CB819" s="73">
        <v>-88</v>
      </c>
      <c r="CD819" s="73">
        <v>-88</v>
      </c>
      <c r="CE819" s="65" t="s">
        <v>126</v>
      </c>
      <c r="CJ819" t="s">
        <v>46</v>
      </c>
      <c r="CK819" t="s">
        <v>31</v>
      </c>
      <c r="CL819" t="s">
        <v>25</v>
      </c>
      <c r="CM819" t="s">
        <v>25</v>
      </c>
      <c r="CN819" t="s">
        <v>25</v>
      </c>
      <c r="CO819" t="s">
        <v>25</v>
      </c>
      <c r="CP819" t="s">
        <v>25</v>
      </c>
      <c r="CQ819" t="s">
        <v>25</v>
      </c>
      <c r="CR819" t="s">
        <v>25</v>
      </c>
      <c r="CS819" t="s">
        <v>25</v>
      </c>
      <c r="CT819" t="s">
        <v>25</v>
      </c>
      <c r="CU819" t="s">
        <v>25</v>
      </c>
      <c r="CV819" t="s">
        <v>25</v>
      </c>
      <c r="CW819" t="s">
        <v>46</v>
      </c>
      <c r="CX819" t="s">
        <v>25</v>
      </c>
      <c r="CY819" t="s">
        <v>25</v>
      </c>
      <c r="CZ819" t="s">
        <v>25</v>
      </c>
      <c r="DA819" t="s">
        <v>25</v>
      </c>
      <c r="DB819" t="s">
        <v>25</v>
      </c>
      <c r="DC819" t="s">
        <v>25</v>
      </c>
      <c r="DD819" t="s">
        <v>25</v>
      </c>
      <c r="DE819" t="s">
        <v>32</v>
      </c>
      <c r="DF819" t="s">
        <v>25</v>
      </c>
      <c r="DG819" t="s">
        <v>25</v>
      </c>
      <c r="DH819" t="s">
        <v>25</v>
      </c>
      <c r="DI819" t="s">
        <v>25</v>
      </c>
      <c r="DJ819" s="76">
        <v>5.0000003539026009E-3</v>
      </c>
      <c r="DK819" s="73">
        <v>79</v>
      </c>
      <c r="DL819" s="73">
        <v>147</v>
      </c>
      <c r="DM819" s="73">
        <v>-68</v>
      </c>
      <c r="DU819"/>
      <c r="DZ819" s="73">
        <v>220</v>
      </c>
      <c r="EA819" s="73">
        <v>122</v>
      </c>
      <c r="EB819" s="73">
        <v>98</v>
      </c>
      <c r="EC819" s="65" t="s">
        <v>126</v>
      </c>
    </row>
    <row r="820" spans="1:133" ht="12" customHeight="1" x14ac:dyDescent="0.2">
      <c r="A820" t="s">
        <v>2938</v>
      </c>
      <c r="B820" t="s">
        <v>2946</v>
      </c>
      <c r="C820" t="str">
        <f t="shared" si="38"/>
        <v>Full</v>
      </c>
      <c r="E820" s="65">
        <v>6805</v>
      </c>
      <c r="F820" t="s">
        <v>2702</v>
      </c>
      <c r="G820" s="71" t="s">
        <v>3946</v>
      </c>
      <c r="H820" s="67">
        <v>2.9999999329447701E-2</v>
      </c>
      <c r="I820" s="65">
        <v>524490</v>
      </c>
      <c r="J820" s="65">
        <v>175266</v>
      </c>
      <c r="L820" s="65" t="s">
        <v>2703</v>
      </c>
      <c r="M820" s="65" t="s">
        <v>172</v>
      </c>
      <c r="N820" s="69">
        <v>43136</v>
      </c>
      <c r="R820" s="65" t="s">
        <v>28</v>
      </c>
      <c r="U820" t="s">
        <v>2704</v>
      </c>
      <c r="V820" t="s">
        <v>3761</v>
      </c>
      <c r="W820" s="65" t="s">
        <v>34</v>
      </c>
      <c r="X820" s="65" t="s">
        <v>29</v>
      </c>
      <c r="Y820" s="65" t="s">
        <v>69</v>
      </c>
      <c r="AD820" s="65" t="s">
        <v>173</v>
      </c>
      <c r="AE820" s="65" t="s">
        <v>24</v>
      </c>
      <c r="AM820" s="73">
        <v>217</v>
      </c>
      <c r="AO820" s="73">
        <v>217</v>
      </c>
      <c r="BC820" s="73">
        <v>663</v>
      </c>
      <c r="BE820" s="73">
        <v>663</v>
      </c>
      <c r="BO820" s="185" t="s">
        <v>126</v>
      </c>
      <c r="BP820" s="185" t="s">
        <v>3794</v>
      </c>
      <c r="BQ820" s="185" t="s">
        <v>3794</v>
      </c>
      <c r="BU820" s="73">
        <v>-446</v>
      </c>
      <c r="BW820" s="73">
        <v>-446</v>
      </c>
      <c r="BY820" s="185" t="s">
        <v>3794</v>
      </c>
      <c r="CJ820" t="s">
        <v>25</v>
      </c>
      <c r="CK820" t="s">
        <v>25</v>
      </c>
      <c r="CL820" t="s">
        <v>25</v>
      </c>
      <c r="CM820" t="s">
        <v>71</v>
      </c>
      <c r="CN820" t="s">
        <v>25</v>
      </c>
      <c r="CO820" t="s">
        <v>25</v>
      </c>
      <c r="CP820" t="s">
        <v>25</v>
      </c>
      <c r="CQ820" t="s">
        <v>25</v>
      </c>
      <c r="CR820" t="s">
        <v>25</v>
      </c>
      <c r="CS820" t="s">
        <v>25</v>
      </c>
      <c r="CT820" t="s">
        <v>25</v>
      </c>
      <c r="CU820" t="s">
        <v>25</v>
      </c>
      <c r="CV820" t="s">
        <v>25</v>
      </c>
      <c r="CW820" t="s">
        <v>25</v>
      </c>
      <c r="CX820" t="s">
        <v>25</v>
      </c>
      <c r="CY820" t="s">
        <v>25</v>
      </c>
      <c r="CZ820" t="s">
        <v>71</v>
      </c>
      <c r="DA820" t="s">
        <v>25</v>
      </c>
      <c r="DB820" t="s">
        <v>25</v>
      </c>
      <c r="DC820" t="s">
        <v>25</v>
      </c>
      <c r="DD820" t="s">
        <v>25</v>
      </c>
      <c r="DE820" t="s">
        <v>25</v>
      </c>
      <c r="DF820" t="s">
        <v>25</v>
      </c>
      <c r="DG820" t="s">
        <v>25</v>
      </c>
      <c r="DH820" t="s">
        <v>25</v>
      </c>
      <c r="DI820" t="s">
        <v>25</v>
      </c>
      <c r="DJ820" s="76">
        <v>9.9999983794987028E-3</v>
      </c>
      <c r="DK820" s="73">
        <v>217</v>
      </c>
      <c r="DL820" s="73">
        <v>663</v>
      </c>
      <c r="DM820" s="73">
        <v>-446</v>
      </c>
      <c r="DU820"/>
      <c r="DZ820" s="73">
        <v>402</v>
      </c>
      <c r="EA820" s="73">
        <v>0</v>
      </c>
      <c r="EB820" s="73">
        <v>402</v>
      </c>
      <c r="EC820" s="65" t="s">
        <v>126</v>
      </c>
    </row>
    <row r="821" spans="1:133" ht="12" customHeight="1" x14ac:dyDescent="0.2">
      <c r="A821" t="s">
        <v>2937</v>
      </c>
      <c r="B821" t="s">
        <v>2946</v>
      </c>
      <c r="C821" t="str">
        <f t="shared" si="38"/>
        <v>Full</v>
      </c>
      <c r="E821" s="65">
        <v>6808</v>
      </c>
      <c r="F821" t="s">
        <v>2705</v>
      </c>
      <c r="G821" s="71" t="s">
        <v>3944</v>
      </c>
      <c r="H821" s="67">
        <v>9.9999997764825804E-3</v>
      </c>
      <c r="I821" s="65">
        <v>526942</v>
      </c>
      <c r="J821" s="65">
        <v>175151</v>
      </c>
      <c r="L821" s="65" t="s">
        <v>2706</v>
      </c>
      <c r="M821" s="65" t="s">
        <v>27</v>
      </c>
      <c r="N821" s="69">
        <v>43129</v>
      </c>
      <c r="O821" s="69">
        <v>43179</v>
      </c>
      <c r="P821" s="65" t="s">
        <v>126</v>
      </c>
      <c r="R821" s="65" t="s">
        <v>28</v>
      </c>
      <c r="U821" t="s">
        <v>2707</v>
      </c>
      <c r="V821" t="s">
        <v>3762</v>
      </c>
      <c r="W821" s="65" t="s">
        <v>34</v>
      </c>
      <c r="X821" s="65" t="s">
        <v>29</v>
      </c>
      <c r="Y821" s="65" t="s">
        <v>69</v>
      </c>
      <c r="AD821" s="65" t="s">
        <v>23</v>
      </c>
      <c r="AE821" s="65" t="s">
        <v>24</v>
      </c>
      <c r="AJ821" s="73">
        <v>16</v>
      </c>
      <c r="AK821" s="73">
        <v>16</v>
      </c>
      <c r="AO821" s="73">
        <v>32</v>
      </c>
      <c r="AP821" s="73">
        <v>15</v>
      </c>
      <c r="AS821" s="73">
        <v>15</v>
      </c>
      <c r="AV821" s="73">
        <v>15</v>
      </c>
      <c r="BA821" s="73">
        <v>64</v>
      </c>
      <c r="BE821" s="73">
        <v>64</v>
      </c>
      <c r="BO821" s="185" t="s">
        <v>126</v>
      </c>
      <c r="BP821" s="185" t="s">
        <v>126</v>
      </c>
      <c r="BQ821" s="185" t="s">
        <v>3794</v>
      </c>
      <c r="BR821" s="73">
        <v>16</v>
      </c>
      <c r="BS821" s="73">
        <v>-48</v>
      </c>
      <c r="BW821" s="73">
        <v>-32</v>
      </c>
      <c r="BX821" s="73">
        <v>15</v>
      </c>
      <c r="BY821" s="185" t="s">
        <v>3794</v>
      </c>
      <c r="CD821" s="73">
        <v>15</v>
      </c>
      <c r="CJ821" t="s">
        <v>31</v>
      </c>
      <c r="CK821" t="s">
        <v>31</v>
      </c>
      <c r="CL821" t="s">
        <v>25</v>
      </c>
      <c r="CM821" t="s">
        <v>25</v>
      </c>
      <c r="CN821" t="s">
        <v>25</v>
      </c>
      <c r="CO821" t="s">
        <v>31</v>
      </c>
      <c r="CP821" t="s">
        <v>25</v>
      </c>
      <c r="CQ821" t="s">
        <v>25</v>
      </c>
      <c r="CR821" t="s">
        <v>25</v>
      </c>
      <c r="CS821" t="s">
        <v>25</v>
      </c>
      <c r="CT821" t="s">
        <v>25</v>
      </c>
      <c r="CU821" t="s">
        <v>25</v>
      </c>
      <c r="CV821" t="s">
        <v>25</v>
      </c>
      <c r="CW821" t="s">
        <v>25</v>
      </c>
      <c r="CX821" t="s">
        <v>47</v>
      </c>
      <c r="CY821" t="s">
        <v>25</v>
      </c>
      <c r="CZ821" t="s">
        <v>25</v>
      </c>
      <c r="DA821" t="s">
        <v>25</v>
      </c>
      <c r="DB821" t="s">
        <v>25</v>
      </c>
      <c r="DC821" t="s">
        <v>25</v>
      </c>
      <c r="DD821" t="s">
        <v>25</v>
      </c>
      <c r="DE821" t="s">
        <v>25</v>
      </c>
      <c r="DF821" t="s">
        <v>25</v>
      </c>
      <c r="DG821" t="s">
        <v>25</v>
      </c>
      <c r="DH821" t="s">
        <v>25</v>
      </c>
      <c r="DI821" t="s">
        <v>25</v>
      </c>
      <c r="DJ821" s="76">
        <v>2.9999995604157404E-3</v>
      </c>
      <c r="DK821" s="73">
        <v>47</v>
      </c>
      <c r="DL821" s="73">
        <v>64</v>
      </c>
      <c r="DM821" s="73">
        <v>-17</v>
      </c>
      <c r="DU821"/>
      <c r="DZ821" s="73">
        <v>214</v>
      </c>
      <c r="EA821" s="73">
        <v>122</v>
      </c>
      <c r="EB821" s="73">
        <v>92</v>
      </c>
      <c r="EC821" s="65" t="s">
        <v>126</v>
      </c>
    </row>
    <row r="822" spans="1:133" ht="12" customHeight="1" x14ac:dyDescent="0.2">
      <c r="A822" t="s">
        <v>2938</v>
      </c>
      <c r="B822" t="s">
        <v>2946</v>
      </c>
      <c r="C822" t="str">
        <f t="shared" si="38"/>
        <v>Full</v>
      </c>
      <c r="E822" s="65">
        <v>6811</v>
      </c>
      <c r="F822" t="s">
        <v>2708</v>
      </c>
      <c r="G822" s="71" t="s">
        <v>2907</v>
      </c>
      <c r="H822" s="67">
        <v>1.8999999389052401E-2</v>
      </c>
      <c r="I822" s="65">
        <v>525229</v>
      </c>
      <c r="J822" s="65">
        <v>173182</v>
      </c>
      <c r="L822" s="65" t="s">
        <v>2709</v>
      </c>
      <c r="M822" s="65" t="s">
        <v>172</v>
      </c>
      <c r="N822" s="69">
        <v>43147</v>
      </c>
      <c r="R822" s="65" t="s">
        <v>28</v>
      </c>
      <c r="U822" t="s">
        <v>2710</v>
      </c>
      <c r="V822" t="s">
        <v>3763</v>
      </c>
      <c r="W822" s="65" t="s">
        <v>21</v>
      </c>
      <c r="X822" s="65" t="s">
        <v>21</v>
      </c>
      <c r="Y822" s="65" t="s">
        <v>69</v>
      </c>
      <c r="AD822" s="65" t="s">
        <v>173</v>
      </c>
      <c r="AE822" s="65" t="s">
        <v>24</v>
      </c>
      <c r="BA822" s="73">
        <v>54</v>
      </c>
      <c r="BE822" s="73">
        <v>54</v>
      </c>
      <c r="BO822" s="185" t="s">
        <v>126</v>
      </c>
      <c r="BP822" s="185" t="s">
        <v>3794</v>
      </c>
      <c r="BQ822" s="185" t="s">
        <v>3794</v>
      </c>
      <c r="BS822" s="73">
        <v>-54</v>
      </c>
      <c r="BW822" s="73">
        <v>-54</v>
      </c>
      <c r="BY822" s="185" t="s">
        <v>3794</v>
      </c>
      <c r="CJ822" t="s">
        <v>25</v>
      </c>
      <c r="CK822" t="s">
        <v>25</v>
      </c>
      <c r="CL822" t="s">
        <v>25</v>
      </c>
      <c r="CM822" t="s">
        <v>25</v>
      </c>
      <c r="CN822" t="s">
        <v>25</v>
      </c>
      <c r="CO822" t="s">
        <v>25</v>
      </c>
      <c r="CP822" t="s">
        <v>25</v>
      </c>
      <c r="CQ822" t="s">
        <v>25</v>
      </c>
      <c r="CR822" t="s">
        <v>25</v>
      </c>
      <c r="CS822" t="s">
        <v>25</v>
      </c>
      <c r="CT822" t="s">
        <v>25</v>
      </c>
      <c r="CU822" t="s">
        <v>25</v>
      </c>
      <c r="CV822" t="s">
        <v>25</v>
      </c>
      <c r="CW822" t="s">
        <v>25</v>
      </c>
      <c r="CX822" t="s">
        <v>64</v>
      </c>
      <c r="CY822" t="s">
        <v>25</v>
      </c>
      <c r="CZ822" t="s">
        <v>25</v>
      </c>
      <c r="DA822" t="s">
        <v>25</v>
      </c>
      <c r="DB822" t="s">
        <v>25</v>
      </c>
      <c r="DC822" t="s">
        <v>25</v>
      </c>
      <c r="DD822" t="s">
        <v>25</v>
      </c>
      <c r="DE822" t="s">
        <v>25</v>
      </c>
      <c r="DF822" t="s">
        <v>25</v>
      </c>
      <c r="DG822" t="s">
        <v>25</v>
      </c>
      <c r="DH822" t="s">
        <v>25</v>
      </c>
      <c r="DI822" t="s">
        <v>25</v>
      </c>
      <c r="DJ822" s="76">
        <v>8.9999996125698211E-3</v>
      </c>
      <c r="DK822" s="73">
        <v>0</v>
      </c>
      <c r="DL822" s="73">
        <v>54</v>
      </c>
      <c r="DM822" s="73">
        <v>-54</v>
      </c>
      <c r="DU822"/>
      <c r="DZ822" s="73">
        <v>54</v>
      </c>
      <c r="EA822" s="73">
        <v>0</v>
      </c>
      <c r="EB822" s="73">
        <v>54</v>
      </c>
      <c r="EC822" s="65" t="s">
        <v>126</v>
      </c>
    </row>
    <row r="823" spans="1:133" ht="12" customHeight="1" x14ac:dyDescent="0.2">
      <c r="A823" t="s">
        <v>2938</v>
      </c>
      <c r="B823" t="s">
        <v>2946</v>
      </c>
      <c r="C823" t="str">
        <f t="shared" si="38"/>
        <v>Full</v>
      </c>
      <c r="E823" s="65">
        <v>6813</v>
      </c>
      <c r="F823" t="s">
        <v>2711</v>
      </c>
      <c r="G823" s="71" t="s">
        <v>3946</v>
      </c>
      <c r="H823" s="67">
        <v>1.30000002682209E-2</v>
      </c>
      <c r="I823" s="65">
        <v>523985</v>
      </c>
      <c r="J823" s="65">
        <v>175230</v>
      </c>
      <c r="L823" s="65" t="s">
        <v>2712</v>
      </c>
      <c r="M823" s="65" t="s">
        <v>172</v>
      </c>
      <c r="N823" s="69">
        <v>43143</v>
      </c>
      <c r="R823" s="65" t="s">
        <v>28</v>
      </c>
      <c r="U823" t="s">
        <v>2713</v>
      </c>
      <c r="V823" t="s">
        <v>3764</v>
      </c>
      <c r="W823" s="65" t="s">
        <v>21</v>
      </c>
      <c r="X823" s="65" t="s">
        <v>21</v>
      </c>
      <c r="Y823" s="65" t="s">
        <v>69</v>
      </c>
      <c r="AD823" s="65" t="s">
        <v>173</v>
      </c>
      <c r="AE823" s="65" t="s">
        <v>24</v>
      </c>
      <c r="AW823" s="73">
        <v>138</v>
      </c>
      <c r="AY823" s="73">
        <v>138</v>
      </c>
      <c r="BA823" s="73">
        <v>150</v>
      </c>
      <c r="BE823" s="73">
        <v>150</v>
      </c>
      <c r="BO823" s="185" t="s">
        <v>126</v>
      </c>
      <c r="BP823" s="185" t="s">
        <v>3794</v>
      </c>
      <c r="BQ823" s="185" t="s">
        <v>126</v>
      </c>
      <c r="BS823" s="73">
        <v>-150</v>
      </c>
      <c r="BW823" s="73">
        <v>-150</v>
      </c>
      <c r="BY823" s="185" t="s">
        <v>3794</v>
      </c>
      <c r="CG823" s="73">
        <v>138</v>
      </c>
      <c r="CI823" s="73">
        <v>138</v>
      </c>
      <c r="CJ823" t="s">
        <v>25</v>
      </c>
      <c r="CK823" t="s">
        <v>25</v>
      </c>
      <c r="CL823" t="s">
        <v>25</v>
      </c>
      <c r="CM823" t="s">
        <v>25</v>
      </c>
      <c r="CN823" t="s">
        <v>25</v>
      </c>
      <c r="CO823" t="s">
        <v>25</v>
      </c>
      <c r="CP823" t="s">
        <v>25</v>
      </c>
      <c r="CQ823" t="s">
        <v>25</v>
      </c>
      <c r="CR823" t="s">
        <v>25</v>
      </c>
      <c r="CS823" t="s">
        <v>25</v>
      </c>
      <c r="CT823" t="s">
        <v>25</v>
      </c>
      <c r="CU823" t="s">
        <v>49</v>
      </c>
      <c r="CV823" t="s">
        <v>25</v>
      </c>
      <c r="CW823" t="s">
        <v>25</v>
      </c>
      <c r="CX823" t="s">
        <v>238</v>
      </c>
      <c r="CY823" t="s">
        <v>25</v>
      </c>
      <c r="CZ823" t="s">
        <v>25</v>
      </c>
      <c r="DA823" t="s">
        <v>25</v>
      </c>
      <c r="DB823" t="s">
        <v>25</v>
      </c>
      <c r="DC823" t="s">
        <v>25</v>
      </c>
      <c r="DD823" t="s">
        <v>25</v>
      </c>
      <c r="DE823" t="s">
        <v>25</v>
      </c>
      <c r="DF823" t="s">
        <v>25</v>
      </c>
      <c r="DG823" t="s">
        <v>25</v>
      </c>
      <c r="DH823" t="s">
        <v>25</v>
      </c>
      <c r="DI823" t="s">
        <v>25</v>
      </c>
      <c r="DJ823" s="76">
        <v>1.30000002682209E-2</v>
      </c>
      <c r="DK823" s="73">
        <v>138</v>
      </c>
      <c r="DL823" s="73">
        <v>150</v>
      </c>
      <c r="DM823" s="73">
        <v>-12</v>
      </c>
      <c r="DU823"/>
      <c r="DV823" s="65" t="s">
        <v>126</v>
      </c>
      <c r="DW823" t="s">
        <v>131</v>
      </c>
      <c r="DZ823" s="73">
        <v>0</v>
      </c>
      <c r="EA823" s="73">
        <v>0</v>
      </c>
      <c r="EB823" s="73">
        <v>0</v>
      </c>
    </row>
    <row r="824" spans="1:133" ht="12" customHeight="1" x14ac:dyDescent="0.2">
      <c r="A824" t="s">
        <v>2938</v>
      </c>
      <c r="B824" t="s">
        <v>2948</v>
      </c>
      <c r="C824" t="str">
        <f t="shared" si="38"/>
        <v>Prior Approval</v>
      </c>
      <c r="E824" s="65">
        <v>6814</v>
      </c>
      <c r="F824" t="s">
        <v>2714</v>
      </c>
      <c r="G824" s="71" t="s">
        <v>3946</v>
      </c>
      <c r="H824" s="67">
        <v>1.7999999225139601E-2</v>
      </c>
      <c r="I824" s="65">
        <v>524031</v>
      </c>
      <c r="J824" s="65">
        <v>175248</v>
      </c>
      <c r="L824" s="65" t="s">
        <v>2715</v>
      </c>
      <c r="M824" s="65" t="s">
        <v>227</v>
      </c>
      <c r="N824" s="69">
        <v>43146</v>
      </c>
      <c r="R824" s="65" t="s">
        <v>28</v>
      </c>
      <c r="U824" t="s">
        <v>2716</v>
      </c>
      <c r="V824" t="s">
        <v>3647</v>
      </c>
      <c r="W824" s="65" t="s">
        <v>21</v>
      </c>
      <c r="X824" s="65" t="s">
        <v>21</v>
      </c>
      <c r="Y824" s="65" t="s">
        <v>69</v>
      </c>
      <c r="AD824" s="65" t="s">
        <v>173</v>
      </c>
      <c r="AE824" s="65" t="s">
        <v>24</v>
      </c>
      <c r="BF824" s="73">
        <v>135</v>
      </c>
      <c r="BK824" s="73">
        <v>135</v>
      </c>
      <c r="BO824" s="185" t="s">
        <v>3794</v>
      </c>
      <c r="BP824" s="185" t="s">
        <v>126</v>
      </c>
      <c r="BQ824" s="185" t="s">
        <v>3794</v>
      </c>
      <c r="BW824" s="73"/>
      <c r="BX824" s="73">
        <v>-135</v>
      </c>
      <c r="BY824" s="185" t="s">
        <v>126</v>
      </c>
      <c r="CD824" s="73">
        <v>-135</v>
      </c>
      <c r="CE824" s="65" t="s">
        <v>126</v>
      </c>
      <c r="CJ824" t="s">
        <v>25</v>
      </c>
      <c r="CK824" t="s">
        <v>25</v>
      </c>
      <c r="CL824" t="s">
        <v>25</v>
      </c>
      <c r="CM824" t="s">
        <v>25</v>
      </c>
      <c r="CN824" t="s">
        <v>25</v>
      </c>
      <c r="CO824" t="s">
        <v>25</v>
      </c>
      <c r="CP824" t="s">
        <v>25</v>
      </c>
      <c r="CQ824" t="s">
        <v>25</v>
      </c>
      <c r="CR824" t="s">
        <v>25</v>
      </c>
      <c r="CS824" t="s">
        <v>25</v>
      </c>
      <c r="CT824" t="s">
        <v>25</v>
      </c>
      <c r="CU824" t="s">
        <v>25</v>
      </c>
      <c r="CV824" t="s">
        <v>25</v>
      </c>
      <c r="CW824" t="s">
        <v>25</v>
      </c>
      <c r="CX824" t="s">
        <v>25</v>
      </c>
      <c r="CY824" t="s">
        <v>25</v>
      </c>
      <c r="CZ824" t="s">
        <v>25</v>
      </c>
      <c r="DA824" t="s">
        <v>25</v>
      </c>
      <c r="DB824" t="s">
        <v>49</v>
      </c>
      <c r="DC824" t="s">
        <v>25</v>
      </c>
      <c r="DD824" t="s">
        <v>25</v>
      </c>
      <c r="DE824" t="s">
        <v>25</v>
      </c>
      <c r="DF824" t="s">
        <v>25</v>
      </c>
      <c r="DG824" t="s">
        <v>25</v>
      </c>
      <c r="DH824" t="s">
        <v>25</v>
      </c>
      <c r="DI824" t="s">
        <v>25</v>
      </c>
      <c r="DJ824" s="76">
        <v>4.9999989569187008E-3</v>
      </c>
      <c r="DK824" s="73">
        <v>0</v>
      </c>
      <c r="DL824" s="73">
        <v>135</v>
      </c>
      <c r="DM824" s="73">
        <v>-135</v>
      </c>
      <c r="DU824"/>
      <c r="DV824" s="65" t="s">
        <v>126</v>
      </c>
      <c r="DW824" t="s">
        <v>131</v>
      </c>
      <c r="DZ824" s="73">
        <v>135</v>
      </c>
      <c r="EA824" s="73">
        <v>0</v>
      </c>
      <c r="EB824" s="73">
        <v>135</v>
      </c>
      <c r="EC824" s="65" t="s">
        <v>126</v>
      </c>
    </row>
    <row r="825" spans="1:133" ht="12" customHeight="1" x14ac:dyDescent="0.2">
      <c r="A825" t="s">
        <v>2938</v>
      </c>
      <c r="B825" t="s">
        <v>2946</v>
      </c>
      <c r="C825" t="str">
        <f t="shared" si="38"/>
        <v>Full</v>
      </c>
      <c r="E825" s="65">
        <v>6815</v>
      </c>
      <c r="F825" t="s">
        <v>2717</v>
      </c>
      <c r="G825" s="71" t="s">
        <v>3939</v>
      </c>
      <c r="H825" s="67">
        <v>7.0000002160668399E-3</v>
      </c>
      <c r="I825" s="65">
        <v>524144</v>
      </c>
      <c r="J825" s="65">
        <v>173132</v>
      </c>
      <c r="L825" s="65" t="s">
        <v>2718</v>
      </c>
      <c r="M825" s="65" t="s">
        <v>172</v>
      </c>
      <c r="N825" s="69">
        <v>43146</v>
      </c>
      <c r="R825" s="65" t="s">
        <v>28</v>
      </c>
      <c r="U825" t="s">
        <v>2719</v>
      </c>
      <c r="V825" t="s">
        <v>3765</v>
      </c>
      <c r="W825" s="65" t="s">
        <v>29</v>
      </c>
      <c r="X825" s="65" t="s">
        <v>29</v>
      </c>
      <c r="Y825" s="65" t="s">
        <v>69</v>
      </c>
      <c r="AD825" s="65" t="s">
        <v>23</v>
      </c>
      <c r="AE825" s="65" t="s">
        <v>24</v>
      </c>
      <c r="BL825" s="73">
        <v>39</v>
      </c>
      <c r="BN825" s="73">
        <v>39</v>
      </c>
      <c r="BO825" s="185" t="s">
        <v>3794</v>
      </c>
      <c r="BP825" s="185" t="s">
        <v>3794</v>
      </c>
      <c r="BQ825" s="185" t="s">
        <v>126</v>
      </c>
      <c r="BW825" s="73"/>
      <c r="BY825" s="185" t="s">
        <v>3794</v>
      </c>
      <c r="CG825" s="73">
        <v>-39</v>
      </c>
      <c r="CI825" s="73">
        <v>-39</v>
      </c>
      <c r="CJ825" t="s">
        <v>25</v>
      </c>
      <c r="CK825" t="s">
        <v>25</v>
      </c>
      <c r="CL825" t="s">
        <v>25</v>
      </c>
      <c r="CM825" t="s">
        <v>25</v>
      </c>
      <c r="CN825" t="s">
        <v>25</v>
      </c>
      <c r="CO825" t="s">
        <v>25</v>
      </c>
      <c r="CP825" t="s">
        <v>25</v>
      </c>
      <c r="CQ825" t="s">
        <v>25</v>
      </c>
      <c r="CR825" t="s">
        <v>25</v>
      </c>
      <c r="CS825" t="s">
        <v>25</v>
      </c>
      <c r="CT825" t="s">
        <v>25</v>
      </c>
      <c r="CU825" t="s">
        <v>25</v>
      </c>
      <c r="CV825" t="s">
        <v>25</v>
      </c>
      <c r="CW825" t="s">
        <v>25</v>
      </c>
      <c r="CX825" t="s">
        <v>25</v>
      </c>
      <c r="CY825" t="s">
        <v>25</v>
      </c>
      <c r="CZ825" t="s">
        <v>25</v>
      </c>
      <c r="DA825" t="s">
        <v>25</v>
      </c>
      <c r="DB825" t="s">
        <v>25</v>
      </c>
      <c r="DC825" t="s">
        <v>25</v>
      </c>
      <c r="DD825" t="s">
        <v>25</v>
      </c>
      <c r="DE825" t="s">
        <v>25</v>
      </c>
      <c r="DF825" t="s">
        <v>25</v>
      </c>
      <c r="DG825" t="s">
        <v>25</v>
      </c>
      <c r="DH825" t="s">
        <v>47</v>
      </c>
      <c r="DI825" t="s">
        <v>25</v>
      </c>
      <c r="DJ825" s="76">
        <v>0</v>
      </c>
      <c r="DK825" s="73">
        <v>0</v>
      </c>
      <c r="DL825" s="73">
        <v>39</v>
      </c>
      <c r="DM825" s="73">
        <v>-39</v>
      </c>
      <c r="DU825"/>
      <c r="DZ825" s="73">
        <v>148</v>
      </c>
      <c r="EA825" s="73">
        <v>0</v>
      </c>
      <c r="EB825" s="73">
        <v>148</v>
      </c>
      <c r="EC825" s="65" t="s">
        <v>126</v>
      </c>
    </row>
    <row r="826" spans="1:133" ht="12" customHeight="1" x14ac:dyDescent="0.2">
      <c r="A826" t="s">
        <v>2938</v>
      </c>
      <c r="B826" t="s">
        <v>2946</v>
      </c>
      <c r="C826" t="str">
        <f t="shared" si="38"/>
        <v>Full</v>
      </c>
      <c r="E826" s="65">
        <v>6817</v>
      </c>
      <c r="F826" t="s">
        <v>2917</v>
      </c>
      <c r="G826" s="71" t="s">
        <v>3952</v>
      </c>
      <c r="H826" s="67">
        <v>2.5000000372528999E-2</v>
      </c>
      <c r="I826" s="65">
        <v>528402</v>
      </c>
      <c r="J826" s="65">
        <v>172041</v>
      </c>
      <c r="L826" s="65" t="s">
        <v>2723</v>
      </c>
      <c r="M826" s="65" t="s">
        <v>172</v>
      </c>
      <c r="N826" s="69">
        <v>43153</v>
      </c>
      <c r="R826" s="65" t="s">
        <v>28</v>
      </c>
      <c r="U826" t="s">
        <v>2724</v>
      </c>
      <c r="V826" t="s">
        <v>3766</v>
      </c>
      <c r="W826" s="65" t="s">
        <v>34</v>
      </c>
      <c r="X826" s="65" t="s">
        <v>29</v>
      </c>
      <c r="Y826" s="65" t="s">
        <v>69</v>
      </c>
      <c r="AD826" s="65" t="s">
        <v>173</v>
      </c>
      <c r="AE826" s="65" t="s">
        <v>24</v>
      </c>
      <c r="BF826" s="73">
        <v>60</v>
      </c>
      <c r="BK826" s="73">
        <v>60</v>
      </c>
      <c r="BO826" s="185" t="s">
        <v>3794</v>
      </c>
      <c r="BP826" s="185" t="s">
        <v>126</v>
      </c>
      <c r="BQ826" s="185" t="s">
        <v>3794</v>
      </c>
      <c r="BW826" s="73"/>
      <c r="BX826" s="73">
        <v>-60</v>
      </c>
      <c r="BY826" s="185" t="s">
        <v>126</v>
      </c>
      <c r="CD826" s="73">
        <v>-60</v>
      </c>
      <c r="CE826" s="65" t="s">
        <v>126</v>
      </c>
      <c r="CJ826" t="s">
        <v>25</v>
      </c>
      <c r="CK826" t="s">
        <v>25</v>
      </c>
      <c r="CL826" t="s">
        <v>25</v>
      </c>
      <c r="CM826" t="s">
        <v>25</v>
      </c>
      <c r="CN826" t="s">
        <v>25</v>
      </c>
      <c r="CO826" t="s">
        <v>25</v>
      </c>
      <c r="CP826" t="s">
        <v>25</v>
      </c>
      <c r="CQ826" t="s">
        <v>25</v>
      </c>
      <c r="CR826" t="s">
        <v>25</v>
      </c>
      <c r="CS826" t="s">
        <v>25</v>
      </c>
      <c r="CT826" t="s">
        <v>25</v>
      </c>
      <c r="CU826" t="s">
        <v>25</v>
      </c>
      <c r="CV826" t="s">
        <v>25</v>
      </c>
      <c r="CW826" t="s">
        <v>25</v>
      </c>
      <c r="CX826" t="s">
        <v>25</v>
      </c>
      <c r="CY826" t="s">
        <v>25</v>
      </c>
      <c r="CZ826" t="s">
        <v>25</v>
      </c>
      <c r="DA826" t="s">
        <v>25</v>
      </c>
      <c r="DB826" t="s">
        <v>49</v>
      </c>
      <c r="DC826" t="s">
        <v>25</v>
      </c>
      <c r="DD826" t="s">
        <v>25</v>
      </c>
      <c r="DE826" t="s">
        <v>25</v>
      </c>
      <c r="DF826" t="s">
        <v>25</v>
      </c>
      <c r="DG826" t="s">
        <v>25</v>
      </c>
      <c r="DH826" t="s">
        <v>25</v>
      </c>
      <c r="DI826" t="s">
        <v>25</v>
      </c>
      <c r="DJ826" s="76">
        <v>0</v>
      </c>
      <c r="DK826" s="73">
        <v>0</v>
      </c>
      <c r="DL826" s="73">
        <v>60</v>
      </c>
      <c r="DM826" s="73">
        <v>-60</v>
      </c>
      <c r="DU826"/>
      <c r="DZ826" s="73">
        <v>244</v>
      </c>
      <c r="EA826" s="73">
        <v>60</v>
      </c>
      <c r="EB826" s="73">
        <v>184</v>
      </c>
      <c r="EC826" s="65" t="s">
        <v>126</v>
      </c>
    </row>
    <row r="827" spans="1:133" ht="12" customHeight="1" x14ac:dyDescent="0.2">
      <c r="A827" t="s">
        <v>2938</v>
      </c>
      <c r="B827" t="s">
        <v>2948</v>
      </c>
      <c r="C827" t="str">
        <f t="shared" si="38"/>
        <v>Prior Approval</v>
      </c>
      <c r="E827" s="65">
        <v>6821</v>
      </c>
      <c r="F827" t="s">
        <v>2725</v>
      </c>
      <c r="G827" s="71" t="s">
        <v>3943</v>
      </c>
      <c r="H827" s="67">
        <v>0.270000010728836</v>
      </c>
      <c r="I827" s="65">
        <v>527311</v>
      </c>
      <c r="J827" s="65">
        <v>177194</v>
      </c>
      <c r="L827" s="65" t="s">
        <v>2726</v>
      </c>
      <c r="M827" s="65" t="s">
        <v>227</v>
      </c>
      <c r="N827" s="69">
        <v>43151</v>
      </c>
      <c r="R827" s="65" t="s">
        <v>28</v>
      </c>
      <c r="U827" t="s">
        <v>2727</v>
      </c>
      <c r="V827" t="s">
        <v>3767</v>
      </c>
      <c r="W827" s="65" t="s">
        <v>21</v>
      </c>
      <c r="X827" s="65" t="s">
        <v>21</v>
      </c>
      <c r="Y827" s="65" t="s">
        <v>69</v>
      </c>
      <c r="AD827" s="65" t="s">
        <v>173</v>
      </c>
      <c r="AE827" s="65" t="s">
        <v>24</v>
      </c>
      <c r="BF827" s="73">
        <v>172</v>
      </c>
      <c r="BK827" s="73">
        <v>172</v>
      </c>
      <c r="BO827" s="185" t="s">
        <v>3794</v>
      </c>
      <c r="BP827" s="185" t="s">
        <v>126</v>
      </c>
      <c r="BQ827" s="185" t="s">
        <v>3794</v>
      </c>
      <c r="BW827" s="73"/>
      <c r="BX827" s="73">
        <v>-172</v>
      </c>
      <c r="BY827" s="185" t="s">
        <v>126</v>
      </c>
      <c r="CD827" s="73">
        <v>-172</v>
      </c>
      <c r="CE827" s="65" t="s">
        <v>126</v>
      </c>
      <c r="CJ827" t="s">
        <v>25</v>
      </c>
      <c r="CK827" t="s">
        <v>25</v>
      </c>
      <c r="CL827" t="s">
        <v>25</v>
      </c>
      <c r="CM827" t="s">
        <v>25</v>
      </c>
      <c r="CN827" t="s">
        <v>25</v>
      </c>
      <c r="CO827" t="s">
        <v>25</v>
      </c>
      <c r="CP827" t="s">
        <v>25</v>
      </c>
      <c r="CQ827" t="s">
        <v>25</v>
      </c>
      <c r="CR827" t="s">
        <v>25</v>
      </c>
      <c r="CS827" t="s">
        <v>25</v>
      </c>
      <c r="CT827" t="s">
        <v>25</v>
      </c>
      <c r="CU827" t="s">
        <v>25</v>
      </c>
      <c r="CV827" t="s">
        <v>25</v>
      </c>
      <c r="CW827" t="s">
        <v>25</v>
      </c>
      <c r="CX827" t="s">
        <v>25</v>
      </c>
      <c r="CY827" t="s">
        <v>25</v>
      </c>
      <c r="CZ827" t="s">
        <v>25</v>
      </c>
      <c r="DA827" t="s">
        <v>25</v>
      </c>
      <c r="DB827" t="s">
        <v>31</v>
      </c>
      <c r="DC827" t="s">
        <v>25</v>
      </c>
      <c r="DD827" t="s">
        <v>25</v>
      </c>
      <c r="DE827" t="s">
        <v>25</v>
      </c>
      <c r="DF827" t="s">
        <v>25</v>
      </c>
      <c r="DG827" t="s">
        <v>25</v>
      </c>
      <c r="DH827" t="s">
        <v>25</v>
      </c>
      <c r="DI827" t="s">
        <v>25</v>
      </c>
      <c r="DJ827" s="76">
        <v>0.25600001029670233</v>
      </c>
      <c r="DK827" s="73">
        <v>0</v>
      </c>
      <c r="DL827" s="73">
        <v>172</v>
      </c>
      <c r="DM827" s="73">
        <v>-172</v>
      </c>
      <c r="DN827" s="65" t="s">
        <v>126</v>
      </c>
      <c r="DU827"/>
      <c r="DZ827" s="73">
        <v>172</v>
      </c>
      <c r="EA827" s="73">
        <v>0</v>
      </c>
      <c r="EB827" s="73">
        <v>172</v>
      </c>
      <c r="EC827" s="65" t="s">
        <v>126</v>
      </c>
    </row>
    <row r="828" spans="1:133" ht="12" customHeight="1" x14ac:dyDescent="0.2">
      <c r="A828" t="s">
        <v>2938</v>
      </c>
      <c r="B828" t="s">
        <v>2948</v>
      </c>
      <c r="C828" t="str">
        <f t="shared" si="38"/>
        <v>Prior Approval</v>
      </c>
      <c r="E828" s="65">
        <v>6822</v>
      </c>
      <c r="F828" t="s">
        <v>2728</v>
      </c>
      <c r="G828" s="71" t="s">
        <v>3943</v>
      </c>
      <c r="H828" s="67">
        <v>0.27099999785423301</v>
      </c>
      <c r="I828" s="65">
        <v>527295</v>
      </c>
      <c r="J828" s="65">
        <v>177182</v>
      </c>
      <c r="L828" s="65" t="s">
        <v>2729</v>
      </c>
      <c r="M828" s="65" t="s">
        <v>227</v>
      </c>
      <c r="N828" s="69">
        <v>43151</v>
      </c>
      <c r="R828" s="65" t="s">
        <v>28</v>
      </c>
      <c r="U828" t="s">
        <v>2730</v>
      </c>
      <c r="V828" t="s">
        <v>3768</v>
      </c>
      <c r="W828" s="65" t="s">
        <v>21</v>
      </c>
      <c r="X828" s="65" t="s">
        <v>21</v>
      </c>
      <c r="Y828" s="65" t="s">
        <v>69</v>
      </c>
      <c r="AD828" s="65" t="s">
        <v>173</v>
      </c>
      <c r="AE828" s="65" t="s">
        <v>24</v>
      </c>
      <c r="BF828" s="73">
        <v>170</v>
      </c>
      <c r="BK828" s="73">
        <v>170</v>
      </c>
      <c r="BO828" s="185" t="s">
        <v>3794</v>
      </c>
      <c r="BP828" s="185" t="s">
        <v>126</v>
      </c>
      <c r="BQ828" s="185" t="s">
        <v>3794</v>
      </c>
      <c r="BW828" s="73"/>
      <c r="BX828" s="73">
        <v>-170</v>
      </c>
      <c r="BY828" s="185" t="s">
        <v>126</v>
      </c>
      <c r="CD828" s="73">
        <v>-170</v>
      </c>
      <c r="CE828" s="65" t="s">
        <v>126</v>
      </c>
      <c r="CJ828" t="s">
        <v>25</v>
      </c>
      <c r="CK828" t="s">
        <v>25</v>
      </c>
      <c r="CL828" t="s">
        <v>25</v>
      </c>
      <c r="CM828" t="s">
        <v>25</v>
      </c>
      <c r="CN828" t="s">
        <v>25</v>
      </c>
      <c r="CO828" t="s">
        <v>25</v>
      </c>
      <c r="CP828" t="s">
        <v>25</v>
      </c>
      <c r="CQ828" t="s">
        <v>25</v>
      </c>
      <c r="CR828" t="s">
        <v>25</v>
      </c>
      <c r="CS828" t="s">
        <v>25</v>
      </c>
      <c r="CT828" t="s">
        <v>25</v>
      </c>
      <c r="CU828" t="s">
        <v>25</v>
      </c>
      <c r="CV828" t="s">
        <v>25</v>
      </c>
      <c r="CW828" t="s">
        <v>25</v>
      </c>
      <c r="CX828" t="s">
        <v>25</v>
      </c>
      <c r="CY828" t="s">
        <v>25</v>
      </c>
      <c r="CZ828" t="s">
        <v>25</v>
      </c>
      <c r="DA828" t="s">
        <v>25</v>
      </c>
      <c r="DB828" t="s">
        <v>31</v>
      </c>
      <c r="DC828" t="s">
        <v>25</v>
      </c>
      <c r="DD828" t="s">
        <v>25</v>
      </c>
      <c r="DE828" t="s">
        <v>25</v>
      </c>
      <c r="DF828" t="s">
        <v>25</v>
      </c>
      <c r="DG828" t="s">
        <v>25</v>
      </c>
      <c r="DH828" t="s">
        <v>25</v>
      </c>
      <c r="DI828" t="s">
        <v>25</v>
      </c>
      <c r="DJ828" s="76">
        <v>0.25699999742209934</v>
      </c>
      <c r="DK828" s="73">
        <v>0</v>
      </c>
      <c r="DL828" s="73">
        <v>170</v>
      </c>
      <c r="DM828" s="73">
        <v>-170</v>
      </c>
      <c r="DN828" s="65" t="s">
        <v>126</v>
      </c>
      <c r="DU828"/>
      <c r="DZ828" s="73">
        <v>170</v>
      </c>
      <c r="EA828" s="73">
        <v>0</v>
      </c>
      <c r="EB828" s="73">
        <v>170</v>
      </c>
      <c r="EC828" s="65" t="s">
        <v>126</v>
      </c>
    </row>
    <row r="829" spans="1:133" ht="12" customHeight="1" x14ac:dyDescent="0.2">
      <c r="A829" t="s">
        <v>2938</v>
      </c>
      <c r="B829" t="s">
        <v>2948</v>
      </c>
      <c r="C829" t="str">
        <f t="shared" si="38"/>
        <v>Prior Approval</v>
      </c>
      <c r="E829" s="65">
        <v>6823</v>
      </c>
      <c r="F829" t="s">
        <v>2731</v>
      </c>
      <c r="G829" s="71" t="s">
        <v>3943</v>
      </c>
      <c r="H829" s="67">
        <v>0.270000010728836</v>
      </c>
      <c r="I829" s="65">
        <v>527310</v>
      </c>
      <c r="J829" s="65">
        <v>177159</v>
      </c>
      <c r="L829" s="65" t="s">
        <v>2732</v>
      </c>
      <c r="M829" s="65" t="s">
        <v>227</v>
      </c>
      <c r="N829" s="69">
        <v>43188</v>
      </c>
      <c r="R829" s="65" t="s">
        <v>28</v>
      </c>
      <c r="U829" t="s">
        <v>2733</v>
      </c>
      <c r="V829" t="s">
        <v>3769</v>
      </c>
      <c r="W829" s="65" t="s">
        <v>21</v>
      </c>
      <c r="X829" s="65" t="s">
        <v>21</v>
      </c>
      <c r="Y829" s="65" t="s">
        <v>69</v>
      </c>
      <c r="AD829" s="65" t="s">
        <v>173</v>
      </c>
      <c r="AE829" s="65" t="s">
        <v>24</v>
      </c>
      <c r="BF829" s="73">
        <v>155</v>
      </c>
      <c r="BK829" s="73">
        <v>155</v>
      </c>
      <c r="BO829" s="185" t="s">
        <v>3794</v>
      </c>
      <c r="BP829" s="185" t="s">
        <v>126</v>
      </c>
      <c r="BQ829" s="185" t="s">
        <v>3794</v>
      </c>
      <c r="BW829" s="73"/>
      <c r="BX829" s="73">
        <v>-155</v>
      </c>
      <c r="BY829" s="185" t="s">
        <v>126</v>
      </c>
      <c r="CD829" s="73">
        <v>-155</v>
      </c>
      <c r="CE829" s="65" t="s">
        <v>126</v>
      </c>
      <c r="CJ829" t="s">
        <v>25</v>
      </c>
      <c r="CK829" t="s">
        <v>25</v>
      </c>
      <c r="CL829" t="s">
        <v>25</v>
      </c>
      <c r="CM829" t="s">
        <v>25</v>
      </c>
      <c r="CN829" t="s">
        <v>25</v>
      </c>
      <c r="CO829" t="s">
        <v>25</v>
      </c>
      <c r="CP829" t="s">
        <v>25</v>
      </c>
      <c r="CQ829" t="s">
        <v>25</v>
      </c>
      <c r="CR829" t="s">
        <v>25</v>
      </c>
      <c r="CS829" t="s">
        <v>25</v>
      </c>
      <c r="CT829" t="s">
        <v>25</v>
      </c>
      <c r="CU829" t="s">
        <v>25</v>
      </c>
      <c r="CV829" t="s">
        <v>25</v>
      </c>
      <c r="CW829" t="s">
        <v>25</v>
      </c>
      <c r="CX829" t="s">
        <v>25</v>
      </c>
      <c r="CY829" t="s">
        <v>25</v>
      </c>
      <c r="CZ829" t="s">
        <v>25</v>
      </c>
      <c r="DA829" t="s">
        <v>25</v>
      </c>
      <c r="DB829" t="s">
        <v>72</v>
      </c>
      <c r="DC829" t="s">
        <v>25</v>
      </c>
      <c r="DD829" t="s">
        <v>25</v>
      </c>
      <c r="DE829" t="s">
        <v>25</v>
      </c>
      <c r="DF829" t="s">
        <v>25</v>
      </c>
      <c r="DG829" t="s">
        <v>25</v>
      </c>
      <c r="DH829" t="s">
        <v>25</v>
      </c>
      <c r="DI829" t="s">
        <v>25</v>
      </c>
      <c r="DJ829" s="76">
        <v>0.2570000104606151</v>
      </c>
      <c r="DK829" s="73">
        <v>0</v>
      </c>
      <c r="DL829" s="73">
        <v>155</v>
      </c>
      <c r="DM829" s="73">
        <v>-155</v>
      </c>
      <c r="DN829" s="65" t="s">
        <v>126</v>
      </c>
      <c r="DU829"/>
      <c r="DZ829" s="73">
        <v>155</v>
      </c>
      <c r="EA829" s="73">
        <v>0</v>
      </c>
      <c r="EB829" s="73">
        <v>155</v>
      </c>
      <c r="EC829" s="65" t="s">
        <v>126</v>
      </c>
    </row>
    <row r="830" spans="1:133" ht="12" customHeight="1" x14ac:dyDescent="0.2">
      <c r="A830" t="s">
        <v>2938</v>
      </c>
      <c r="B830" t="s">
        <v>2948</v>
      </c>
      <c r="C830" t="str">
        <f t="shared" si="38"/>
        <v>Prior Approval</v>
      </c>
      <c r="E830" s="65">
        <v>6824</v>
      </c>
      <c r="F830" t="s">
        <v>2734</v>
      </c>
      <c r="G830" s="71" t="s">
        <v>3943</v>
      </c>
      <c r="H830" s="67">
        <v>0.27099999785423301</v>
      </c>
      <c r="I830" s="65">
        <v>527310</v>
      </c>
      <c r="J830" s="65">
        <v>177159</v>
      </c>
      <c r="L830" s="65" t="s">
        <v>2735</v>
      </c>
      <c r="M830" s="65" t="s">
        <v>227</v>
      </c>
      <c r="N830" s="69">
        <v>43151</v>
      </c>
      <c r="R830" s="65" t="s">
        <v>28</v>
      </c>
      <c r="U830" t="s">
        <v>2736</v>
      </c>
      <c r="V830" t="s">
        <v>3770</v>
      </c>
      <c r="W830" s="65" t="s">
        <v>21</v>
      </c>
      <c r="X830" s="65" t="s">
        <v>21</v>
      </c>
      <c r="Y830" s="65" t="s">
        <v>69</v>
      </c>
      <c r="AD830" s="65" t="s">
        <v>173</v>
      </c>
      <c r="AE830" s="65" t="s">
        <v>24</v>
      </c>
      <c r="BF830" s="73">
        <v>123</v>
      </c>
      <c r="BK830" s="73">
        <v>123</v>
      </c>
      <c r="BO830" s="185" t="s">
        <v>3794</v>
      </c>
      <c r="BP830" s="185" t="s">
        <v>126</v>
      </c>
      <c r="BQ830" s="185" t="s">
        <v>3794</v>
      </c>
      <c r="BW830" s="73"/>
      <c r="BX830" s="73">
        <v>-123</v>
      </c>
      <c r="BY830" s="185" t="s">
        <v>126</v>
      </c>
      <c r="CD830" s="73">
        <v>-123</v>
      </c>
      <c r="CE830" s="65" t="s">
        <v>126</v>
      </c>
      <c r="CJ830" t="s">
        <v>25</v>
      </c>
      <c r="CK830" t="s">
        <v>25</v>
      </c>
      <c r="CL830" t="s">
        <v>25</v>
      </c>
      <c r="CM830" t="s">
        <v>25</v>
      </c>
      <c r="CN830" t="s">
        <v>25</v>
      </c>
      <c r="CO830" t="s">
        <v>25</v>
      </c>
      <c r="CP830" t="s">
        <v>25</v>
      </c>
      <c r="CQ830" t="s">
        <v>25</v>
      </c>
      <c r="CR830" t="s">
        <v>25</v>
      </c>
      <c r="CS830" t="s">
        <v>25</v>
      </c>
      <c r="CT830" t="s">
        <v>25</v>
      </c>
      <c r="CU830" t="s">
        <v>25</v>
      </c>
      <c r="CV830" t="s">
        <v>25</v>
      </c>
      <c r="CW830" t="s">
        <v>25</v>
      </c>
      <c r="CX830" t="s">
        <v>25</v>
      </c>
      <c r="CY830" t="s">
        <v>25</v>
      </c>
      <c r="CZ830" t="s">
        <v>25</v>
      </c>
      <c r="DA830" t="s">
        <v>25</v>
      </c>
      <c r="DB830" t="s">
        <v>31</v>
      </c>
      <c r="DC830" t="s">
        <v>25</v>
      </c>
      <c r="DD830" t="s">
        <v>25</v>
      </c>
      <c r="DE830" t="s">
        <v>25</v>
      </c>
      <c r="DF830" t="s">
        <v>25</v>
      </c>
      <c r="DG830" t="s">
        <v>25</v>
      </c>
      <c r="DH830" t="s">
        <v>25</v>
      </c>
      <c r="DI830" t="s">
        <v>25</v>
      </c>
      <c r="DJ830" s="76">
        <v>0.26099999807775043</v>
      </c>
      <c r="DK830" s="73">
        <v>0</v>
      </c>
      <c r="DL830" s="73">
        <v>123</v>
      </c>
      <c r="DM830" s="73">
        <v>-123</v>
      </c>
      <c r="DN830" s="65" t="s">
        <v>126</v>
      </c>
      <c r="DU830"/>
      <c r="DZ830" s="73">
        <v>123</v>
      </c>
      <c r="EA830" s="73">
        <v>0</v>
      </c>
      <c r="EB830" s="73">
        <v>123</v>
      </c>
      <c r="EC830" s="65" t="s">
        <v>126</v>
      </c>
    </row>
    <row r="831" spans="1:133" ht="12" customHeight="1" x14ac:dyDescent="0.2">
      <c r="A831" t="s">
        <v>2938</v>
      </c>
      <c r="B831" t="s">
        <v>2948</v>
      </c>
      <c r="C831" t="str">
        <f t="shared" si="38"/>
        <v>Prior Approval</v>
      </c>
      <c r="E831" s="65">
        <v>6825</v>
      </c>
      <c r="F831" t="s">
        <v>2737</v>
      </c>
      <c r="G831" s="71" t="s">
        <v>3943</v>
      </c>
      <c r="H831" s="67">
        <v>0.27099999785423301</v>
      </c>
      <c r="I831" s="65">
        <v>527310</v>
      </c>
      <c r="J831" s="65">
        <v>177159</v>
      </c>
      <c r="L831" s="65" t="s">
        <v>2738</v>
      </c>
      <c r="M831" s="65" t="s">
        <v>227</v>
      </c>
      <c r="N831" s="69">
        <v>43151</v>
      </c>
      <c r="R831" s="65" t="s">
        <v>28</v>
      </c>
      <c r="U831" t="s">
        <v>2739</v>
      </c>
      <c r="V831" t="s">
        <v>3771</v>
      </c>
      <c r="W831" s="65" t="s">
        <v>21</v>
      </c>
      <c r="X831" s="65" t="s">
        <v>21</v>
      </c>
      <c r="Y831" s="65" t="s">
        <v>69</v>
      </c>
      <c r="AD831" s="65" t="s">
        <v>173</v>
      </c>
      <c r="AE831" s="65" t="s">
        <v>24</v>
      </c>
      <c r="BF831" s="73">
        <v>125</v>
      </c>
      <c r="BK831" s="73">
        <v>125</v>
      </c>
      <c r="BO831" s="185" t="s">
        <v>3794</v>
      </c>
      <c r="BP831" s="185" t="s">
        <v>126</v>
      </c>
      <c r="BQ831" s="185" t="s">
        <v>3794</v>
      </c>
      <c r="BW831" s="73"/>
      <c r="BX831" s="73">
        <v>-125</v>
      </c>
      <c r="BY831" s="185" t="s">
        <v>126</v>
      </c>
      <c r="CD831" s="73">
        <v>-125</v>
      </c>
      <c r="CE831" s="65" t="s">
        <v>126</v>
      </c>
      <c r="CJ831" t="s">
        <v>25</v>
      </c>
      <c r="CK831" t="s">
        <v>25</v>
      </c>
      <c r="CL831" t="s">
        <v>25</v>
      </c>
      <c r="CM831" t="s">
        <v>25</v>
      </c>
      <c r="CN831" t="s">
        <v>25</v>
      </c>
      <c r="CO831" t="s">
        <v>25</v>
      </c>
      <c r="CP831" t="s">
        <v>25</v>
      </c>
      <c r="CQ831" t="s">
        <v>25</v>
      </c>
      <c r="CR831" t="s">
        <v>25</v>
      </c>
      <c r="CS831" t="s">
        <v>25</v>
      </c>
      <c r="CT831" t="s">
        <v>25</v>
      </c>
      <c r="CU831" t="s">
        <v>25</v>
      </c>
      <c r="CV831" t="s">
        <v>25</v>
      </c>
      <c r="CW831" t="s">
        <v>25</v>
      </c>
      <c r="CX831" t="s">
        <v>25</v>
      </c>
      <c r="CY831" t="s">
        <v>25</v>
      </c>
      <c r="CZ831" t="s">
        <v>25</v>
      </c>
      <c r="DA831" t="s">
        <v>25</v>
      </c>
      <c r="DB831" t="s">
        <v>31</v>
      </c>
      <c r="DC831" t="s">
        <v>25</v>
      </c>
      <c r="DD831" t="s">
        <v>25</v>
      </c>
      <c r="DE831" t="s">
        <v>25</v>
      </c>
      <c r="DF831" t="s">
        <v>25</v>
      </c>
      <c r="DG831" t="s">
        <v>25</v>
      </c>
      <c r="DH831" t="s">
        <v>25</v>
      </c>
      <c r="DI831" t="s">
        <v>25</v>
      </c>
      <c r="DJ831" s="76">
        <v>0.2599999979138376</v>
      </c>
      <c r="DK831" s="73">
        <v>0</v>
      </c>
      <c r="DL831" s="73">
        <v>125</v>
      </c>
      <c r="DM831" s="73">
        <v>-125</v>
      </c>
      <c r="DN831" s="65" t="s">
        <v>126</v>
      </c>
      <c r="DU831"/>
      <c r="DZ831" s="73">
        <v>125</v>
      </c>
      <c r="EA831" s="73">
        <v>0</v>
      </c>
      <c r="EB831" s="73">
        <v>125</v>
      </c>
      <c r="EC831" s="65" t="s">
        <v>126</v>
      </c>
    </row>
    <row r="832" spans="1:133" ht="12" customHeight="1" x14ac:dyDescent="0.2">
      <c r="A832" t="s">
        <v>2938</v>
      </c>
      <c r="B832" t="s">
        <v>2948</v>
      </c>
      <c r="C832" t="str">
        <f t="shared" si="38"/>
        <v>Prior Approval</v>
      </c>
      <c r="E832" s="65">
        <v>6826</v>
      </c>
      <c r="F832" t="s">
        <v>2740</v>
      </c>
      <c r="G832" s="71" t="s">
        <v>3943</v>
      </c>
      <c r="H832" s="67">
        <v>0.27099999785423301</v>
      </c>
      <c r="I832" s="65">
        <v>527310</v>
      </c>
      <c r="J832" s="65">
        <v>177159</v>
      </c>
      <c r="L832" s="65" t="s">
        <v>2741</v>
      </c>
      <c r="M832" s="65" t="s">
        <v>227</v>
      </c>
      <c r="N832" s="69">
        <v>43151</v>
      </c>
      <c r="R832" s="65" t="s">
        <v>28</v>
      </c>
      <c r="U832" t="s">
        <v>2742</v>
      </c>
      <c r="V832" t="s">
        <v>3772</v>
      </c>
      <c r="W832" s="65" t="s">
        <v>21</v>
      </c>
      <c r="X832" s="65" t="s">
        <v>21</v>
      </c>
      <c r="Y832" s="65" t="s">
        <v>69</v>
      </c>
      <c r="AD832" s="65" t="s">
        <v>173</v>
      </c>
      <c r="AE832" s="65" t="s">
        <v>24</v>
      </c>
      <c r="BF832" s="73">
        <v>195</v>
      </c>
      <c r="BK832" s="73">
        <v>195</v>
      </c>
      <c r="BO832" s="185" t="s">
        <v>3794</v>
      </c>
      <c r="BP832" s="185" t="s">
        <v>126</v>
      </c>
      <c r="BQ832" s="185" t="s">
        <v>3794</v>
      </c>
      <c r="BW832" s="73"/>
      <c r="BX832" s="73">
        <v>-195</v>
      </c>
      <c r="BY832" s="185" t="s">
        <v>126</v>
      </c>
      <c r="CD832" s="73">
        <v>-195</v>
      </c>
      <c r="CE832" s="65" t="s">
        <v>126</v>
      </c>
      <c r="CJ832" t="s">
        <v>25</v>
      </c>
      <c r="CK832" t="s">
        <v>25</v>
      </c>
      <c r="CL832" t="s">
        <v>25</v>
      </c>
      <c r="CM832" t="s">
        <v>25</v>
      </c>
      <c r="CN832" t="s">
        <v>25</v>
      </c>
      <c r="CO832" t="s">
        <v>25</v>
      </c>
      <c r="CP832" t="s">
        <v>25</v>
      </c>
      <c r="CQ832" t="s">
        <v>25</v>
      </c>
      <c r="CR832" t="s">
        <v>25</v>
      </c>
      <c r="CS832" t="s">
        <v>25</v>
      </c>
      <c r="CT832" t="s">
        <v>25</v>
      </c>
      <c r="CU832" t="s">
        <v>25</v>
      </c>
      <c r="CV832" t="s">
        <v>25</v>
      </c>
      <c r="CW832" t="s">
        <v>25</v>
      </c>
      <c r="CX832" t="s">
        <v>25</v>
      </c>
      <c r="CY832" t="s">
        <v>25</v>
      </c>
      <c r="CZ832" t="s">
        <v>25</v>
      </c>
      <c r="DA832" t="s">
        <v>25</v>
      </c>
      <c r="DB832" t="s">
        <v>31</v>
      </c>
      <c r="DC832" t="s">
        <v>25</v>
      </c>
      <c r="DD832" t="s">
        <v>25</v>
      </c>
      <c r="DE832" t="s">
        <v>25</v>
      </c>
      <c r="DF832" t="s">
        <v>25</v>
      </c>
      <c r="DG832" t="s">
        <v>25</v>
      </c>
      <c r="DH832" t="s">
        <v>25</v>
      </c>
      <c r="DI832" t="s">
        <v>25</v>
      </c>
      <c r="DJ832" s="76">
        <v>0.25499999709427379</v>
      </c>
      <c r="DK832" s="73">
        <v>0</v>
      </c>
      <c r="DL832" s="73">
        <v>195</v>
      </c>
      <c r="DM832" s="73">
        <v>-195</v>
      </c>
      <c r="DN832" s="65" t="s">
        <v>126</v>
      </c>
      <c r="DU832"/>
      <c r="DZ832" s="73">
        <v>195</v>
      </c>
      <c r="EA832" s="73">
        <v>0</v>
      </c>
      <c r="EB832" s="73">
        <v>195</v>
      </c>
      <c r="EC832" s="65" t="s">
        <v>126</v>
      </c>
    </row>
    <row r="833" spans="1:133" ht="12" customHeight="1" x14ac:dyDescent="0.2">
      <c r="A833" t="s">
        <v>2938</v>
      </c>
      <c r="B833" t="s">
        <v>2946</v>
      </c>
      <c r="C833" t="str">
        <f t="shared" si="38"/>
        <v>Full</v>
      </c>
      <c r="E833" s="65">
        <v>6827</v>
      </c>
      <c r="F833" t="s">
        <v>2743</v>
      </c>
      <c r="G833" s="71" t="s">
        <v>3950</v>
      </c>
      <c r="H833" s="67">
        <v>0.25299999117851302</v>
      </c>
      <c r="I833" s="65">
        <v>528519</v>
      </c>
      <c r="J833" s="65">
        <v>170963</v>
      </c>
      <c r="L833" s="65" t="s">
        <v>2744</v>
      </c>
      <c r="M833" s="65" t="s">
        <v>172</v>
      </c>
      <c r="N833" s="69">
        <v>43159</v>
      </c>
      <c r="R833" s="65" t="s">
        <v>28</v>
      </c>
      <c r="U833" t="s">
        <v>2745</v>
      </c>
      <c r="V833" t="s">
        <v>3773</v>
      </c>
      <c r="W833" s="65" t="s">
        <v>39</v>
      </c>
      <c r="X833" s="65" t="s">
        <v>39</v>
      </c>
      <c r="Y833" s="65" t="s">
        <v>69</v>
      </c>
      <c r="AD833" s="65" t="s">
        <v>173</v>
      </c>
      <c r="AE833" s="65" t="s">
        <v>24</v>
      </c>
      <c r="BO833" s="185" t="s">
        <v>3794</v>
      </c>
      <c r="BP833" s="185" t="s">
        <v>3794</v>
      </c>
      <c r="BQ833" s="185" t="s">
        <v>3794</v>
      </c>
      <c r="BW833" s="73"/>
      <c r="BY833" s="185" t="s">
        <v>3794</v>
      </c>
      <c r="CF833" s="73">
        <v>576</v>
      </c>
      <c r="CJ833" t="s">
        <v>25</v>
      </c>
      <c r="CK833" t="s">
        <v>25</v>
      </c>
      <c r="CL833" t="s">
        <v>25</v>
      </c>
      <c r="CM833" t="s">
        <v>25</v>
      </c>
      <c r="CN833" t="s">
        <v>25</v>
      </c>
      <c r="CO833" t="s">
        <v>25</v>
      </c>
      <c r="CP833" t="s">
        <v>25</v>
      </c>
      <c r="CQ833" t="s">
        <v>25</v>
      </c>
      <c r="CR833" t="s">
        <v>25</v>
      </c>
      <c r="CS833" t="s">
        <v>25</v>
      </c>
      <c r="CT833" t="s">
        <v>2746</v>
      </c>
      <c r="CU833" t="s">
        <v>25</v>
      </c>
      <c r="CV833" t="s">
        <v>25</v>
      </c>
      <c r="CW833" t="s">
        <v>25</v>
      </c>
      <c r="CX833" t="s">
        <v>25</v>
      </c>
      <c r="CY833" t="s">
        <v>25</v>
      </c>
      <c r="CZ833" t="s">
        <v>25</v>
      </c>
      <c r="DA833" t="s">
        <v>25</v>
      </c>
      <c r="DB833" t="s">
        <v>25</v>
      </c>
      <c r="DC833" t="s">
        <v>25</v>
      </c>
      <c r="DD833" t="s">
        <v>25</v>
      </c>
      <c r="DE833" t="s">
        <v>25</v>
      </c>
      <c r="DF833" t="s">
        <v>25</v>
      </c>
      <c r="DG833" t="s">
        <v>25</v>
      </c>
      <c r="DH833" t="s">
        <v>25</v>
      </c>
      <c r="DI833" t="s">
        <v>25</v>
      </c>
      <c r="DJ833" s="76">
        <v>0.25299999117851302</v>
      </c>
      <c r="DK833" s="73">
        <v>576</v>
      </c>
      <c r="DL833" s="73">
        <v>0</v>
      </c>
      <c r="DM833" s="73">
        <v>576</v>
      </c>
      <c r="DU833"/>
      <c r="DZ833" s="73">
        <v>0</v>
      </c>
      <c r="EA833" s="73">
        <v>0</v>
      </c>
      <c r="EB833" s="73">
        <v>0</v>
      </c>
    </row>
    <row r="834" spans="1:133" ht="12" customHeight="1" x14ac:dyDescent="0.2">
      <c r="A834" t="s">
        <v>2938</v>
      </c>
      <c r="B834" t="s">
        <v>2946</v>
      </c>
      <c r="C834" t="str">
        <f t="shared" si="38"/>
        <v>Full</v>
      </c>
      <c r="E834" s="65">
        <v>6829</v>
      </c>
      <c r="F834" t="s">
        <v>2747</v>
      </c>
      <c r="G834" s="71" t="s">
        <v>3942</v>
      </c>
      <c r="I834" s="65">
        <v>527412</v>
      </c>
      <c r="J834" s="65">
        <v>175246</v>
      </c>
      <c r="L834" s="65" t="s">
        <v>2748</v>
      </c>
      <c r="M834" s="65" t="s">
        <v>172</v>
      </c>
      <c r="N834" s="69">
        <v>43160</v>
      </c>
      <c r="R834" s="65" t="s">
        <v>28</v>
      </c>
      <c r="U834" t="s">
        <v>2749</v>
      </c>
      <c r="V834" t="s">
        <v>3774</v>
      </c>
      <c r="W834" s="65" t="s">
        <v>21</v>
      </c>
      <c r="X834" s="65" t="s">
        <v>21</v>
      </c>
      <c r="Y834" s="65" t="s">
        <v>69</v>
      </c>
      <c r="AD834" s="65" t="s">
        <v>173</v>
      </c>
      <c r="AE834" s="65" t="s">
        <v>24</v>
      </c>
      <c r="AJ834" s="73">
        <v>30</v>
      </c>
      <c r="AO834" s="73">
        <v>30</v>
      </c>
      <c r="AZ834" s="73">
        <v>95</v>
      </c>
      <c r="BE834" s="73">
        <v>95</v>
      </c>
      <c r="BO834" s="185" t="s">
        <v>126</v>
      </c>
      <c r="BP834" s="185" t="s">
        <v>3794</v>
      </c>
      <c r="BQ834" s="185" t="s">
        <v>3794</v>
      </c>
      <c r="BR834" s="73">
        <v>-65</v>
      </c>
      <c r="BW834" s="73">
        <v>-65</v>
      </c>
      <c r="BY834" s="185" t="s">
        <v>3794</v>
      </c>
      <c r="CJ834" t="s">
        <v>26</v>
      </c>
      <c r="CK834" t="s">
        <v>25</v>
      </c>
      <c r="CL834" t="s">
        <v>25</v>
      </c>
      <c r="CM834" t="s">
        <v>25</v>
      </c>
      <c r="CN834" t="s">
        <v>25</v>
      </c>
      <c r="CO834" t="s">
        <v>25</v>
      </c>
      <c r="CP834" t="s">
        <v>25</v>
      </c>
      <c r="CQ834" t="s">
        <v>25</v>
      </c>
      <c r="CR834" t="s">
        <v>25</v>
      </c>
      <c r="CS834" t="s">
        <v>25</v>
      </c>
      <c r="CT834" t="s">
        <v>25</v>
      </c>
      <c r="CU834" t="s">
        <v>25</v>
      </c>
      <c r="CV834" t="s">
        <v>25</v>
      </c>
      <c r="CW834" t="s">
        <v>26</v>
      </c>
      <c r="CX834" t="s">
        <v>25</v>
      </c>
      <c r="CY834" t="s">
        <v>25</v>
      </c>
      <c r="CZ834" t="s">
        <v>25</v>
      </c>
      <c r="DA834" t="s">
        <v>25</v>
      </c>
      <c r="DB834" t="s">
        <v>25</v>
      </c>
      <c r="DC834" t="s">
        <v>25</v>
      </c>
      <c r="DD834" t="s">
        <v>25</v>
      </c>
      <c r="DE834" t="s">
        <v>25</v>
      </c>
      <c r="DF834" t="s">
        <v>25</v>
      </c>
      <c r="DG834" t="s">
        <v>25</v>
      </c>
      <c r="DH834" t="s">
        <v>25</v>
      </c>
      <c r="DI834" t="s">
        <v>25</v>
      </c>
      <c r="DJ834" s="76">
        <v>0</v>
      </c>
      <c r="DK834" s="73">
        <v>95</v>
      </c>
      <c r="DL834" s="73">
        <v>95</v>
      </c>
      <c r="DM834" s="73">
        <v>0</v>
      </c>
      <c r="DU834"/>
      <c r="DV834" s="65" t="s">
        <v>126</v>
      </c>
      <c r="DW834" t="s">
        <v>132</v>
      </c>
      <c r="DZ834" s="73">
        <v>0</v>
      </c>
      <c r="EA834" s="73">
        <v>0</v>
      </c>
      <c r="EB834" s="73">
        <v>0</v>
      </c>
    </row>
    <row r="835" spans="1:133" ht="12" customHeight="1" x14ac:dyDescent="0.2">
      <c r="A835" t="s">
        <v>2938</v>
      </c>
      <c r="B835" t="s">
        <v>2946</v>
      </c>
      <c r="C835" t="str">
        <f t="shared" ref="C835:C898" si="39">RIGHT(B835,LEN(B835)-3)</f>
        <v>Full</v>
      </c>
      <c r="E835" s="65">
        <v>6831</v>
      </c>
      <c r="F835" t="s">
        <v>2750</v>
      </c>
      <c r="G835" s="71" t="s">
        <v>3943</v>
      </c>
      <c r="I835" s="65">
        <v>526454</v>
      </c>
      <c r="J835" s="65">
        <v>175614</v>
      </c>
      <c r="L835" s="65" t="s">
        <v>2751</v>
      </c>
      <c r="M835" s="65" t="s">
        <v>172</v>
      </c>
      <c r="N835" s="69">
        <v>43159</v>
      </c>
      <c r="U835" t="s">
        <v>2752</v>
      </c>
      <c r="V835" t="s">
        <v>3775</v>
      </c>
      <c r="W835" s="65" t="s">
        <v>21</v>
      </c>
      <c r="X835" s="65" t="s">
        <v>21</v>
      </c>
      <c r="Y835" s="65" t="s">
        <v>69</v>
      </c>
      <c r="AD835" s="65" t="s">
        <v>173</v>
      </c>
      <c r="AE835" s="65" t="s">
        <v>24</v>
      </c>
      <c r="AX835" s="73">
        <v>345</v>
      </c>
      <c r="AY835" s="73">
        <v>345</v>
      </c>
      <c r="BF835" s="73">
        <v>345</v>
      </c>
      <c r="BK835" s="73">
        <v>345</v>
      </c>
      <c r="BO835" s="185" t="s">
        <v>3794</v>
      </c>
      <c r="BP835" s="185" t="s">
        <v>126</v>
      </c>
      <c r="BQ835" s="185" t="s">
        <v>126</v>
      </c>
      <c r="BW835" s="73"/>
      <c r="BX835" s="73">
        <v>-345</v>
      </c>
      <c r="BY835" s="185" t="s">
        <v>126</v>
      </c>
      <c r="CD835" s="73">
        <v>-345</v>
      </c>
      <c r="CE835" s="65" t="s">
        <v>126</v>
      </c>
      <c r="CH835" s="73">
        <v>345</v>
      </c>
      <c r="CI835" s="73">
        <v>345</v>
      </c>
      <c r="CJ835" t="s">
        <v>25</v>
      </c>
      <c r="CK835" t="s">
        <v>25</v>
      </c>
      <c r="CL835" t="s">
        <v>25</v>
      </c>
      <c r="CM835" t="s">
        <v>25</v>
      </c>
      <c r="CN835" t="s">
        <v>25</v>
      </c>
      <c r="CO835" t="s">
        <v>25</v>
      </c>
      <c r="CP835" t="s">
        <v>25</v>
      </c>
      <c r="CQ835" t="s">
        <v>25</v>
      </c>
      <c r="CR835" t="s">
        <v>25</v>
      </c>
      <c r="CS835" t="s">
        <v>25</v>
      </c>
      <c r="CT835" t="s">
        <v>25</v>
      </c>
      <c r="CU835" t="s">
        <v>25</v>
      </c>
      <c r="CV835" t="s">
        <v>49</v>
      </c>
      <c r="CW835" t="s">
        <v>25</v>
      </c>
      <c r="CX835" t="s">
        <v>25</v>
      </c>
      <c r="CY835" t="s">
        <v>25</v>
      </c>
      <c r="CZ835" t="s">
        <v>25</v>
      </c>
      <c r="DA835" t="s">
        <v>25</v>
      </c>
      <c r="DB835" t="s">
        <v>47</v>
      </c>
      <c r="DC835" t="s">
        <v>25</v>
      </c>
      <c r="DD835" t="s">
        <v>25</v>
      </c>
      <c r="DE835" t="s">
        <v>25</v>
      </c>
      <c r="DF835" t="s">
        <v>25</v>
      </c>
      <c r="DG835" t="s">
        <v>25</v>
      </c>
      <c r="DH835" t="s">
        <v>25</v>
      </c>
      <c r="DI835" t="s">
        <v>25</v>
      </c>
      <c r="DJ835" s="76">
        <v>0</v>
      </c>
      <c r="DK835" s="73">
        <v>345</v>
      </c>
      <c r="DL835" s="73">
        <v>345</v>
      </c>
      <c r="DM835" s="73">
        <v>0</v>
      </c>
      <c r="DN835" s="65" t="s">
        <v>126</v>
      </c>
      <c r="DS835" s="65" t="s">
        <v>126</v>
      </c>
      <c r="DT835" t="s">
        <v>2910</v>
      </c>
      <c r="DU835"/>
      <c r="DZ835" s="73">
        <v>0</v>
      </c>
      <c r="EA835" s="73">
        <v>0</v>
      </c>
      <c r="EB835" s="73">
        <v>0</v>
      </c>
    </row>
    <row r="836" spans="1:133" ht="12" customHeight="1" x14ac:dyDescent="0.2">
      <c r="A836" t="s">
        <v>2938</v>
      </c>
      <c r="B836" t="s">
        <v>2948</v>
      </c>
      <c r="C836" t="str">
        <f t="shared" si="39"/>
        <v>Prior Approval</v>
      </c>
      <c r="E836" s="65">
        <v>6832</v>
      </c>
      <c r="F836" t="s">
        <v>2753</v>
      </c>
      <c r="G836" s="71" t="s">
        <v>3939</v>
      </c>
      <c r="H836" s="67">
        <v>1.4999999664723899E-2</v>
      </c>
      <c r="I836" s="65">
        <v>524684</v>
      </c>
      <c r="J836" s="65">
        <v>173166</v>
      </c>
      <c r="L836" s="65" t="s">
        <v>2754</v>
      </c>
      <c r="M836" s="65" t="s">
        <v>227</v>
      </c>
      <c r="N836" s="69">
        <v>43159</v>
      </c>
      <c r="R836" s="65" t="s">
        <v>28</v>
      </c>
      <c r="U836" t="s">
        <v>2755</v>
      </c>
      <c r="V836" t="s">
        <v>3776</v>
      </c>
      <c r="W836" s="65" t="s">
        <v>21</v>
      </c>
      <c r="X836" s="65" t="s">
        <v>21</v>
      </c>
      <c r="Y836" s="65" t="s">
        <v>69</v>
      </c>
      <c r="AD836" s="65" t="s">
        <v>173</v>
      </c>
      <c r="AE836" s="65" t="s">
        <v>24</v>
      </c>
      <c r="AL836" s="73">
        <v>91</v>
      </c>
      <c r="AO836" s="73">
        <v>91</v>
      </c>
      <c r="AZ836" s="73">
        <v>91</v>
      </c>
      <c r="BE836" s="73">
        <v>91</v>
      </c>
      <c r="BO836" s="185" t="s">
        <v>126</v>
      </c>
      <c r="BP836" s="185" t="s">
        <v>3794</v>
      </c>
      <c r="BQ836" s="185" t="s">
        <v>3794</v>
      </c>
      <c r="BR836" s="73">
        <v>-91</v>
      </c>
      <c r="BT836" s="73">
        <v>91</v>
      </c>
      <c r="BW836" s="73"/>
      <c r="BY836" s="185" t="s">
        <v>3794</v>
      </c>
      <c r="CJ836" t="s">
        <v>25</v>
      </c>
      <c r="CK836" t="s">
        <v>25</v>
      </c>
      <c r="CL836" t="s">
        <v>50</v>
      </c>
      <c r="CM836" t="s">
        <v>25</v>
      </c>
      <c r="CN836" t="s">
        <v>25</v>
      </c>
      <c r="CO836" t="s">
        <v>25</v>
      </c>
      <c r="CP836" t="s">
        <v>25</v>
      </c>
      <c r="CQ836" t="s">
        <v>25</v>
      </c>
      <c r="CR836" t="s">
        <v>25</v>
      </c>
      <c r="CS836" t="s">
        <v>25</v>
      </c>
      <c r="CT836" t="s">
        <v>25</v>
      </c>
      <c r="CU836" t="s">
        <v>25</v>
      </c>
      <c r="CV836" t="s">
        <v>25</v>
      </c>
      <c r="CW836" t="s">
        <v>31</v>
      </c>
      <c r="CX836" t="s">
        <v>25</v>
      </c>
      <c r="CY836" t="s">
        <v>25</v>
      </c>
      <c r="CZ836" t="s">
        <v>25</v>
      </c>
      <c r="DA836" t="s">
        <v>25</v>
      </c>
      <c r="DB836" t="s">
        <v>25</v>
      </c>
      <c r="DC836" t="s">
        <v>25</v>
      </c>
      <c r="DD836" t="s">
        <v>25</v>
      </c>
      <c r="DE836" t="s">
        <v>25</v>
      </c>
      <c r="DF836" t="s">
        <v>25</v>
      </c>
      <c r="DG836" t="s">
        <v>25</v>
      </c>
      <c r="DH836" t="s">
        <v>25</v>
      </c>
      <c r="DI836" t="s">
        <v>25</v>
      </c>
      <c r="DJ836" s="76">
        <v>1.4999999664723899E-2</v>
      </c>
      <c r="DK836" s="73">
        <v>91</v>
      </c>
      <c r="DL836" s="73">
        <v>91</v>
      </c>
      <c r="DM836" s="73">
        <v>0</v>
      </c>
      <c r="DU836"/>
      <c r="DX836" s="65" t="s">
        <v>126</v>
      </c>
      <c r="DY836" t="s">
        <v>2907</v>
      </c>
      <c r="DZ836" s="73">
        <v>0</v>
      </c>
      <c r="EA836" s="73">
        <v>0</v>
      </c>
      <c r="EB836" s="73">
        <v>0</v>
      </c>
    </row>
    <row r="837" spans="1:133" ht="12" customHeight="1" x14ac:dyDescent="0.2">
      <c r="A837" t="s">
        <v>2938</v>
      </c>
      <c r="B837" t="s">
        <v>2946</v>
      </c>
      <c r="C837" t="str">
        <f t="shared" si="39"/>
        <v>Full</v>
      </c>
      <c r="E837" s="65">
        <v>6838</v>
      </c>
      <c r="F837" t="s">
        <v>2756</v>
      </c>
      <c r="G837" s="71" t="s">
        <v>3946</v>
      </c>
      <c r="H837" s="67">
        <v>1.2029999494552599</v>
      </c>
      <c r="I837" s="65">
        <v>523938</v>
      </c>
      <c r="J837" s="65">
        <v>175373</v>
      </c>
      <c r="L837" s="65" t="s">
        <v>2757</v>
      </c>
      <c r="M837" s="65" t="s">
        <v>172</v>
      </c>
      <c r="N837" s="69">
        <v>43166</v>
      </c>
      <c r="R837" s="65" t="s">
        <v>28</v>
      </c>
      <c r="U837" t="s">
        <v>2758</v>
      </c>
      <c r="V837" t="s">
        <v>3777</v>
      </c>
      <c r="W837" s="65" t="s">
        <v>21</v>
      </c>
      <c r="X837" s="65" t="s">
        <v>21</v>
      </c>
      <c r="Y837" s="65" t="s">
        <v>69</v>
      </c>
      <c r="AD837" s="65" t="s">
        <v>173</v>
      </c>
      <c r="AE837" s="65" t="s">
        <v>24</v>
      </c>
      <c r="AL837" s="73">
        <v>707</v>
      </c>
      <c r="AM837" s="73">
        <v>707</v>
      </c>
      <c r="AO837" s="73">
        <v>1414</v>
      </c>
      <c r="BO837" s="185" t="s">
        <v>126</v>
      </c>
      <c r="BP837" s="185" t="s">
        <v>3794</v>
      </c>
      <c r="BQ837" s="185" t="s">
        <v>3794</v>
      </c>
      <c r="BT837" s="73">
        <v>707</v>
      </c>
      <c r="BU837" s="73">
        <v>707</v>
      </c>
      <c r="BW837" s="73">
        <v>1414</v>
      </c>
      <c r="BY837" s="185" t="s">
        <v>3794</v>
      </c>
      <c r="CJ837" t="s">
        <v>25</v>
      </c>
      <c r="CK837" t="s">
        <v>25</v>
      </c>
      <c r="CL837" t="s">
        <v>2759</v>
      </c>
      <c r="CM837" t="s">
        <v>175</v>
      </c>
      <c r="CN837" t="s">
        <v>25</v>
      </c>
      <c r="CO837" t="s">
        <v>25</v>
      </c>
      <c r="CP837" t="s">
        <v>25</v>
      </c>
      <c r="CQ837" t="s">
        <v>25</v>
      </c>
      <c r="CR837" t="s">
        <v>25</v>
      </c>
      <c r="CS837" t="s">
        <v>25</v>
      </c>
      <c r="CT837" t="s">
        <v>25</v>
      </c>
      <c r="CU837" t="s">
        <v>25</v>
      </c>
      <c r="CV837" t="s">
        <v>25</v>
      </c>
      <c r="CW837" t="s">
        <v>25</v>
      </c>
      <c r="CX837" t="s">
        <v>25</v>
      </c>
      <c r="CY837" t="s">
        <v>25</v>
      </c>
      <c r="CZ837" t="s">
        <v>25</v>
      </c>
      <c r="DA837" t="s">
        <v>25</v>
      </c>
      <c r="DB837" t="s">
        <v>25</v>
      </c>
      <c r="DC837" t="s">
        <v>25</v>
      </c>
      <c r="DD837" t="s">
        <v>25</v>
      </c>
      <c r="DE837" t="s">
        <v>25</v>
      </c>
      <c r="DF837" t="s">
        <v>25</v>
      </c>
      <c r="DG837" t="s">
        <v>25</v>
      </c>
      <c r="DH837" t="s">
        <v>25</v>
      </c>
      <c r="DI837" t="s">
        <v>25</v>
      </c>
      <c r="DJ837" s="76">
        <v>1.2029999494552599</v>
      </c>
      <c r="DK837" s="73">
        <v>1414</v>
      </c>
      <c r="DL837" s="73">
        <v>130</v>
      </c>
      <c r="DM837" s="73">
        <v>1284</v>
      </c>
      <c r="DU837"/>
      <c r="DV837" s="65" t="s">
        <v>126</v>
      </c>
      <c r="DW837" t="s">
        <v>131</v>
      </c>
      <c r="DZ837" s="73">
        <v>0</v>
      </c>
      <c r="EA837" s="73">
        <v>0</v>
      </c>
      <c r="EB837" s="73">
        <v>0</v>
      </c>
    </row>
    <row r="838" spans="1:133" ht="12" customHeight="1" x14ac:dyDescent="0.2">
      <c r="A838" t="s">
        <v>2938</v>
      </c>
      <c r="B838" t="s">
        <v>2946</v>
      </c>
      <c r="C838" t="str">
        <f t="shared" si="39"/>
        <v>Full</v>
      </c>
      <c r="E838" s="65">
        <v>6839</v>
      </c>
      <c r="F838" t="s">
        <v>2760</v>
      </c>
      <c r="G838" s="71" t="s">
        <v>3946</v>
      </c>
      <c r="H838" s="67">
        <v>7.0000002160668399E-3</v>
      </c>
      <c r="I838" s="65">
        <v>525097</v>
      </c>
      <c r="J838" s="65">
        <v>175034</v>
      </c>
      <c r="L838" s="65" t="s">
        <v>2761</v>
      </c>
      <c r="M838" s="65" t="s">
        <v>172</v>
      </c>
      <c r="N838" s="69">
        <v>43168</v>
      </c>
      <c r="R838" s="65" t="s">
        <v>28</v>
      </c>
      <c r="U838" t="s">
        <v>2762</v>
      </c>
      <c r="V838" t="s">
        <v>3778</v>
      </c>
      <c r="W838" s="65" t="s">
        <v>29</v>
      </c>
      <c r="X838" s="65" t="s">
        <v>29</v>
      </c>
      <c r="Y838" s="65" t="s">
        <v>69</v>
      </c>
      <c r="AD838" s="65" t="s">
        <v>173</v>
      </c>
      <c r="AE838" s="65" t="s">
        <v>24</v>
      </c>
      <c r="BO838" s="185" t="s">
        <v>3794</v>
      </c>
      <c r="BP838" s="185" t="s">
        <v>3794</v>
      </c>
      <c r="BQ838" s="185" t="s">
        <v>3794</v>
      </c>
      <c r="BW838" s="73"/>
      <c r="BY838" s="185" t="s">
        <v>3794</v>
      </c>
      <c r="CJ838" t="s">
        <v>25</v>
      </c>
      <c r="CK838" t="s">
        <v>25</v>
      </c>
      <c r="CL838" t="s">
        <v>25</v>
      </c>
      <c r="CM838" t="s">
        <v>25</v>
      </c>
      <c r="CN838" t="s">
        <v>25</v>
      </c>
      <c r="CO838" t="s">
        <v>25</v>
      </c>
      <c r="CP838" t="s">
        <v>25</v>
      </c>
      <c r="CQ838" t="s">
        <v>25</v>
      </c>
      <c r="CR838" t="s">
        <v>25</v>
      </c>
      <c r="CS838" t="s">
        <v>25</v>
      </c>
      <c r="CT838" t="s">
        <v>25</v>
      </c>
      <c r="CU838" t="s">
        <v>25</v>
      </c>
      <c r="CV838" t="s">
        <v>25</v>
      </c>
      <c r="CW838" t="s">
        <v>25</v>
      </c>
      <c r="CX838" t="s">
        <v>25</v>
      </c>
      <c r="CY838" t="s">
        <v>25</v>
      </c>
      <c r="CZ838" t="s">
        <v>25</v>
      </c>
      <c r="DA838" t="s">
        <v>25</v>
      </c>
      <c r="DB838" t="s">
        <v>25</v>
      </c>
      <c r="DC838" t="s">
        <v>25</v>
      </c>
      <c r="DD838" t="s">
        <v>25</v>
      </c>
      <c r="DE838" t="s">
        <v>25</v>
      </c>
      <c r="DF838" t="s">
        <v>25</v>
      </c>
      <c r="DG838" t="s">
        <v>25</v>
      </c>
      <c r="DH838" t="s">
        <v>25</v>
      </c>
      <c r="DI838" t="s">
        <v>25</v>
      </c>
      <c r="DJ838" s="76">
        <v>0</v>
      </c>
      <c r="DK838" s="73">
        <v>0</v>
      </c>
      <c r="DL838" s="73">
        <v>65</v>
      </c>
      <c r="DM838" s="73">
        <v>-65</v>
      </c>
      <c r="DU838"/>
      <c r="DZ838" s="73">
        <v>192</v>
      </c>
      <c r="EA838" s="73">
        <v>0</v>
      </c>
      <c r="EB838" s="73">
        <v>192</v>
      </c>
      <c r="EC838" s="65" t="s">
        <v>126</v>
      </c>
    </row>
    <row r="839" spans="1:133" ht="12" customHeight="1" x14ac:dyDescent="0.2">
      <c r="A839" t="s">
        <v>2938</v>
      </c>
      <c r="B839" t="s">
        <v>2946</v>
      </c>
      <c r="C839" t="str">
        <f t="shared" si="39"/>
        <v>Full</v>
      </c>
      <c r="E839" s="65">
        <v>6841</v>
      </c>
      <c r="F839" t="s">
        <v>2763</v>
      </c>
      <c r="G839" s="71" t="s">
        <v>3939</v>
      </c>
      <c r="H839" s="67">
        <v>9.7000002861022894E-2</v>
      </c>
      <c r="I839" s="65">
        <v>524290</v>
      </c>
      <c r="J839" s="65">
        <v>173418</v>
      </c>
      <c r="L839" s="65" t="s">
        <v>2764</v>
      </c>
      <c r="M839" s="65" t="s">
        <v>172</v>
      </c>
      <c r="N839" s="69">
        <v>43168</v>
      </c>
      <c r="R839" s="65" t="s">
        <v>28</v>
      </c>
      <c r="U839" t="s">
        <v>2765</v>
      </c>
      <c r="V839" t="s">
        <v>3779</v>
      </c>
      <c r="W839" s="65" t="s">
        <v>29</v>
      </c>
      <c r="X839" s="65" t="s">
        <v>29</v>
      </c>
      <c r="Y839" s="65" t="s">
        <v>69</v>
      </c>
      <c r="AD839" s="65" t="s">
        <v>173</v>
      </c>
      <c r="AE839" s="65" t="s">
        <v>24</v>
      </c>
      <c r="BO839" s="185" t="s">
        <v>3794</v>
      </c>
      <c r="BP839" s="185" t="s">
        <v>3794</v>
      </c>
      <c r="BQ839" s="185" t="s">
        <v>3794</v>
      </c>
      <c r="BW839" s="73"/>
      <c r="BY839" s="185" t="s">
        <v>3794</v>
      </c>
      <c r="CJ839" t="s">
        <v>25</v>
      </c>
      <c r="CK839" t="s">
        <v>25</v>
      </c>
      <c r="CL839" t="s">
        <v>25</v>
      </c>
      <c r="CM839" t="s">
        <v>25</v>
      </c>
      <c r="CN839" t="s">
        <v>25</v>
      </c>
      <c r="CO839" t="s">
        <v>25</v>
      </c>
      <c r="CP839" t="s">
        <v>25</v>
      </c>
      <c r="CQ839" t="s">
        <v>25</v>
      </c>
      <c r="CR839" t="s">
        <v>25</v>
      </c>
      <c r="CS839" t="s">
        <v>25</v>
      </c>
      <c r="CT839" t="s">
        <v>25</v>
      </c>
      <c r="CU839" t="s">
        <v>25</v>
      </c>
      <c r="CV839" t="s">
        <v>25</v>
      </c>
      <c r="CW839" t="s">
        <v>25</v>
      </c>
      <c r="CX839" t="s">
        <v>25</v>
      </c>
      <c r="CY839" t="s">
        <v>25</v>
      </c>
      <c r="CZ839" t="s">
        <v>25</v>
      </c>
      <c r="DA839" t="s">
        <v>25</v>
      </c>
      <c r="DB839" t="s">
        <v>25</v>
      </c>
      <c r="DC839" t="s">
        <v>25</v>
      </c>
      <c r="DD839" t="s">
        <v>25</v>
      </c>
      <c r="DE839" t="s">
        <v>25</v>
      </c>
      <c r="DF839" t="s">
        <v>25</v>
      </c>
      <c r="DG839" t="s">
        <v>25</v>
      </c>
      <c r="DH839" t="s">
        <v>25</v>
      </c>
      <c r="DI839" t="s">
        <v>25</v>
      </c>
      <c r="DJ839" s="76">
        <v>2.1999999880790697E-2</v>
      </c>
      <c r="DK839" s="73">
        <v>339</v>
      </c>
      <c r="DL839" s="73">
        <v>194</v>
      </c>
      <c r="DM839" s="73">
        <v>145</v>
      </c>
      <c r="DU839"/>
      <c r="DZ839" s="73">
        <v>1173</v>
      </c>
      <c r="EA839" s="73">
        <v>0</v>
      </c>
      <c r="EB839" s="73">
        <v>1173</v>
      </c>
      <c r="EC839" s="65" t="s">
        <v>126</v>
      </c>
    </row>
    <row r="840" spans="1:133" ht="12" customHeight="1" x14ac:dyDescent="0.2">
      <c r="A840" t="s">
        <v>2938</v>
      </c>
      <c r="B840" t="s">
        <v>2946</v>
      </c>
      <c r="C840" t="str">
        <f t="shared" si="39"/>
        <v>Full</v>
      </c>
      <c r="E840" s="65">
        <v>6843</v>
      </c>
      <c r="F840" t="s">
        <v>2766</v>
      </c>
      <c r="G840" s="71" t="s">
        <v>3949</v>
      </c>
      <c r="H840" s="67">
        <v>2.0000000949949E-3</v>
      </c>
      <c r="I840" s="65">
        <v>524516</v>
      </c>
      <c r="J840" s="65">
        <v>174818</v>
      </c>
      <c r="L840" s="65" t="s">
        <v>2767</v>
      </c>
      <c r="M840" s="65" t="s">
        <v>172</v>
      </c>
      <c r="N840" s="69">
        <v>43172</v>
      </c>
      <c r="R840" s="65" t="s">
        <v>28</v>
      </c>
      <c r="U840" t="s">
        <v>2768</v>
      </c>
      <c r="V840" t="s">
        <v>3780</v>
      </c>
      <c r="W840" s="65" t="s">
        <v>21</v>
      </c>
      <c r="X840" s="65" t="s">
        <v>21</v>
      </c>
      <c r="Y840" s="65" t="s">
        <v>69</v>
      </c>
      <c r="AD840" s="65" t="s">
        <v>173</v>
      </c>
      <c r="AE840" s="65" t="s">
        <v>24</v>
      </c>
      <c r="BO840" s="185" t="s">
        <v>3794</v>
      </c>
      <c r="BP840" s="185" t="s">
        <v>3794</v>
      </c>
      <c r="BQ840" s="185" t="s">
        <v>3794</v>
      </c>
      <c r="BW840" s="73"/>
      <c r="BY840" s="185" t="s">
        <v>3794</v>
      </c>
      <c r="CJ840" t="s">
        <v>25</v>
      </c>
      <c r="CK840" t="s">
        <v>25</v>
      </c>
      <c r="CL840" t="s">
        <v>25</v>
      </c>
      <c r="CM840" t="s">
        <v>25</v>
      </c>
      <c r="CN840" t="s">
        <v>25</v>
      </c>
      <c r="CO840" t="s">
        <v>25</v>
      </c>
      <c r="CP840" t="s">
        <v>25</v>
      </c>
      <c r="CQ840" t="s">
        <v>25</v>
      </c>
      <c r="CR840" t="s">
        <v>25</v>
      </c>
      <c r="CS840" t="s">
        <v>25</v>
      </c>
      <c r="CT840" t="s">
        <v>25</v>
      </c>
      <c r="CU840" t="s">
        <v>25</v>
      </c>
      <c r="CV840" t="s">
        <v>25</v>
      </c>
      <c r="CW840" t="s">
        <v>25</v>
      </c>
      <c r="CX840" t="s">
        <v>25</v>
      </c>
      <c r="CY840" t="s">
        <v>25</v>
      </c>
      <c r="CZ840" t="s">
        <v>25</v>
      </c>
      <c r="DA840" t="s">
        <v>25</v>
      </c>
      <c r="DB840" t="s">
        <v>25</v>
      </c>
      <c r="DC840" t="s">
        <v>25</v>
      </c>
      <c r="DD840" t="s">
        <v>25</v>
      </c>
      <c r="DE840" t="s">
        <v>25</v>
      </c>
      <c r="DF840" t="s">
        <v>25</v>
      </c>
      <c r="DG840" t="s">
        <v>25</v>
      </c>
      <c r="DH840" t="s">
        <v>25</v>
      </c>
      <c r="DI840" t="s">
        <v>25</v>
      </c>
      <c r="DJ840" s="76">
        <v>2.0000000949949E-3</v>
      </c>
      <c r="DK840" s="73">
        <v>28</v>
      </c>
      <c r="DL840" s="73">
        <v>28</v>
      </c>
      <c r="DM840" s="73">
        <v>0</v>
      </c>
      <c r="DU840"/>
      <c r="DZ840" s="73">
        <v>0</v>
      </c>
      <c r="EA840" s="73">
        <v>0</v>
      </c>
      <c r="EB840" s="73">
        <v>0</v>
      </c>
    </row>
    <row r="841" spans="1:133" ht="12" customHeight="1" x14ac:dyDescent="0.2">
      <c r="A841" t="s">
        <v>2938</v>
      </c>
      <c r="B841" t="s">
        <v>2946</v>
      </c>
      <c r="C841" t="str">
        <f t="shared" si="39"/>
        <v>Full</v>
      </c>
      <c r="E841" s="65">
        <v>6844</v>
      </c>
      <c r="F841" t="s">
        <v>2769</v>
      </c>
      <c r="G841" s="71" t="s">
        <v>3950</v>
      </c>
      <c r="H841" s="67">
        <v>8.9999996125698107E-3</v>
      </c>
      <c r="I841" s="65">
        <v>529391</v>
      </c>
      <c r="J841" s="65">
        <v>170726</v>
      </c>
      <c r="L841" s="65" t="s">
        <v>2770</v>
      </c>
      <c r="M841" s="65" t="s">
        <v>172</v>
      </c>
      <c r="N841" s="69">
        <v>43174</v>
      </c>
      <c r="R841" s="65" t="s">
        <v>28</v>
      </c>
      <c r="U841" t="s">
        <v>2771</v>
      </c>
      <c r="V841" t="s">
        <v>3781</v>
      </c>
      <c r="W841" s="65" t="s">
        <v>21</v>
      </c>
      <c r="X841" s="65" t="s">
        <v>21</v>
      </c>
      <c r="Y841" s="65" t="s">
        <v>69</v>
      </c>
      <c r="AD841" s="65" t="s">
        <v>173</v>
      </c>
      <c r="AE841" s="65" t="s">
        <v>24</v>
      </c>
      <c r="AZ841" s="73">
        <v>58</v>
      </c>
      <c r="BE841" s="73">
        <v>58</v>
      </c>
      <c r="BO841" s="185" t="s">
        <v>126</v>
      </c>
      <c r="BP841" s="185" t="s">
        <v>3794</v>
      </c>
      <c r="BQ841" s="185" t="s">
        <v>3794</v>
      </c>
      <c r="BR841" s="73">
        <v>-58</v>
      </c>
      <c r="BW841" s="73">
        <v>-58</v>
      </c>
      <c r="BY841" s="185" t="s">
        <v>3794</v>
      </c>
      <c r="CJ841" t="s">
        <v>25</v>
      </c>
      <c r="CK841" t="s">
        <v>25</v>
      </c>
      <c r="CL841" t="s">
        <v>25</v>
      </c>
      <c r="CM841" t="s">
        <v>25</v>
      </c>
      <c r="CN841" t="s">
        <v>25</v>
      </c>
      <c r="CO841" t="s">
        <v>25</v>
      </c>
      <c r="CP841" t="s">
        <v>25</v>
      </c>
      <c r="CQ841" t="s">
        <v>25</v>
      </c>
      <c r="CR841" t="s">
        <v>25</v>
      </c>
      <c r="CS841" t="s">
        <v>25</v>
      </c>
      <c r="CT841" t="s">
        <v>25</v>
      </c>
      <c r="CU841" t="s">
        <v>25</v>
      </c>
      <c r="CV841" t="s">
        <v>25</v>
      </c>
      <c r="CW841" t="s">
        <v>40</v>
      </c>
      <c r="CX841" t="s">
        <v>25</v>
      </c>
      <c r="CY841" t="s">
        <v>25</v>
      </c>
      <c r="CZ841" t="s">
        <v>25</v>
      </c>
      <c r="DA841" t="s">
        <v>25</v>
      </c>
      <c r="DB841" t="s">
        <v>25</v>
      </c>
      <c r="DC841" t="s">
        <v>25</v>
      </c>
      <c r="DD841" t="s">
        <v>25</v>
      </c>
      <c r="DE841" t="s">
        <v>25</v>
      </c>
      <c r="DF841" t="s">
        <v>25</v>
      </c>
      <c r="DG841" t="s">
        <v>25</v>
      </c>
      <c r="DH841" t="s">
        <v>25</v>
      </c>
      <c r="DI841" t="s">
        <v>25</v>
      </c>
      <c r="DJ841" s="76">
        <v>3.9999997243285205E-3</v>
      </c>
      <c r="DK841" s="73">
        <v>0</v>
      </c>
      <c r="DL841" s="73">
        <v>58</v>
      </c>
      <c r="DM841" s="73">
        <v>-58</v>
      </c>
      <c r="DU841"/>
      <c r="DZ841" s="73">
        <v>58</v>
      </c>
      <c r="EA841" s="73">
        <v>0</v>
      </c>
      <c r="EB841" s="73">
        <v>58</v>
      </c>
      <c r="EC841" s="65" t="s">
        <v>126</v>
      </c>
    </row>
    <row r="842" spans="1:133" ht="12" customHeight="1" x14ac:dyDescent="0.2">
      <c r="A842" t="s">
        <v>2938</v>
      </c>
      <c r="B842" t="s">
        <v>2946</v>
      </c>
      <c r="C842" t="str">
        <f t="shared" si="39"/>
        <v>Full</v>
      </c>
      <c r="E842" s="65">
        <v>6845</v>
      </c>
      <c r="F842" t="s">
        <v>2772</v>
      </c>
      <c r="G842" s="71" t="s">
        <v>3951</v>
      </c>
      <c r="H842" s="67">
        <v>1.30000002682209E-2</v>
      </c>
      <c r="I842" s="65">
        <v>527670</v>
      </c>
      <c r="J842" s="65">
        <v>171250</v>
      </c>
      <c r="L842" s="65" t="s">
        <v>2773</v>
      </c>
      <c r="M842" s="65" t="s">
        <v>172</v>
      </c>
      <c r="N842" s="69">
        <v>43174</v>
      </c>
      <c r="R842" s="65" t="s">
        <v>28</v>
      </c>
      <c r="U842" t="s">
        <v>2774</v>
      </c>
      <c r="V842" t="s">
        <v>3782</v>
      </c>
      <c r="W842" s="65" t="s">
        <v>21</v>
      </c>
      <c r="X842" s="65" t="s">
        <v>21</v>
      </c>
      <c r="Y842" s="65" t="s">
        <v>69</v>
      </c>
      <c r="AD842" s="65" t="s">
        <v>173</v>
      </c>
      <c r="AE842" s="65" t="s">
        <v>24</v>
      </c>
      <c r="AZ842" s="73">
        <v>67</v>
      </c>
      <c r="BE842" s="73">
        <v>67</v>
      </c>
      <c r="BO842" s="185" t="s">
        <v>126</v>
      </c>
      <c r="BP842" s="185" t="s">
        <v>3794</v>
      </c>
      <c r="BQ842" s="185" t="s">
        <v>3794</v>
      </c>
      <c r="BR842" s="73">
        <v>-67</v>
      </c>
      <c r="BW842" s="73">
        <v>-67</v>
      </c>
      <c r="BY842" s="185" t="s">
        <v>3794</v>
      </c>
      <c r="CJ842" t="s">
        <v>25</v>
      </c>
      <c r="CK842" t="s">
        <v>25</v>
      </c>
      <c r="CL842" t="s">
        <v>25</v>
      </c>
      <c r="CM842" t="s">
        <v>25</v>
      </c>
      <c r="CN842" t="s">
        <v>25</v>
      </c>
      <c r="CO842" t="s">
        <v>25</v>
      </c>
      <c r="CP842" t="s">
        <v>25</v>
      </c>
      <c r="CQ842" t="s">
        <v>25</v>
      </c>
      <c r="CR842" t="s">
        <v>25</v>
      </c>
      <c r="CS842" t="s">
        <v>25</v>
      </c>
      <c r="CT842" t="s">
        <v>25</v>
      </c>
      <c r="CU842" t="s">
        <v>25</v>
      </c>
      <c r="CV842" t="s">
        <v>25</v>
      </c>
      <c r="CW842" t="s">
        <v>46</v>
      </c>
      <c r="CX842" t="s">
        <v>25</v>
      </c>
      <c r="CY842" t="s">
        <v>25</v>
      </c>
      <c r="CZ842" t="s">
        <v>25</v>
      </c>
      <c r="DA842" t="s">
        <v>25</v>
      </c>
      <c r="DB842" t="s">
        <v>25</v>
      </c>
      <c r="DC842" t="s">
        <v>25</v>
      </c>
      <c r="DD842" t="s">
        <v>25</v>
      </c>
      <c r="DE842" t="s">
        <v>25</v>
      </c>
      <c r="DF842" t="s">
        <v>25</v>
      </c>
      <c r="DG842" t="s">
        <v>25</v>
      </c>
      <c r="DH842" t="s">
        <v>25</v>
      </c>
      <c r="DI842" t="s">
        <v>25</v>
      </c>
      <c r="DJ842" s="76">
        <v>1.30000002682209E-2</v>
      </c>
      <c r="DK842" s="73">
        <v>67</v>
      </c>
      <c r="DL842" s="73">
        <v>67</v>
      </c>
      <c r="DM842" s="73">
        <v>0</v>
      </c>
      <c r="DU842"/>
      <c r="DV842" s="65" t="s">
        <v>126</v>
      </c>
      <c r="DW842" t="s">
        <v>150</v>
      </c>
      <c r="DZ842" s="73">
        <v>0</v>
      </c>
      <c r="EA842" s="73">
        <v>0</v>
      </c>
      <c r="EB842" s="73">
        <v>0</v>
      </c>
    </row>
    <row r="843" spans="1:133" ht="12" customHeight="1" x14ac:dyDescent="0.2">
      <c r="A843" t="s">
        <v>2938</v>
      </c>
      <c r="B843" t="s">
        <v>2948</v>
      </c>
      <c r="C843" t="str">
        <f t="shared" si="39"/>
        <v>Prior Approval</v>
      </c>
      <c r="E843" s="65">
        <v>6847</v>
      </c>
      <c r="F843" t="s">
        <v>2775</v>
      </c>
      <c r="G843" s="71" t="s">
        <v>3943</v>
      </c>
      <c r="H843" s="67">
        <v>0.108999997377396</v>
      </c>
      <c r="I843" s="65">
        <v>527092</v>
      </c>
      <c r="J843" s="65">
        <v>177253</v>
      </c>
      <c r="L843" s="65" t="s">
        <v>2776</v>
      </c>
      <c r="M843" s="65" t="s">
        <v>227</v>
      </c>
      <c r="N843" s="69">
        <v>43180</v>
      </c>
      <c r="R843" s="65" t="s">
        <v>28</v>
      </c>
      <c r="U843" t="s">
        <v>2777</v>
      </c>
      <c r="V843" t="s">
        <v>3783</v>
      </c>
      <c r="W843" s="65" t="s">
        <v>21</v>
      </c>
      <c r="X843" s="65" t="s">
        <v>21</v>
      </c>
      <c r="Y843" s="65" t="s">
        <v>69</v>
      </c>
      <c r="AD843" s="65" t="s">
        <v>173</v>
      </c>
      <c r="AE843" s="65" t="s">
        <v>24</v>
      </c>
      <c r="BF843" s="73">
        <v>3200</v>
      </c>
      <c r="BK843" s="73">
        <v>3200</v>
      </c>
      <c r="BO843" s="185" t="s">
        <v>3794</v>
      </c>
      <c r="BP843" s="185" t="s">
        <v>126</v>
      </c>
      <c r="BQ843" s="185" t="s">
        <v>3794</v>
      </c>
      <c r="BW843" s="73"/>
      <c r="BX843" s="73">
        <v>-3200</v>
      </c>
      <c r="BY843" s="185" t="s">
        <v>126</v>
      </c>
      <c r="CD843" s="73">
        <v>-3200</v>
      </c>
      <c r="CE843" s="65" t="s">
        <v>126</v>
      </c>
      <c r="CJ843" t="s">
        <v>25</v>
      </c>
      <c r="CK843" t="s">
        <v>25</v>
      </c>
      <c r="CL843" t="s">
        <v>25</v>
      </c>
      <c r="CM843" t="s">
        <v>25</v>
      </c>
      <c r="CN843" t="s">
        <v>25</v>
      </c>
      <c r="CO843" t="s">
        <v>25</v>
      </c>
      <c r="CP843" t="s">
        <v>25</v>
      </c>
      <c r="CQ843" t="s">
        <v>25</v>
      </c>
      <c r="CR843" t="s">
        <v>25</v>
      </c>
      <c r="CS843" t="s">
        <v>25</v>
      </c>
      <c r="CT843" t="s">
        <v>25</v>
      </c>
      <c r="CU843" t="s">
        <v>25</v>
      </c>
      <c r="CV843" t="s">
        <v>25</v>
      </c>
      <c r="CW843" t="s">
        <v>25</v>
      </c>
      <c r="CX843" t="s">
        <v>25</v>
      </c>
      <c r="CY843" t="s">
        <v>25</v>
      </c>
      <c r="CZ843" t="s">
        <v>25</v>
      </c>
      <c r="DA843" t="s">
        <v>25</v>
      </c>
      <c r="DB843" t="s">
        <v>49</v>
      </c>
      <c r="DC843" t="s">
        <v>25</v>
      </c>
      <c r="DD843" t="s">
        <v>25</v>
      </c>
      <c r="DE843" t="s">
        <v>25</v>
      </c>
      <c r="DF843" t="s">
        <v>25</v>
      </c>
      <c r="DG843" t="s">
        <v>25</v>
      </c>
      <c r="DH843" t="s">
        <v>25</v>
      </c>
      <c r="DI843" t="s">
        <v>25</v>
      </c>
      <c r="DJ843" s="76">
        <v>1.6999997198582098E-2</v>
      </c>
      <c r="DK843" s="73">
        <v>0</v>
      </c>
      <c r="DL843" s="73">
        <v>3200</v>
      </c>
      <c r="DM843" s="73">
        <v>-3200</v>
      </c>
      <c r="DN843" s="65" t="s">
        <v>126</v>
      </c>
      <c r="DU843"/>
      <c r="DZ843" s="73">
        <v>3200</v>
      </c>
      <c r="EA843" s="73">
        <v>0</v>
      </c>
      <c r="EB843" s="73">
        <v>3200</v>
      </c>
      <c r="EC843" s="65" t="s">
        <v>126</v>
      </c>
    </row>
    <row r="844" spans="1:133" ht="12" customHeight="1" x14ac:dyDescent="0.2">
      <c r="A844" t="s">
        <v>2938</v>
      </c>
      <c r="B844" t="s">
        <v>2946</v>
      </c>
      <c r="C844" t="str">
        <f t="shared" si="39"/>
        <v>Full</v>
      </c>
      <c r="E844" s="65">
        <v>6861</v>
      </c>
      <c r="F844" t="s">
        <v>2778</v>
      </c>
      <c r="G844" s="71" t="s">
        <v>3951</v>
      </c>
      <c r="I844" s="65">
        <v>527627</v>
      </c>
      <c r="J844" s="65">
        <v>171307</v>
      </c>
      <c r="L844" s="65" t="s">
        <v>2779</v>
      </c>
      <c r="M844" s="65" t="s">
        <v>172</v>
      </c>
      <c r="N844" s="69">
        <v>43188</v>
      </c>
      <c r="R844" s="65" t="s">
        <v>28</v>
      </c>
      <c r="U844" t="s">
        <v>2780</v>
      </c>
      <c r="V844" t="s">
        <v>3784</v>
      </c>
      <c r="W844" s="65" t="s">
        <v>21</v>
      </c>
      <c r="X844" s="65" t="s">
        <v>21</v>
      </c>
      <c r="Y844" s="65" t="s">
        <v>69</v>
      </c>
      <c r="AD844" s="65" t="s">
        <v>173</v>
      </c>
      <c r="AE844" s="65" t="s">
        <v>24</v>
      </c>
      <c r="AN844" s="73">
        <v>79</v>
      </c>
      <c r="AO844" s="73">
        <v>79</v>
      </c>
      <c r="AZ844" s="73">
        <v>79</v>
      </c>
      <c r="BE844" s="73">
        <v>79</v>
      </c>
      <c r="BO844" s="185" t="s">
        <v>126</v>
      </c>
      <c r="BP844" s="185" t="s">
        <v>3794</v>
      </c>
      <c r="BQ844" s="185" t="s">
        <v>3794</v>
      </c>
      <c r="BR844" s="73">
        <v>-79</v>
      </c>
      <c r="BV844" s="73">
        <v>79</v>
      </c>
      <c r="BW844" s="73"/>
      <c r="BY844" s="185" t="s">
        <v>3794</v>
      </c>
      <c r="CJ844" t="s">
        <v>25</v>
      </c>
      <c r="CK844" t="s">
        <v>25</v>
      </c>
      <c r="CL844" t="s">
        <v>25</v>
      </c>
      <c r="CM844" t="s">
        <v>25</v>
      </c>
      <c r="CN844" t="s">
        <v>65</v>
      </c>
      <c r="CO844" t="s">
        <v>25</v>
      </c>
      <c r="CP844" t="s">
        <v>25</v>
      </c>
      <c r="CQ844" t="s">
        <v>25</v>
      </c>
      <c r="CR844" t="s">
        <v>25</v>
      </c>
      <c r="CS844" t="s">
        <v>25</v>
      </c>
      <c r="CT844" t="s">
        <v>25</v>
      </c>
      <c r="CU844" t="s">
        <v>25</v>
      </c>
      <c r="CV844" t="s">
        <v>25</v>
      </c>
      <c r="CW844" t="s">
        <v>40</v>
      </c>
      <c r="CX844" t="s">
        <v>25</v>
      </c>
      <c r="CY844" t="s">
        <v>25</v>
      </c>
      <c r="CZ844" t="s">
        <v>25</v>
      </c>
      <c r="DA844" t="s">
        <v>25</v>
      </c>
      <c r="DB844" t="s">
        <v>25</v>
      </c>
      <c r="DC844" t="s">
        <v>25</v>
      </c>
      <c r="DD844" t="s">
        <v>25</v>
      </c>
      <c r="DE844" t="s">
        <v>25</v>
      </c>
      <c r="DF844" t="s">
        <v>25</v>
      </c>
      <c r="DG844" t="s">
        <v>25</v>
      </c>
      <c r="DH844" t="s">
        <v>25</v>
      </c>
      <c r="DI844" t="s">
        <v>25</v>
      </c>
      <c r="DJ844" s="76">
        <v>0</v>
      </c>
      <c r="DK844" s="73">
        <v>79</v>
      </c>
      <c r="DL844" s="73">
        <v>79</v>
      </c>
      <c r="DM844" s="73">
        <v>0</v>
      </c>
      <c r="DU844"/>
      <c r="DV844" s="65" t="s">
        <v>126</v>
      </c>
      <c r="DW844" t="s">
        <v>150</v>
      </c>
      <c r="DZ844" s="73">
        <v>0</v>
      </c>
      <c r="EA844" s="73">
        <v>0</v>
      </c>
      <c r="EB844" s="73">
        <v>0</v>
      </c>
    </row>
    <row r="845" spans="1:133" ht="12" customHeight="1" x14ac:dyDescent="0.2">
      <c r="A845" t="s">
        <v>2937</v>
      </c>
      <c r="B845" t="s">
        <v>2946</v>
      </c>
      <c r="C845" t="str">
        <f t="shared" si="39"/>
        <v>Full</v>
      </c>
      <c r="E845" s="65">
        <v>6878</v>
      </c>
      <c r="F845" t="s">
        <v>2781</v>
      </c>
      <c r="G845" s="71" t="s">
        <v>2904</v>
      </c>
      <c r="H845" s="67">
        <v>5.2999999374151202E-2</v>
      </c>
      <c r="I845" s="65">
        <v>526264</v>
      </c>
      <c r="J845" s="65">
        <v>172041</v>
      </c>
      <c r="L845" s="65" t="s">
        <v>2782</v>
      </c>
      <c r="M845" s="65" t="s">
        <v>27</v>
      </c>
      <c r="N845" s="69">
        <v>42872</v>
      </c>
      <c r="O845" s="69">
        <v>42913</v>
      </c>
      <c r="P845" s="65" t="s">
        <v>126</v>
      </c>
      <c r="R845" s="65" t="s">
        <v>28</v>
      </c>
      <c r="U845" t="s">
        <v>2783</v>
      </c>
      <c r="V845" t="s">
        <v>3785</v>
      </c>
      <c r="W845" s="65" t="s">
        <v>39</v>
      </c>
      <c r="X845" s="65" t="s">
        <v>39</v>
      </c>
      <c r="Y845" s="65" t="s">
        <v>69</v>
      </c>
      <c r="AD845" s="65" t="s">
        <v>23</v>
      </c>
      <c r="AE845" s="65" t="s">
        <v>24</v>
      </c>
      <c r="AW845" s="73">
        <v>150</v>
      </c>
      <c r="AY845" s="73">
        <v>150</v>
      </c>
      <c r="BO845" s="185" t="s">
        <v>3794</v>
      </c>
      <c r="BP845" s="185" t="s">
        <v>3794</v>
      </c>
      <c r="BQ845" s="185" t="s">
        <v>126</v>
      </c>
      <c r="BW845" s="73"/>
      <c r="BY845" s="185" t="s">
        <v>3794</v>
      </c>
      <c r="CG845" s="73">
        <v>150</v>
      </c>
      <c r="CI845" s="73">
        <v>150</v>
      </c>
      <c r="CJ845" t="s">
        <v>25</v>
      </c>
      <c r="CK845" t="s">
        <v>25</v>
      </c>
      <c r="CL845" t="s">
        <v>25</v>
      </c>
      <c r="CM845" t="s">
        <v>25</v>
      </c>
      <c r="CN845" t="s">
        <v>25</v>
      </c>
      <c r="CO845" t="s">
        <v>25</v>
      </c>
      <c r="CP845" t="s">
        <v>25</v>
      </c>
      <c r="CQ845" t="s">
        <v>25</v>
      </c>
      <c r="CR845" t="s">
        <v>25</v>
      </c>
      <c r="CS845" t="s">
        <v>25</v>
      </c>
      <c r="CT845" t="s">
        <v>25</v>
      </c>
      <c r="CU845" t="s">
        <v>37</v>
      </c>
      <c r="CV845" t="s">
        <v>25</v>
      </c>
      <c r="CW845" t="s">
        <v>25</v>
      </c>
      <c r="CX845" t="s">
        <v>25</v>
      </c>
      <c r="CY845" t="s">
        <v>25</v>
      </c>
      <c r="CZ845" t="s">
        <v>25</v>
      </c>
      <c r="DA845" t="s">
        <v>25</v>
      </c>
      <c r="DB845" t="s">
        <v>25</v>
      </c>
      <c r="DC845" t="s">
        <v>25</v>
      </c>
      <c r="DD845" t="s">
        <v>25</v>
      </c>
      <c r="DE845" t="s">
        <v>25</v>
      </c>
      <c r="DF845" t="s">
        <v>25</v>
      </c>
      <c r="DG845" t="s">
        <v>25</v>
      </c>
      <c r="DH845" t="s">
        <v>25</v>
      </c>
      <c r="DI845" t="s">
        <v>25</v>
      </c>
      <c r="DJ845" s="76">
        <v>5.2999999374151202E-2</v>
      </c>
      <c r="DK845" s="73">
        <v>150</v>
      </c>
      <c r="DL845" s="73">
        <v>0</v>
      </c>
      <c r="DM845" s="73">
        <v>150</v>
      </c>
      <c r="DQ845" s="65" t="s">
        <v>126</v>
      </c>
      <c r="DR845" t="s">
        <v>2903</v>
      </c>
      <c r="DU845"/>
      <c r="DZ845" s="73">
        <v>0</v>
      </c>
      <c r="EA845" s="73">
        <v>0</v>
      </c>
      <c r="EB845" s="73">
        <v>0</v>
      </c>
    </row>
    <row r="846" spans="1:133" ht="12" customHeight="1" x14ac:dyDescent="0.2">
      <c r="A846" t="s">
        <v>2937</v>
      </c>
      <c r="B846" t="s">
        <v>2948</v>
      </c>
      <c r="C846" t="str">
        <f t="shared" si="39"/>
        <v>Prior Approval</v>
      </c>
      <c r="E846" s="65">
        <v>6879</v>
      </c>
      <c r="F846" t="s">
        <v>2784</v>
      </c>
      <c r="G846" s="71" t="s">
        <v>3945</v>
      </c>
      <c r="H846" s="67">
        <v>6.0000000521540598E-3</v>
      </c>
      <c r="I846" s="65">
        <v>528230</v>
      </c>
      <c r="J846" s="65">
        <v>175670</v>
      </c>
      <c r="L846" s="65" t="s">
        <v>2785</v>
      </c>
      <c r="M846" s="65" t="s">
        <v>243</v>
      </c>
      <c r="N846" s="69">
        <v>42810</v>
      </c>
      <c r="O846" s="69">
        <v>42864</v>
      </c>
      <c r="P846" s="65" t="s">
        <v>126</v>
      </c>
      <c r="R846" s="65" t="s">
        <v>28</v>
      </c>
      <c r="U846" t="s">
        <v>2786</v>
      </c>
      <c r="V846" t="s">
        <v>3030</v>
      </c>
      <c r="W846" s="65" t="s">
        <v>21</v>
      </c>
      <c r="X846" s="65" t="s">
        <v>21</v>
      </c>
      <c r="Y846" s="65" t="s">
        <v>69</v>
      </c>
      <c r="AD846" s="65" t="s">
        <v>23</v>
      </c>
      <c r="AE846" s="65" t="s">
        <v>24</v>
      </c>
      <c r="AL846" s="73">
        <v>50</v>
      </c>
      <c r="AO846" s="73">
        <v>50</v>
      </c>
      <c r="AZ846" s="73">
        <v>50</v>
      </c>
      <c r="BE846" s="73">
        <v>50</v>
      </c>
      <c r="BO846" s="185" t="s">
        <v>126</v>
      </c>
      <c r="BP846" s="185" t="s">
        <v>3794</v>
      </c>
      <c r="BQ846" s="185" t="s">
        <v>3794</v>
      </c>
      <c r="BR846" s="73">
        <v>-50</v>
      </c>
      <c r="BT846" s="73">
        <v>50</v>
      </c>
      <c r="BW846" s="73"/>
      <c r="BY846" s="185" t="s">
        <v>3794</v>
      </c>
      <c r="CJ846" t="s">
        <v>25</v>
      </c>
      <c r="CK846" t="s">
        <v>25</v>
      </c>
      <c r="CL846" t="s">
        <v>50</v>
      </c>
      <c r="CM846" t="s">
        <v>25</v>
      </c>
      <c r="CN846" t="s">
        <v>25</v>
      </c>
      <c r="CO846" t="s">
        <v>25</v>
      </c>
      <c r="CP846" t="s">
        <v>25</v>
      </c>
      <c r="CQ846" t="s">
        <v>25</v>
      </c>
      <c r="CR846" t="s">
        <v>25</v>
      </c>
      <c r="CS846" t="s">
        <v>25</v>
      </c>
      <c r="CT846" t="s">
        <v>25</v>
      </c>
      <c r="CU846" t="s">
        <v>25</v>
      </c>
      <c r="CV846" t="s">
        <v>25</v>
      </c>
      <c r="CW846" t="s">
        <v>46</v>
      </c>
      <c r="CX846" t="s">
        <v>25</v>
      </c>
      <c r="CY846" t="s">
        <v>25</v>
      </c>
      <c r="CZ846" t="s">
        <v>25</v>
      </c>
      <c r="DA846" t="s">
        <v>25</v>
      </c>
      <c r="DB846" t="s">
        <v>25</v>
      </c>
      <c r="DC846" t="s">
        <v>25</v>
      </c>
      <c r="DD846" t="s">
        <v>25</v>
      </c>
      <c r="DE846" t="s">
        <v>25</v>
      </c>
      <c r="DF846" t="s">
        <v>25</v>
      </c>
      <c r="DG846" t="s">
        <v>25</v>
      </c>
      <c r="DH846" t="s">
        <v>25</v>
      </c>
      <c r="DI846" t="s">
        <v>25</v>
      </c>
      <c r="DJ846" s="76">
        <v>6.0000000521540598E-3</v>
      </c>
      <c r="DK846" s="73">
        <v>50</v>
      </c>
      <c r="DL846" s="73">
        <v>50</v>
      </c>
      <c r="DM846" s="73">
        <v>0</v>
      </c>
      <c r="DU846"/>
      <c r="DZ846" s="73">
        <v>0</v>
      </c>
      <c r="EA846" s="73">
        <v>0</v>
      </c>
      <c r="EB846" s="73">
        <v>0</v>
      </c>
    </row>
    <row r="847" spans="1:133" ht="12" customHeight="1" x14ac:dyDescent="0.2">
      <c r="A847" t="s">
        <v>2938</v>
      </c>
      <c r="B847" t="s">
        <v>2946</v>
      </c>
      <c r="C847" t="str">
        <f t="shared" si="39"/>
        <v>Full</v>
      </c>
      <c r="E847" s="65">
        <v>6880</v>
      </c>
      <c r="F847" t="s">
        <v>2787</v>
      </c>
      <c r="G847" s="71" t="s">
        <v>3940</v>
      </c>
      <c r="H847" s="67">
        <v>0.34999999403953602</v>
      </c>
      <c r="I847" s="65">
        <v>522033</v>
      </c>
      <c r="J847" s="65">
        <v>174613</v>
      </c>
      <c r="L847" s="65" t="s">
        <v>2788</v>
      </c>
      <c r="M847" s="65" t="s">
        <v>172</v>
      </c>
      <c r="N847" s="69">
        <v>43188</v>
      </c>
      <c r="R847" s="65" t="s">
        <v>28</v>
      </c>
      <c r="U847" t="s">
        <v>2789</v>
      </c>
      <c r="V847" t="s">
        <v>3786</v>
      </c>
      <c r="W847" s="65" t="s">
        <v>39</v>
      </c>
      <c r="X847" s="65" t="s">
        <v>39</v>
      </c>
      <c r="Y847" s="65" t="s">
        <v>69</v>
      </c>
      <c r="AD847" s="65" t="s">
        <v>173</v>
      </c>
      <c r="AE847" s="65" t="s">
        <v>24</v>
      </c>
      <c r="AW847" s="73">
        <v>160</v>
      </c>
      <c r="AY847" s="73">
        <v>160</v>
      </c>
      <c r="BO847" s="185" t="s">
        <v>3794</v>
      </c>
      <c r="BP847" s="185" t="s">
        <v>3794</v>
      </c>
      <c r="BQ847" s="185" t="s">
        <v>126</v>
      </c>
      <c r="BW847" s="73"/>
      <c r="BY847" s="185" t="s">
        <v>3794</v>
      </c>
      <c r="CG847" s="73">
        <v>160</v>
      </c>
      <c r="CI847" s="73">
        <v>160</v>
      </c>
      <c r="CJ847" t="s">
        <v>25</v>
      </c>
      <c r="CK847" t="s">
        <v>25</v>
      </c>
      <c r="CL847" t="s">
        <v>25</v>
      </c>
      <c r="CM847" t="s">
        <v>25</v>
      </c>
      <c r="CN847" t="s">
        <v>25</v>
      </c>
      <c r="CO847" t="s">
        <v>25</v>
      </c>
      <c r="CP847" t="s">
        <v>25</v>
      </c>
      <c r="CQ847" t="s">
        <v>25</v>
      </c>
      <c r="CR847" t="s">
        <v>25</v>
      </c>
      <c r="CS847" t="s">
        <v>25</v>
      </c>
      <c r="CT847" t="s">
        <v>25</v>
      </c>
      <c r="CU847" t="s">
        <v>60</v>
      </c>
      <c r="CV847" t="s">
        <v>25</v>
      </c>
      <c r="CW847" t="s">
        <v>25</v>
      </c>
      <c r="CX847" t="s">
        <v>25</v>
      </c>
      <c r="CY847" t="s">
        <v>25</v>
      </c>
      <c r="CZ847" t="s">
        <v>25</v>
      </c>
      <c r="DA847" t="s">
        <v>25</v>
      </c>
      <c r="DB847" t="s">
        <v>25</v>
      </c>
      <c r="DC847" t="s">
        <v>25</v>
      </c>
      <c r="DD847" t="s">
        <v>25</v>
      </c>
      <c r="DE847" t="s">
        <v>25</v>
      </c>
      <c r="DF847" t="s">
        <v>25</v>
      </c>
      <c r="DG847" t="s">
        <v>25</v>
      </c>
      <c r="DH847" t="s">
        <v>25</v>
      </c>
      <c r="DI847" t="s">
        <v>25</v>
      </c>
      <c r="DJ847" s="76">
        <v>0.34999999403953602</v>
      </c>
      <c r="DK847" s="73">
        <v>635</v>
      </c>
      <c r="DL847" s="73">
        <v>0</v>
      </c>
      <c r="DM847" s="73">
        <v>635</v>
      </c>
      <c r="DU847"/>
      <c r="DZ847" s="73">
        <v>0</v>
      </c>
      <c r="EA847" s="73">
        <v>0</v>
      </c>
      <c r="EB847" s="73">
        <v>0</v>
      </c>
    </row>
    <row r="848" spans="1:133" ht="12" customHeight="1" x14ac:dyDescent="0.2">
      <c r="A848" t="s">
        <v>2938</v>
      </c>
      <c r="B848" t="s">
        <v>2946</v>
      </c>
      <c r="C848" t="str">
        <f t="shared" si="39"/>
        <v>Full</v>
      </c>
      <c r="E848" s="65">
        <v>6884</v>
      </c>
      <c r="F848" t="s">
        <v>2790</v>
      </c>
      <c r="G848" s="71" t="s">
        <v>3946</v>
      </c>
      <c r="H848" s="67">
        <v>1.60000007599592E-2</v>
      </c>
      <c r="I848" s="65">
        <v>524096</v>
      </c>
      <c r="J848" s="65">
        <v>175530</v>
      </c>
      <c r="L848" s="65" t="s">
        <v>2791</v>
      </c>
      <c r="M848" s="65" t="s">
        <v>172</v>
      </c>
      <c r="N848" s="69">
        <v>43180</v>
      </c>
      <c r="U848" t="s">
        <v>2792</v>
      </c>
      <c r="V848" t="s">
        <v>3787</v>
      </c>
      <c r="W848" s="65" t="s">
        <v>34</v>
      </c>
      <c r="X848" s="65" t="s">
        <v>29</v>
      </c>
      <c r="Y848" s="65" t="s">
        <v>69</v>
      </c>
      <c r="AD848" s="65" t="s">
        <v>173</v>
      </c>
      <c r="AE848" s="65" t="s">
        <v>24</v>
      </c>
      <c r="AJ848" s="73">
        <v>70</v>
      </c>
      <c r="AO848" s="73">
        <v>70</v>
      </c>
      <c r="AZ848" s="73">
        <v>99</v>
      </c>
      <c r="BE848" s="73">
        <v>99</v>
      </c>
      <c r="BO848" s="185" t="s">
        <v>126</v>
      </c>
      <c r="BP848" s="185" t="s">
        <v>3794</v>
      </c>
      <c r="BQ848" s="185" t="s">
        <v>3794</v>
      </c>
      <c r="BR848" s="73">
        <v>-29</v>
      </c>
      <c r="BW848" s="73">
        <v>-29</v>
      </c>
      <c r="BY848" s="185" t="s">
        <v>3794</v>
      </c>
      <c r="CJ848" t="s">
        <v>46</v>
      </c>
      <c r="CK848" t="s">
        <v>25</v>
      </c>
      <c r="CL848" t="s">
        <v>25</v>
      </c>
      <c r="CM848" t="s">
        <v>25</v>
      </c>
      <c r="CN848" t="s">
        <v>25</v>
      </c>
      <c r="CO848" t="s">
        <v>25</v>
      </c>
      <c r="CP848" t="s">
        <v>25</v>
      </c>
      <c r="CQ848" t="s">
        <v>25</v>
      </c>
      <c r="CR848" t="s">
        <v>25</v>
      </c>
      <c r="CS848" t="s">
        <v>25</v>
      </c>
      <c r="CT848" t="s">
        <v>25</v>
      </c>
      <c r="CU848" t="s">
        <v>25</v>
      </c>
      <c r="CV848" t="s">
        <v>25</v>
      </c>
      <c r="CW848" t="s">
        <v>46</v>
      </c>
      <c r="CX848" t="s">
        <v>25</v>
      </c>
      <c r="CY848" t="s">
        <v>25</v>
      </c>
      <c r="CZ848" t="s">
        <v>25</v>
      </c>
      <c r="DA848" t="s">
        <v>25</v>
      </c>
      <c r="DB848" t="s">
        <v>25</v>
      </c>
      <c r="DC848" t="s">
        <v>25</v>
      </c>
      <c r="DD848" t="s">
        <v>25</v>
      </c>
      <c r="DE848" t="s">
        <v>25</v>
      </c>
      <c r="DF848" t="s">
        <v>25</v>
      </c>
      <c r="DG848" t="s">
        <v>25</v>
      </c>
      <c r="DH848" t="s">
        <v>25</v>
      </c>
      <c r="DI848" t="s">
        <v>25</v>
      </c>
      <c r="DJ848" s="76">
        <v>6.0000002849847009E-3</v>
      </c>
      <c r="DK848" s="73">
        <v>70</v>
      </c>
      <c r="DL848" s="73">
        <v>99</v>
      </c>
      <c r="DM848" s="73">
        <v>-29</v>
      </c>
      <c r="DU848"/>
      <c r="DV848" s="65" t="s">
        <v>126</v>
      </c>
      <c r="DW848" t="s">
        <v>131</v>
      </c>
      <c r="DZ848" s="73">
        <v>169</v>
      </c>
      <c r="EA848" s="73">
        <v>0</v>
      </c>
      <c r="EB848" s="73">
        <v>169</v>
      </c>
      <c r="EC848" s="65" t="s">
        <v>126</v>
      </c>
    </row>
    <row r="849" spans="1:133" ht="12" customHeight="1" x14ac:dyDescent="0.2">
      <c r="A849" t="s">
        <v>2938</v>
      </c>
      <c r="B849" t="s">
        <v>2946</v>
      </c>
      <c r="C849" t="str">
        <f t="shared" si="39"/>
        <v>Full</v>
      </c>
      <c r="E849" s="65">
        <v>6885</v>
      </c>
      <c r="F849" t="s">
        <v>2793</v>
      </c>
      <c r="G849" s="71" t="s">
        <v>2904</v>
      </c>
      <c r="H849" s="67">
        <v>1.30000002682209E-2</v>
      </c>
      <c r="I849" s="65">
        <v>525906</v>
      </c>
      <c r="J849" s="65">
        <v>173856</v>
      </c>
      <c r="L849" s="65" t="s">
        <v>2794</v>
      </c>
      <c r="M849" s="65" t="s">
        <v>172</v>
      </c>
      <c r="N849" s="69">
        <v>43186</v>
      </c>
      <c r="R849" s="65" t="s">
        <v>28</v>
      </c>
      <c r="U849" t="s">
        <v>2795</v>
      </c>
      <c r="V849" t="s">
        <v>3788</v>
      </c>
      <c r="W849" s="65" t="s">
        <v>34</v>
      </c>
      <c r="X849" s="65" t="s">
        <v>29</v>
      </c>
      <c r="Y849" s="65" t="s">
        <v>69</v>
      </c>
      <c r="AD849" s="65" t="s">
        <v>173</v>
      </c>
      <c r="AE849" s="65" t="s">
        <v>24</v>
      </c>
      <c r="AJ849" s="73">
        <v>32</v>
      </c>
      <c r="AO849" s="73">
        <v>32</v>
      </c>
      <c r="AZ849" s="73">
        <v>83</v>
      </c>
      <c r="BE849" s="73">
        <v>83</v>
      </c>
      <c r="BO849" s="185" t="s">
        <v>126</v>
      </c>
      <c r="BP849" s="185" t="s">
        <v>3794</v>
      </c>
      <c r="BQ849" s="185" t="s">
        <v>3794</v>
      </c>
      <c r="BR849" s="73">
        <v>-51</v>
      </c>
      <c r="BW849" s="73">
        <v>-51</v>
      </c>
      <c r="BY849" s="185" t="s">
        <v>3794</v>
      </c>
      <c r="CJ849" t="s">
        <v>31</v>
      </c>
      <c r="CK849" t="s">
        <v>25</v>
      </c>
      <c r="CL849" t="s">
        <v>25</v>
      </c>
      <c r="CM849" t="s">
        <v>25</v>
      </c>
      <c r="CN849" t="s">
        <v>25</v>
      </c>
      <c r="CO849" t="s">
        <v>25</v>
      </c>
      <c r="CP849" t="s">
        <v>25</v>
      </c>
      <c r="CQ849" t="s">
        <v>25</v>
      </c>
      <c r="CR849" t="s">
        <v>25</v>
      </c>
      <c r="CS849" t="s">
        <v>25</v>
      </c>
      <c r="CT849" t="s">
        <v>25</v>
      </c>
      <c r="CU849" t="s">
        <v>25</v>
      </c>
      <c r="CV849" t="s">
        <v>25</v>
      </c>
      <c r="CW849" t="s">
        <v>47</v>
      </c>
      <c r="CX849" t="s">
        <v>25</v>
      </c>
      <c r="CY849" t="s">
        <v>25</v>
      </c>
      <c r="CZ849" t="s">
        <v>25</v>
      </c>
      <c r="DA849" t="s">
        <v>25</v>
      </c>
      <c r="DB849" t="s">
        <v>25</v>
      </c>
      <c r="DC849" t="s">
        <v>25</v>
      </c>
      <c r="DD849" t="s">
        <v>25</v>
      </c>
      <c r="DE849" t="s">
        <v>25</v>
      </c>
      <c r="DF849" t="s">
        <v>25</v>
      </c>
      <c r="DG849" t="s">
        <v>25</v>
      </c>
      <c r="DH849" t="s">
        <v>25</v>
      </c>
      <c r="DI849" t="s">
        <v>25</v>
      </c>
      <c r="DJ849" s="76">
        <v>1.9999998621643006E-3</v>
      </c>
      <c r="DK849" s="73">
        <v>32</v>
      </c>
      <c r="DL849" s="73">
        <v>83</v>
      </c>
      <c r="DM849" s="73">
        <v>-51</v>
      </c>
      <c r="DU849"/>
      <c r="DZ849" s="73">
        <v>169</v>
      </c>
      <c r="EA849" s="73">
        <v>71</v>
      </c>
      <c r="EB849" s="73">
        <v>98</v>
      </c>
      <c r="EC849" s="65" t="s">
        <v>126</v>
      </c>
    </row>
    <row r="850" spans="1:133" ht="12" customHeight="1" x14ac:dyDescent="0.2">
      <c r="A850" t="s">
        <v>2938</v>
      </c>
      <c r="B850" t="s">
        <v>2946</v>
      </c>
      <c r="C850" t="str">
        <f t="shared" si="39"/>
        <v>Full</v>
      </c>
      <c r="E850" s="65">
        <v>6886</v>
      </c>
      <c r="F850" t="s">
        <v>2796</v>
      </c>
      <c r="G850" s="71" t="s">
        <v>3945</v>
      </c>
      <c r="H850" s="67">
        <v>1.2000000104308101E-2</v>
      </c>
      <c r="I850" s="65">
        <v>528414</v>
      </c>
      <c r="J850" s="65">
        <v>175770</v>
      </c>
      <c r="L850" s="65" t="s">
        <v>2797</v>
      </c>
      <c r="M850" s="65" t="s">
        <v>172</v>
      </c>
      <c r="N850" s="69">
        <v>43171</v>
      </c>
      <c r="R850" s="65" t="s">
        <v>28</v>
      </c>
      <c r="U850" t="s">
        <v>2798</v>
      </c>
      <c r="V850" t="s">
        <v>3789</v>
      </c>
      <c r="W850" s="65" t="s">
        <v>39</v>
      </c>
      <c r="X850" s="65" t="s">
        <v>39</v>
      </c>
      <c r="Y850" s="65" t="s">
        <v>69</v>
      </c>
      <c r="AD850" s="65" t="s">
        <v>173</v>
      </c>
      <c r="AE850" s="65" t="s">
        <v>24</v>
      </c>
      <c r="AK850" s="73">
        <v>5</v>
      </c>
      <c r="AO850" s="73">
        <v>5</v>
      </c>
      <c r="BO850" s="185" t="s">
        <v>126</v>
      </c>
      <c r="BP850" s="185" t="s">
        <v>3794</v>
      </c>
      <c r="BQ850" s="185" t="s">
        <v>3794</v>
      </c>
      <c r="BS850" s="73">
        <v>5</v>
      </c>
      <c r="BW850" s="73">
        <v>5</v>
      </c>
      <c r="BY850" s="185" t="s">
        <v>3794</v>
      </c>
      <c r="CJ850" t="s">
        <v>25</v>
      </c>
      <c r="CK850" t="s">
        <v>31</v>
      </c>
      <c r="CL850" t="s">
        <v>25</v>
      </c>
      <c r="CM850" t="s">
        <v>25</v>
      </c>
      <c r="CN850" t="s">
        <v>25</v>
      </c>
      <c r="CO850" t="s">
        <v>25</v>
      </c>
      <c r="CP850" t="s">
        <v>25</v>
      </c>
      <c r="CQ850" t="s">
        <v>25</v>
      </c>
      <c r="CR850" t="s">
        <v>25</v>
      </c>
      <c r="CS850" t="s">
        <v>25</v>
      </c>
      <c r="CT850" t="s">
        <v>25</v>
      </c>
      <c r="CU850" t="s">
        <v>25</v>
      </c>
      <c r="CV850" t="s">
        <v>25</v>
      </c>
      <c r="CW850" t="s">
        <v>25</v>
      </c>
      <c r="CX850" t="s">
        <v>25</v>
      </c>
      <c r="CY850" t="s">
        <v>25</v>
      </c>
      <c r="CZ850" t="s">
        <v>25</v>
      </c>
      <c r="DA850" t="s">
        <v>25</v>
      </c>
      <c r="DB850" t="s">
        <v>25</v>
      </c>
      <c r="DC850" t="s">
        <v>25</v>
      </c>
      <c r="DD850" t="s">
        <v>25</v>
      </c>
      <c r="DE850" t="s">
        <v>25</v>
      </c>
      <c r="DF850" t="s">
        <v>25</v>
      </c>
      <c r="DG850" t="s">
        <v>25</v>
      </c>
      <c r="DH850" t="s">
        <v>25</v>
      </c>
      <c r="DI850" t="s">
        <v>25</v>
      </c>
      <c r="DJ850" s="76">
        <v>1.2000000104308101E-2</v>
      </c>
      <c r="DK850" s="73">
        <v>5</v>
      </c>
      <c r="DL850" s="73">
        <v>0</v>
      </c>
      <c r="DM850" s="73">
        <v>5</v>
      </c>
      <c r="DU850"/>
      <c r="DX850" s="65" t="s">
        <v>126</v>
      </c>
      <c r="DY850" t="s">
        <v>2908</v>
      </c>
      <c r="DZ850" s="73">
        <v>0</v>
      </c>
      <c r="EA850" s="73">
        <v>0</v>
      </c>
      <c r="EB850" s="73">
        <v>0</v>
      </c>
    </row>
    <row r="851" spans="1:133" ht="12" customHeight="1" x14ac:dyDescent="0.2">
      <c r="A851" t="s">
        <v>2938</v>
      </c>
      <c r="B851" t="s">
        <v>2946</v>
      </c>
      <c r="C851" t="str">
        <f t="shared" si="39"/>
        <v>Full</v>
      </c>
      <c r="E851" s="65">
        <v>6887</v>
      </c>
      <c r="F851" t="s">
        <v>2799</v>
      </c>
      <c r="G851" s="71" t="s">
        <v>3952</v>
      </c>
      <c r="H851" s="67">
        <v>4.39999997615814E-2</v>
      </c>
      <c r="I851" s="65">
        <v>528204</v>
      </c>
      <c r="J851" s="65">
        <v>172540</v>
      </c>
      <c r="L851" s="65" t="s">
        <v>2800</v>
      </c>
      <c r="M851" s="65" t="s">
        <v>172</v>
      </c>
      <c r="N851" s="69">
        <v>43187</v>
      </c>
      <c r="R851" s="65" t="s">
        <v>28</v>
      </c>
      <c r="U851" t="s">
        <v>2801</v>
      </c>
      <c r="V851" t="s">
        <v>3145</v>
      </c>
      <c r="W851" s="65" t="s">
        <v>21</v>
      </c>
      <c r="X851" s="65" t="s">
        <v>21</v>
      </c>
      <c r="Y851" s="65" t="s">
        <v>69</v>
      </c>
      <c r="AD851" s="65" t="s">
        <v>173</v>
      </c>
      <c r="AE851" s="65" t="s">
        <v>24</v>
      </c>
      <c r="AL851" s="73">
        <v>50</v>
      </c>
      <c r="AO851" s="73">
        <v>50</v>
      </c>
      <c r="AZ851" s="73">
        <v>50</v>
      </c>
      <c r="BE851" s="73">
        <v>50</v>
      </c>
      <c r="BO851" s="185" t="s">
        <v>126</v>
      </c>
      <c r="BP851" s="185" t="s">
        <v>3794</v>
      </c>
      <c r="BQ851" s="185" t="s">
        <v>3794</v>
      </c>
      <c r="BR851" s="73">
        <v>-50</v>
      </c>
      <c r="BT851" s="73">
        <v>50</v>
      </c>
      <c r="BW851" s="73"/>
      <c r="BY851" s="185" t="s">
        <v>3794</v>
      </c>
      <c r="CJ851" t="s">
        <v>25</v>
      </c>
      <c r="CK851" t="s">
        <v>25</v>
      </c>
      <c r="CL851" t="s">
        <v>38</v>
      </c>
      <c r="CM851" t="s">
        <v>25</v>
      </c>
      <c r="CN851" t="s">
        <v>25</v>
      </c>
      <c r="CO851" t="s">
        <v>25</v>
      </c>
      <c r="CP851" t="s">
        <v>25</v>
      </c>
      <c r="CQ851" t="s">
        <v>25</v>
      </c>
      <c r="CR851" t="s">
        <v>25</v>
      </c>
      <c r="CS851" t="s">
        <v>25</v>
      </c>
      <c r="CT851" t="s">
        <v>25</v>
      </c>
      <c r="CU851" t="s">
        <v>25</v>
      </c>
      <c r="CV851" t="s">
        <v>25</v>
      </c>
      <c r="CW851" t="s">
        <v>46</v>
      </c>
      <c r="CX851" t="s">
        <v>25</v>
      </c>
      <c r="CY851" t="s">
        <v>25</v>
      </c>
      <c r="CZ851" t="s">
        <v>25</v>
      </c>
      <c r="DA851" t="s">
        <v>25</v>
      </c>
      <c r="DB851" t="s">
        <v>25</v>
      </c>
      <c r="DC851" t="s">
        <v>25</v>
      </c>
      <c r="DD851" t="s">
        <v>25</v>
      </c>
      <c r="DE851" t="s">
        <v>25</v>
      </c>
      <c r="DF851" t="s">
        <v>25</v>
      </c>
      <c r="DG851" t="s">
        <v>25</v>
      </c>
      <c r="DH851" t="s">
        <v>25</v>
      </c>
      <c r="DI851" t="s">
        <v>25</v>
      </c>
      <c r="DJ851" s="76">
        <v>4.39999997615814E-2</v>
      </c>
      <c r="DK851" s="73">
        <v>50</v>
      </c>
      <c r="DL851" s="73">
        <v>50</v>
      </c>
      <c r="DM851" s="73">
        <v>0</v>
      </c>
      <c r="DU851"/>
      <c r="DZ851" s="73">
        <v>0</v>
      </c>
      <c r="EA851" s="73">
        <v>0</v>
      </c>
      <c r="EB851" s="73">
        <v>0</v>
      </c>
    </row>
    <row r="852" spans="1:133" ht="12" customHeight="1" x14ac:dyDescent="0.2">
      <c r="A852" t="s">
        <v>2938</v>
      </c>
      <c r="B852" t="s">
        <v>2946</v>
      </c>
      <c r="C852" t="str">
        <f t="shared" si="39"/>
        <v>Full</v>
      </c>
      <c r="E852" s="65">
        <v>6888</v>
      </c>
      <c r="F852" t="s">
        <v>2802</v>
      </c>
      <c r="G852" s="71" t="s">
        <v>3953</v>
      </c>
      <c r="H852" s="67">
        <v>0.30000001192092901</v>
      </c>
      <c r="I852" s="65">
        <v>526871</v>
      </c>
      <c r="J852" s="65">
        <v>173938</v>
      </c>
      <c r="L852" s="65" t="s">
        <v>2803</v>
      </c>
      <c r="M852" s="65" t="s">
        <v>172</v>
      </c>
      <c r="N852" s="69">
        <v>43187</v>
      </c>
      <c r="R852" s="65" t="s">
        <v>28</v>
      </c>
      <c r="U852" t="s">
        <v>2804</v>
      </c>
      <c r="V852" t="s">
        <v>3790</v>
      </c>
      <c r="W852" s="65" t="s">
        <v>29</v>
      </c>
      <c r="X852" s="65" t="s">
        <v>29</v>
      </c>
      <c r="Y852" s="65" t="s">
        <v>69</v>
      </c>
      <c r="AD852" s="65" t="s">
        <v>173</v>
      </c>
      <c r="AE852" s="65" t="s">
        <v>73</v>
      </c>
      <c r="BO852" s="185" t="s">
        <v>3794</v>
      </c>
      <c r="BP852" s="185" t="s">
        <v>3794</v>
      </c>
      <c r="BQ852" s="185" t="s">
        <v>3794</v>
      </c>
      <c r="BW852" s="73"/>
      <c r="BY852" s="185" t="s">
        <v>3794</v>
      </c>
      <c r="CJ852" t="s">
        <v>25</v>
      </c>
      <c r="CK852" t="s">
        <v>25</v>
      </c>
      <c r="CL852" t="s">
        <v>25</v>
      </c>
      <c r="CM852" t="s">
        <v>25</v>
      </c>
      <c r="CN852" t="s">
        <v>25</v>
      </c>
      <c r="CO852" t="s">
        <v>25</v>
      </c>
      <c r="CP852" t="s">
        <v>25</v>
      </c>
      <c r="CQ852" t="s">
        <v>25</v>
      </c>
      <c r="CR852" t="s">
        <v>25</v>
      </c>
      <c r="CS852" t="s">
        <v>25</v>
      </c>
      <c r="CT852" t="s">
        <v>25</v>
      </c>
      <c r="CU852" t="s">
        <v>25</v>
      </c>
      <c r="CV852" t="s">
        <v>25</v>
      </c>
      <c r="CW852" t="s">
        <v>25</v>
      </c>
      <c r="CX852" t="s">
        <v>25</v>
      </c>
      <c r="CY852" t="s">
        <v>25</v>
      </c>
      <c r="CZ852" t="s">
        <v>25</v>
      </c>
      <c r="DA852" t="s">
        <v>25</v>
      </c>
      <c r="DB852" t="s">
        <v>25</v>
      </c>
      <c r="DC852" t="s">
        <v>25</v>
      </c>
      <c r="DD852" t="s">
        <v>25</v>
      </c>
      <c r="DE852" t="s">
        <v>25</v>
      </c>
      <c r="DF852" t="s">
        <v>25</v>
      </c>
      <c r="DG852" t="s">
        <v>25</v>
      </c>
      <c r="DH852" t="s">
        <v>25</v>
      </c>
      <c r="DI852" t="s">
        <v>25</v>
      </c>
      <c r="DJ852" s="76">
        <v>0</v>
      </c>
      <c r="DK852" s="73">
        <v>101</v>
      </c>
      <c r="DL852" s="73">
        <v>0</v>
      </c>
      <c r="DM852" s="73">
        <v>101</v>
      </c>
      <c r="DU852"/>
      <c r="DZ852" s="73">
        <v>0</v>
      </c>
      <c r="EA852" s="73">
        <v>0</v>
      </c>
      <c r="EB852" s="73">
        <v>0</v>
      </c>
    </row>
    <row r="853" spans="1:133" ht="12" customHeight="1" x14ac:dyDescent="0.2">
      <c r="A853" t="s">
        <v>2938</v>
      </c>
      <c r="B853" t="s">
        <v>2946</v>
      </c>
      <c r="C853" t="str">
        <f t="shared" si="39"/>
        <v>Full</v>
      </c>
      <c r="E853" s="65">
        <v>6923</v>
      </c>
      <c r="F853" t="s">
        <v>2805</v>
      </c>
      <c r="G853" s="71" t="s">
        <v>3942</v>
      </c>
      <c r="H853" s="67">
        <v>2.0999999716877899E-2</v>
      </c>
      <c r="I853" s="65">
        <v>527323</v>
      </c>
      <c r="J853" s="65">
        <v>174838</v>
      </c>
      <c r="L853" s="65" t="s">
        <v>2806</v>
      </c>
      <c r="M853" s="65" t="s">
        <v>172</v>
      </c>
      <c r="N853" s="69">
        <v>43153</v>
      </c>
      <c r="R853" s="65" t="s">
        <v>28</v>
      </c>
      <c r="U853" t="s">
        <v>2807</v>
      </c>
      <c r="V853" t="s">
        <v>3791</v>
      </c>
      <c r="W853" s="65" t="s">
        <v>39</v>
      </c>
      <c r="X853" s="65" t="s">
        <v>39</v>
      </c>
      <c r="Y853" s="65" t="s">
        <v>69</v>
      </c>
      <c r="AD853" s="65" t="s">
        <v>173</v>
      </c>
      <c r="AE853" s="65" t="s">
        <v>24</v>
      </c>
      <c r="AW853" s="73">
        <v>71</v>
      </c>
      <c r="AY853" s="73">
        <v>71</v>
      </c>
      <c r="BO853" s="185" t="s">
        <v>3794</v>
      </c>
      <c r="BP853" s="185" t="s">
        <v>3794</v>
      </c>
      <c r="BQ853" s="185" t="s">
        <v>126</v>
      </c>
      <c r="BW853" s="73"/>
      <c r="BY853" s="185" t="s">
        <v>3794</v>
      </c>
      <c r="CG853" s="73">
        <v>71</v>
      </c>
      <c r="CI853" s="73">
        <v>71</v>
      </c>
      <c r="CJ853" t="s">
        <v>25</v>
      </c>
      <c r="CK853" t="s">
        <v>25</v>
      </c>
      <c r="CL853" t="s">
        <v>25</v>
      </c>
      <c r="CM853" t="s">
        <v>25</v>
      </c>
      <c r="CN853" t="s">
        <v>25</v>
      </c>
      <c r="CO853" t="s">
        <v>25</v>
      </c>
      <c r="CP853" t="s">
        <v>25</v>
      </c>
      <c r="CQ853" t="s">
        <v>25</v>
      </c>
      <c r="CR853" t="s">
        <v>25</v>
      </c>
      <c r="CS853" t="s">
        <v>25</v>
      </c>
      <c r="CT853" t="s">
        <v>25</v>
      </c>
      <c r="CU853" t="s">
        <v>60</v>
      </c>
      <c r="CV853" t="s">
        <v>25</v>
      </c>
      <c r="CW853" t="s">
        <v>25</v>
      </c>
      <c r="CX853" t="s">
        <v>25</v>
      </c>
      <c r="CY853" t="s">
        <v>25</v>
      </c>
      <c r="CZ853" t="s">
        <v>25</v>
      </c>
      <c r="DA853" t="s">
        <v>25</v>
      </c>
      <c r="DB853" t="s">
        <v>25</v>
      </c>
      <c r="DC853" t="s">
        <v>25</v>
      </c>
      <c r="DD853" t="s">
        <v>25</v>
      </c>
      <c r="DE853" t="s">
        <v>25</v>
      </c>
      <c r="DF853" t="s">
        <v>25</v>
      </c>
      <c r="DG853" t="s">
        <v>25</v>
      </c>
      <c r="DH853" t="s">
        <v>25</v>
      </c>
      <c r="DI853" t="s">
        <v>25</v>
      </c>
      <c r="DJ853" s="76">
        <v>2.0999999716877899E-2</v>
      </c>
      <c r="DK853" s="73">
        <v>71</v>
      </c>
      <c r="DL853" s="73">
        <v>0</v>
      </c>
      <c r="DM853" s="73">
        <v>71</v>
      </c>
      <c r="DU853"/>
      <c r="DZ853" s="73">
        <v>0</v>
      </c>
      <c r="EA853" s="73">
        <v>0</v>
      </c>
      <c r="EB853" s="73">
        <v>0</v>
      </c>
    </row>
    <row r="854" spans="1:133" ht="12" customHeight="1" x14ac:dyDescent="0.2">
      <c r="A854" t="s">
        <v>2935</v>
      </c>
      <c r="B854" t="s">
        <v>2946</v>
      </c>
      <c r="C854" t="str">
        <f t="shared" si="39"/>
        <v>Full</v>
      </c>
      <c r="E854" s="65">
        <v>7064</v>
      </c>
      <c r="F854" t="s">
        <v>2823</v>
      </c>
      <c r="G854" s="71" t="s">
        <v>3947</v>
      </c>
      <c r="H854" s="67">
        <v>0.53899997472763095</v>
      </c>
      <c r="I854" s="65">
        <v>528738</v>
      </c>
      <c r="J854" s="65">
        <v>177648</v>
      </c>
      <c r="L854" s="65" t="s">
        <v>2824</v>
      </c>
      <c r="M854" s="65" t="s">
        <v>434</v>
      </c>
      <c r="N854" s="69">
        <v>42713</v>
      </c>
      <c r="O854" s="69">
        <v>42774</v>
      </c>
      <c r="R854" s="65" t="s">
        <v>28</v>
      </c>
      <c r="U854" t="s">
        <v>2825</v>
      </c>
      <c r="V854" t="s">
        <v>3792</v>
      </c>
      <c r="W854" s="65" t="s">
        <v>21</v>
      </c>
      <c r="X854" s="65" t="s">
        <v>21</v>
      </c>
      <c r="Y854" s="65" t="s">
        <v>30</v>
      </c>
      <c r="AA854" s="69">
        <v>42825</v>
      </c>
      <c r="AD854" s="65" t="s">
        <v>23</v>
      </c>
      <c r="AE854" s="65" t="s">
        <v>24</v>
      </c>
      <c r="AF854" s="71" t="s">
        <v>2826</v>
      </c>
      <c r="AG854" s="65" t="s">
        <v>23</v>
      </c>
      <c r="AH854" s="69">
        <f t="shared" ref="AH854:AH870" si="40">AA854</f>
        <v>42825</v>
      </c>
      <c r="AU854" s="73">
        <v>149</v>
      </c>
      <c r="AV854" s="73">
        <v>149</v>
      </c>
      <c r="BO854" s="185" t="s">
        <v>3794</v>
      </c>
      <c r="BP854" s="185" t="s">
        <v>126</v>
      </c>
      <c r="BQ854" s="185" t="s">
        <v>3794</v>
      </c>
      <c r="BW854" s="73"/>
      <c r="BY854" s="185" t="s">
        <v>3794</v>
      </c>
      <c r="CC854" s="73">
        <v>149</v>
      </c>
      <c r="CD854" s="73">
        <v>149</v>
      </c>
      <c r="CJ854" t="s">
        <v>25</v>
      </c>
      <c r="CK854" t="s">
        <v>25</v>
      </c>
      <c r="CL854" t="s">
        <v>25</v>
      </c>
      <c r="CM854" t="s">
        <v>25</v>
      </c>
      <c r="CN854" t="s">
        <v>25</v>
      </c>
      <c r="CO854" t="s">
        <v>25</v>
      </c>
      <c r="CP854" t="s">
        <v>25</v>
      </c>
      <c r="CQ854" t="s">
        <v>25</v>
      </c>
      <c r="CR854" t="s">
        <v>25</v>
      </c>
      <c r="CS854" t="s">
        <v>53</v>
      </c>
      <c r="CT854" t="s">
        <v>25</v>
      </c>
      <c r="CU854" t="s">
        <v>25</v>
      </c>
      <c r="CV854" t="s">
        <v>25</v>
      </c>
      <c r="CW854" t="s">
        <v>25</v>
      </c>
      <c r="CX854" t="s">
        <v>25</v>
      </c>
      <c r="CY854" t="s">
        <v>25</v>
      </c>
      <c r="CZ854" t="s">
        <v>25</v>
      </c>
      <c r="DA854" t="s">
        <v>25</v>
      </c>
      <c r="DB854" t="s">
        <v>25</v>
      </c>
      <c r="DC854" t="s">
        <v>25</v>
      </c>
      <c r="DD854" t="s">
        <v>25</v>
      </c>
      <c r="DE854" t="s">
        <v>25</v>
      </c>
      <c r="DF854" t="s">
        <v>25</v>
      </c>
      <c r="DG854" t="s">
        <v>25</v>
      </c>
      <c r="DH854" t="s">
        <v>25</v>
      </c>
      <c r="DI854" t="s">
        <v>25</v>
      </c>
      <c r="DJ854" s="76">
        <v>0.53899997472763095</v>
      </c>
      <c r="DK854" s="73">
        <v>149</v>
      </c>
      <c r="DL854" s="73">
        <v>0</v>
      </c>
      <c r="DM854" s="73">
        <v>149</v>
      </c>
      <c r="DN854" s="65" t="s">
        <v>126</v>
      </c>
      <c r="DU854" s="65" t="s">
        <v>126</v>
      </c>
      <c r="DZ854" s="73">
        <v>0</v>
      </c>
      <c r="EA854" s="73">
        <v>0</v>
      </c>
      <c r="EB854" s="73">
        <v>0</v>
      </c>
    </row>
    <row r="855" spans="1:133" ht="12" customHeight="1" x14ac:dyDescent="0.2">
      <c r="A855" t="s">
        <v>2935</v>
      </c>
      <c r="B855" t="s">
        <v>2946</v>
      </c>
      <c r="C855" t="str">
        <f t="shared" si="39"/>
        <v>Full</v>
      </c>
      <c r="E855" s="65">
        <v>7064</v>
      </c>
      <c r="F855" t="s">
        <v>2823</v>
      </c>
      <c r="G855" s="71" t="s">
        <v>3947</v>
      </c>
      <c r="H855" s="67">
        <v>0.53899997472763095</v>
      </c>
      <c r="I855" s="65">
        <v>528738</v>
      </c>
      <c r="J855" s="65">
        <v>177648</v>
      </c>
      <c r="L855" s="65" t="s">
        <v>2824</v>
      </c>
      <c r="M855" s="65" t="s">
        <v>434</v>
      </c>
      <c r="N855" s="69">
        <v>42713</v>
      </c>
      <c r="O855" s="69">
        <v>42774</v>
      </c>
      <c r="R855" s="65" t="s">
        <v>28</v>
      </c>
      <c r="U855" t="s">
        <v>2825</v>
      </c>
      <c r="V855" t="s">
        <v>3792</v>
      </c>
      <c r="W855" s="65" t="s">
        <v>21</v>
      </c>
      <c r="X855" s="65" t="s">
        <v>21</v>
      </c>
      <c r="Y855" s="65" t="s">
        <v>30</v>
      </c>
      <c r="AA855" s="69">
        <v>42825</v>
      </c>
      <c r="AD855" s="65" t="s">
        <v>23</v>
      </c>
      <c r="AE855" s="65" t="s">
        <v>24</v>
      </c>
      <c r="AF855" s="71" t="s">
        <v>2827</v>
      </c>
      <c r="AG855" s="65" t="s">
        <v>23</v>
      </c>
      <c r="AH855" s="69">
        <f t="shared" si="40"/>
        <v>42825</v>
      </c>
      <c r="AU855" s="73">
        <v>149</v>
      </c>
      <c r="AV855" s="73">
        <v>149</v>
      </c>
      <c r="BO855" s="185" t="s">
        <v>3794</v>
      </c>
      <c r="BP855" s="185" t="s">
        <v>126</v>
      </c>
      <c r="BQ855" s="185" t="s">
        <v>3794</v>
      </c>
      <c r="BW855" s="73"/>
      <c r="BY855" s="185" t="s">
        <v>3794</v>
      </c>
      <c r="CC855" s="73">
        <v>149</v>
      </c>
      <c r="CD855" s="73">
        <v>149</v>
      </c>
      <c r="CJ855" t="s">
        <v>25</v>
      </c>
      <c r="CK855" t="s">
        <v>25</v>
      </c>
      <c r="CL855" t="s">
        <v>25</v>
      </c>
      <c r="CM855" t="s">
        <v>25</v>
      </c>
      <c r="CN855" t="s">
        <v>25</v>
      </c>
      <c r="CO855" t="s">
        <v>25</v>
      </c>
      <c r="CP855" t="s">
        <v>25</v>
      </c>
      <c r="CQ855" t="s">
        <v>25</v>
      </c>
      <c r="CR855" t="s">
        <v>25</v>
      </c>
      <c r="CS855" t="s">
        <v>53</v>
      </c>
      <c r="CT855" t="s">
        <v>25</v>
      </c>
      <c r="CU855" t="s">
        <v>25</v>
      </c>
      <c r="CV855" t="s">
        <v>25</v>
      </c>
      <c r="CW855" t="s">
        <v>25</v>
      </c>
      <c r="CX855" t="s">
        <v>25</v>
      </c>
      <c r="CY855" t="s">
        <v>25</v>
      </c>
      <c r="CZ855" t="s">
        <v>25</v>
      </c>
      <c r="DA855" t="s">
        <v>25</v>
      </c>
      <c r="DB855" t="s">
        <v>25</v>
      </c>
      <c r="DC855" t="s">
        <v>25</v>
      </c>
      <c r="DD855" t="s">
        <v>25</v>
      </c>
      <c r="DE855" t="s">
        <v>25</v>
      </c>
      <c r="DF855" t="s">
        <v>25</v>
      </c>
      <c r="DG855" t="s">
        <v>25</v>
      </c>
      <c r="DH855" t="s">
        <v>25</v>
      </c>
      <c r="DI855" t="s">
        <v>25</v>
      </c>
      <c r="DJ855" s="76">
        <v>0.53899997472763095</v>
      </c>
      <c r="DK855" s="73">
        <v>149</v>
      </c>
      <c r="DL855" s="73">
        <v>0</v>
      </c>
      <c r="DM855" s="73">
        <v>149</v>
      </c>
      <c r="DN855" s="65" t="s">
        <v>126</v>
      </c>
      <c r="DU855" s="65" t="s">
        <v>126</v>
      </c>
      <c r="DZ855" s="73">
        <v>0</v>
      </c>
      <c r="EA855" s="73">
        <v>0</v>
      </c>
      <c r="EB855" s="73">
        <v>0</v>
      </c>
    </row>
    <row r="856" spans="1:133" ht="12" customHeight="1" x14ac:dyDescent="0.2">
      <c r="A856" t="s">
        <v>2935</v>
      </c>
      <c r="B856" t="s">
        <v>2946</v>
      </c>
      <c r="C856" t="str">
        <f t="shared" si="39"/>
        <v>Full</v>
      </c>
      <c r="E856" s="65">
        <v>7064</v>
      </c>
      <c r="F856" t="s">
        <v>2823</v>
      </c>
      <c r="G856" s="71" t="s">
        <v>3947</v>
      </c>
      <c r="H856" s="67">
        <v>0.53899997472763095</v>
      </c>
      <c r="I856" s="65">
        <v>528738</v>
      </c>
      <c r="J856" s="65">
        <v>177648</v>
      </c>
      <c r="L856" s="65" t="s">
        <v>2824</v>
      </c>
      <c r="M856" s="65" t="s">
        <v>434</v>
      </c>
      <c r="N856" s="69">
        <v>42713</v>
      </c>
      <c r="O856" s="69">
        <v>42774</v>
      </c>
      <c r="R856" s="65" t="s">
        <v>28</v>
      </c>
      <c r="U856" t="s">
        <v>2825</v>
      </c>
      <c r="V856" t="s">
        <v>3792</v>
      </c>
      <c r="W856" s="65" t="s">
        <v>21</v>
      </c>
      <c r="X856" s="65" t="s">
        <v>21</v>
      </c>
      <c r="Y856" s="65" t="s">
        <v>30</v>
      </c>
      <c r="AA856" s="69">
        <v>42825</v>
      </c>
      <c r="AD856" s="65" t="s">
        <v>23</v>
      </c>
      <c r="AE856" s="65" t="s">
        <v>24</v>
      </c>
      <c r="AF856" s="71" t="s">
        <v>2828</v>
      </c>
      <c r="AG856" s="65" t="s">
        <v>23</v>
      </c>
      <c r="AH856" s="69">
        <f t="shared" si="40"/>
        <v>42825</v>
      </c>
      <c r="BO856" s="185" t="s">
        <v>3794</v>
      </c>
      <c r="BP856" s="185" t="s">
        <v>3794</v>
      </c>
      <c r="BQ856" s="185" t="s">
        <v>3794</v>
      </c>
      <c r="BW856" s="73"/>
      <c r="BY856" s="185" t="s">
        <v>3794</v>
      </c>
      <c r="CJ856" t="s">
        <v>25</v>
      </c>
      <c r="CK856" t="s">
        <v>25</v>
      </c>
      <c r="CL856" t="s">
        <v>25</v>
      </c>
      <c r="CM856" t="s">
        <v>25</v>
      </c>
      <c r="CN856" t="s">
        <v>25</v>
      </c>
      <c r="CO856" t="s">
        <v>25</v>
      </c>
      <c r="CP856" t="s">
        <v>25</v>
      </c>
      <c r="CQ856" t="s">
        <v>25</v>
      </c>
      <c r="CR856" t="s">
        <v>25</v>
      </c>
      <c r="CS856" t="s">
        <v>25</v>
      </c>
      <c r="CT856" t="s">
        <v>25</v>
      </c>
      <c r="CU856" t="s">
        <v>25</v>
      </c>
      <c r="CV856" t="s">
        <v>25</v>
      </c>
      <c r="CW856" t="s">
        <v>25</v>
      </c>
      <c r="CX856" t="s">
        <v>25</v>
      </c>
      <c r="CY856" t="s">
        <v>25</v>
      </c>
      <c r="CZ856" t="s">
        <v>25</v>
      </c>
      <c r="DA856" t="s">
        <v>25</v>
      </c>
      <c r="DB856" t="s">
        <v>25</v>
      </c>
      <c r="DC856" t="s">
        <v>25</v>
      </c>
      <c r="DD856" t="s">
        <v>25</v>
      </c>
      <c r="DE856" t="s">
        <v>25</v>
      </c>
      <c r="DF856" t="s">
        <v>25</v>
      </c>
      <c r="DG856" t="s">
        <v>25</v>
      </c>
      <c r="DH856" t="s">
        <v>25</v>
      </c>
      <c r="DI856" t="s">
        <v>25</v>
      </c>
      <c r="DJ856" s="76">
        <v>0.53899997472763095</v>
      </c>
      <c r="DK856" s="73">
        <v>149</v>
      </c>
      <c r="DL856" s="73">
        <v>0</v>
      </c>
      <c r="DM856" s="73">
        <v>149</v>
      </c>
      <c r="DN856" s="65" t="s">
        <v>126</v>
      </c>
      <c r="DU856" s="65" t="s">
        <v>126</v>
      </c>
      <c r="DZ856" s="73">
        <v>0</v>
      </c>
      <c r="EA856" s="73">
        <v>0</v>
      </c>
      <c r="EB856" s="73">
        <v>0</v>
      </c>
    </row>
    <row r="857" spans="1:133" ht="12" customHeight="1" x14ac:dyDescent="0.2">
      <c r="A857" t="s">
        <v>2935</v>
      </c>
      <c r="B857" t="s">
        <v>2946</v>
      </c>
      <c r="C857" t="str">
        <f t="shared" si="39"/>
        <v>Full</v>
      </c>
      <c r="E857" s="65">
        <v>7064</v>
      </c>
      <c r="F857" t="s">
        <v>2823</v>
      </c>
      <c r="G857" s="71" t="s">
        <v>3947</v>
      </c>
      <c r="H857" s="67">
        <v>0.53899997472763095</v>
      </c>
      <c r="I857" s="65">
        <v>528738</v>
      </c>
      <c r="J857" s="65">
        <v>177648</v>
      </c>
      <c r="L857" s="65" t="s">
        <v>2824</v>
      </c>
      <c r="M857" s="65" t="s">
        <v>434</v>
      </c>
      <c r="N857" s="69">
        <v>42713</v>
      </c>
      <c r="O857" s="69">
        <v>42774</v>
      </c>
      <c r="R857" s="65" t="s">
        <v>28</v>
      </c>
      <c r="U857" t="s">
        <v>2825</v>
      </c>
      <c r="V857" t="s">
        <v>3792</v>
      </c>
      <c r="W857" s="65" t="s">
        <v>21</v>
      </c>
      <c r="X857" s="65" t="s">
        <v>21</v>
      </c>
      <c r="Y857" s="65" t="s">
        <v>30</v>
      </c>
      <c r="AA857" s="69">
        <v>42825</v>
      </c>
      <c r="AD857" s="65" t="s">
        <v>23</v>
      </c>
      <c r="AE857" s="65" t="s">
        <v>24</v>
      </c>
      <c r="AF857" s="71" t="s">
        <v>2829</v>
      </c>
      <c r="AG857" s="65" t="s">
        <v>23</v>
      </c>
      <c r="AH857" s="69">
        <f t="shared" si="40"/>
        <v>42825</v>
      </c>
      <c r="BO857" s="185" t="s">
        <v>3794</v>
      </c>
      <c r="BP857" s="185" t="s">
        <v>3794</v>
      </c>
      <c r="BQ857" s="185" t="s">
        <v>3794</v>
      </c>
      <c r="BW857" s="73"/>
      <c r="BY857" s="185" t="s">
        <v>3794</v>
      </c>
      <c r="CJ857" t="s">
        <v>25</v>
      </c>
      <c r="CK857" t="s">
        <v>25</v>
      </c>
      <c r="CL857" t="s">
        <v>25</v>
      </c>
      <c r="CM857" t="s">
        <v>25</v>
      </c>
      <c r="CN857" t="s">
        <v>25</v>
      </c>
      <c r="CO857" t="s">
        <v>25</v>
      </c>
      <c r="CP857" t="s">
        <v>25</v>
      </c>
      <c r="CQ857" t="s">
        <v>25</v>
      </c>
      <c r="CR857" t="s">
        <v>25</v>
      </c>
      <c r="CS857" t="s">
        <v>25</v>
      </c>
      <c r="CT857" t="s">
        <v>25</v>
      </c>
      <c r="CU857" t="s">
        <v>25</v>
      </c>
      <c r="CV857" t="s">
        <v>25</v>
      </c>
      <c r="CW857" t="s">
        <v>25</v>
      </c>
      <c r="CX857" t="s">
        <v>25</v>
      </c>
      <c r="CY857" t="s">
        <v>25</v>
      </c>
      <c r="CZ857" t="s">
        <v>25</v>
      </c>
      <c r="DA857" t="s">
        <v>25</v>
      </c>
      <c r="DB857" t="s">
        <v>25</v>
      </c>
      <c r="DC857" t="s">
        <v>25</v>
      </c>
      <c r="DD857" t="s">
        <v>25</v>
      </c>
      <c r="DE857" t="s">
        <v>25</v>
      </c>
      <c r="DF857" t="s">
        <v>25</v>
      </c>
      <c r="DG857" t="s">
        <v>25</v>
      </c>
      <c r="DH857" t="s">
        <v>25</v>
      </c>
      <c r="DI857" t="s">
        <v>25</v>
      </c>
      <c r="DJ857" s="76">
        <v>0.53899997472763095</v>
      </c>
      <c r="DK857" s="73">
        <v>149</v>
      </c>
      <c r="DL857" s="73">
        <v>0</v>
      </c>
      <c r="DM857" s="73">
        <v>149</v>
      </c>
      <c r="DN857" s="65" t="s">
        <v>126</v>
      </c>
      <c r="DU857" s="65" t="s">
        <v>126</v>
      </c>
      <c r="DZ857" s="73">
        <v>0</v>
      </c>
      <c r="EA857" s="73">
        <v>0</v>
      </c>
      <c r="EB857" s="73">
        <v>0</v>
      </c>
    </row>
    <row r="858" spans="1:133" ht="12" customHeight="1" x14ac:dyDescent="0.2">
      <c r="A858" t="s">
        <v>2935</v>
      </c>
      <c r="B858" t="s">
        <v>2946</v>
      </c>
      <c r="C858" t="str">
        <f t="shared" si="39"/>
        <v>Full</v>
      </c>
      <c r="E858" s="65">
        <v>7064</v>
      </c>
      <c r="F858" t="s">
        <v>2823</v>
      </c>
      <c r="G858" s="71" t="s">
        <v>3947</v>
      </c>
      <c r="H858" s="67">
        <v>0.53899997472763095</v>
      </c>
      <c r="I858" s="65">
        <v>528738</v>
      </c>
      <c r="J858" s="65">
        <v>177648</v>
      </c>
      <c r="L858" s="65" t="s">
        <v>2824</v>
      </c>
      <c r="M858" s="65" t="s">
        <v>434</v>
      </c>
      <c r="N858" s="69">
        <v>42713</v>
      </c>
      <c r="O858" s="69">
        <v>42774</v>
      </c>
      <c r="R858" s="65" t="s">
        <v>28</v>
      </c>
      <c r="U858" t="s">
        <v>2825</v>
      </c>
      <c r="V858" t="s">
        <v>3792</v>
      </c>
      <c r="W858" s="65" t="s">
        <v>21</v>
      </c>
      <c r="X858" s="65" t="s">
        <v>21</v>
      </c>
      <c r="Y858" s="65" t="s">
        <v>30</v>
      </c>
      <c r="AA858" s="69">
        <v>42825</v>
      </c>
      <c r="AD858" s="65" t="s">
        <v>23</v>
      </c>
      <c r="AE858" s="65" t="s">
        <v>24</v>
      </c>
      <c r="AF858" s="71" t="s">
        <v>2830</v>
      </c>
      <c r="AG858" s="65" t="s">
        <v>23</v>
      </c>
      <c r="AH858" s="69">
        <f t="shared" si="40"/>
        <v>42825</v>
      </c>
      <c r="AW858" s="73">
        <v>149</v>
      </c>
      <c r="AY858" s="73">
        <v>149</v>
      </c>
      <c r="BO858" s="185" t="s">
        <v>3794</v>
      </c>
      <c r="BP858" s="185" t="s">
        <v>3794</v>
      </c>
      <c r="BQ858" s="185" t="s">
        <v>126</v>
      </c>
      <c r="BW858" s="73"/>
      <c r="BY858" s="185" t="s">
        <v>3794</v>
      </c>
      <c r="CG858" s="73">
        <v>149</v>
      </c>
      <c r="CI858" s="73">
        <v>149</v>
      </c>
      <c r="CJ858" t="s">
        <v>25</v>
      </c>
      <c r="CK858" t="s">
        <v>25</v>
      </c>
      <c r="CL858" t="s">
        <v>25</v>
      </c>
      <c r="CM858" t="s">
        <v>25</v>
      </c>
      <c r="CN858" t="s">
        <v>25</v>
      </c>
      <c r="CO858" t="s">
        <v>25</v>
      </c>
      <c r="CP858" t="s">
        <v>25</v>
      </c>
      <c r="CQ858" t="s">
        <v>25</v>
      </c>
      <c r="CR858" t="s">
        <v>25</v>
      </c>
      <c r="CS858" t="s">
        <v>25</v>
      </c>
      <c r="CT858" t="s">
        <v>25</v>
      </c>
      <c r="CU858" t="s">
        <v>31</v>
      </c>
      <c r="CV858" t="s">
        <v>25</v>
      </c>
      <c r="CW858" t="s">
        <v>25</v>
      </c>
      <c r="CX858" t="s">
        <v>25</v>
      </c>
      <c r="CY858" t="s">
        <v>25</v>
      </c>
      <c r="CZ858" t="s">
        <v>25</v>
      </c>
      <c r="DA858" t="s">
        <v>25</v>
      </c>
      <c r="DB858" t="s">
        <v>25</v>
      </c>
      <c r="DC858" t="s">
        <v>25</v>
      </c>
      <c r="DD858" t="s">
        <v>25</v>
      </c>
      <c r="DE858" t="s">
        <v>25</v>
      </c>
      <c r="DF858" t="s">
        <v>25</v>
      </c>
      <c r="DG858" t="s">
        <v>25</v>
      </c>
      <c r="DH858" t="s">
        <v>25</v>
      </c>
      <c r="DI858" t="s">
        <v>25</v>
      </c>
      <c r="DJ858" s="76">
        <v>0.53899997472763095</v>
      </c>
      <c r="DK858" s="73">
        <v>149</v>
      </c>
      <c r="DL858" s="73">
        <v>0</v>
      </c>
      <c r="DM858" s="73">
        <v>149</v>
      </c>
      <c r="DN858" s="65" t="s">
        <v>126</v>
      </c>
      <c r="DU858" s="65" t="s">
        <v>126</v>
      </c>
      <c r="DZ858" s="73">
        <v>0</v>
      </c>
      <c r="EA858" s="73">
        <v>0</v>
      </c>
      <c r="EB858" s="73">
        <v>0</v>
      </c>
    </row>
    <row r="859" spans="1:133" ht="12" customHeight="1" x14ac:dyDescent="0.2">
      <c r="A859" t="s">
        <v>2935</v>
      </c>
      <c r="B859" t="s">
        <v>2946</v>
      </c>
      <c r="C859" t="str">
        <f t="shared" si="39"/>
        <v>Full</v>
      </c>
      <c r="E859" s="65">
        <v>7064</v>
      </c>
      <c r="F859" t="s">
        <v>2823</v>
      </c>
      <c r="G859" s="71" t="s">
        <v>3947</v>
      </c>
      <c r="H859" s="67">
        <v>0.53899997472763095</v>
      </c>
      <c r="I859" s="65">
        <v>528738</v>
      </c>
      <c r="J859" s="65">
        <v>177648</v>
      </c>
      <c r="L859" s="65" t="s">
        <v>2824</v>
      </c>
      <c r="M859" s="65" t="s">
        <v>434</v>
      </c>
      <c r="N859" s="69">
        <v>42713</v>
      </c>
      <c r="O859" s="69">
        <v>42774</v>
      </c>
      <c r="R859" s="65" t="s">
        <v>28</v>
      </c>
      <c r="U859" t="s">
        <v>2825</v>
      </c>
      <c r="V859" t="s">
        <v>3792</v>
      </c>
      <c r="W859" s="65" t="s">
        <v>21</v>
      </c>
      <c r="X859" s="65" t="s">
        <v>21</v>
      </c>
      <c r="Y859" s="65" t="s">
        <v>30</v>
      </c>
      <c r="AA859" s="69">
        <v>42825</v>
      </c>
      <c r="AD859" s="65" t="s">
        <v>23</v>
      </c>
      <c r="AE859" s="65" t="s">
        <v>24</v>
      </c>
      <c r="AF859" s="71" t="s">
        <v>2831</v>
      </c>
      <c r="AG859" s="65" t="s">
        <v>23</v>
      </c>
      <c r="AH859" s="69">
        <f t="shared" si="40"/>
        <v>42825</v>
      </c>
      <c r="AX859" s="73">
        <v>149</v>
      </c>
      <c r="AY859" s="73">
        <v>149</v>
      </c>
      <c r="BO859" s="185" t="s">
        <v>3794</v>
      </c>
      <c r="BP859" s="185" t="s">
        <v>3794</v>
      </c>
      <c r="BQ859" s="185" t="s">
        <v>126</v>
      </c>
      <c r="BW859" s="73"/>
      <c r="BY859" s="185" t="s">
        <v>3794</v>
      </c>
      <c r="CH859" s="73">
        <v>149</v>
      </c>
      <c r="CI859" s="73">
        <v>149</v>
      </c>
      <c r="CJ859" t="s">
        <v>25</v>
      </c>
      <c r="CK859" t="s">
        <v>25</v>
      </c>
      <c r="CL859" t="s">
        <v>25</v>
      </c>
      <c r="CM859" t="s">
        <v>25</v>
      </c>
      <c r="CN859" t="s">
        <v>25</v>
      </c>
      <c r="CO859" t="s">
        <v>25</v>
      </c>
      <c r="CP859" t="s">
        <v>25</v>
      </c>
      <c r="CQ859" t="s">
        <v>25</v>
      </c>
      <c r="CR859" t="s">
        <v>25</v>
      </c>
      <c r="CS859" t="s">
        <v>25</v>
      </c>
      <c r="CT859" t="s">
        <v>25</v>
      </c>
      <c r="CU859" t="s">
        <v>25</v>
      </c>
      <c r="CV859" t="s">
        <v>2832</v>
      </c>
      <c r="CW859" t="s">
        <v>25</v>
      </c>
      <c r="CX859" t="s">
        <v>25</v>
      </c>
      <c r="CY859" t="s">
        <v>25</v>
      </c>
      <c r="CZ859" t="s">
        <v>25</v>
      </c>
      <c r="DA859" t="s">
        <v>25</v>
      </c>
      <c r="DB859" t="s">
        <v>25</v>
      </c>
      <c r="DC859" t="s">
        <v>25</v>
      </c>
      <c r="DD859" t="s">
        <v>25</v>
      </c>
      <c r="DE859" t="s">
        <v>25</v>
      </c>
      <c r="DF859" t="s">
        <v>25</v>
      </c>
      <c r="DG859" t="s">
        <v>25</v>
      </c>
      <c r="DH859" t="s">
        <v>25</v>
      </c>
      <c r="DI859" t="s">
        <v>25</v>
      </c>
      <c r="DJ859" s="76">
        <v>0.53899997472763095</v>
      </c>
      <c r="DK859" s="73">
        <v>149</v>
      </c>
      <c r="DL859" s="73">
        <v>0</v>
      </c>
      <c r="DM859" s="73">
        <v>149</v>
      </c>
      <c r="DN859" s="65" t="s">
        <v>126</v>
      </c>
      <c r="DU859" s="65" t="s">
        <v>126</v>
      </c>
      <c r="DZ859" s="73">
        <v>0</v>
      </c>
      <c r="EA859" s="73">
        <v>0</v>
      </c>
      <c r="EB859" s="73">
        <v>0</v>
      </c>
    </row>
    <row r="860" spans="1:133" ht="12" customHeight="1" x14ac:dyDescent="0.2">
      <c r="A860" t="s">
        <v>2935</v>
      </c>
      <c r="B860" t="s">
        <v>2946</v>
      </c>
      <c r="C860" t="str">
        <f t="shared" si="39"/>
        <v>Full</v>
      </c>
      <c r="E860" s="65">
        <v>7064</v>
      </c>
      <c r="F860" t="s">
        <v>2823</v>
      </c>
      <c r="G860" s="71" t="s">
        <v>3947</v>
      </c>
      <c r="H860" s="67">
        <v>0.53899997472763095</v>
      </c>
      <c r="I860" s="65">
        <v>528738</v>
      </c>
      <c r="J860" s="65">
        <v>177648</v>
      </c>
      <c r="L860" s="65" t="s">
        <v>2824</v>
      </c>
      <c r="M860" s="65" t="s">
        <v>434</v>
      </c>
      <c r="N860" s="69">
        <v>42713</v>
      </c>
      <c r="O860" s="69">
        <v>42774</v>
      </c>
      <c r="R860" s="65" t="s">
        <v>28</v>
      </c>
      <c r="U860" t="s">
        <v>2825</v>
      </c>
      <c r="V860" t="s">
        <v>3792</v>
      </c>
      <c r="W860" s="65" t="s">
        <v>21</v>
      </c>
      <c r="X860" s="65" t="s">
        <v>21</v>
      </c>
      <c r="Y860" s="65" t="s">
        <v>30</v>
      </c>
      <c r="AA860" s="69">
        <v>42825</v>
      </c>
      <c r="AD860" s="65" t="s">
        <v>23</v>
      </c>
      <c r="AE860" s="65" t="s">
        <v>24</v>
      </c>
      <c r="AF860" s="71" t="s">
        <v>2833</v>
      </c>
      <c r="AG860" s="65" t="s">
        <v>23</v>
      </c>
      <c r="AH860" s="69">
        <f t="shared" si="40"/>
        <v>42825</v>
      </c>
      <c r="AX860" s="73">
        <v>150</v>
      </c>
      <c r="AY860" s="73">
        <v>150</v>
      </c>
      <c r="BO860" s="185" t="s">
        <v>3794</v>
      </c>
      <c r="BP860" s="185" t="s">
        <v>3794</v>
      </c>
      <c r="BQ860" s="185" t="s">
        <v>126</v>
      </c>
      <c r="BW860" s="73"/>
      <c r="BY860" s="185" t="s">
        <v>3794</v>
      </c>
      <c r="CH860" s="73">
        <v>150</v>
      </c>
      <c r="CI860" s="73">
        <v>150</v>
      </c>
      <c r="CJ860" t="s">
        <v>25</v>
      </c>
      <c r="CK860" t="s">
        <v>25</v>
      </c>
      <c r="CL860" t="s">
        <v>25</v>
      </c>
      <c r="CM860" t="s">
        <v>25</v>
      </c>
      <c r="CN860" t="s">
        <v>25</v>
      </c>
      <c r="CO860" t="s">
        <v>25</v>
      </c>
      <c r="CP860" t="s">
        <v>25</v>
      </c>
      <c r="CQ860" t="s">
        <v>25</v>
      </c>
      <c r="CR860" t="s">
        <v>25</v>
      </c>
      <c r="CS860" t="s">
        <v>25</v>
      </c>
      <c r="CT860" t="s">
        <v>25</v>
      </c>
      <c r="CU860" t="s">
        <v>25</v>
      </c>
      <c r="CV860" t="s">
        <v>2832</v>
      </c>
      <c r="CW860" t="s">
        <v>25</v>
      </c>
      <c r="CX860" t="s">
        <v>25</v>
      </c>
      <c r="CY860" t="s">
        <v>25</v>
      </c>
      <c r="CZ860" t="s">
        <v>25</v>
      </c>
      <c r="DA860" t="s">
        <v>25</v>
      </c>
      <c r="DB860" t="s">
        <v>25</v>
      </c>
      <c r="DC860" t="s">
        <v>25</v>
      </c>
      <c r="DD860" t="s">
        <v>25</v>
      </c>
      <c r="DE860" t="s">
        <v>25</v>
      </c>
      <c r="DF860" t="s">
        <v>25</v>
      </c>
      <c r="DG860" t="s">
        <v>25</v>
      </c>
      <c r="DH860" t="s">
        <v>25</v>
      </c>
      <c r="DI860" t="s">
        <v>25</v>
      </c>
      <c r="DJ860" s="76">
        <v>0.53899997472763095</v>
      </c>
      <c r="DK860" s="73">
        <v>150</v>
      </c>
      <c r="DL860" s="73">
        <v>0</v>
      </c>
      <c r="DM860" s="73">
        <v>150</v>
      </c>
      <c r="DN860" s="65" t="s">
        <v>126</v>
      </c>
      <c r="DU860" s="65" t="s">
        <v>126</v>
      </c>
      <c r="DZ860" s="73">
        <v>0</v>
      </c>
      <c r="EA860" s="73">
        <v>0</v>
      </c>
      <c r="EB860" s="73">
        <v>0</v>
      </c>
    </row>
    <row r="861" spans="1:133" ht="12" customHeight="1" x14ac:dyDescent="0.2">
      <c r="A861" t="s">
        <v>2935</v>
      </c>
      <c r="B861" t="s">
        <v>2946</v>
      </c>
      <c r="C861" t="str">
        <f t="shared" si="39"/>
        <v>Full</v>
      </c>
      <c r="E861" s="65">
        <v>7064</v>
      </c>
      <c r="F861" t="s">
        <v>2823</v>
      </c>
      <c r="G861" s="71" t="s">
        <v>3947</v>
      </c>
      <c r="H861" s="67">
        <v>0.53899997472763095</v>
      </c>
      <c r="I861" s="65">
        <v>528738</v>
      </c>
      <c r="J861" s="65">
        <v>177648</v>
      </c>
      <c r="L861" s="65" t="s">
        <v>2824</v>
      </c>
      <c r="M861" s="65" t="s">
        <v>434</v>
      </c>
      <c r="N861" s="69">
        <v>42713</v>
      </c>
      <c r="O861" s="69">
        <v>42774</v>
      </c>
      <c r="R861" s="65" t="s">
        <v>28</v>
      </c>
      <c r="U861" t="s">
        <v>2825</v>
      </c>
      <c r="V861" t="s">
        <v>3792</v>
      </c>
      <c r="W861" s="65" t="s">
        <v>21</v>
      </c>
      <c r="X861" s="65" t="s">
        <v>21</v>
      </c>
      <c r="Y861" s="65" t="s">
        <v>30</v>
      </c>
      <c r="AA861" s="69">
        <v>42825</v>
      </c>
      <c r="AD861" s="65" t="s">
        <v>23</v>
      </c>
      <c r="AE861" s="65" t="s">
        <v>24</v>
      </c>
      <c r="AF861" s="71" t="s">
        <v>2834</v>
      </c>
      <c r="AG861" s="65" t="s">
        <v>23</v>
      </c>
      <c r="AH861" s="69">
        <f t="shared" si="40"/>
        <v>42825</v>
      </c>
      <c r="AL861" s="73">
        <v>75</v>
      </c>
      <c r="AM861" s="73">
        <v>75</v>
      </c>
      <c r="AO861" s="73">
        <v>150</v>
      </c>
      <c r="BO861" s="185" t="s">
        <v>126</v>
      </c>
      <c r="BP861" s="185" t="s">
        <v>3794</v>
      </c>
      <c r="BQ861" s="185" t="s">
        <v>3794</v>
      </c>
      <c r="BT861" s="73">
        <v>75</v>
      </c>
      <c r="BU861" s="73">
        <v>75</v>
      </c>
      <c r="BW861" s="73">
        <v>150</v>
      </c>
      <c r="BY861" s="185" t="s">
        <v>3794</v>
      </c>
      <c r="CJ861" t="s">
        <v>25</v>
      </c>
      <c r="CK861" t="s">
        <v>25</v>
      </c>
      <c r="CL861" t="s">
        <v>31</v>
      </c>
      <c r="CM861" t="s">
        <v>31</v>
      </c>
      <c r="CN861" t="s">
        <v>25</v>
      </c>
      <c r="CO861" t="s">
        <v>25</v>
      </c>
      <c r="CP861" t="s">
        <v>25</v>
      </c>
      <c r="CQ861" t="s">
        <v>25</v>
      </c>
      <c r="CR861" t="s">
        <v>25</v>
      </c>
      <c r="CS861" t="s">
        <v>25</v>
      </c>
      <c r="CT861" t="s">
        <v>25</v>
      </c>
      <c r="CU861" t="s">
        <v>25</v>
      </c>
      <c r="CV861" t="s">
        <v>25</v>
      </c>
      <c r="CW861" t="s">
        <v>25</v>
      </c>
      <c r="CX861" t="s">
        <v>25</v>
      </c>
      <c r="CY861" t="s">
        <v>25</v>
      </c>
      <c r="CZ861" t="s">
        <v>25</v>
      </c>
      <c r="DA861" t="s">
        <v>25</v>
      </c>
      <c r="DB861" t="s">
        <v>25</v>
      </c>
      <c r="DC861" t="s">
        <v>25</v>
      </c>
      <c r="DD861" t="s">
        <v>25</v>
      </c>
      <c r="DE861" t="s">
        <v>25</v>
      </c>
      <c r="DF861" t="s">
        <v>25</v>
      </c>
      <c r="DG861" t="s">
        <v>25</v>
      </c>
      <c r="DH861" t="s">
        <v>25</v>
      </c>
      <c r="DI861" t="s">
        <v>25</v>
      </c>
      <c r="DJ861" s="76">
        <v>0.53899997472763095</v>
      </c>
      <c r="DK861" s="73">
        <v>150</v>
      </c>
      <c r="DL861" s="73">
        <v>0</v>
      </c>
      <c r="DM861" s="73">
        <v>150</v>
      </c>
      <c r="DN861" s="65" t="s">
        <v>126</v>
      </c>
      <c r="DU861" s="65" t="s">
        <v>126</v>
      </c>
      <c r="DZ861" s="73">
        <v>0</v>
      </c>
      <c r="EA861" s="73">
        <v>0</v>
      </c>
      <c r="EB861" s="73">
        <v>0</v>
      </c>
    </row>
    <row r="862" spans="1:133" ht="12" customHeight="1" x14ac:dyDescent="0.2">
      <c r="A862" t="s">
        <v>2935</v>
      </c>
      <c r="B862" t="s">
        <v>2946</v>
      </c>
      <c r="C862" t="str">
        <f t="shared" si="39"/>
        <v>Full</v>
      </c>
      <c r="E862" s="65">
        <v>7064</v>
      </c>
      <c r="F862" t="s">
        <v>2823</v>
      </c>
      <c r="G862" s="71" t="s">
        <v>3947</v>
      </c>
      <c r="H862" s="67">
        <v>0.53899997472763095</v>
      </c>
      <c r="I862" s="65">
        <v>528738</v>
      </c>
      <c r="J862" s="65">
        <v>177648</v>
      </c>
      <c r="L862" s="65" t="s">
        <v>2824</v>
      </c>
      <c r="M862" s="65" t="s">
        <v>434</v>
      </c>
      <c r="N862" s="69">
        <v>42713</v>
      </c>
      <c r="O862" s="69">
        <v>42774</v>
      </c>
      <c r="R862" s="65" t="s">
        <v>28</v>
      </c>
      <c r="U862" t="s">
        <v>2825</v>
      </c>
      <c r="V862" t="s">
        <v>3792</v>
      </c>
      <c r="W862" s="65" t="s">
        <v>21</v>
      </c>
      <c r="X862" s="65" t="s">
        <v>21</v>
      </c>
      <c r="Y862" s="65" t="s">
        <v>30</v>
      </c>
      <c r="AA862" s="69">
        <v>42825</v>
      </c>
      <c r="AD862" s="65" t="s">
        <v>23</v>
      </c>
      <c r="AE862" s="65" t="s">
        <v>24</v>
      </c>
      <c r="AF862" s="71" t="s">
        <v>2835</v>
      </c>
      <c r="AG862" s="65" t="s">
        <v>23</v>
      </c>
      <c r="AH862" s="69">
        <f t="shared" si="40"/>
        <v>42825</v>
      </c>
      <c r="AJ862" s="73">
        <v>74</v>
      </c>
      <c r="AL862" s="73">
        <v>75</v>
      </c>
      <c r="AO862" s="73">
        <v>149</v>
      </c>
      <c r="BO862" s="185" t="s">
        <v>126</v>
      </c>
      <c r="BP862" s="185" t="s">
        <v>3794</v>
      </c>
      <c r="BQ862" s="185" t="s">
        <v>3794</v>
      </c>
      <c r="BR862" s="73">
        <v>74</v>
      </c>
      <c r="BT862" s="73">
        <v>75</v>
      </c>
      <c r="BW862" s="73">
        <v>149</v>
      </c>
      <c r="BY862" s="185" t="s">
        <v>3794</v>
      </c>
      <c r="CJ862" t="s">
        <v>31</v>
      </c>
      <c r="CK862" t="s">
        <v>25</v>
      </c>
      <c r="CL862" t="s">
        <v>31</v>
      </c>
      <c r="CM862" t="s">
        <v>25</v>
      </c>
      <c r="CN862" t="s">
        <v>25</v>
      </c>
      <c r="CO862" t="s">
        <v>25</v>
      </c>
      <c r="CP862" t="s">
        <v>25</v>
      </c>
      <c r="CQ862" t="s">
        <v>25</v>
      </c>
      <c r="CR862" t="s">
        <v>25</v>
      </c>
      <c r="CS862" t="s">
        <v>25</v>
      </c>
      <c r="CT862" t="s">
        <v>25</v>
      </c>
      <c r="CU862" t="s">
        <v>25</v>
      </c>
      <c r="CV862" t="s">
        <v>25</v>
      </c>
      <c r="CW862" t="s">
        <v>25</v>
      </c>
      <c r="CX862" t="s">
        <v>25</v>
      </c>
      <c r="CY862" t="s">
        <v>25</v>
      </c>
      <c r="CZ862" t="s">
        <v>25</v>
      </c>
      <c r="DA862" t="s">
        <v>25</v>
      </c>
      <c r="DB862" t="s">
        <v>25</v>
      </c>
      <c r="DC862" t="s">
        <v>25</v>
      </c>
      <c r="DD862" t="s">
        <v>25</v>
      </c>
      <c r="DE862" t="s">
        <v>25</v>
      </c>
      <c r="DF862" t="s">
        <v>25</v>
      </c>
      <c r="DG862" t="s">
        <v>25</v>
      </c>
      <c r="DH862" t="s">
        <v>25</v>
      </c>
      <c r="DI862" t="s">
        <v>25</v>
      </c>
      <c r="DJ862" s="76">
        <v>0.53899997472763095</v>
      </c>
      <c r="DK862" s="73">
        <v>149</v>
      </c>
      <c r="DL862" s="73">
        <v>0</v>
      </c>
      <c r="DM862" s="73">
        <v>149</v>
      </c>
      <c r="DN862" s="65" t="s">
        <v>126</v>
      </c>
      <c r="DU862" s="65" t="s">
        <v>126</v>
      </c>
      <c r="DZ862" s="73">
        <v>0</v>
      </c>
      <c r="EA862" s="73">
        <v>0</v>
      </c>
      <c r="EB862" s="73">
        <v>0</v>
      </c>
    </row>
    <row r="863" spans="1:133" ht="12" customHeight="1" x14ac:dyDescent="0.2">
      <c r="A863" t="s">
        <v>2935</v>
      </c>
      <c r="B863" t="s">
        <v>2946</v>
      </c>
      <c r="C863" t="str">
        <f t="shared" si="39"/>
        <v>Full</v>
      </c>
      <c r="E863" s="65">
        <v>7064</v>
      </c>
      <c r="F863" t="s">
        <v>2823</v>
      </c>
      <c r="G863" s="71" t="s">
        <v>3947</v>
      </c>
      <c r="H863" s="67">
        <v>0.53899997472763095</v>
      </c>
      <c r="I863" s="65">
        <v>528738</v>
      </c>
      <c r="J863" s="65">
        <v>177648</v>
      </c>
      <c r="L863" s="65" t="s">
        <v>2824</v>
      </c>
      <c r="M863" s="65" t="s">
        <v>434</v>
      </c>
      <c r="N863" s="69">
        <v>42713</v>
      </c>
      <c r="O863" s="69">
        <v>42774</v>
      </c>
      <c r="R863" s="65" t="s">
        <v>28</v>
      </c>
      <c r="U863" t="s">
        <v>2825</v>
      </c>
      <c r="V863" t="s">
        <v>3792</v>
      </c>
      <c r="W863" s="65" t="s">
        <v>21</v>
      </c>
      <c r="X863" s="65" t="s">
        <v>21</v>
      </c>
      <c r="Y863" s="65" t="s">
        <v>30</v>
      </c>
      <c r="AA863" s="69">
        <v>42825</v>
      </c>
      <c r="AD863" s="65" t="s">
        <v>23</v>
      </c>
      <c r="AE863" s="65" t="s">
        <v>24</v>
      </c>
      <c r="AF863" s="71" t="s">
        <v>2836</v>
      </c>
      <c r="AG863" s="65" t="s">
        <v>23</v>
      </c>
      <c r="AH863" s="69">
        <f t="shared" si="40"/>
        <v>42825</v>
      </c>
      <c r="AJ863" s="73">
        <v>75</v>
      </c>
      <c r="AL863" s="73">
        <v>75</v>
      </c>
      <c r="AO863" s="73">
        <v>150</v>
      </c>
      <c r="BO863" s="185" t="s">
        <v>126</v>
      </c>
      <c r="BP863" s="185" t="s">
        <v>3794</v>
      </c>
      <c r="BQ863" s="185" t="s">
        <v>3794</v>
      </c>
      <c r="BR863" s="73">
        <v>75</v>
      </c>
      <c r="BT863" s="73">
        <v>75</v>
      </c>
      <c r="BW863" s="73">
        <v>150</v>
      </c>
      <c r="BY863" s="185" t="s">
        <v>3794</v>
      </c>
      <c r="CJ863" t="s">
        <v>31</v>
      </c>
      <c r="CK863" t="s">
        <v>25</v>
      </c>
      <c r="CL863" t="s">
        <v>31</v>
      </c>
      <c r="CM863" t="s">
        <v>25</v>
      </c>
      <c r="CN863" t="s">
        <v>25</v>
      </c>
      <c r="CO863" t="s">
        <v>25</v>
      </c>
      <c r="CP863" t="s">
        <v>25</v>
      </c>
      <c r="CQ863" t="s">
        <v>25</v>
      </c>
      <c r="CR863" t="s">
        <v>25</v>
      </c>
      <c r="CS863" t="s">
        <v>25</v>
      </c>
      <c r="CT863" t="s">
        <v>25</v>
      </c>
      <c r="CU863" t="s">
        <v>25</v>
      </c>
      <c r="CV863" t="s">
        <v>25</v>
      </c>
      <c r="CW863" t="s">
        <v>25</v>
      </c>
      <c r="CX863" t="s">
        <v>25</v>
      </c>
      <c r="CY863" t="s">
        <v>25</v>
      </c>
      <c r="CZ863" t="s">
        <v>25</v>
      </c>
      <c r="DA863" t="s">
        <v>25</v>
      </c>
      <c r="DB863" t="s">
        <v>25</v>
      </c>
      <c r="DC863" t="s">
        <v>25</v>
      </c>
      <c r="DD863" t="s">
        <v>25</v>
      </c>
      <c r="DE863" t="s">
        <v>25</v>
      </c>
      <c r="DF863" t="s">
        <v>25</v>
      </c>
      <c r="DG863" t="s">
        <v>25</v>
      </c>
      <c r="DH863" t="s">
        <v>25</v>
      </c>
      <c r="DI863" t="s">
        <v>25</v>
      </c>
      <c r="DJ863" s="76">
        <v>0.53899997472763095</v>
      </c>
      <c r="DK863" s="73">
        <v>150</v>
      </c>
      <c r="DL863" s="73">
        <v>0</v>
      </c>
      <c r="DM863" s="73">
        <v>150</v>
      </c>
      <c r="DN863" s="65" t="s">
        <v>126</v>
      </c>
      <c r="DU863" s="65" t="s">
        <v>126</v>
      </c>
      <c r="DZ863" s="73">
        <v>0</v>
      </c>
      <c r="EA863" s="73">
        <v>0</v>
      </c>
      <c r="EB863" s="73">
        <v>0</v>
      </c>
    </row>
    <row r="864" spans="1:133" ht="12" customHeight="1" x14ac:dyDescent="0.2">
      <c r="A864" t="s">
        <v>2935</v>
      </c>
      <c r="B864" t="s">
        <v>2946</v>
      </c>
      <c r="C864" t="str">
        <f t="shared" si="39"/>
        <v>Full</v>
      </c>
      <c r="E864" s="65">
        <v>7064</v>
      </c>
      <c r="F864" t="s">
        <v>2823</v>
      </c>
      <c r="G864" s="71" t="s">
        <v>3947</v>
      </c>
      <c r="H864" s="67">
        <v>0.53899997472763095</v>
      </c>
      <c r="I864" s="65">
        <v>528738</v>
      </c>
      <c r="J864" s="65">
        <v>177648</v>
      </c>
      <c r="L864" s="65" t="s">
        <v>2824</v>
      </c>
      <c r="M864" s="65" t="s">
        <v>434</v>
      </c>
      <c r="N864" s="69">
        <v>42713</v>
      </c>
      <c r="O864" s="69">
        <v>42774</v>
      </c>
      <c r="R864" s="65" t="s">
        <v>28</v>
      </c>
      <c r="U864" t="s">
        <v>2825</v>
      </c>
      <c r="V864" t="s">
        <v>3792</v>
      </c>
      <c r="W864" s="65" t="s">
        <v>21</v>
      </c>
      <c r="X864" s="65" t="s">
        <v>21</v>
      </c>
      <c r="Y864" s="65" t="s">
        <v>30</v>
      </c>
      <c r="AA864" s="69">
        <v>42825</v>
      </c>
      <c r="AD864" s="65" t="s">
        <v>23</v>
      </c>
      <c r="AE864" s="65" t="s">
        <v>24</v>
      </c>
      <c r="AF864" s="71" t="s">
        <v>2837</v>
      </c>
      <c r="AG864" s="65" t="s">
        <v>23</v>
      </c>
      <c r="AH864" s="69">
        <f t="shared" si="40"/>
        <v>42825</v>
      </c>
      <c r="AJ864" s="73">
        <v>39</v>
      </c>
      <c r="AL864" s="73">
        <v>39</v>
      </c>
      <c r="AO864" s="73">
        <v>78</v>
      </c>
      <c r="BO864" s="185" t="s">
        <v>126</v>
      </c>
      <c r="BP864" s="185" t="s">
        <v>3794</v>
      </c>
      <c r="BQ864" s="185" t="s">
        <v>3794</v>
      </c>
      <c r="BR864" s="73">
        <v>39</v>
      </c>
      <c r="BT864" s="73">
        <v>39</v>
      </c>
      <c r="BW864" s="73">
        <v>78</v>
      </c>
      <c r="BY864" s="185" t="s">
        <v>3794</v>
      </c>
      <c r="CJ864" t="s">
        <v>31</v>
      </c>
      <c r="CK864" t="s">
        <v>25</v>
      </c>
      <c r="CL864" t="s">
        <v>31</v>
      </c>
      <c r="CM864" t="s">
        <v>25</v>
      </c>
      <c r="CN864" t="s">
        <v>25</v>
      </c>
      <c r="CO864" t="s">
        <v>25</v>
      </c>
      <c r="CP864" t="s">
        <v>25</v>
      </c>
      <c r="CQ864" t="s">
        <v>25</v>
      </c>
      <c r="CR864" t="s">
        <v>25</v>
      </c>
      <c r="CS864" t="s">
        <v>25</v>
      </c>
      <c r="CT864" t="s">
        <v>25</v>
      </c>
      <c r="CU864" t="s">
        <v>25</v>
      </c>
      <c r="CV864" t="s">
        <v>25</v>
      </c>
      <c r="CW864" t="s">
        <v>25</v>
      </c>
      <c r="CX864" t="s">
        <v>25</v>
      </c>
      <c r="CY864" t="s">
        <v>25</v>
      </c>
      <c r="CZ864" t="s">
        <v>25</v>
      </c>
      <c r="DA864" t="s">
        <v>25</v>
      </c>
      <c r="DB864" t="s">
        <v>25</v>
      </c>
      <c r="DC864" t="s">
        <v>25</v>
      </c>
      <c r="DD864" t="s">
        <v>25</v>
      </c>
      <c r="DE864" t="s">
        <v>25</v>
      </c>
      <c r="DF864" t="s">
        <v>25</v>
      </c>
      <c r="DG864" t="s">
        <v>25</v>
      </c>
      <c r="DH864" t="s">
        <v>25</v>
      </c>
      <c r="DI864" t="s">
        <v>25</v>
      </c>
      <c r="DJ864" s="76">
        <v>0.53899997472763095</v>
      </c>
      <c r="DK864" s="73">
        <v>78</v>
      </c>
      <c r="DL864" s="73">
        <v>0</v>
      </c>
      <c r="DM864" s="73">
        <v>78</v>
      </c>
      <c r="DN864" s="65" t="s">
        <v>126</v>
      </c>
      <c r="DU864" s="65" t="s">
        <v>126</v>
      </c>
      <c r="DZ864" s="73">
        <v>0</v>
      </c>
      <c r="EA864" s="73">
        <v>0</v>
      </c>
      <c r="EB864" s="73">
        <v>0</v>
      </c>
    </row>
    <row r="865" spans="1:132" ht="12" customHeight="1" x14ac:dyDescent="0.2">
      <c r="A865" t="s">
        <v>2935</v>
      </c>
      <c r="B865" t="s">
        <v>2946</v>
      </c>
      <c r="C865" t="str">
        <f t="shared" si="39"/>
        <v>Full</v>
      </c>
      <c r="E865" s="65">
        <v>7064</v>
      </c>
      <c r="F865" t="s">
        <v>2823</v>
      </c>
      <c r="G865" s="71" t="s">
        <v>3947</v>
      </c>
      <c r="H865" s="67">
        <v>0.53899997472763095</v>
      </c>
      <c r="I865" s="65">
        <v>528738</v>
      </c>
      <c r="J865" s="65">
        <v>177648</v>
      </c>
      <c r="L865" s="65" t="s">
        <v>2824</v>
      </c>
      <c r="M865" s="65" t="s">
        <v>434</v>
      </c>
      <c r="N865" s="69">
        <v>42713</v>
      </c>
      <c r="O865" s="69">
        <v>42774</v>
      </c>
      <c r="R865" s="65" t="s">
        <v>28</v>
      </c>
      <c r="U865" t="s">
        <v>2825</v>
      </c>
      <c r="V865" t="s">
        <v>3792</v>
      </c>
      <c r="W865" s="65" t="s">
        <v>21</v>
      </c>
      <c r="X865" s="65" t="s">
        <v>21</v>
      </c>
      <c r="Y865" s="65" t="s">
        <v>30</v>
      </c>
      <c r="AA865" s="69">
        <v>42825</v>
      </c>
      <c r="AD865" s="65" t="s">
        <v>23</v>
      </c>
      <c r="AE865" s="65" t="s">
        <v>24</v>
      </c>
      <c r="AF865" s="71" t="s">
        <v>2838</v>
      </c>
      <c r="AG865" s="65" t="s">
        <v>23</v>
      </c>
      <c r="AH865" s="69">
        <f t="shared" si="40"/>
        <v>42825</v>
      </c>
      <c r="AJ865" s="73">
        <v>47</v>
      </c>
      <c r="AL865" s="73">
        <v>48</v>
      </c>
      <c r="AO865" s="73">
        <v>95</v>
      </c>
      <c r="BO865" s="185" t="s">
        <v>126</v>
      </c>
      <c r="BP865" s="185" t="s">
        <v>3794</v>
      </c>
      <c r="BQ865" s="185" t="s">
        <v>3794</v>
      </c>
      <c r="BR865" s="73">
        <v>47</v>
      </c>
      <c r="BT865" s="73">
        <v>48</v>
      </c>
      <c r="BW865" s="73">
        <v>95</v>
      </c>
      <c r="BY865" s="185" t="s">
        <v>3794</v>
      </c>
      <c r="CJ865" t="s">
        <v>31</v>
      </c>
      <c r="CK865" t="s">
        <v>25</v>
      </c>
      <c r="CL865" t="s">
        <v>31</v>
      </c>
      <c r="CM865" t="s">
        <v>25</v>
      </c>
      <c r="CN865" t="s">
        <v>25</v>
      </c>
      <c r="CO865" t="s">
        <v>25</v>
      </c>
      <c r="CP865" t="s">
        <v>25</v>
      </c>
      <c r="CQ865" t="s">
        <v>25</v>
      </c>
      <c r="CR865" t="s">
        <v>25</v>
      </c>
      <c r="CS865" t="s">
        <v>25</v>
      </c>
      <c r="CT865" t="s">
        <v>25</v>
      </c>
      <c r="CU865" t="s">
        <v>25</v>
      </c>
      <c r="CV865" t="s">
        <v>25</v>
      </c>
      <c r="CW865" t="s">
        <v>25</v>
      </c>
      <c r="CX865" t="s">
        <v>25</v>
      </c>
      <c r="CY865" t="s">
        <v>25</v>
      </c>
      <c r="CZ865" t="s">
        <v>25</v>
      </c>
      <c r="DA865" t="s">
        <v>25</v>
      </c>
      <c r="DB865" t="s">
        <v>25</v>
      </c>
      <c r="DC865" t="s">
        <v>25</v>
      </c>
      <c r="DD865" t="s">
        <v>25</v>
      </c>
      <c r="DE865" t="s">
        <v>25</v>
      </c>
      <c r="DF865" t="s">
        <v>25</v>
      </c>
      <c r="DG865" t="s">
        <v>25</v>
      </c>
      <c r="DH865" t="s">
        <v>25</v>
      </c>
      <c r="DI865" t="s">
        <v>25</v>
      </c>
      <c r="DJ865" s="76">
        <v>0.53899997472763095</v>
      </c>
      <c r="DK865" s="73">
        <v>95</v>
      </c>
      <c r="DL865" s="73">
        <v>0</v>
      </c>
      <c r="DM865" s="73">
        <v>95</v>
      </c>
      <c r="DN865" s="65" t="s">
        <v>126</v>
      </c>
      <c r="DU865" s="65" t="s">
        <v>126</v>
      </c>
      <c r="DZ865" s="73">
        <v>0</v>
      </c>
      <c r="EA865" s="73">
        <v>0</v>
      </c>
      <c r="EB865" s="73">
        <v>0</v>
      </c>
    </row>
    <row r="866" spans="1:132" ht="12" customHeight="1" x14ac:dyDescent="0.2">
      <c r="A866" t="s">
        <v>2935</v>
      </c>
      <c r="B866" t="s">
        <v>2946</v>
      </c>
      <c r="C866" t="str">
        <f t="shared" si="39"/>
        <v>Full</v>
      </c>
      <c r="E866" s="65">
        <v>7064</v>
      </c>
      <c r="F866" t="s">
        <v>2823</v>
      </c>
      <c r="G866" s="71" t="s">
        <v>3947</v>
      </c>
      <c r="H866" s="67">
        <v>0.53899997472763095</v>
      </c>
      <c r="I866" s="65">
        <v>528738</v>
      </c>
      <c r="J866" s="65">
        <v>177648</v>
      </c>
      <c r="L866" s="65" t="s">
        <v>2824</v>
      </c>
      <c r="M866" s="65" t="s">
        <v>434</v>
      </c>
      <c r="N866" s="69">
        <v>42713</v>
      </c>
      <c r="O866" s="69">
        <v>42774</v>
      </c>
      <c r="R866" s="65" t="s">
        <v>28</v>
      </c>
      <c r="U866" t="s">
        <v>2825</v>
      </c>
      <c r="V866" t="s">
        <v>3792</v>
      </c>
      <c r="W866" s="65" t="s">
        <v>21</v>
      </c>
      <c r="X866" s="65" t="s">
        <v>21</v>
      </c>
      <c r="Y866" s="65" t="s">
        <v>30</v>
      </c>
      <c r="AA866" s="69">
        <v>42825</v>
      </c>
      <c r="AD866" s="65" t="s">
        <v>23</v>
      </c>
      <c r="AE866" s="65" t="s">
        <v>24</v>
      </c>
      <c r="AF866" s="71" t="s">
        <v>2839</v>
      </c>
      <c r="AG866" s="65" t="s">
        <v>23</v>
      </c>
      <c r="AH866" s="69">
        <f t="shared" si="40"/>
        <v>42825</v>
      </c>
      <c r="AW866" s="73">
        <v>233</v>
      </c>
      <c r="AX866" s="73">
        <v>233</v>
      </c>
      <c r="AY866" s="73">
        <v>466</v>
      </c>
      <c r="BO866" s="185" t="s">
        <v>3794</v>
      </c>
      <c r="BP866" s="185" t="s">
        <v>3794</v>
      </c>
      <c r="BQ866" s="185" t="s">
        <v>126</v>
      </c>
      <c r="BW866" s="73"/>
      <c r="BY866" s="185" t="s">
        <v>3794</v>
      </c>
      <c r="CG866" s="73">
        <v>233</v>
      </c>
      <c r="CH866" s="73">
        <v>233</v>
      </c>
      <c r="CI866" s="73">
        <v>466</v>
      </c>
      <c r="CJ866" t="s">
        <v>25</v>
      </c>
      <c r="CK866" t="s">
        <v>25</v>
      </c>
      <c r="CL866" t="s">
        <v>25</v>
      </c>
      <c r="CM866" t="s">
        <v>25</v>
      </c>
      <c r="CN866" t="s">
        <v>25</v>
      </c>
      <c r="CO866" t="s">
        <v>25</v>
      </c>
      <c r="CP866" t="s">
        <v>25</v>
      </c>
      <c r="CQ866" t="s">
        <v>25</v>
      </c>
      <c r="CR866" t="s">
        <v>25</v>
      </c>
      <c r="CS866" t="s">
        <v>25</v>
      </c>
      <c r="CT866" t="s">
        <v>25</v>
      </c>
      <c r="CU866" t="s">
        <v>31</v>
      </c>
      <c r="CV866" t="s">
        <v>31</v>
      </c>
      <c r="CW866" t="s">
        <v>25</v>
      </c>
      <c r="CX866" t="s">
        <v>25</v>
      </c>
      <c r="CY866" t="s">
        <v>25</v>
      </c>
      <c r="CZ866" t="s">
        <v>25</v>
      </c>
      <c r="DA866" t="s">
        <v>25</v>
      </c>
      <c r="DB866" t="s">
        <v>25</v>
      </c>
      <c r="DC866" t="s">
        <v>25</v>
      </c>
      <c r="DD866" t="s">
        <v>25</v>
      </c>
      <c r="DE866" t="s">
        <v>25</v>
      </c>
      <c r="DF866" t="s">
        <v>25</v>
      </c>
      <c r="DG866" t="s">
        <v>25</v>
      </c>
      <c r="DH866" t="s">
        <v>25</v>
      </c>
      <c r="DI866" t="s">
        <v>25</v>
      </c>
      <c r="DJ866" s="76">
        <v>0.53899997472763095</v>
      </c>
      <c r="DK866" s="73">
        <v>596</v>
      </c>
      <c r="DL866" s="73">
        <v>0</v>
      </c>
      <c r="DM866" s="73">
        <v>596</v>
      </c>
      <c r="DN866" s="65" t="s">
        <v>126</v>
      </c>
      <c r="DU866" s="65" t="s">
        <v>126</v>
      </c>
      <c r="DZ866" s="73">
        <v>0</v>
      </c>
      <c r="EA866" s="73">
        <v>0</v>
      </c>
      <c r="EB866" s="73">
        <v>0</v>
      </c>
    </row>
    <row r="867" spans="1:132" ht="12" customHeight="1" x14ac:dyDescent="0.2">
      <c r="A867" t="s">
        <v>2935</v>
      </c>
      <c r="B867" t="s">
        <v>2946</v>
      </c>
      <c r="C867" t="str">
        <f t="shared" si="39"/>
        <v>Full</v>
      </c>
      <c r="E867" s="65">
        <v>7064</v>
      </c>
      <c r="F867" t="s">
        <v>2823</v>
      </c>
      <c r="G867" s="71" t="s">
        <v>3947</v>
      </c>
      <c r="H867" s="67">
        <v>0.53899997472763095</v>
      </c>
      <c r="I867" s="65">
        <v>528738</v>
      </c>
      <c r="J867" s="65">
        <v>177648</v>
      </c>
      <c r="L867" s="65" t="s">
        <v>2824</v>
      </c>
      <c r="M867" s="65" t="s">
        <v>434</v>
      </c>
      <c r="N867" s="69">
        <v>42713</v>
      </c>
      <c r="O867" s="69">
        <v>42774</v>
      </c>
      <c r="R867" s="65" t="s">
        <v>28</v>
      </c>
      <c r="U867" t="s">
        <v>2825</v>
      </c>
      <c r="V867" t="s">
        <v>3792</v>
      </c>
      <c r="W867" s="65" t="s">
        <v>21</v>
      </c>
      <c r="X867" s="65" t="s">
        <v>21</v>
      </c>
      <c r="Y867" s="65" t="s">
        <v>30</v>
      </c>
      <c r="AA867" s="69">
        <v>42825</v>
      </c>
      <c r="AD867" s="65" t="s">
        <v>23</v>
      </c>
      <c r="AE867" s="65" t="s">
        <v>24</v>
      </c>
      <c r="AF867" s="71" t="s">
        <v>2840</v>
      </c>
      <c r="AG867" s="65" t="s">
        <v>23</v>
      </c>
      <c r="AH867" s="69">
        <f t="shared" si="40"/>
        <v>42825</v>
      </c>
      <c r="AL867" s="73">
        <v>156</v>
      </c>
      <c r="AM867" s="73">
        <v>156</v>
      </c>
      <c r="AO867" s="73">
        <v>312</v>
      </c>
      <c r="AT867" s="73">
        <v>157</v>
      </c>
      <c r="AV867" s="73">
        <v>157</v>
      </c>
      <c r="BO867" s="185" t="s">
        <v>126</v>
      </c>
      <c r="BP867" s="185" t="s">
        <v>126</v>
      </c>
      <c r="BQ867" s="185" t="s">
        <v>3794</v>
      </c>
      <c r="BT867" s="73">
        <v>156</v>
      </c>
      <c r="BU867" s="73">
        <v>156</v>
      </c>
      <c r="BW867" s="73">
        <v>312</v>
      </c>
      <c r="BY867" s="185" t="s">
        <v>3794</v>
      </c>
      <c r="CB867" s="73">
        <v>157</v>
      </c>
      <c r="CD867" s="73">
        <v>157</v>
      </c>
      <c r="CJ867" t="s">
        <v>25</v>
      </c>
      <c r="CK867" t="s">
        <v>25</v>
      </c>
      <c r="CL867" t="s">
        <v>31</v>
      </c>
      <c r="CM867" t="s">
        <v>31</v>
      </c>
      <c r="CN867" t="s">
        <v>25</v>
      </c>
      <c r="CO867" t="s">
        <v>25</v>
      </c>
      <c r="CP867" t="s">
        <v>25</v>
      </c>
      <c r="CQ867" t="s">
        <v>25</v>
      </c>
      <c r="CR867" t="s">
        <v>32</v>
      </c>
      <c r="CS867" t="s">
        <v>25</v>
      </c>
      <c r="CT867" t="s">
        <v>25</v>
      </c>
      <c r="CU867" t="s">
        <v>25</v>
      </c>
      <c r="CV867" t="s">
        <v>25</v>
      </c>
      <c r="CW867" t="s">
        <v>25</v>
      </c>
      <c r="CX867" t="s">
        <v>25</v>
      </c>
      <c r="CY867" t="s">
        <v>25</v>
      </c>
      <c r="CZ867" t="s">
        <v>25</v>
      </c>
      <c r="DA867" t="s">
        <v>25</v>
      </c>
      <c r="DB867" t="s">
        <v>25</v>
      </c>
      <c r="DC867" t="s">
        <v>25</v>
      </c>
      <c r="DD867" t="s">
        <v>25</v>
      </c>
      <c r="DE867" t="s">
        <v>25</v>
      </c>
      <c r="DF867" t="s">
        <v>25</v>
      </c>
      <c r="DG867" t="s">
        <v>25</v>
      </c>
      <c r="DH867" t="s">
        <v>25</v>
      </c>
      <c r="DI867" t="s">
        <v>25</v>
      </c>
      <c r="DJ867" s="76">
        <v>0.53899997472763095</v>
      </c>
      <c r="DK867" s="73">
        <v>469</v>
      </c>
      <c r="DL867" s="73">
        <v>0</v>
      </c>
      <c r="DM867" s="73">
        <v>469</v>
      </c>
      <c r="DN867" s="65" t="s">
        <v>126</v>
      </c>
      <c r="DU867" s="65" t="s">
        <v>126</v>
      </c>
      <c r="DZ867" s="73">
        <v>0</v>
      </c>
      <c r="EA867" s="73">
        <v>0</v>
      </c>
      <c r="EB867" s="73">
        <v>0</v>
      </c>
    </row>
    <row r="868" spans="1:132" ht="12" customHeight="1" x14ac:dyDescent="0.2">
      <c r="A868" t="s">
        <v>2935</v>
      </c>
      <c r="B868" t="s">
        <v>2946</v>
      </c>
      <c r="C868" t="str">
        <f t="shared" si="39"/>
        <v>Full</v>
      </c>
      <c r="E868" s="65">
        <v>7064</v>
      </c>
      <c r="F868" t="s">
        <v>2823</v>
      </c>
      <c r="G868" s="71" t="s">
        <v>3947</v>
      </c>
      <c r="H868" s="67">
        <v>0.53899997472763095</v>
      </c>
      <c r="I868" s="65">
        <v>528738</v>
      </c>
      <c r="J868" s="65">
        <v>177648</v>
      </c>
      <c r="L868" s="65" t="s">
        <v>2824</v>
      </c>
      <c r="M868" s="65" t="s">
        <v>434</v>
      </c>
      <c r="N868" s="69">
        <v>42713</v>
      </c>
      <c r="O868" s="69">
        <v>42774</v>
      </c>
      <c r="R868" s="65" t="s">
        <v>28</v>
      </c>
      <c r="U868" t="s">
        <v>2825</v>
      </c>
      <c r="V868" t="s">
        <v>3792</v>
      </c>
      <c r="W868" s="65" t="s">
        <v>21</v>
      </c>
      <c r="X868" s="65" t="s">
        <v>21</v>
      </c>
      <c r="Y868" s="65" t="s">
        <v>30</v>
      </c>
      <c r="AA868" s="69">
        <v>42825</v>
      </c>
      <c r="AD868" s="65" t="s">
        <v>23</v>
      </c>
      <c r="AE868" s="65" t="s">
        <v>24</v>
      </c>
      <c r="AF868" s="71" t="s">
        <v>2841</v>
      </c>
      <c r="AG868" s="65" t="s">
        <v>23</v>
      </c>
      <c r="AH868" s="69">
        <f t="shared" si="40"/>
        <v>42825</v>
      </c>
      <c r="AL868" s="73">
        <v>234</v>
      </c>
      <c r="AM868" s="73">
        <v>234</v>
      </c>
      <c r="AO868" s="73">
        <v>468</v>
      </c>
      <c r="BO868" s="185" t="s">
        <v>126</v>
      </c>
      <c r="BP868" s="185" t="s">
        <v>3794</v>
      </c>
      <c r="BQ868" s="185" t="s">
        <v>3794</v>
      </c>
      <c r="BT868" s="73">
        <v>234</v>
      </c>
      <c r="BU868" s="73">
        <v>234</v>
      </c>
      <c r="BW868" s="73">
        <v>468</v>
      </c>
      <c r="BY868" s="185" t="s">
        <v>3794</v>
      </c>
      <c r="CJ868" t="s">
        <v>25</v>
      </c>
      <c r="CK868" t="s">
        <v>25</v>
      </c>
      <c r="CL868" t="s">
        <v>31</v>
      </c>
      <c r="CM868" t="s">
        <v>31</v>
      </c>
      <c r="CN868" t="s">
        <v>25</v>
      </c>
      <c r="CO868" t="s">
        <v>25</v>
      </c>
      <c r="CP868" t="s">
        <v>25</v>
      </c>
      <c r="CQ868" t="s">
        <v>25</v>
      </c>
      <c r="CR868" t="s">
        <v>25</v>
      </c>
      <c r="CS868" t="s">
        <v>25</v>
      </c>
      <c r="CT868" t="s">
        <v>25</v>
      </c>
      <c r="CU868" t="s">
        <v>25</v>
      </c>
      <c r="CV868" t="s">
        <v>25</v>
      </c>
      <c r="CW868" t="s">
        <v>25</v>
      </c>
      <c r="CX868" t="s">
        <v>25</v>
      </c>
      <c r="CY868" t="s">
        <v>25</v>
      </c>
      <c r="CZ868" t="s">
        <v>25</v>
      </c>
      <c r="DA868" t="s">
        <v>25</v>
      </c>
      <c r="DB868" t="s">
        <v>25</v>
      </c>
      <c r="DC868" t="s">
        <v>25</v>
      </c>
      <c r="DD868" t="s">
        <v>25</v>
      </c>
      <c r="DE868" t="s">
        <v>25</v>
      </c>
      <c r="DF868" t="s">
        <v>25</v>
      </c>
      <c r="DG868" t="s">
        <v>25</v>
      </c>
      <c r="DH868" t="s">
        <v>25</v>
      </c>
      <c r="DI868" t="s">
        <v>25</v>
      </c>
      <c r="DJ868" s="76">
        <v>0.53899997472763095</v>
      </c>
      <c r="DK868" s="73">
        <v>468</v>
      </c>
      <c r="DL868" s="73">
        <v>0</v>
      </c>
      <c r="DM868" s="73">
        <v>468</v>
      </c>
      <c r="DN868" s="65" t="s">
        <v>126</v>
      </c>
      <c r="DU868" s="65" t="s">
        <v>126</v>
      </c>
      <c r="DZ868" s="73">
        <v>0</v>
      </c>
      <c r="EA868" s="73">
        <v>0</v>
      </c>
      <c r="EB868" s="73">
        <v>0</v>
      </c>
    </row>
    <row r="869" spans="1:132" ht="12" customHeight="1" x14ac:dyDescent="0.2">
      <c r="A869" t="s">
        <v>2935</v>
      </c>
      <c r="B869" t="s">
        <v>2946</v>
      </c>
      <c r="C869" t="str">
        <f t="shared" si="39"/>
        <v>Full</v>
      </c>
      <c r="E869" s="65">
        <v>7064</v>
      </c>
      <c r="F869" t="s">
        <v>2823</v>
      </c>
      <c r="G869" s="71" t="s">
        <v>3947</v>
      </c>
      <c r="H869" s="67">
        <v>0.53899997472763095</v>
      </c>
      <c r="I869" s="65">
        <v>528738</v>
      </c>
      <c r="J869" s="65">
        <v>177648</v>
      </c>
      <c r="L869" s="65" t="s">
        <v>2824</v>
      </c>
      <c r="M869" s="65" t="s">
        <v>434</v>
      </c>
      <c r="N869" s="69">
        <v>42713</v>
      </c>
      <c r="O869" s="69">
        <v>42774</v>
      </c>
      <c r="R869" s="65" t="s">
        <v>28</v>
      </c>
      <c r="U869" t="s">
        <v>2825</v>
      </c>
      <c r="V869" t="s">
        <v>3792</v>
      </c>
      <c r="W869" s="65" t="s">
        <v>21</v>
      </c>
      <c r="X869" s="65" t="s">
        <v>21</v>
      </c>
      <c r="Y869" s="65" t="s">
        <v>30</v>
      </c>
      <c r="AA869" s="69">
        <v>42825</v>
      </c>
      <c r="AD869" s="65" t="s">
        <v>23</v>
      </c>
      <c r="AE869" s="65" t="s">
        <v>24</v>
      </c>
      <c r="AF869" s="71" t="s">
        <v>2842</v>
      </c>
      <c r="AG869" s="65" t="s">
        <v>23</v>
      </c>
      <c r="AH869" s="69">
        <f t="shared" si="40"/>
        <v>42825</v>
      </c>
      <c r="AL869" s="73">
        <v>220</v>
      </c>
      <c r="AM869" s="73">
        <v>220</v>
      </c>
      <c r="AO869" s="73">
        <v>440</v>
      </c>
      <c r="BO869" s="185" t="s">
        <v>126</v>
      </c>
      <c r="BP869" s="185" t="s">
        <v>3794</v>
      </c>
      <c r="BQ869" s="185" t="s">
        <v>3794</v>
      </c>
      <c r="BT869" s="73">
        <v>220</v>
      </c>
      <c r="BU869" s="73">
        <v>220</v>
      </c>
      <c r="BW869" s="73">
        <v>440</v>
      </c>
      <c r="BY869" s="185" t="s">
        <v>3794</v>
      </c>
      <c r="CJ869" t="s">
        <v>25</v>
      </c>
      <c r="CK869" t="s">
        <v>25</v>
      </c>
      <c r="CL869" t="s">
        <v>31</v>
      </c>
      <c r="CM869" t="s">
        <v>31</v>
      </c>
      <c r="CN869" t="s">
        <v>25</v>
      </c>
      <c r="CO869" t="s">
        <v>25</v>
      </c>
      <c r="CP869" t="s">
        <v>25</v>
      </c>
      <c r="CQ869" t="s">
        <v>25</v>
      </c>
      <c r="CR869" t="s">
        <v>25</v>
      </c>
      <c r="CS869" t="s">
        <v>25</v>
      </c>
      <c r="CT869" t="s">
        <v>25</v>
      </c>
      <c r="CU869" t="s">
        <v>25</v>
      </c>
      <c r="CV869" t="s">
        <v>25</v>
      </c>
      <c r="CW869" t="s">
        <v>25</v>
      </c>
      <c r="CX869" t="s">
        <v>25</v>
      </c>
      <c r="CY869" t="s">
        <v>25</v>
      </c>
      <c r="CZ869" t="s">
        <v>25</v>
      </c>
      <c r="DA869" t="s">
        <v>25</v>
      </c>
      <c r="DB869" t="s">
        <v>25</v>
      </c>
      <c r="DC869" t="s">
        <v>25</v>
      </c>
      <c r="DD869" t="s">
        <v>25</v>
      </c>
      <c r="DE869" t="s">
        <v>25</v>
      </c>
      <c r="DF869" t="s">
        <v>25</v>
      </c>
      <c r="DG869" t="s">
        <v>25</v>
      </c>
      <c r="DH869" t="s">
        <v>25</v>
      </c>
      <c r="DI869" t="s">
        <v>25</v>
      </c>
      <c r="DJ869" s="76">
        <v>0.53899997472763095</v>
      </c>
      <c r="DK869" s="73">
        <v>440</v>
      </c>
      <c r="DL869" s="73">
        <v>0</v>
      </c>
      <c r="DM869" s="73">
        <v>440</v>
      </c>
      <c r="DN869" s="65" t="s">
        <v>126</v>
      </c>
      <c r="DU869" s="65" t="s">
        <v>126</v>
      </c>
      <c r="DZ869" s="73">
        <v>0</v>
      </c>
      <c r="EA869" s="73">
        <v>0</v>
      </c>
      <c r="EB869" s="73">
        <v>0</v>
      </c>
    </row>
    <row r="870" spans="1:132" ht="12" customHeight="1" x14ac:dyDescent="0.2">
      <c r="A870" t="s">
        <v>2935</v>
      </c>
      <c r="B870" t="s">
        <v>2946</v>
      </c>
      <c r="C870" t="str">
        <f t="shared" si="39"/>
        <v>Full</v>
      </c>
      <c r="E870" s="65">
        <v>7064</v>
      </c>
      <c r="F870" t="s">
        <v>2823</v>
      </c>
      <c r="G870" s="71" t="s">
        <v>3947</v>
      </c>
      <c r="H870" s="67">
        <v>0.53899997472763095</v>
      </c>
      <c r="I870" s="65">
        <v>528738</v>
      </c>
      <c r="J870" s="65">
        <v>177648</v>
      </c>
      <c r="L870" s="65" t="s">
        <v>2824</v>
      </c>
      <c r="M870" s="65" t="s">
        <v>434</v>
      </c>
      <c r="N870" s="69">
        <v>42713</v>
      </c>
      <c r="O870" s="69">
        <v>42774</v>
      </c>
      <c r="R870" s="65" t="s">
        <v>28</v>
      </c>
      <c r="U870" t="s">
        <v>2825</v>
      </c>
      <c r="V870" t="s">
        <v>3792</v>
      </c>
      <c r="W870" s="65" t="s">
        <v>21</v>
      </c>
      <c r="X870" s="65" t="s">
        <v>21</v>
      </c>
      <c r="Y870" s="65" t="s">
        <v>30</v>
      </c>
      <c r="AA870" s="69">
        <v>42825</v>
      </c>
      <c r="AD870" s="65" t="s">
        <v>23</v>
      </c>
      <c r="AE870" s="65" t="s">
        <v>24</v>
      </c>
      <c r="AF870" s="71" t="s">
        <v>2843</v>
      </c>
      <c r="AG870" s="65" t="s">
        <v>23</v>
      </c>
      <c r="AH870" s="69">
        <f t="shared" si="40"/>
        <v>42825</v>
      </c>
      <c r="BJ870" s="73">
        <v>3748</v>
      </c>
      <c r="BK870" s="73">
        <v>3748</v>
      </c>
      <c r="BO870" s="185" t="s">
        <v>3794</v>
      </c>
      <c r="BP870" s="185" t="s">
        <v>126</v>
      </c>
      <c r="BQ870" s="185" t="s">
        <v>3794</v>
      </c>
      <c r="BW870" s="73"/>
      <c r="BY870" s="185" t="s">
        <v>3794</v>
      </c>
      <c r="CC870" s="73">
        <v>-3748</v>
      </c>
      <c r="CD870" s="73">
        <v>-3748</v>
      </c>
      <c r="CE870" s="65" t="s">
        <v>126</v>
      </c>
      <c r="CJ870" t="s">
        <v>25</v>
      </c>
      <c r="CK870" t="s">
        <v>25</v>
      </c>
      <c r="CL870" t="s">
        <v>25</v>
      </c>
      <c r="CM870" t="s">
        <v>25</v>
      </c>
      <c r="CN870" t="s">
        <v>25</v>
      </c>
      <c r="CO870" t="s">
        <v>25</v>
      </c>
      <c r="CP870" t="s">
        <v>25</v>
      </c>
      <c r="CQ870" t="s">
        <v>25</v>
      </c>
      <c r="CR870" t="s">
        <v>25</v>
      </c>
      <c r="CS870" t="s">
        <v>25</v>
      </c>
      <c r="CT870" t="s">
        <v>25</v>
      </c>
      <c r="CU870" t="s">
        <v>25</v>
      </c>
      <c r="CV870" t="s">
        <v>25</v>
      </c>
      <c r="CW870" t="s">
        <v>25</v>
      </c>
      <c r="CX870" t="s">
        <v>25</v>
      </c>
      <c r="CY870" t="s">
        <v>25</v>
      </c>
      <c r="CZ870" t="s">
        <v>25</v>
      </c>
      <c r="DA870" t="s">
        <v>25</v>
      </c>
      <c r="DB870" t="s">
        <v>25</v>
      </c>
      <c r="DC870" t="s">
        <v>25</v>
      </c>
      <c r="DD870" t="s">
        <v>25</v>
      </c>
      <c r="DE870" t="s">
        <v>25</v>
      </c>
      <c r="DF870" t="s">
        <v>53</v>
      </c>
      <c r="DG870" t="s">
        <v>25</v>
      </c>
      <c r="DH870" t="s">
        <v>25</v>
      </c>
      <c r="DI870" t="s">
        <v>25</v>
      </c>
      <c r="DJ870" s="76">
        <v>0.53899997472763095</v>
      </c>
      <c r="DK870" s="73">
        <v>0</v>
      </c>
      <c r="DL870" s="73">
        <v>3748</v>
      </c>
      <c r="DM870" s="73">
        <v>-3748</v>
      </c>
      <c r="DN870" s="65" t="s">
        <v>126</v>
      </c>
      <c r="DU870" s="65" t="s">
        <v>126</v>
      </c>
      <c r="DZ870" s="73">
        <v>0</v>
      </c>
      <c r="EA870" s="73">
        <v>0</v>
      </c>
      <c r="EB870" s="73">
        <v>0</v>
      </c>
    </row>
    <row r="871" spans="1:132" x14ac:dyDescent="0.2">
      <c r="A871" t="s">
        <v>2936</v>
      </c>
      <c r="B871" t="s">
        <v>2946</v>
      </c>
      <c r="C871" t="str">
        <f t="shared" si="39"/>
        <v>Full</v>
      </c>
      <c r="D871" t="s">
        <v>2943</v>
      </c>
      <c r="X871" s="65" t="s">
        <v>29</v>
      </c>
      <c r="BO871" s="185" t="s">
        <v>3794</v>
      </c>
      <c r="BP871" s="185" t="s">
        <v>3794</v>
      </c>
      <c r="BQ871" s="185" t="s">
        <v>3794</v>
      </c>
      <c r="BW871" s="73"/>
      <c r="BY871" s="185" t="s">
        <v>3794</v>
      </c>
    </row>
    <row r="872" spans="1:132" x14ac:dyDescent="0.2">
      <c r="A872" t="s">
        <v>2936</v>
      </c>
      <c r="B872" t="s">
        <v>2948</v>
      </c>
      <c r="C872" t="str">
        <f t="shared" si="39"/>
        <v>Prior Approval</v>
      </c>
      <c r="D872" t="s">
        <v>2943</v>
      </c>
      <c r="X872" s="65" t="s">
        <v>29</v>
      </c>
      <c r="BO872" s="185" t="s">
        <v>3794</v>
      </c>
      <c r="BP872" s="185" t="s">
        <v>3794</v>
      </c>
      <c r="BQ872" s="185" t="s">
        <v>3794</v>
      </c>
      <c r="BW872" s="73"/>
      <c r="BY872" s="185" t="s">
        <v>3794</v>
      </c>
    </row>
    <row r="873" spans="1:132" x14ac:dyDescent="0.2">
      <c r="A873" t="s">
        <v>2936</v>
      </c>
      <c r="B873" t="s">
        <v>2949</v>
      </c>
      <c r="C873" t="str">
        <f t="shared" si="39"/>
        <v>Certificate of Lawful Development</v>
      </c>
      <c r="D873" t="s">
        <v>2943</v>
      </c>
      <c r="X873" s="65" t="s">
        <v>29</v>
      </c>
      <c r="BO873" s="185" t="s">
        <v>3794</v>
      </c>
      <c r="BP873" s="185" t="s">
        <v>3794</v>
      </c>
      <c r="BQ873" s="185" t="s">
        <v>3794</v>
      </c>
      <c r="BW873" s="73"/>
      <c r="BY873" s="185" t="s">
        <v>3794</v>
      </c>
    </row>
    <row r="874" spans="1:132" x14ac:dyDescent="0.2">
      <c r="A874" t="s">
        <v>2935</v>
      </c>
      <c r="B874" t="s">
        <v>2946</v>
      </c>
      <c r="C874" t="str">
        <f t="shared" si="39"/>
        <v>Full</v>
      </c>
      <c r="X874" s="65" t="s">
        <v>29</v>
      </c>
      <c r="BO874" s="185" t="s">
        <v>3794</v>
      </c>
      <c r="BP874" s="185" t="s">
        <v>3794</v>
      </c>
      <c r="BQ874" s="185" t="s">
        <v>3794</v>
      </c>
      <c r="BW874" s="73"/>
      <c r="BY874" s="185" t="s">
        <v>3794</v>
      </c>
    </row>
    <row r="875" spans="1:132" x14ac:dyDescent="0.2">
      <c r="A875" t="s">
        <v>2935</v>
      </c>
      <c r="B875" t="s">
        <v>2948</v>
      </c>
      <c r="C875" t="str">
        <f t="shared" si="39"/>
        <v>Prior Approval</v>
      </c>
      <c r="X875" s="65" t="s">
        <v>29</v>
      </c>
      <c r="BO875" s="185" t="s">
        <v>3794</v>
      </c>
      <c r="BP875" s="185" t="s">
        <v>3794</v>
      </c>
      <c r="BQ875" s="185" t="s">
        <v>3794</v>
      </c>
      <c r="BW875" s="73"/>
      <c r="BY875" s="185" t="s">
        <v>3794</v>
      </c>
    </row>
    <row r="876" spans="1:132" x14ac:dyDescent="0.2">
      <c r="A876" t="s">
        <v>2935</v>
      </c>
      <c r="B876" t="s">
        <v>2949</v>
      </c>
      <c r="C876" t="str">
        <f t="shared" si="39"/>
        <v>Certificate of Lawful Development</v>
      </c>
      <c r="X876" s="65" t="s">
        <v>29</v>
      </c>
      <c r="BO876" s="185" t="s">
        <v>3794</v>
      </c>
      <c r="BP876" s="185" t="s">
        <v>3794</v>
      </c>
      <c r="BQ876" s="185" t="s">
        <v>3794</v>
      </c>
      <c r="BW876" s="73"/>
      <c r="BY876" s="185" t="s">
        <v>3794</v>
      </c>
    </row>
    <row r="877" spans="1:132" x14ac:dyDescent="0.2">
      <c r="A877" t="s">
        <v>2937</v>
      </c>
      <c r="B877" t="s">
        <v>2946</v>
      </c>
      <c r="C877" t="str">
        <f t="shared" si="39"/>
        <v>Full</v>
      </c>
      <c r="X877" s="65" t="s">
        <v>29</v>
      </c>
      <c r="BO877" s="185" t="s">
        <v>3794</v>
      </c>
      <c r="BP877" s="185" t="s">
        <v>3794</v>
      </c>
      <c r="BQ877" s="185" t="s">
        <v>3794</v>
      </c>
      <c r="BW877" s="73"/>
      <c r="BY877" s="185" t="s">
        <v>3794</v>
      </c>
    </row>
    <row r="878" spans="1:132" x14ac:dyDescent="0.2">
      <c r="A878" t="s">
        <v>2937</v>
      </c>
      <c r="B878" t="s">
        <v>2947</v>
      </c>
      <c r="C878" t="str">
        <f t="shared" si="39"/>
        <v>Outline</v>
      </c>
      <c r="X878" s="65" t="s">
        <v>29</v>
      </c>
      <c r="BO878" s="185" t="s">
        <v>3794</v>
      </c>
      <c r="BP878" s="185" t="s">
        <v>3794</v>
      </c>
      <c r="BQ878" s="185" t="s">
        <v>3794</v>
      </c>
      <c r="BW878" s="73"/>
      <c r="BY878" s="185" t="s">
        <v>3794</v>
      </c>
    </row>
    <row r="879" spans="1:132" x14ac:dyDescent="0.2">
      <c r="A879" t="s">
        <v>2937</v>
      </c>
      <c r="B879" t="s">
        <v>2948</v>
      </c>
      <c r="C879" t="str">
        <f t="shared" si="39"/>
        <v>Prior Approval</v>
      </c>
      <c r="X879" s="65" t="s">
        <v>29</v>
      </c>
      <c r="BO879" s="185" t="s">
        <v>3794</v>
      </c>
      <c r="BP879" s="185" t="s">
        <v>3794</v>
      </c>
      <c r="BQ879" s="185" t="s">
        <v>3794</v>
      </c>
      <c r="BW879" s="73"/>
      <c r="BY879" s="185" t="s">
        <v>3794</v>
      </c>
    </row>
    <row r="880" spans="1:132" x14ac:dyDescent="0.2">
      <c r="A880" t="s">
        <v>2937</v>
      </c>
      <c r="B880" t="s">
        <v>2949</v>
      </c>
      <c r="C880" t="str">
        <f t="shared" si="39"/>
        <v>Certificate of Lawful Development</v>
      </c>
      <c r="X880" s="65" t="s">
        <v>29</v>
      </c>
      <c r="BO880" s="185" t="s">
        <v>3794</v>
      </c>
      <c r="BP880" s="185" t="s">
        <v>3794</v>
      </c>
      <c r="BQ880" s="185" t="s">
        <v>3794</v>
      </c>
      <c r="BW880" s="73"/>
      <c r="BY880" s="185" t="s">
        <v>3794</v>
      </c>
    </row>
    <row r="881" spans="1:77" x14ac:dyDescent="0.2">
      <c r="A881" t="s">
        <v>2938</v>
      </c>
      <c r="B881" t="s">
        <v>2945</v>
      </c>
      <c r="C881" t="str">
        <f t="shared" si="39"/>
        <v>Pending Legal Agreement</v>
      </c>
      <c r="X881" s="65" t="s">
        <v>29</v>
      </c>
      <c r="BO881" s="185" t="s">
        <v>3794</v>
      </c>
      <c r="BP881" s="185" t="s">
        <v>3794</v>
      </c>
      <c r="BQ881" s="185" t="s">
        <v>3794</v>
      </c>
      <c r="BW881" s="73"/>
      <c r="BY881" s="185" t="s">
        <v>3794</v>
      </c>
    </row>
    <row r="882" spans="1:77" x14ac:dyDescent="0.2">
      <c r="A882" t="s">
        <v>2938</v>
      </c>
      <c r="B882" t="s">
        <v>2946</v>
      </c>
      <c r="C882" t="str">
        <f t="shared" si="39"/>
        <v>Full</v>
      </c>
      <c r="X882" s="65" t="s">
        <v>29</v>
      </c>
      <c r="BO882" s="185" t="s">
        <v>3794</v>
      </c>
      <c r="BP882" s="185" t="s">
        <v>3794</v>
      </c>
      <c r="BQ882" s="185" t="s">
        <v>3794</v>
      </c>
      <c r="BW882" s="73"/>
      <c r="BY882" s="185" t="s">
        <v>3794</v>
      </c>
    </row>
    <row r="883" spans="1:77" x14ac:dyDescent="0.2">
      <c r="A883" t="s">
        <v>2938</v>
      </c>
      <c r="B883" t="s">
        <v>2947</v>
      </c>
      <c r="C883" t="str">
        <f t="shared" si="39"/>
        <v>Outline</v>
      </c>
      <c r="X883" s="65" t="s">
        <v>29</v>
      </c>
      <c r="BO883" s="185" t="s">
        <v>3794</v>
      </c>
      <c r="BP883" s="185" t="s">
        <v>3794</v>
      </c>
      <c r="BQ883" s="185" t="s">
        <v>3794</v>
      </c>
      <c r="BW883" s="73"/>
      <c r="BY883" s="185" t="s">
        <v>3794</v>
      </c>
    </row>
    <row r="884" spans="1:77" x14ac:dyDescent="0.2">
      <c r="A884" t="s">
        <v>2938</v>
      </c>
      <c r="B884" t="s">
        <v>2948</v>
      </c>
      <c r="C884" t="str">
        <f t="shared" si="39"/>
        <v>Prior Approval</v>
      </c>
      <c r="X884" s="65" t="s">
        <v>29</v>
      </c>
      <c r="BO884" s="185" t="s">
        <v>3794</v>
      </c>
      <c r="BP884" s="185" t="s">
        <v>3794</v>
      </c>
      <c r="BQ884" s="185" t="s">
        <v>3794</v>
      </c>
      <c r="BW884" s="73"/>
      <c r="BY884" s="185" t="s">
        <v>3794</v>
      </c>
    </row>
    <row r="885" spans="1:77" x14ac:dyDescent="0.2">
      <c r="A885" t="s">
        <v>2938</v>
      </c>
      <c r="B885" t="s">
        <v>2949</v>
      </c>
      <c r="C885" t="str">
        <f t="shared" si="39"/>
        <v>Certificate of Lawful Development</v>
      </c>
      <c r="X885" s="65" t="s">
        <v>29</v>
      </c>
      <c r="BO885" s="185" t="s">
        <v>3794</v>
      </c>
      <c r="BP885" s="185" t="s">
        <v>3794</v>
      </c>
      <c r="BQ885" s="185" t="s">
        <v>3794</v>
      </c>
      <c r="BW885" s="73"/>
      <c r="BY885" s="185" t="s">
        <v>3794</v>
      </c>
    </row>
    <row r="886" spans="1:77" x14ac:dyDescent="0.2">
      <c r="A886" t="s">
        <v>2936</v>
      </c>
      <c r="B886" t="s">
        <v>2946</v>
      </c>
      <c r="C886" t="str">
        <f t="shared" si="39"/>
        <v>Full</v>
      </c>
      <c r="D886" t="s">
        <v>2942</v>
      </c>
      <c r="X886" s="65" t="s">
        <v>29</v>
      </c>
      <c r="BO886" s="185" t="s">
        <v>3794</v>
      </c>
      <c r="BP886" s="185" t="s">
        <v>3794</v>
      </c>
      <c r="BQ886" s="185" t="s">
        <v>3794</v>
      </c>
      <c r="BW886" s="73"/>
      <c r="BY886" s="185" t="s">
        <v>3794</v>
      </c>
    </row>
    <row r="887" spans="1:77" x14ac:dyDescent="0.2">
      <c r="A887" t="s">
        <v>2936</v>
      </c>
      <c r="B887" t="s">
        <v>2948</v>
      </c>
      <c r="C887" t="str">
        <f t="shared" si="39"/>
        <v>Prior Approval</v>
      </c>
      <c r="D887" t="s">
        <v>2942</v>
      </c>
      <c r="X887" s="65" t="s">
        <v>29</v>
      </c>
      <c r="BO887" s="185" t="s">
        <v>3794</v>
      </c>
      <c r="BP887" s="185" t="s">
        <v>3794</v>
      </c>
      <c r="BQ887" s="185" t="s">
        <v>3794</v>
      </c>
      <c r="BW887" s="73"/>
      <c r="BY887" s="185" t="s">
        <v>3794</v>
      </c>
    </row>
    <row r="888" spans="1:77" x14ac:dyDescent="0.2">
      <c r="A888" t="s">
        <v>2936</v>
      </c>
      <c r="B888" t="s">
        <v>2949</v>
      </c>
      <c r="C888" t="str">
        <f t="shared" si="39"/>
        <v>Certificate of Lawful Development</v>
      </c>
      <c r="D888" t="s">
        <v>2942</v>
      </c>
      <c r="X888" s="65" t="s">
        <v>29</v>
      </c>
      <c r="BO888" s="185" t="s">
        <v>3794</v>
      </c>
      <c r="BP888" s="185" t="s">
        <v>3794</v>
      </c>
      <c r="BQ888" s="185" t="s">
        <v>3794</v>
      </c>
      <c r="BW888" s="73"/>
      <c r="BY888" s="185" t="s">
        <v>3794</v>
      </c>
    </row>
    <row r="889" spans="1:77" x14ac:dyDescent="0.2">
      <c r="A889" t="s">
        <v>2936</v>
      </c>
      <c r="B889" t="s">
        <v>2946</v>
      </c>
      <c r="C889" t="str">
        <f t="shared" si="39"/>
        <v>Full</v>
      </c>
      <c r="D889" t="s">
        <v>2943</v>
      </c>
      <c r="X889" s="65" t="s">
        <v>39</v>
      </c>
      <c r="BO889" s="185" t="s">
        <v>3794</v>
      </c>
      <c r="BP889" s="185" t="s">
        <v>3794</v>
      </c>
      <c r="BQ889" s="185" t="s">
        <v>3794</v>
      </c>
      <c r="BW889" s="73"/>
      <c r="BY889" s="185" t="s">
        <v>3794</v>
      </c>
    </row>
    <row r="890" spans="1:77" x14ac:dyDescent="0.2">
      <c r="A890" t="s">
        <v>2936</v>
      </c>
      <c r="B890" t="s">
        <v>2948</v>
      </c>
      <c r="C890" t="str">
        <f t="shared" si="39"/>
        <v>Prior Approval</v>
      </c>
      <c r="D890" t="s">
        <v>2943</v>
      </c>
      <c r="X890" s="65" t="s">
        <v>39</v>
      </c>
      <c r="BO890" s="185" t="s">
        <v>3794</v>
      </c>
      <c r="BP890" s="185" t="s">
        <v>3794</v>
      </c>
      <c r="BQ890" s="185" t="s">
        <v>3794</v>
      </c>
      <c r="BW890" s="73"/>
      <c r="BY890" s="185" t="s">
        <v>3794</v>
      </c>
    </row>
    <row r="891" spans="1:77" x14ac:dyDescent="0.2">
      <c r="A891" t="s">
        <v>2936</v>
      </c>
      <c r="B891" t="s">
        <v>2949</v>
      </c>
      <c r="C891" t="str">
        <f t="shared" si="39"/>
        <v>Certificate of Lawful Development</v>
      </c>
      <c r="D891" t="s">
        <v>2943</v>
      </c>
      <c r="X891" s="65" t="s">
        <v>39</v>
      </c>
      <c r="BO891" s="185" t="s">
        <v>3794</v>
      </c>
      <c r="BP891" s="185" t="s">
        <v>3794</v>
      </c>
      <c r="BQ891" s="185" t="s">
        <v>3794</v>
      </c>
      <c r="BW891" s="73"/>
      <c r="BY891" s="185" t="s">
        <v>3794</v>
      </c>
    </row>
    <row r="892" spans="1:77" x14ac:dyDescent="0.2">
      <c r="A892" t="s">
        <v>2935</v>
      </c>
      <c r="B892" t="s">
        <v>2946</v>
      </c>
      <c r="C892" t="str">
        <f t="shared" si="39"/>
        <v>Full</v>
      </c>
      <c r="X892" s="65" t="s">
        <v>39</v>
      </c>
      <c r="BO892" s="185" t="s">
        <v>3794</v>
      </c>
      <c r="BP892" s="185" t="s">
        <v>3794</v>
      </c>
      <c r="BQ892" s="185" t="s">
        <v>3794</v>
      </c>
      <c r="BW892" s="73"/>
      <c r="BY892" s="185" t="s">
        <v>3794</v>
      </c>
    </row>
    <row r="893" spans="1:77" x14ac:dyDescent="0.2">
      <c r="A893" t="s">
        <v>2935</v>
      </c>
      <c r="B893" t="s">
        <v>2948</v>
      </c>
      <c r="C893" t="str">
        <f t="shared" si="39"/>
        <v>Prior Approval</v>
      </c>
      <c r="X893" s="65" t="s">
        <v>39</v>
      </c>
      <c r="BO893" s="185" t="s">
        <v>3794</v>
      </c>
      <c r="BP893" s="185" t="s">
        <v>3794</v>
      </c>
      <c r="BQ893" s="185" t="s">
        <v>3794</v>
      </c>
      <c r="BW893" s="73"/>
      <c r="BY893" s="185" t="s">
        <v>3794</v>
      </c>
    </row>
    <row r="894" spans="1:77" x14ac:dyDescent="0.2">
      <c r="A894" t="s">
        <v>2935</v>
      </c>
      <c r="B894" t="s">
        <v>2949</v>
      </c>
      <c r="C894" t="str">
        <f t="shared" si="39"/>
        <v>Certificate of Lawful Development</v>
      </c>
      <c r="X894" s="65" t="s">
        <v>39</v>
      </c>
      <c r="BO894" s="185" t="s">
        <v>3794</v>
      </c>
      <c r="BP894" s="185" t="s">
        <v>3794</v>
      </c>
      <c r="BQ894" s="185" t="s">
        <v>3794</v>
      </c>
      <c r="BW894" s="73"/>
      <c r="BY894" s="185" t="s">
        <v>3794</v>
      </c>
    </row>
    <row r="895" spans="1:77" x14ac:dyDescent="0.2">
      <c r="A895" t="s">
        <v>2937</v>
      </c>
      <c r="B895" t="s">
        <v>2946</v>
      </c>
      <c r="C895" t="str">
        <f t="shared" si="39"/>
        <v>Full</v>
      </c>
      <c r="X895" s="65" t="s">
        <v>39</v>
      </c>
      <c r="BO895" s="185" t="s">
        <v>3794</v>
      </c>
      <c r="BP895" s="185" t="s">
        <v>3794</v>
      </c>
      <c r="BQ895" s="185" t="s">
        <v>3794</v>
      </c>
      <c r="BW895" s="73"/>
      <c r="BY895" s="185" t="s">
        <v>3794</v>
      </c>
    </row>
    <row r="896" spans="1:77" x14ac:dyDescent="0.2">
      <c r="A896" t="s">
        <v>2937</v>
      </c>
      <c r="B896" t="s">
        <v>2947</v>
      </c>
      <c r="C896" t="str">
        <f t="shared" si="39"/>
        <v>Outline</v>
      </c>
      <c r="X896" s="65" t="s">
        <v>39</v>
      </c>
      <c r="BO896" s="185" t="s">
        <v>3794</v>
      </c>
      <c r="BP896" s="185" t="s">
        <v>3794</v>
      </c>
      <c r="BQ896" s="185" t="s">
        <v>3794</v>
      </c>
      <c r="BW896" s="73"/>
      <c r="BY896" s="185" t="s">
        <v>3794</v>
      </c>
    </row>
    <row r="897" spans="1:77" x14ac:dyDescent="0.2">
      <c r="A897" t="s">
        <v>2937</v>
      </c>
      <c r="B897" t="s">
        <v>2948</v>
      </c>
      <c r="C897" t="str">
        <f t="shared" si="39"/>
        <v>Prior Approval</v>
      </c>
      <c r="X897" s="65" t="s">
        <v>39</v>
      </c>
      <c r="BO897" s="185" t="s">
        <v>3794</v>
      </c>
      <c r="BP897" s="185" t="s">
        <v>3794</v>
      </c>
      <c r="BQ897" s="185" t="s">
        <v>3794</v>
      </c>
      <c r="BW897" s="73"/>
      <c r="BY897" s="185" t="s">
        <v>3794</v>
      </c>
    </row>
    <row r="898" spans="1:77" x14ac:dyDescent="0.2">
      <c r="A898" t="s">
        <v>2937</v>
      </c>
      <c r="B898" t="s">
        <v>2949</v>
      </c>
      <c r="C898" t="str">
        <f t="shared" si="39"/>
        <v>Certificate of Lawful Development</v>
      </c>
      <c r="X898" s="65" t="s">
        <v>39</v>
      </c>
      <c r="BO898" s="185" t="s">
        <v>3794</v>
      </c>
      <c r="BP898" s="185" t="s">
        <v>3794</v>
      </c>
      <c r="BQ898" s="185" t="s">
        <v>3794</v>
      </c>
      <c r="BW898" s="73"/>
      <c r="BY898" s="185" t="s">
        <v>3794</v>
      </c>
    </row>
    <row r="899" spans="1:77" x14ac:dyDescent="0.2">
      <c r="A899" t="s">
        <v>2938</v>
      </c>
      <c r="B899" t="s">
        <v>2945</v>
      </c>
      <c r="C899" t="str">
        <f t="shared" ref="C899:C927" si="41">RIGHT(B899,LEN(B899)-3)</f>
        <v>Pending Legal Agreement</v>
      </c>
      <c r="X899" s="65" t="s">
        <v>39</v>
      </c>
      <c r="BO899" s="185" t="s">
        <v>3794</v>
      </c>
      <c r="BP899" s="185" t="s">
        <v>3794</v>
      </c>
      <c r="BQ899" s="185" t="s">
        <v>3794</v>
      </c>
      <c r="BW899" s="73"/>
      <c r="BY899" s="185" t="s">
        <v>3794</v>
      </c>
    </row>
    <row r="900" spans="1:77" x14ac:dyDescent="0.2">
      <c r="A900" t="s">
        <v>2938</v>
      </c>
      <c r="B900" t="s">
        <v>2946</v>
      </c>
      <c r="C900" t="str">
        <f t="shared" si="41"/>
        <v>Full</v>
      </c>
      <c r="X900" s="65" t="s">
        <v>39</v>
      </c>
      <c r="BO900" s="185" t="s">
        <v>3794</v>
      </c>
      <c r="BP900" s="185" t="s">
        <v>3794</v>
      </c>
      <c r="BQ900" s="185" t="s">
        <v>3794</v>
      </c>
      <c r="BW900" s="73"/>
      <c r="BY900" s="185" t="s">
        <v>3794</v>
      </c>
    </row>
    <row r="901" spans="1:77" x14ac:dyDescent="0.2">
      <c r="A901" t="s">
        <v>2938</v>
      </c>
      <c r="B901" t="s">
        <v>2947</v>
      </c>
      <c r="C901" t="str">
        <f t="shared" si="41"/>
        <v>Outline</v>
      </c>
      <c r="X901" s="65" t="s">
        <v>39</v>
      </c>
      <c r="BO901" s="185" t="s">
        <v>3794</v>
      </c>
      <c r="BP901" s="185" t="s">
        <v>3794</v>
      </c>
      <c r="BQ901" s="185" t="s">
        <v>3794</v>
      </c>
      <c r="BW901" s="73"/>
      <c r="BY901" s="185" t="s">
        <v>3794</v>
      </c>
    </row>
    <row r="902" spans="1:77" x14ac:dyDescent="0.2">
      <c r="A902" t="s">
        <v>2938</v>
      </c>
      <c r="B902" t="s">
        <v>2948</v>
      </c>
      <c r="C902" t="str">
        <f t="shared" si="41"/>
        <v>Prior Approval</v>
      </c>
      <c r="X902" s="65" t="s">
        <v>39</v>
      </c>
      <c r="BO902" s="185" t="s">
        <v>3794</v>
      </c>
      <c r="BP902" s="185" t="s">
        <v>3794</v>
      </c>
      <c r="BQ902" s="185" t="s">
        <v>3794</v>
      </c>
      <c r="BW902" s="73"/>
      <c r="BY902" s="185" t="s">
        <v>3794</v>
      </c>
    </row>
    <row r="903" spans="1:77" x14ac:dyDescent="0.2">
      <c r="A903" t="s">
        <v>2938</v>
      </c>
      <c r="B903" t="s">
        <v>2949</v>
      </c>
      <c r="C903" t="str">
        <f t="shared" si="41"/>
        <v>Certificate of Lawful Development</v>
      </c>
      <c r="X903" s="65" t="s">
        <v>39</v>
      </c>
      <c r="BO903" s="185" t="s">
        <v>3794</v>
      </c>
      <c r="BP903" s="185" t="s">
        <v>3794</v>
      </c>
      <c r="BQ903" s="185" t="s">
        <v>3794</v>
      </c>
      <c r="BW903" s="73"/>
      <c r="BY903" s="185" t="s">
        <v>3794</v>
      </c>
    </row>
    <row r="904" spans="1:77" x14ac:dyDescent="0.2">
      <c r="A904" t="s">
        <v>2936</v>
      </c>
      <c r="B904" t="s">
        <v>2946</v>
      </c>
      <c r="C904" t="str">
        <f t="shared" si="41"/>
        <v>Full</v>
      </c>
      <c r="D904" t="s">
        <v>2942</v>
      </c>
      <c r="X904" s="65" t="s">
        <v>39</v>
      </c>
      <c r="BO904" s="185" t="s">
        <v>3794</v>
      </c>
      <c r="BP904" s="185" t="s">
        <v>3794</v>
      </c>
      <c r="BQ904" s="185" t="s">
        <v>3794</v>
      </c>
      <c r="BW904" s="73"/>
      <c r="BY904" s="185" t="s">
        <v>3794</v>
      </c>
    </row>
    <row r="905" spans="1:77" x14ac:dyDescent="0.2">
      <c r="A905" t="s">
        <v>2936</v>
      </c>
      <c r="B905" t="s">
        <v>2948</v>
      </c>
      <c r="C905" t="str">
        <f t="shared" si="41"/>
        <v>Prior Approval</v>
      </c>
      <c r="D905" t="s">
        <v>2942</v>
      </c>
      <c r="X905" s="65" t="s">
        <v>39</v>
      </c>
      <c r="BO905" s="185" t="s">
        <v>3794</v>
      </c>
      <c r="BP905" s="185" t="s">
        <v>3794</v>
      </c>
      <c r="BQ905" s="185" t="s">
        <v>3794</v>
      </c>
      <c r="BW905" s="73"/>
      <c r="BY905" s="185" t="s">
        <v>3794</v>
      </c>
    </row>
    <row r="906" spans="1:77" x14ac:dyDescent="0.2">
      <c r="A906" t="s">
        <v>2936</v>
      </c>
      <c r="B906" t="s">
        <v>2949</v>
      </c>
      <c r="C906" t="str">
        <f t="shared" si="41"/>
        <v>Certificate of Lawful Development</v>
      </c>
      <c r="D906" t="s">
        <v>2942</v>
      </c>
      <c r="X906" s="65" t="s">
        <v>39</v>
      </c>
      <c r="BO906" s="185" t="s">
        <v>3794</v>
      </c>
      <c r="BP906" s="185" t="s">
        <v>3794</v>
      </c>
      <c r="BQ906" s="185" t="s">
        <v>3794</v>
      </c>
      <c r="BW906" s="73"/>
      <c r="BY906" s="185" t="s">
        <v>3794</v>
      </c>
    </row>
    <row r="907" spans="1:77" x14ac:dyDescent="0.2">
      <c r="A907" t="s">
        <v>2936</v>
      </c>
      <c r="B907" t="s">
        <v>2946</v>
      </c>
      <c r="C907" t="str">
        <f t="shared" si="41"/>
        <v>Full</v>
      </c>
      <c r="D907" t="s">
        <v>2943</v>
      </c>
      <c r="X907" s="65" t="s">
        <v>21</v>
      </c>
      <c r="BO907" s="185" t="s">
        <v>3794</v>
      </c>
      <c r="BP907" s="185" t="s">
        <v>3794</v>
      </c>
      <c r="BQ907" s="185" t="s">
        <v>3794</v>
      </c>
      <c r="BW907" s="73"/>
      <c r="BY907" s="185" t="s">
        <v>3794</v>
      </c>
    </row>
    <row r="908" spans="1:77" x14ac:dyDescent="0.2">
      <c r="A908" t="s">
        <v>2936</v>
      </c>
      <c r="B908" t="s">
        <v>2948</v>
      </c>
      <c r="C908" t="str">
        <f t="shared" si="41"/>
        <v>Prior Approval</v>
      </c>
      <c r="D908" t="s">
        <v>2943</v>
      </c>
      <c r="X908" s="65" t="s">
        <v>21</v>
      </c>
      <c r="BO908" s="185" t="s">
        <v>3794</v>
      </c>
      <c r="BP908" s="185" t="s">
        <v>3794</v>
      </c>
      <c r="BQ908" s="185" t="s">
        <v>3794</v>
      </c>
      <c r="BW908" s="73"/>
      <c r="BY908" s="185" t="s">
        <v>3794</v>
      </c>
    </row>
    <row r="909" spans="1:77" x14ac:dyDescent="0.2">
      <c r="A909" t="s">
        <v>2936</v>
      </c>
      <c r="B909" t="s">
        <v>2949</v>
      </c>
      <c r="C909" t="str">
        <f t="shared" si="41"/>
        <v>Certificate of Lawful Development</v>
      </c>
      <c r="D909" t="s">
        <v>2943</v>
      </c>
      <c r="X909" s="65" t="s">
        <v>21</v>
      </c>
      <c r="BO909" s="185" t="s">
        <v>3794</v>
      </c>
      <c r="BP909" s="185" t="s">
        <v>3794</v>
      </c>
      <c r="BQ909" s="185" t="s">
        <v>3794</v>
      </c>
      <c r="BW909" s="73"/>
      <c r="BY909" s="185" t="s">
        <v>3794</v>
      </c>
    </row>
    <row r="910" spans="1:77" x14ac:dyDescent="0.2">
      <c r="A910" t="s">
        <v>2935</v>
      </c>
      <c r="B910" t="s">
        <v>2946</v>
      </c>
      <c r="C910" t="str">
        <f t="shared" si="41"/>
        <v>Full</v>
      </c>
      <c r="X910" s="65" t="s">
        <v>21</v>
      </c>
      <c r="BO910" s="185" t="s">
        <v>3794</v>
      </c>
      <c r="BP910" s="185" t="s">
        <v>3794</v>
      </c>
      <c r="BQ910" s="185" t="s">
        <v>3794</v>
      </c>
      <c r="BW910" s="73"/>
      <c r="BY910" s="185" t="s">
        <v>3794</v>
      </c>
    </row>
    <row r="911" spans="1:77" x14ac:dyDescent="0.2">
      <c r="A911" t="s">
        <v>2935</v>
      </c>
      <c r="B911" t="s">
        <v>2948</v>
      </c>
      <c r="C911" t="str">
        <f t="shared" si="41"/>
        <v>Prior Approval</v>
      </c>
      <c r="X911" s="65" t="s">
        <v>21</v>
      </c>
      <c r="BO911" s="185" t="s">
        <v>3794</v>
      </c>
      <c r="BP911" s="185" t="s">
        <v>3794</v>
      </c>
      <c r="BQ911" s="185" t="s">
        <v>3794</v>
      </c>
      <c r="BW911" s="73"/>
      <c r="BY911" s="185" t="s">
        <v>3794</v>
      </c>
    </row>
    <row r="912" spans="1:77" x14ac:dyDescent="0.2">
      <c r="A912" t="s">
        <v>2935</v>
      </c>
      <c r="B912" t="s">
        <v>2949</v>
      </c>
      <c r="C912" t="str">
        <f t="shared" si="41"/>
        <v>Certificate of Lawful Development</v>
      </c>
      <c r="X912" s="65" t="s">
        <v>21</v>
      </c>
      <c r="BO912" s="185" t="s">
        <v>3794</v>
      </c>
      <c r="BP912" s="185" t="s">
        <v>3794</v>
      </c>
      <c r="BQ912" s="185" t="s">
        <v>3794</v>
      </c>
      <c r="BW912" s="73"/>
      <c r="BY912" s="185" t="s">
        <v>3794</v>
      </c>
    </row>
    <row r="913" spans="1:77" x14ac:dyDescent="0.2">
      <c r="A913" t="s">
        <v>2937</v>
      </c>
      <c r="B913" t="s">
        <v>2946</v>
      </c>
      <c r="C913" t="str">
        <f t="shared" si="41"/>
        <v>Full</v>
      </c>
      <c r="X913" s="65" t="s">
        <v>21</v>
      </c>
      <c r="BO913" s="185" t="s">
        <v>3794</v>
      </c>
      <c r="BP913" s="185" t="s">
        <v>3794</v>
      </c>
      <c r="BQ913" s="185" t="s">
        <v>3794</v>
      </c>
      <c r="BW913" s="73"/>
      <c r="BY913" s="185" t="s">
        <v>3794</v>
      </c>
    </row>
    <row r="914" spans="1:77" x14ac:dyDescent="0.2">
      <c r="A914" t="s">
        <v>2937</v>
      </c>
      <c r="B914" t="s">
        <v>2947</v>
      </c>
      <c r="C914" t="str">
        <f t="shared" si="41"/>
        <v>Outline</v>
      </c>
      <c r="X914" s="65" t="s">
        <v>21</v>
      </c>
      <c r="BO914" s="185" t="s">
        <v>3794</v>
      </c>
      <c r="BP914" s="185" t="s">
        <v>3794</v>
      </c>
      <c r="BQ914" s="185" t="s">
        <v>3794</v>
      </c>
      <c r="BW914" s="73"/>
      <c r="BY914" s="185" t="s">
        <v>3794</v>
      </c>
    </row>
    <row r="915" spans="1:77" x14ac:dyDescent="0.2">
      <c r="A915" t="s">
        <v>2937</v>
      </c>
      <c r="B915" t="s">
        <v>2948</v>
      </c>
      <c r="C915" t="str">
        <f t="shared" si="41"/>
        <v>Prior Approval</v>
      </c>
      <c r="X915" s="65" t="s">
        <v>21</v>
      </c>
      <c r="BO915" s="185" t="s">
        <v>3794</v>
      </c>
      <c r="BP915" s="185" t="s">
        <v>3794</v>
      </c>
      <c r="BQ915" s="185" t="s">
        <v>3794</v>
      </c>
      <c r="BW915" s="73"/>
      <c r="BY915" s="185" t="s">
        <v>3794</v>
      </c>
    </row>
    <row r="916" spans="1:77" x14ac:dyDescent="0.2">
      <c r="A916" t="s">
        <v>2937</v>
      </c>
      <c r="B916" t="s">
        <v>2949</v>
      </c>
      <c r="C916" t="str">
        <f t="shared" si="41"/>
        <v>Certificate of Lawful Development</v>
      </c>
      <c r="X916" s="65" t="s">
        <v>21</v>
      </c>
      <c r="BO916" s="185" t="s">
        <v>3794</v>
      </c>
      <c r="BP916" s="185" t="s">
        <v>3794</v>
      </c>
      <c r="BQ916" s="185" t="s">
        <v>3794</v>
      </c>
      <c r="BW916" s="73"/>
      <c r="BY916" s="185" t="s">
        <v>3794</v>
      </c>
    </row>
    <row r="917" spans="1:77" x14ac:dyDescent="0.2">
      <c r="A917" t="s">
        <v>2938</v>
      </c>
      <c r="B917" t="s">
        <v>2945</v>
      </c>
      <c r="C917" t="str">
        <f t="shared" si="41"/>
        <v>Pending Legal Agreement</v>
      </c>
      <c r="X917" s="65" t="s">
        <v>21</v>
      </c>
      <c r="BO917" s="185" t="s">
        <v>3794</v>
      </c>
      <c r="BP917" s="185" t="s">
        <v>3794</v>
      </c>
      <c r="BQ917" s="185" t="s">
        <v>3794</v>
      </c>
      <c r="BW917" s="73"/>
      <c r="BY917" s="185" t="s">
        <v>3794</v>
      </c>
    </row>
    <row r="918" spans="1:77" x14ac:dyDescent="0.2">
      <c r="A918" t="s">
        <v>2938</v>
      </c>
      <c r="B918" t="s">
        <v>2946</v>
      </c>
      <c r="C918" t="str">
        <f t="shared" si="41"/>
        <v>Full</v>
      </c>
      <c r="X918" s="65" t="s">
        <v>21</v>
      </c>
      <c r="BO918" s="185" t="s">
        <v>3794</v>
      </c>
      <c r="BP918" s="185" t="s">
        <v>3794</v>
      </c>
      <c r="BQ918" s="185" t="s">
        <v>3794</v>
      </c>
      <c r="BW918" s="73"/>
      <c r="BY918" s="185" t="s">
        <v>3794</v>
      </c>
    </row>
    <row r="919" spans="1:77" x14ac:dyDescent="0.2">
      <c r="A919" t="s">
        <v>2938</v>
      </c>
      <c r="B919" t="s">
        <v>2947</v>
      </c>
      <c r="C919" t="str">
        <f t="shared" si="41"/>
        <v>Outline</v>
      </c>
      <c r="X919" s="65" t="s">
        <v>21</v>
      </c>
      <c r="BO919" s="185" t="s">
        <v>3794</v>
      </c>
      <c r="BP919" s="185" t="s">
        <v>3794</v>
      </c>
      <c r="BQ919" s="185" t="s">
        <v>3794</v>
      </c>
      <c r="BW919" s="73"/>
      <c r="BY919" s="185" t="s">
        <v>3794</v>
      </c>
    </row>
    <row r="920" spans="1:77" x14ac:dyDescent="0.2">
      <c r="A920" t="s">
        <v>2938</v>
      </c>
      <c r="B920" t="s">
        <v>2948</v>
      </c>
      <c r="C920" t="str">
        <f t="shared" si="41"/>
        <v>Prior Approval</v>
      </c>
      <c r="X920" s="65" t="s">
        <v>21</v>
      </c>
      <c r="BO920" s="185" t="s">
        <v>3794</v>
      </c>
      <c r="BP920" s="185" t="s">
        <v>3794</v>
      </c>
      <c r="BQ920" s="185" t="s">
        <v>3794</v>
      </c>
      <c r="BW920" s="73"/>
      <c r="BY920" s="185" t="s">
        <v>3794</v>
      </c>
    </row>
    <row r="921" spans="1:77" x14ac:dyDescent="0.2">
      <c r="A921" t="s">
        <v>2938</v>
      </c>
      <c r="B921" t="s">
        <v>2949</v>
      </c>
      <c r="C921" t="str">
        <f t="shared" si="41"/>
        <v>Certificate of Lawful Development</v>
      </c>
      <c r="X921" s="65" t="s">
        <v>21</v>
      </c>
      <c r="BO921" s="185" t="s">
        <v>3794</v>
      </c>
      <c r="BP921" s="185" t="s">
        <v>3794</v>
      </c>
      <c r="BQ921" s="185" t="s">
        <v>3794</v>
      </c>
      <c r="BW921" s="73"/>
      <c r="BY921" s="185" t="s">
        <v>3794</v>
      </c>
    </row>
    <row r="922" spans="1:77" x14ac:dyDescent="0.2">
      <c r="A922" t="s">
        <v>2936</v>
      </c>
      <c r="B922" t="s">
        <v>2946</v>
      </c>
      <c r="C922" t="str">
        <f t="shared" si="41"/>
        <v>Full</v>
      </c>
      <c r="D922" t="s">
        <v>2942</v>
      </c>
      <c r="X922" s="65" t="s">
        <v>21</v>
      </c>
      <c r="BO922" s="185" t="s">
        <v>3794</v>
      </c>
      <c r="BP922" s="185" t="s">
        <v>3794</v>
      </c>
      <c r="BQ922" s="185" t="s">
        <v>3794</v>
      </c>
      <c r="BW922" s="73"/>
      <c r="BY922" s="185" t="s">
        <v>3794</v>
      </c>
    </row>
    <row r="923" spans="1:77" x14ac:dyDescent="0.2">
      <c r="A923" t="s">
        <v>2936</v>
      </c>
      <c r="B923" t="s">
        <v>2948</v>
      </c>
      <c r="C923" t="str">
        <f t="shared" si="41"/>
        <v>Prior Approval</v>
      </c>
      <c r="D923" t="s">
        <v>2942</v>
      </c>
      <c r="X923" s="65" t="s">
        <v>21</v>
      </c>
      <c r="BO923" s="185" t="s">
        <v>3794</v>
      </c>
      <c r="BP923" s="185" t="s">
        <v>3794</v>
      </c>
      <c r="BQ923" s="185" t="s">
        <v>3794</v>
      </c>
      <c r="BW923" s="73"/>
      <c r="BY923" s="185" t="s">
        <v>3794</v>
      </c>
    </row>
    <row r="924" spans="1:77" x14ac:dyDescent="0.2">
      <c r="A924" t="s">
        <v>2936</v>
      </c>
      <c r="B924" t="s">
        <v>2949</v>
      </c>
      <c r="C924" t="str">
        <f t="shared" si="41"/>
        <v>Certificate of Lawful Development</v>
      </c>
      <c r="D924" t="s">
        <v>2942</v>
      </c>
      <c r="X924" s="65" t="s">
        <v>21</v>
      </c>
      <c r="BO924" s="185" t="s">
        <v>3794</v>
      </c>
      <c r="BP924" s="185" t="s">
        <v>3794</v>
      </c>
      <c r="BQ924" s="185" t="s">
        <v>3794</v>
      </c>
      <c r="BW924" s="73"/>
      <c r="BY924" s="185" t="s">
        <v>3794</v>
      </c>
    </row>
    <row r="925" spans="1:77" x14ac:dyDescent="0.2">
      <c r="A925" t="s">
        <v>2938</v>
      </c>
      <c r="B925" t="s">
        <v>2959</v>
      </c>
      <c r="C925" t="str">
        <f t="shared" si="41"/>
        <v>Appeal</v>
      </c>
      <c r="X925" s="65" t="s">
        <v>29</v>
      </c>
      <c r="BO925" s="185" t="s">
        <v>3794</v>
      </c>
      <c r="BP925" s="185" t="s">
        <v>3794</v>
      </c>
      <c r="BQ925" s="185" t="s">
        <v>3794</v>
      </c>
      <c r="BW925" s="73"/>
      <c r="BY925" s="185" t="s">
        <v>3794</v>
      </c>
    </row>
    <row r="926" spans="1:77" x14ac:dyDescent="0.2">
      <c r="A926" t="s">
        <v>2938</v>
      </c>
      <c r="B926" t="s">
        <v>2959</v>
      </c>
      <c r="C926" t="str">
        <f t="shared" si="41"/>
        <v>Appeal</v>
      </c>
      <c r="X926" s="65" t="s">
        <v>39</v>
      </c>
      <c r="BO926" s="185" t="s">
        <v>3794</v>
      </c>
      <c r="BP926" s="185" t="s">
        <v>3794</v>
      </c>
      <c r="BQ926" s="185" t="s">
        <v>3794</v>
      </c>
      <c r="BW926" s="73"/>
      <c r="BY926" s="185" t="s">
        <v>3794</v>
      </c>
    </row>
    <row r="927" spans="1:77" x14ac:dyDescent="0.2">
      <c r="A927" t="s">
        <v>2938</v>
      </c>
      <c r="B927" t="s">
        <v>2959</v>
      </c>
      <c r="C927" t="str">
        <f t="shared" si="41"/>
        <v>Appeal</v>
      </c>
      <c r="X927" s="65" t="s">
        <v>21</v>
      </c>
      <c r="BO927" s="185" t="s">
        <v>3794</v>
      </c>
      <c r="BP927" s="185" t="s">
        <v>3794</v>
      </c>
      <c r="BQ927" s="185" t="s">
        <v>3794</v>
      </c>
      <c r="BW927" s="73"/>
      <c r="BY927" s="185" t="s">
        <v>3794</v>
      </c>
    </row>
  </sheetData>
  <autoFilter ref="A1:ED927" xr:uid="{00000000-0009-0000-0000-000002000000}"/>
  <sortState ref="A2:EH927">
    <sortCondition ref="E2:E927"/>
    <sortCondition ref="L2:L927"/>
    <sortCondition ref="AF2:AF927"/>
  </sortState>
  <pageMargins left="0.39370078740157483" right="0.39370078740157483" top="0.39370078740157483" bottom="0.39370078740157483" header="0.19685039370078741" footer="0.19685039370078741"/>
  <pageSetup paperSize="9" fitToHeight="0" orientation="landscape" verticalDpi="1200" r:id="rId1"/>
  <headerFooter>
    <oddFooter>&amp;C&amp;8&amp;P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12"/>
  <sheetViews>
    <sheetView workbookViewId="0"/>
  </sheetViews>
  <sheetFormatPr defaultRowHeight="12" x14ac:dyDescent="0.2"/>
  <cols>
    <col min="1" max="1" width="39.42578125" bestFit="1" customWidth="1"/>
    <col min="2"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2936</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26</v>
      </c>
      <c r="B12" s="74">
        <v>-24935</v>
      </c>
      <c r="C12" s="74">
        <v>1</v>
      </c>
      <c r="D12" s="74">
        <v>-47</v>
      </c>
      <c r="E12" s="74">
        <v>3</v>
      </c>
      <c r="F12" s="74">
        <v>-10984</v>
      </c>
      <c r="G12" s="74">
        <v>0</v>
      </c>
      <c r="H12" s="74">
        <v>0</v>
      </c>
      <c r="I12" s="74">
        <v>8</v>
      </c>
      <c r="J12" s="74">
        <v>-755</v>
      </c>
      <c r="K12" s="74">
        <v>37</v>
      </c>
      <c r="L12" s="74">
        <v>-36721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7"/>
  <dimension ref="A1:AI21"/>
  <sheetViews>
    <sheetView workbookViewId="0">
      <selection sqref="A1:H1"/>
    </sheetView>
  </sheetViews>
  <sheetFormatPr defaultRowHeight="12" x14ac:dyDescent="0.2"/>
  <cols>
    <col min="1" max="1" width="23.7109375" style="12" customWidth="1"/>
    <col min="2" max="2" width="13.85546875" style="4" customWidth="1"/>
    <col min="3" max="6" width="12.7109375" style="4" customWidth="1"/>
    <col min="7" max="7" width="12.7109375" style="7" customWidth="1"/>
    <col min="8" max="8" width="12.7109375" style="14" customWidth="1"/>
    <col min="9" max="9" width="8" style="14" customWidth="1"/>
    <col min="10" max="16384" width="9.140625" style="4"/>
  </cols>
  <sheetData>
    <row r="1" spans="1:35" ht="15.75" customHeight="1" x14ac:dyDescent="0.25">
      <c r="A1" s="606" t="s">
        <v>423</v>
      </c>
      <c r="B1" s="606"/>
      <c r="C1" s="606"/>
      <c r="D1" s="606"/>
      <c r="E1" s="606"/>
      <c r="F1" s="606"/>
      <c r="G1" s="606"/>
      <c r="H1" s="606"/>
      <c r="AI1" s="10"/>
    </row>
    <row r="2" spans="1:35" s="16" customFormat="1" ht="14.25" customHeight="1" x14ac:dyDescent="0.2">
      <c r="A2" s="640" t="s">
        <v>3903</v>
      </c>
      <c r="B2" s="640"/>
      <c r="C2" s="640"/>
      <c r="D2" s="640"/>
      <c r="E2" s="640"/>
      <c r="F2" s="640"/>
      <c r="G2" s="640"/>
      <c r="H2" s="640"/>
      <c r="I2" s="32"/>
    </row>
    <row r="3" spans="1:35" s="16" customFormat="1" x14ac:dyDescent="0.2">
      <c r="A3" s="419"/>
      <c r="G3" s="11"/>
      <c r="H3" s="32"/>
      <c r="I3" s="32"/>
    </row>
    <row r="4" spans="1:35" x14ac:dyDescent="0.2">
      <c r="A4" s="652" t="s">
        <v>105</v>
      </c>
      <c r="B4" s="158"/>
      <c r="C4" s="164" t="s">
        <v>97</v>
      </c>
      <c r="D4" s="165" t="s">
        <v>98</v>
      </c>
      <c r="E4" s="164" t="s">
        <v>99</v>
      </c>
      <c r="F4" s="165" t="s">
        <v>100</v>
      </c>
      <c r="G4" s="164" t="s">
        <v>101</v>
      </c>
      <c r="H4" s="650" t="s">
        <v>95</v>
      </c>
    </row>
    <row r="5" spans="1:35" ht="24" x14ac:dyDescent="0.2">
      <c r="A5" s="653"/>
      <c r="B5" s="159"/>
      <c r="C5" s="166" t="s">
        <v>416</v>
      </c>
      <c r="D5" s="166" t="s">
        <v>55</v>
      </c>
      <c r="E5" s="166" t="s">
        <v>51</v>
      </c>
      <c r="F5" s="166" t="s">
        <v>2986</v>
      </c>
      <c r="G5" s="166" t="s">
        <v>2987</v>
      </c>
      <c r="H5" s="651"/>
    </row>
    <row r="6" spans="1:35" x14ac:dyDescent="0.2">
      <c r="A6" s="655" t="s">
        <v>107</v>
      </c>
      <c r="B6" s="160" t="s">
        <v>2970</v>
      </c>
      <c r="C6" s="167">
        <f>GETPIVOTDATA("Count of B1a Net",'1.6b Pivot A'!$A$11)</f>
        <v>6</v>
      </c>
      <c r="D6" s="167">
        <f>GETPIVOTDATA("Count of B1b Net",'1.6b Pivot A'!$A$11)</f>
        <v>0</v>
      </c>
      <c r="E6" s="167">
        <f>GETPIVOTDATA("Count of B1c Net",'1.6b Pivot A'!$A$11)</f>
        <v>0</v>
      </c>
      <c r="F6" s="167">
        <f>GETPIVOTDATA("Count of B2 Net",'1.6b Pivot A'!$A$11)</f>
        <v>0</v>
      </c>
      <c r="G6" s="167">
        <f>GETPIVOTDATA("Count of B8 Net",'1.6b Pivot A'!$A$11)</f>
        <v>1</v>
      </c>
      <c r="H6" s="462">
        <f>GETPIVOTDATA("Count of B Total Net",'1.6b Pivot A'!$A$11)</f>
        <v>6</v>
      </c>
    </row>
    <row r="7" spans="1:35" ht="12" customHeight="1" x14ac:dyDescent="0.2">
      <c r="A7" s="656"/>
      <c r="B7" s="83" t="s">
        <v>168</v>
      </c>
      <c r="C7" s="172">
        <f>GETPIVOTDATA("Sum of B1a Net2",'1.6b Pivot A'!$A$11)</f>
        <v>-6620</v>
      </c>
      <c r="D7" s="172">
        <f>GETPIVOTDATA("Sum of B1b Net2",'1.6b Pivot A'!$A$11)</f>
        <v>0</v>
      </c>
      <c r="E7" s="172">
        <f>GETPIVOTDATA("Sum of B1c Net2",'1.6b Pivot A'!$A$11)</f>
        <v>0</v>
      </c>
      <c r="F7" s="172">
        <f>GETPIVOTDATA("Sum of B2 Net2",'1.6b Pivot A'!$A$11)</f>
        <v>0</v>
      </c>
      <c r="G7" s="172">
        <f>GETPIVOTDATA("Sum of B8 Net2",'1.6b Pivot A'!$A$11)</f>
        <v>-1512</v>
      </c>
      <c r="H7" s="463">
        <f>GETPIVOTDATA("Sum of B Total Net2",'1.6b Pivot A'!$A$11)</f>
        <v>-8132</v>
      </c>
    </row>
    <row r="8" spans="1:35" ht="12" customHeight="1" x14ac:dyDescent="0.2">
      <c r="A8" s="655" t="s">
        <v>108</v>
      </c>
      <c r="B8" s="160" t="s">
        <v>2970</v>
      </c>
      <c r="C8" s="167">
        <f>GETPIVOTDATA("Count of B1a Net",'1.6b Pivot B'!$A$11)</f>
        <v>0</v>
      </c>
      <c r="D8" s="167">
        <f>GETPIVOTDATA("Count of B1b Net",'1.6b Pivot B'!$A$11)</f>
        <v>0</v>
      </c>
      <c r="E8" s="167">
        <f>GETPIVOTDATA("Count of B1c Net",'1.6b Pivot B'!$A$11)</f>
        <v>0</v>
      </c>
      <c r="F8" s="167">
        <f>GETPIVOTDATA("Count of B2 Net",'1.6b Pivot B'!$A$11)</f>
        <v>0</v>
      </c>
      <c r="G8" s="167">
        <f>GETPIVOTDATA("Count of B8 Net",'1.6b Pivot B'!$A$11)</f>
        <v>0</v>
      </c>
      <c r="H8" s="462">
        <f>GETPIVOTDATA("Count of B Total Net",'1.6b Pivot B'!$A$11)</f>
        <v>0</v>
      </c>
    </row>
    <row r="9" spans="1:35" ht="12" customHeight="1" x14ac:dyDescent="0.2">
      <c r="A9" s="656"/>
      <c r="B9" s="83" t="s">
        <v>168</v>
      </c>
      <c r="C9" s="172">
        <f>GETPIVOTDATA("Sum of B1a Net2",'1.6b Pivot B'!$A$11)</f>
        <v>0</v>
      </c>
      <c r="D9" s="172">
        <f>GETPIVOTDATA("Sum of B1b Net2",'1.6b Pivot B'!$A$11)</f>
        <v>0</v>
      </c>
      <c r="E9" s="172">
        <f>GETPIVOTDATA("Sum of B1c Net2",'1.6b Pivot B'!$A$11)</f>
        <v>0</v>
      </c>
      <c r="F9" s="172">
        <f>GETPIVOTDATA("Sum of B2 Net2",'1.6b Pivot B'!$A$11)</f>
        <v>0</v>
      </c>
      <c r="G9" s="172">
        <f>GETPIVOTDATA("Sum of B8 Net2",'1.6b Pivot B'!$A$11)</f>
        <v>0</v>
      </c>
      <c r="H9" s="463">
        <f>GETPIVOTDATA("Sum of B Total Net2",'1.6b Pivot B'!$A$11)</f>
        <v>0</v>
      </c>
    </row>
    <row r="10" spans="1:35" ht="12" customHeight="1" x14ac:dyDescent="0.2">
      <c r="A10" s="655" t="s">
        <v>109</v>
      </c>
      <c r="B10" s="160" t="s">
        <v>2970</v>
      </c>
      <c r="C10" s="167">
        <f>GETPIVOTDATA("Count of B1a Net",'1.6b Pivot C'!$A$11)</f>
        <v>0</v>
      </c>
      <c r="D10" s="167">
        <f>GETPIVOTDATA("Count of B1b Net",'1.6b Pivot C'!$A$11)</f>
        <v>0</v>
      </c>
      <c r="E10" s="167">
        <f>GETPIVOTDATA("Count of B1c Net",'1.6b Pivot C'!$A$11)</f>
        <v>0</v>
      </c>
      <c r="F10" s="167">
        <f>GETPIVOTDATA("Count of B2 Net",'1.6b Pivot C'!$A$11)</f>
        <v>0</v>
      </c>
      <c r="G10" s="167">
        <f>GETPIVOTDATA("Count of B8 Net",'1.6b Pivot C'!$A$11)</f>
        <v>0</v>
      </c>
      <c r="H10" s="462">
        <f>GETPIVOTDATA("Count of B Total Net",'1.6b Pivot C'!$A$11)</f>
        <v>0</v>
      </c>
    </row>
    <row r="11" spans="1:35" ht="12" customHeight="1" x14ac:dyDescent="0.2">
      <c r="A11" s="656"/>
      <c r="B11" s="83" t="s">
        <v>168</v>
      </c>
      <c r="C11" s="172">
        <f>GETPIVOTDATA("Sum of B1a Net2",'1.6b Pivot C'!$A$11)</f>
        <v>0</v>
      </c>
      <c r="D11" s="172">
        <f>GETPIVOTDATA("Sum of B1b Net2",'1.6b Pivot C'!$A$11)</f>
        <v>0</v>
      </c>
      <c r="E11" s="172">
        <f>GETPIVOTDATA("Sum of B1c Net2",'1.6b Pivot C'!$A$11)</f>
        <v>0</v>
      </c>
      <c r="F11" s="172">
        <f>GETPIVOTDATA("Sum of B2 Net2",'1.6b Pivot C'!$A$11)</f>
        <v>0</v>
      </c>
      <c r="G11" s="172">
        <f>GETPIVOTDATA("Sum of B8 Net2",'1.6b Pivot C'!$A$11)</f>
        <v>0</v>
      </c>
      <c r="H11" s="463">
        <f>GETPIVOTDATA("Sum of B Total Net2",'1.6b Pivot C'!$A$11)</f>
        <v>0</v>
      </c>
    </row>
    <row r="12" spans="1:35" ht="12" customHeight="1" x14ac:dyDescent="0.2">
      <c r="A12" s="655" t="s">
        <v>110</v>
      </c>
      <c r="B12" s="160" t="s">
        <v>2970</v>
      </c>
      <c r="C12" s="167">
        <f>GETPIVOTDATA("Count of B1a Net",'1.6b Pivot D'!$A$11)</f>
        <v>1</v>
      </c>
      <c r="D12" s="167">
        <f>GETPIVOTDATA("Count of B1b Net",'1.6b Pivot D'!$A$11)</f>
        <v>0</v>
      </c>
      <c r="E12" s="167">
        <f>GETPIVOTDATA("Count of B1c Net",'1.6b Pivot D'!$A$11)</f>
        <v>1</v>
      </c>
      <c r="F12" s="167">
        <f>GETPIVOTDATA("Count of B2 Net",'1.6b Pivot D'!$A$11)</f>
        <v>1</v>
      </c>
      <c r="G12" s="167">
        <f>GETPIVOTDATA("Count of B8 Net",'1.6b Pivot D'!$A$11)</f>
        <v>1</v>
      </c>
      <c r="H12" s="462">
        <f>GETPIVOTDATA("Count of B Total Net",'1.6b Pivot D'!$A$11)</f>
        <v>2</v>
      </c>
    </row>
    <row r="13" spans="1:35" ht="12" customHeight="1" x14ac:dyDescent="0.2">
      <c r="A13" s="656"/>
      <c r="B13" s="83" t="s">
        <v>168</v>
      </c>
      <c r="C13" s="172">
        <f>GETPIVOTDATA("Sum of B1a Net2",'1.6b Pivot D'!$A$11)</f>
        <v>155</v>
      </c>
      <c r="D13" s="172">
        <f>GETPIVOTDATA("Sum of B1b Net2",'1.6b Pivot D'!$A$11)</f>
        <v>0</v>
      </c>
      <c r="E13" s="172">
        <f>GETPIVOTDATA("Sum of B1c Net2",'1.6b Pivot D'!$A$11)</f>
        <v>-22859</v>
      </c>
      <c r="F13" s="172">
        <f>GETPIVOTDATA("Sum of B2 Net2",'1.6b Pivot D'!$A$11)</f>
        <v>212</v>
      </c>
      <c r="G13" s="172">
        <f>GETPIVOTDATA("Sum of B8 Net2",'1.6b Pivot D'!$A$11)</f>
        <v>-1512</v>
      </c>
      <c r="H13" s="463">
        <f>GETPIVOTDATA("Sum of B Total Net2",'1.6b Pivot D'!$A$11)</f>
        <v>-24004</v>
      </c>
    </row>
    <row r="14" spans="1:35" ht="12" customHeight="1" x14ac:dyDescent="0.2">
      <c r="A14" s="655" t="s">
        <v>2900</v>
      </c>
      <c r="B14" s="160" t="s">
        <v>2970</v>
      </c>
      <c r="C14" s="167">
        <f>GETPIVOTDATA("Count of B1a Net",'1.6b Pivot E'!$A$11)</f>
        <v>2</v>
      </c>
      <c r="D14" s="167">
        <f>GETPIVOTDATA("Count of B1b Net",'1.6b Pivot E'!$A$11)</f>
        <v>0</v>
      </c>
      <c r="E14" s="167">
        <f>GETPIVOTDATA("Count of B1c Net",'1.6b Pivot E'!$A$11)</f>
        <v>1</v>
      </c>
      <c r="F14" s="167">
        <f>GETPIVOTDATA("Count of B2 Net",'1.6b Pivot E'!$A$11)</f>
        <v>0</v>
      </c>
      <c r="G14" s="167">
        <f>GETPIVOTDATA("Count of B8 Net",'1.6b Pivot E'!$A$11)</f>
        <v>2</v>
      </c>
      <c r="H14" s="462">
        <f>GETPIVOTDATA("Count of B Total Net",'1.6b Pivot E'!$A$11)</f>
        <v>3</v>
      </c>
    </row>
    <row r="15" spans="1:35" ht="12" customHeight="1" x14ac:dyDescent="0.2">
      <c r="A15" s="656"/>
      <c r="B15" s="83" t="s">
        <v>168</v>
      </c>
      <c r="C15" s="172">
        <f>GETPIVOTDATA("Sum of B1a Net2",'1.6b Pivot E'!$A$11)</f>
        <v>435</v>
      </c>
      <c r="D15" s="172">
        <f>GETPIVOTDATA("Sum of B1b Net2",'1.6b Pivot E'!$A$11)</f>
        <v>0</v>
      </c>
      <c r="E15" s="172">
        <f>GETPIVOTDATA("Sum of B1c Net2",'1.6b Pivot E'!$A$11)</f>
        <v>-3241</v>
      </c>
      <c r="F15" s="172">
        <f>GETPIVOTDATA("Sum of B2 Net2",'1.6b Pivot E'!$A$11)</f>
        <v>0</v>
      </c>
      <c r="G15" s="172">
        <f>GETPIVOTDATA("Sum of B8 Net2",'1.6b Pivot E'!$A$11)</f>
        <v>-15909</v>
      </c>
      <c r="H15" s="463">
        <f>GETPIVOTDATA("Sum of B Total Net2",'1.6b Pivot E'!$A$11)</f>
        <v>-18715</v>
      </c>
    </row>
    <row r="16" spans="1:35" ht="12" customHeight="1" x14ac:dyDescent="0.2">
      <c r="A16" s="655" t="s">
        <v>2991</v>
      </c>
      <c r="B16" s="160" t="s">
        <v>2970</v>
      </c>
      <c r="C16" s="167">
        <f>GETPIVOTDATA("Count of B1a Net",'1.6b Pivot F'!$A$11)</f>
        <v>8</v>
      </c>
      <c r="D16" s="167">
        <f>GETPIVOTDATA("Count of B1b Net",'1.6b Pivot F'!$A$11)</f>
        <v>0</v>
      </c>
      <c r="E16" s="167">
        <f>GETPIVOTDATA("Count of B1c Net",'1.6b Pivot F'!$A$11)</f>
        <v>1</v>
      </c>
      <c r="F16" s="167">
        <f>GETPIVOTDATA("Count of B2 Net",'1.6b Pivot F'!$A$11)</f>
        <v>1</v>
      </c>
      <c r="G16" s="167">
        <f>GETPIVOTDATA("Count of B8 Net",'1.6b Pivot F'!$A$11)</f>
        <v>0</v>
      </c>
      <c r="H16" s="462">
        <f>GETPIVOTDATA("Count of B Total Net",'1.6b Pivot F'!$A$11)</f>
        <v>9</v>
      </c>
    </row>
    <row r="17" spans="1:8" ht="12" customHeight="1" x14ac:dyDescent="0.2">
      <c r="A17" s="656"/>
      <c r="B17" s="83" t="s">
        <v>168</v>
      </c>
      <c r="C17" s="172">
        <f>GETPIVOTDATA("Sum of B1a Net2",'1.6b Pivot F'!$A$11)</f>
        <v>-13943</v>
      </c>
      <c r="D17" s="172">
        <f>GETPIVOTDATA("Sum of B1b Net2",'1.6b Pivot F'!$A$11)</f>
        <v>0</v>
      </c>
      <c r="E17" s="172">
        <f>GETPIVOTDATA("Sum of B1c Net2",'1.6b Pivot F'!$A$11)</f>
        <v>-22859</v>
      </c>
      <c r="F17" s="172">
        <f>GETPIVOTDATA("Sum of B2 Net2",'1.6b Pivot F'!$A$11)</f>
        <v>212</v>
      </c>
      <c r="G17" s="172">
        <f>GETPIVOTDATA("Sum of B8 Net2",'1.6b Pivot F'!$A$11)</f>
        <v>0</v>
      </c>
      <c r="H17" s="463">
        <f>GETPIVOTDATA("Sum of B Total Net2",'1.6b Pivot F'!$A$11)</f>
        <v>-36590</v>
      </c>
    </row>
    <row r="18" spans="1:8" ht="12" customHeight="1" x14ac:dyDescent="0.2">
      <c r="A18" s="655" t="s">
        <v>426</v>
      </c>
      <c r="B18" s="160" t="s">
        <v>2970</v>
      </c>
      <c r="C18" s="167">
        <f>GETPIVOTDATA("Count of B1a Net",'1.6b Pivot G'!$A$11)</f>
        <v>16</v>
      </c>
      <c r="D18" s="167">
        <f>GETPIVOTDATA("Count of B1b Net",'1.6b Pivot G'!$A$11)</f>
        <v>0</v>
      </c>
      <c r="E18" s="167">
        <f>GETPIVOTDATA("Count of B1c Net",'1.6b Pivot G'!$A$11)</f>
        <v>7</v>
      </c>
      <c r="F18" s="167">
        <f>GETPIVOTDATA("Count of B2 Net",'1.6b Pivot G'!$A$11)</f>
        <v>2</v>
      </c>
      <c r="G18" s="167">
        <f>GETPIVOTDATA("Count of B8 Net",'1.6b Pivot G'!$A$11)</f>
        <v>7</v>
      </c>
      <c r="H18" s="462">
        <f>GETPIVOTDATA("Count of B Total Net",'1.6b Pivot G'!$A$11)</f>
        <v>29</v>
      </c>
    </row>
    <row r="19" spans="1:8" ht="12" customHeight="1" x14ac:dyDescent="0.2">
      <c r="A19" s="657"/>
      <c r="B19" s="161" t="s">
        <v>168</v>
      </c>
      <c r="C19" s="168">
        <f>GETPIVOTDATA("Sum of B1a Net2",'1.6b Pivot G'!$A$11)</f>
        <v>-8101</v>
      </c>
      <c r="D19" s="168">
        <f>GETPIVOTDATA("Sum of B1b Net2",'1.6b Pivot G'!$A$11)</f>
        <v>0</v>
      </c>
      <c r="E19" s="168">
        <f>GETPIVOTDATA("Sum of B1c Net2",'1.6b Pivot G'!$A$11)</f>
        <v>-3875</v>
      </c>
      <c r="F19" s="168">
        <f>GETPIVOTDATA("Sum of B2 Net2",'1.6b Pivot G'!$A$11)</f>
        <v>-1124</v>
      </c>
      <c r="G19" s="168">
        <f>GETPIVOTDATA("Sum of B8 Net2",'1.6b Pivot G'!$A$11)</f>
        <v>-537</v>
      </c>
      <c r="H19" s="464">
        <f>GETPIVOTDATA("Sum of B Total Net2",'1.6b Pivot G'!$A$11)</f>
        <v>-13637</v>
      </c>
    </row>
    <row r="20" spans="1:8" ht="12" customHeight="1" x14ac:dyDescent="0.2">
      <c r="A20" s="611" t="s">
        <v>95</v>
      </c>
      <c r="B20" s="160" t="s">
        <v>2970</v>
      </c>
      <c r="C20" s="164">
        <f>GETPIVOTDATA("Count of B1a Net",'1.6b Pivot H'!$A$11)</f>
        <v>32</v>
      </c>
      <c r="D20" s="164">
        <f>GETPIVOTDATA("Count of B1b Net",'1.6b Pivot H'!$A$11)</f>
        <v>0</v>
      </c>
      <c r="E20" s="164">
        <f>GETPIVOTDATA("Count of B1c Net",'1.6b Pivot H'!$A$11)</f>
        <v>9</v>
      </c>
      <c r="F20" s="164">
        <f>GETPIVOTDATA("Count of B2 Net",'1.6b Pivot H'!$A$11)</f>
        <v>3</v>
      </c>
      <c r="G20" s="164">
        <f>GETPIVOTDATA("Count of B8 Net",'1.6b Pivot H'!$A$11)</f>
        <v>10</v>
      </c>
      <c r="H20" s="465">
        <f>GETPIVOTDATA("Count of B Total Net",'1.6b Pivot H'!$A$11)</f>
        <v>47</v>
      </c>
    </row>
    <row r="21" spans="1:8" ht="12" customHeight="1" x14ac:dyDescent="0.2">
      <c r="A21" s="614"/>
      <c r="B21" s="161" t="s">
        <v>168</v>
      </c>
      <c r="C21" s="170">
        <f>GETPIVOTDATA("Sum of B1a Net2",'1.6b Pivot H'!$A$11)</f>
        <v>-28229</v>
      </c>
      <c r="D21" s="170">
        <f>GETPIVOTDATA("Sum of B1b Net2",'1.6b Pivot H'!$A$11)</f>
        <v>0</v>
      </c>
      <c r="E21" s="170">
        <f>GETPIVOTDATA("Sum of B1c Net2",'1.6b Pivot H'!$A$11)</f>
        <v>-29975</v>
      </c>
      <c r="F21" s="170">
        <f>GETPIVOTDATA("Sum of B2 Net2",'1.6b Pivot H'!$A$11)</f>
        <v>-912</v>
      </c>
      <c r="G21" s="170">
        <f>GETPIVOTDATA("Sum of B8 Net2",'1.6b Pivot H'!$A$11)</f>
        <v>-17958</v>
      </c>
      <c r="H21" s="170">
        <f>GETPIVOTDATA("Sum of B Total Net2",'1.6b Pivot H'!$A$11)</f>
        <v>-77074</v>
      </c>
    </row>
  </sheetData>
  <mergeCells count="12">
    <mergeCell ref="A20:A21"/>
    <mergeCell ref="A4:A5"/>
    <mergeCell ref="A10:A11"/>
    <mergeCell ref="A12:A13"/>
    <mergeCell ref="A14:A15"/>
    <mergeCell ref="A16:A17"/>
    <mergeCell ref="A18:A19"/>
    <mergeCell ref="A1:H1"/>
    <mergeCell ref="A2:H2"/>
    <mergeCell ref="H4:H5"/>
    <mergeCell ref="A6:A7"/>
    <mergeCell ref="A8:A9"/>
  </mergeCells>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126</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6</v>
      </c>
      <c r="B12" s="74">
        <v>-6620</v>
      </c>
      <c r="C12" s="74">
        <v>0</v>
      </c>
      <c r="D12" s="74">
        <v>0</v>
      </c>
      <c r="E12" s="74">
        <v>0</v>
      </c>
      <c r="F12" s="74">
        <v>0</v>
      </c>
      <c r="G12" s="74">
        <v>0</v>
      </c>
      <c r="H12" s="74">
        <v>0</v>
      </c>
      <c r="I12" s="74">
        <v>1</v>
      </c>
      <c r="J12" s="74">
        <v>-1512</v>
      </c>
      <c r="K12" s="74">
        <v>6</v>
      </c>
      <c r="L12" s="74">
        <v>-8132</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126</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0</v>
      </c>
      <c r="B12" s="74">
        <v>0</v>
      </c>
      <c r="C12" s="74">
        <v>0</v>
      </c>
      <c r="D12" s="74">
        <v>0</v>
      </c>
      <c r="E12" s="74">
        <v>0</v>
      </c>
      <c r="F12" s="74">
        <v>0</v>
      </c>
      <c r="G12" s="74">
        <v>0</v>
      </c>
      <c r="H12" s="74">
        <v>0</v>
      </c>
      <c r="I12" s="74">
        <v>0</v>
      </c>
      <c r="J12" s="74">
        <v>0</v>
      </c>
      <c r="K12" s="74">
        <v>0</v>
      </c>
      <c r="L12"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126</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0</v>
      </c>
      <c r="B12" s="74">
        <v>0</v>
      </c>
      <c r="C12" s="74">
        <v>0</v>
      </c>
      <c r="D12" s="74">
        <v>0</v>
      </c>
      <c r="E12" s="74">
        <v>0</v>
      </c>
      <c r="F12" s="74">
        <v>0</v>
      </c>
      <c r="G12" s="74">
        <v>0</v>
      </c>
      <c r="H12" s="74">
        <v>0</v>
      </c>
      <c r="I12" s="74">
        <v>0</v>
      </c>
      <c r="J12" s="74">
        <v>0</v>
      </c>
      <c r="K12" s="74">
        <v>0</v>
      </c>
      <c r="L12"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126</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1</v>
      </c>
      <c r="B12" s="74">
        <v>155</v>
      </c>
      <c r="C12" s="74">
        <v>0</v>
      </c>
      <c r="D12" s="74">
        <v>0</v>
      </c>
      <c r="E12" s="74">
        <v>1</v>
      </c>
      <c r="F12" s="74">
        <v>-22859</v>
      </c>
      <c r="G12" s="74">
        <v>1</v>
      </c>
      <c r="H12" s="74">
        <v>212</v>
      </c>
      <c r="I12" s="74">
        <v>1</v>
      </c>
      <c r="J12" s="74">
        <v>-1512</v>
      </c>
      <c r="K12" s="74">
        <v>2</v>
      </c>
      <c r="L12" s="74">
        <v>-24004</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126</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2</v>
      </c>
      <c r="B12" s="74">
        <v>435</v>
      </c>
      <c r="C12" s="74">
        <v>0</v>
      </c>
      <c r="D12" s="74">
        <v>0</v>
      </c>
      <c r="E12" s="74">
        <v>1</v>
      </c>
      <c r="F12" s="74">
        <v>-3241</v>
      </c>
      <c r="G12" s="74">
        <v>0</v>
      </c>
      <c r="H12" s="74">
        <v>0</v>
      </c>
      <c r="I12" s="74">
        <v>2</v>
      </c>
      <c r="J12" s="74">
        <v>-15909</v>
      </c>
      <c r="K12" s="74">
        <v>3</v>
      </c>
      <c r="L12" s="74">
        <v>-18715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126</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8</v>
      </c>
      <c r="B12" s="74">
        <v>-13943</v>
      </c>
      <c r="C12" s="74">
        <v>0</v>
      </c>
      <c r="D12" s="74">
        <v>0</v>
      </c>
      <c r="E12" s="74">
        <v>1</v>
      </c>
      <c r="F12" s="74">
        <v>-22859</v>
      </c>
      <c r="G12" s="74">
        <v>1</v>
      </c>
      <c r="H12" s="74">
        <v>212</v>
      </c>
      <c r="I12" s="74">
        <v>0</v>
      </c>
      <c r="J12" s="74">
        <v>0</v>
      </c>
      <c r="K12" s="74">
        <v>9</v>
      </c>
      <c r="L12" s="74">
        <v>-36590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153</v>
      </c>
    </row>
    <row r="5" spans="1:12" x14ac:dyDescent="0.2">
      <c r="A5" s="77" t="s">
        <v>2894</v>
      </c>
      <c r="B5" s="446" t="s">
        <v>153</v>
      </c>
    </row>
    <row r="6" spans="1:12" x14ac:dyDescent="0.2">
      <c r="A6" s="77" t="s">
        <v>111</v>
      </c>
      <c r="B6" s="446" t="s">
        <v>153</v>
      </c>
    </row>
    <row r="7" spans="1:12" x14ac:dyDescent="0.2">
      <c r="A7" s="77" t="s">
        <v>2896</v>
      </c>
      <c r="B7" s="446" t="s">
        <v>153</v>
      </c>
    </row>
    <row r="8" spans="1:12" x14ac:dyDescent="0.2">
      <c r="A8" s="77" t="s">
        <v>2900</v>
      </c>
      <c r="B8" s="446" t="s">
        <v>153</v>
      </c>
    </row>
    <row r="9" spans="1:12" x14ac:dyDescent="0.2">
      <c r="A9" s="77" t="s">
        <v>2898</v>
      </c>
      <c r="B9" s="446" t="s">
        <v>153</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16</v>
      </c>
      <c r="B12" s="74">
        <v>-8101</v>
      </c>
      <c r="C12" s="74">
        <v>0</v>
      </c>
      <c r="D12" s="74">
        <v>0</v>
      </c>
      <c r="E12" s="74">
        <v>7</v>
      </c>
      <c r="F12" s="74">
        <v>-3875</v>
      </c>
      <c r="G12" s="74">
        <v>2</v>
      </c>
      <c r="H12" s="74">
        <v>-1124</v>
      </c>
      <c r="I12" s="74">
        <v>7</v>
      </c>
      <c r="J12" s="74">
        <v>-537</v>
      </c>
      <c r="K12" s="74">
        <v>29</v>
      </c>
      <c r="L12" s="74">
        <v>-13637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2"/>
  <sheetViews>
    <sheetView workbookViewId="0"/>
  </sheetViews>
  <sheetFormatPr defaultRowHeight="12" x14ac:dyDescent="0.2"/>
  <cols>
    <col min="1" max="1" width="39.42578125" bestFit="1" customWidth="1"/>
    <col min="2" max="2" width="21.285156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2935</v>
      </c>
    </row>
    <row r="2" spans="1:12" x14ac:dyDescent="0.2">
      <c r="A2" s="77" t="s">
        <v>2892</v>
      </c>
      <c r="B2" s="446" t="s">
        <v>126</v>
      </c>
    </row>
    <row r="3" spans="1:12" x14ac:dyDescent="0.2">
      <c r="A3" s="77" t="s">
        <v>130</v>
      </c>
      <c r="B3" s="446" t="s">
        <v>126</v>
      </c>
    </row>
    <row r="4" spans="1:12" x14ac:dyDescent="0.2">
      <c r="A4" s="77" t="s">
        <v>107</v>
      </c>
      <c r="B4" s="446" t="s">
        <v>429</v>
      </c>
    </row>
    <row r="5" spans="1:12" x14ac:dyDescent="0.2">
      <c r="A5" s="77" t="s">
        <v>2894</v>
      </c>
      <c r="B5" s="446" t="s">
        <v>429</v>
      </c>
    </row>
    <row r="6" spans="1:12" x14ac:dyDescent="0.2">
      <c r="A6" s="77" t="s">
        <v>111</v>
      </c>
      <c r="B6" s="446" t="s">
        <v>429</v>
      </c>
    </row>
    <row r="7" spans="1:12" x14ac:dyDescent="0.2">
      <c r="A7" s="77" t="s">
        <v>2896</v>
      </c>
      <c r="B7" s="446" t="s">
        <v>429</v>
      </c>
    </row>
    <row r="8" spans="1:12" x14ac:dyDescent="0.2">
      <c r="A8" s="77" t="s">
        <v>2900</v>
      </c>
      <c r="B8" s="446" t="s">
        <v>429</v>
      </c>
    </row>
    <row r="9" spans="1:12" x14ac:dyDescent="0.2">
      <c r="A9" s="77" t="s">
        <v>2898</v>
      </c>
      <c r="B9" s="446" t="s">
        <v>429</v>
      </c>
    </row>
    <row r="11" spans="1:12" x14ac:dyDescent="0.2">
      <c r="A11" s="446" t="s">
        <v>116</v>
      </c>
      <c r="B11" s="446" t="s">
        <v>117</v>
      </c>
      <c r="C11" s="446" t="s">
        <v>118</v>
      </c>
      <c r="D11" s="446" t="s">
        <v>119</v>
      </c>
      <c r="E11" s="446" t="s">
        <v>120</v>
      </c>
      <c r="F11" s="446" t="s">
        <v>121</v>
      </c>
      <c r="G11" s="446" t="s">
        <v>122</v>
      </c>
      <c r="H11" s="446" t="s">
        <v>123</v>
      </c>
      <c r="I11" s="446" t="s">
        <v>124</v>
      </c>
      <c r="J11" s="446" t="s">
        <v>125</v>
      </c>
      <c r="K11" s="446" t="s">
        <v>2923</v>
      </c>
      <c r="L11" s="446" t="s">
        <v>2925</v>
      </c>
    </row>
    <row r="12" spans="1:12" x14ac:dyDescent="0.2">
      <c r="A12" s="74">
        <v>32</v>
      </c>
      <c r="B12" s="74">
        <v>-28229</v>
      </c>
      <c r="C12" s="74">
        <v>0</v>
      </c>
      <c r="D12" s="74">
        <v>0</v>
      </c>
      <c r="E12" s="74">
        <v>9</v>
      </c>
      <c r="F12" s="74">
        <v>-29975</v>
      </c>
      <c r="G12" s="74">
        <v>3</v>
      </c>
      <c r="H12" s="74">
        <v>-912</v>
      </c>
      <c r="I12" s="74">
        <v>10</v>
      </c>
      <c r="J12" s="74">
        <v>-17958</v>
      </c>
      <c r="K12" s="74">
        <v>47</v>
      </c>
      <c r="L12" s="74">
        <v>-77074</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EB33"/>
  <sheetViews>
    <sheetView workbookViewId="0"/>
  </sheetViews>
  <sheetFormatPr defaultRowHeight="12" x14ac:dyDescent="0.2"/>
  <cols>
    <col min="1" max="1" width="32" customWidth="1"/>
    <col min="2" max="2" width="29.42578125" bestFit="1" customWidth="1"/>
    <col min="3" max="3" width="37.140625" bestFit="1" customWidth="1"/>
    <col min="4" max="4" width="5" style="65" bestFit="1" customWidth="1"/>
    <col min="5" max="5" width="27" customWidth="1"/>
    <col min="6" max="6" width="5.42578125" style="71" customWidth="1"/>
    <col min="7" max="7" width="9.5703125" style="67" customWidth="1"/>
    <col min="8" max="8" width="7" style="65" bestFit="1" customWidth="1"/>
    <col min="9" max="9" width="7.85546875" style="65" bestFit="1" customWidth="1"/>
    <col min="10" max="10" width="9" style="65" bestFit="1" customWidth="1"/>
    <col min="11" max="12" width="10" style="65" bestFit="1" customWidth="1"/>
    <col min="13" max="13" width="10" style="69" bestFit="1" customWidth="1"/>
    <col min="14" max="14" width="9.85546875" style="69" bestFit="1" customWidth="1"/>
    <col min="15" max="15" width="9" style="65" customWidth="1"/>
    <col min="16" max="16" width="10" style="69" bestFit="1" customWidth="1"/>
    <col min="17" max="17" width="6.5703125" style="65" bestFit="1" customWidth="1"/>
    <col min="18" max="19" width="9.85546875" style="69" bestFit="1" customWidth="1"/>
    <col min="20" max="20" width="21.85546875" customWidth="1"/>
    <col min="21" max="21" width="11.5703125" style="65" bestFit="1" customWidth="1"/>
    <col min="22" max="22" width="11.28515625" style="65" customWidth="1"/>
    <col min="23" max="23" width="11.5703125" style="65" bestFit="1" customWidth="1"/>
    <col min="24" max="24" width="9.85546875" style="69" bestFit="1" customWidth="1"/>
    <col min="25" max="25" width="11.42578125" style="69" bestFit="1" customWidth="1"/>
    <col min="26" max="26" width="10.140625" style="69" bestFit="1" customWidth="1"/>
    <col min="27" max="27" width="9.85546875" style="69" bestFit="1" customWidth="1"/>
    <col min="28" max="28" width="8.42578125" style="65" bestFit="1" customWidth="1"/>
    <col min="29" max="29" width="5" style="65" bestFit="1" customWidth="1"/>
    <col min="30" max="30" width="29" style="71" bestFit="1" customWidth="1"/>
    <col min="31" max="31" width="8.42578125" style="65" bestFit="1" customWidth="1"/>
    <col min="32" max="32" width="11.85546875" style="69" customWidth="1"/>
    <col min="33" max="33" width="10.140625" style="69" bestFit="1" customWidth="1"/>
    <col min="34" max="38" width="7.140625" style="73" bestFit="1" customWidth="1"/>
    <col min="39" max="39" width="10.5703125" style="73" bestFit="1" customWidth="1"/>
    <col min="40" max="42" width="8.140625" style="73" bestFit="1" customWidth="1"/>
    <col min="43" max="44" width="7.140625" style="73" bestFit="1" customWidth="1"/>
    <col min="45" max="45" width="10.5703125" style="73" bestFit="1" customWidth="1"/>
    <col min="46" max="48" width="7.140625" style="73" bestFit="1" customWidth="1"/>
    <col min="49" max="49" width="10.5703125" style="73" bestFit="1" customWidth="1"/>
    <col min="50" max="54" width="7.5703125" style="73" bestFit="1" customWidth="1"/>
    <col min="55" max="55" width="11" style="73" bestFit="1" customWidth="1"/>
    <col min="56" max="58" width="8.5703125" style="73" bestFit="1" customWidth="1"/>
    <col min="59" max="60" width="7.5703125" style="73" bestFit="1" customWidth="1"/>
    <col min="61" max="61" width="11" style="73" bestFit="1" customWidth="1"/>
    <col min="62" max="64" width="7.5703125" style="73" bestFit="1" customWidth="1"/>
    <col min="65" max="65" width="11" style="73" bestFit="1" customWidth="1"/>
    <col min="66" max="68" width="11" style="185" customWidth="1"/>
    <col min="69" max="70" width="6.42578125" style="73" bestFit="1" customWidth="1"/>
    <col min="71" max="73" width="6.28515625" style="73" bestFit="1" customWidth="1"/>
    <col min="74" max="74" width="9.7109375" style="73" bestFit="1" customWidth="1"/>
    <col min="75" max="77" width="7.28515625" style="73" bestFit="1" customWidth="1"/>
    <col min="78" max="78" width="6.28515625" style="73" bestFit="1" customWidth="1"/>
    <col min="79" max="79" width="7" style="73" bestFit="1" customWidth="1"/>
    <col min="80" max="80" width="9.7109375" style="73" bestFit="1" customWidth="1"/>
    <col min="81" max="81" width="5.140625" style="65" customWidth="1"/>
    <col min="82" max="83" width="6.42578125" style="73" bestFit="1" customWidth="1"/>
    <col min="84" max="84" width="6.28515625" style="73" bestFit="1" customWidth="1"/>
    <col min="85" max="85" width="9.7109375" style="73" bestFit="1" customWidth="1"/>
    <col min="86" max="90" width="19.5703125" bestFit="1" customWidth="1"/>
    <col min="91" max="91" width="28.28515625" bestFit="1" customWidth="1"/>
    <col min="92" max="93" width="20.5703125" bestFit="1" customWidth="1"/>
    <col min="94" max="95" width="19.5703125" bestFit="1" customWidth="1"/>
    <col min="96" max="96" width="28.28515625" bestFit="1" customWidth="1"/>
    <col min="97" max="98" width="19.5703125" bestFit="1" customWidth="1"/>
    <col min="99" max="103" width="20" bestFit="1" customWidth="1"/>
    <col min="104" max="104" width="28.28515625" bestFit="1" customWidth="1"/>
    <col min="105" max="105" width="23.42578125" bestFit="1" customWidth="1"/>
    <col min="106" max="106" width="21" bestFit="1" customWidth="1"/>
    <col min="107" max="110" width="20" bestFit="1" customWidth="1"/>
    <col min="111" max="111" width="20.140625" bestFit="1" customWidth="1"/>
    <col min="112" max="112" width="12" style="73" customWidth="1"/>
    <col min="113" max="113" width="10.28515625" style="73" customWidth="1"/>
    <col min="114" max="114" width="10" style="73" customWidth="1"/>
    <col min="115" max="115" width="9.42578125" style="73" customWidth="1"/>
    <col min="116" max="116" width="7.5703125" style="65" bestFit="1" customWidth="1"/>
    <col min="117" max="117" width="8.5703125" style="65" bestFit="1" customWidth="1"/>
    <col min="118" max="118" width="15.7109375" customWidth="1"/>
    <col min="119" max="119" width="12.85546875" style="65" customWidth="1"/>
    <col min="120" max="120" width="16.85546875" customWidth="1"/>
    <col min="121" max="121" width="15.85546875" style="65" bestFit="1" customWidth="1"/>
    <col min="122" max="122" width="19.7109375" customWidth="1"/>
    <col min="123" max="123" width="14.85546875" style="65" bestFit="1" customWidth="1"/>
    <col min="124" max="124" width="6.42578125" style="65" bestFit="1" customWidth="1"/>
    <col min="125" max="125" width="25.5703125" customWidth="1"/>
    <col min="126" max="126" width="6.42578125" style="65" bestFit="1" customWidth="1"/>
    <col min="127" max="127" width="16.5703125" bestFit="1" customWidth="1"/>
    <col min="128" max="128" width="7.42578125" style="73" bestFit="1" customWidth="1"/>
    <col min="129" max="129" width="7.7109375" style="73" bestFit="1" customWidth="1"/>
    <col min="130" max="130" width="7.42578125" style="73" bestFit="1" customWidth="1"/>
    <col min="131" max="131" width="10" style="65" bestFit="1" customWidth="1"/>
    <col min="132" max="132" width="10.28515625" style="65" bestFit="1" customWidth="1"/>
  </cols>
  <sheetData>
    <row r="1" spans="1:132" s="63" customFormat="1" ht="39" customHeight="1" x14ac:dyDescent="0.2">
      <c r="A1" s="63" t="s">
        <v>2939</v>
      </c>
      <c r="B1" s="63" t="s">
        <v>2940</v>
      </c>
      <c r="C1" s="63" t="s">
        <v>3966</v>
      </c>
      <c r="D1" s="64" t="s">
        <v>2846</v>
      </c>
      <c r="E1" s="63" t="s">
        <v>185</v>
      </c>
      <c r="F1" s="70" t="s">
        <v>3938</v>
      </c>
      <c r="G1" s="66" t="s">
        <v>418</v>
      </c>
      <c r="H1" s="64" t="s">
        <v>186</v>
      </c>
      <c r="I1" s="64" t="s">
        <v>187</v>
      </c>
      <c r="J1" s="64" t="s">
        <v>2847</v>
      </c>
      <c r="K1" s="64" t="s">
        <v>2848</v>
      </c>
      <c r="L1" s="64" t="s">
        <v>188</v>
      </c>
      <c r="M1" s="68" t="s">
        <v>2849</v>
      </c>
      <c r="N1" s="68" t="s">
        <v>13</v>
      </c>
      <c r="O1" s="64" t="s">
        <v>2850</v>
      </c>
      <c r="P1" s="68" t="s">
        <v>189</v>
      </c>
      <c r="Q1" s="64" t="s">
        <v>190</v>
      </c>
      <c r="R1" s="68" t="s">
        <v>191</v>
      </c>
      <c r="S1" s="68" t="s">
        <v>192</v>
      </c>
      <c r="T1" s="63" t="s">
        <v>419</v>
      </c>
      <c r="U1" s="64" t="s">
        <v>193</v>
      </c>
      <c r="V1" s="64" t="s">
        <v>2857</v>
      </c>
      <c r="W1" s="64" t="s">
        <v>194</v>
      </c>
      <c r="X1" s="68" t="s">
        <v>2851</v>
      </c>
      <c r="Y1" s="68" t="s">
        <v>2852</v>
      </c>
      <c r="Z1" s="68" t="s">
        <v>2853</v>
      </c>
      <c r="AA1" s="68" t="s">
        <v>2854</v>
      </c>
      <c r="AB1" s="64" t="s">
        <v>195</v>
      </c>
      <c r="AC1" s="64" t="s">
        <v>196</v>
      </c>
      <c r="AD1" s="70" t="s">
        <v>2844</v>
      </c>
      <c r="AE1" s="64" t="s">
        <v>2845</v>
      </c>
      <c r="AF1" s="68" t="s">
        <v>2855</v>
      </c>
      <c r="AG1" s="68" t="s">
        <v>2856</v>
      </c>
      <c r="AH1" s="72" t="s">
        <v>2858</v>
      </c>
      <c r="AI1" s="72" t="s">
        <v>2859</v>
      </c>
      <c r="AJ1" s="72" t="s">
        <v>2860</v>
      </c>
      <c r="AK1" s="72" t="s">
        <v>2861</v>
      </c>
      <c r="AL1" s="72" t="s">
        <v>2862</v>
      </c>
      <c r="AM1" s="72" t="s">
        <v>2863</v>
      </c>
      <c r="AN1" s="72" t="s">
        <v>2864</v>
      </c>
      <c r="AO1" s="72" t="s">
        <v>2865</v>
      </c>
      <c r="AP1" s="72" t="s">
        <v>2866</v>
      </c>
      <c r="AQ1" s="72" t="s">
        <v>2867</v>
      </c>
      <c r="AR1" s="72" t="s">
        <v>2868</v>
      </c>
      <c r="AS1" s="72" t="s">
        <v>2869</v>
      </c>
      <c r="AT1" s="72" t="s">
        <v>2870</v>
      </c>
      <c r="AU1" s="72" t="s">
        <v>2871</v>
      </c>
      <c r="AV1" s="72" t="s">
        <v>2872</v>
      </c>
      <c r="AW1" s="72" t="s">
        <v>2873</v>
      </c>
      <c r="AX1" s="72" t="s">
        <v>2874</v>
      </c>
      <c r="AY1" s="72" t="s">
        <v>2875</v>
      </c>
      <c r="AZ1" s="72" t="s">
        <v>2876</v>
      </c>
      <c r="BA1" s="72" t="s">
        <v>2877</v>
      </c>
      <c r="BB1" s="72" t="s">
        <v>2878</v>
      </c>
      <c r="BC1" s="72" t="s">
        <v>2879</v>
      </c>
      <c r="BD1" s="72" t="s">
        <v>2880</v>
      </c>
      <c r="BE1" s="72" t="s">
        <v>2881</v>
      </c>
      <c r="BF1" s="72" t="s">
        <v>2882</v>
      </c>
      <c r="BG1" s="72" t="s">
        <v>2883</v>
      </c>
      <c r="BH1" s="72" t="s">
        <v>2884</v>
      </c>
      <c r="BI1" s="72" t="s">
        <v>2885</v>
      </c>
      <c r="BJ1" s="72" t="s">
        <v>2886</v>
      </c>
      <c r="BK1" s="72" t="s">
        <v>2887</v>
      </c>
      <c r="BL1" s="72" t="s">
        <v>2888</v>
      </c>
      <c r="BM1" s="72" t="s">
        <v>2889</v>
      </c>
      <c r="BN1" s="184" t="s">
        <v>3967</v>
      </c>
      <c r="BO1" s="184" t="s">
        <v>3968</v>
      </c>
      <c r="BP1" s="184" t="s">
        <v>3969</v>
      </c>
      <c r="BQ1" s="72" t="s">
        <v>75</v>
      </c>
      <c r="BR1" s="72" t="s">
        <v>76</v>
      </c>
      <c r="BS1" s="72" t="s">
        <v>77</v>
      </c>
      <c r="BT1" s="72" t="s">
        <v>78</v>
      </c>
      <c r="BU1" s="72" t="s">
        <v>79</v>
      </c>
      <c r="BV1" s="72" t="s">
        <v>2890</v>
      </c>
      <c r="BW1" s="72" t="s">
        <v>80</v>
      </c>
      <c r="BX1" s="72" t="s">
        <v>81</v>
      </c>
      <c r="BY1" s="72" t="s">
        <v>82</v>
      </c>
      <c r="BZ1" s="72" t="s">
        <v>83</v>
      </c>
      <c r="CA1" s="72" t="s">
        <v>84</v>
      </c>
      <c r="CB1" s="72" t="s">
        <v>2891</v>
      </c>
      <c r="CC1" s="64" t="s">
        <v>2892</v>
      </c>
      <c r="CD1" s="72" t="s">
        <v>85</v>
      </c>
      <c r="CE1" s="72" t="s">
        <v>86</v>
      </c>
      <c r="CF1" s="72" t="s">
        <v>87</v>
      </c>
      <c r="CG1" s="72" t="s">
        <v>2893</v>
      </c>
      <c r="CH1" s="63" t="s">
        <v>197</v>
      </c>
      <c r="CI1" s="63" t="s">
        <v>198</v>
      </c>
      <c r="CJ1" s="63" t="s">
        <v>199</v>
      </c>
      <c r="CK1" s="63" t="s">
        <v>200</v>
      </c>
      <c r="CL1" s="63" t="s">
        <v>201</v>
      </c>
      <c r="CM1" s="63" t="s">
        <v>202</v>
      </c>
      <c r="CN1" s="63" t="s">
        <v>203</v>
      </c>
      <c r="CO1" s="63" t="s">
        <v>204</v>
      </c>
      <c r="CP1" s="63" t="s">
        <v>205</v>
      </c>
      <c r="CQ1" s="63" t="s">
        <v>206</v>
      </c>
      <c r="CR1" s="63" t="s">
        <v>207</v>
      </c>
      <c r="CS1" s="63" t="s">
        <v>208</v>
      </c>
      <c r="CT1" s="63" t="s">
        <v>209</v>
      </c>
      <c r="CU1" s="63" t="s">
        <v>210</v>
      </c>
      <c r="CV1" s="63" t="s">
        <v>211</v>
      </c>
      <c r="CW1" s="63" t="s">
        <v>212</v>
      </c>
      <c r="CX1" s="63" t="s">
        <v>213</v>
      </c>
      <c r="CY1" s="63" t="s">
        <v>214</v>
      </c>
      <c r="CZ1" s="63" t="s">
        <v>215</v>
      </c>
      <c r="DA1" s="63" t="s">
        <v>216</v>
      </c>
      <c r="DB1" s="63" t="s">
        <v>217</v>
      </c>
      <c r="DC1" s="63" t="s">
        <v>218</v>
      </c>
      <c r="DD1" s="63" t="s">
        <v>219</v>
      </c>
      <c r="DE1" s="63" t="s">
        <v>220</v>
      </c>
      <c r="DF1" s="63" t="s">
        <v>221</v>
      </c>
      <c r="DG1" s="63" t="s">
        <v>222</v>
      </c>
      <c r="DH1" s="72" t="s">
        <v>1301</v>
      </c>
      <c r="DI1" s="72" t="s">
        <v>223</v>
      </c>
      <c r="DJ1" s="72" t="s">
        <v>224</v>
      </c>
      <c r="DK1" s="72" t="s">
        <v>225</v>
      </c>
      <c r="DL1" s="64" t="s">
        <v>107</v>
      </c>
      <c r="DM1" s="64" t="s">
        <v>2894</v>
      </c>
      <c r="DN1" s="63" t="s">
        <v>2895</v>
      </c>
      <c r="DO1" s="64" t="s">
        <v>2896</v>
      </c>
      <c r="DP1" s="63" t="s">
        <v>2897</v>
      </c>
      <c r="DQ1" s="64" t="s">
        <v>2898</v>
      </c>
      <c r="DR1" s="63" t="s">
        <v>2899</v>
      </c>
      <c r="DS1" s="64" t="s">
        <v>2900</v>
      </c>
      <c r="DT1" s="64" t="s">
        <v>111</v>
      </c>
      <c r="DU1" s="63" t="s">
        <v>164</v>
      </c>
      <c r="DV1" s="64" t="s">
        <v>140</v>
      </c>
      <c r="DW1" s="63" t="s">
        <v>14</v>
      </c>
      <c r="DX1" s="72" t="s">
        <v>127</v>
      </c>
      <c r="DY1" s="72" t="s">
        <v>128</v>
      </c>
      <c r="DZ1" s="72" t="s">
        <v>129</v>
      </c>
      <c r="EA1" s="64" t="s">
        <v>130</v>
      </c>
      <c r="EB1" s="64" t="s">
        <v>2901</v>
      </c>
    </row>
    <row r="2" spans="1:132" x14ac:dyDescent="0.2">
      <c r="A2" t="s">
        <v>2936</v>
      </c>
      <c r="B2" t="s">
        <v>2946</v>
      </c>
      <c r="C2" t="s">
        <v>3798</v>
      </c>
      <c r="D2" s="65">
        <v>145</v>
      </c>
      <c r="E2" t="s">
        <v>1328</v>
      </c>
      <c r="F2" s="71" t="s">
        <v>2904</v>
      </c>
      <c r="G2" s="67">
        <v>0.5</v>
      </c>
      <c r="H2" s="65">
        <v>525916</v>
      </c>
      <c r="I2" s="65">
        <v>172132</v>
      </c>
      <c r="K2" s="65" t="s">
        <v>1296</v>
      </c>
      <c r="L2" s="65" t="s">
        <v>27</v>
      </c>
      <c r="M2" s="69">
        <v>42808</v>
      </c>
      <c r="N2" s="69">
        <v>42870</v>
      </c>
      <c r="Q2" s="65" t="s">
        <v>28</v>
      </c>
      <c r="T2" t="s">
        <v>1297</v>
      </c>
      <c r="U2" s="65" t="s">
        <v>29</v>
      </c>
      <c r="V2" s="65" t="s">
        <v>29</v>
      </c>
      <c r="W2" s="65" t="s">
        <v>35</v>
      </c>
      <c r="Y2" s="69">
        <v>42870</v>
      </c>
      <c r="Z2" s="69">
        <v>43190</v>
      </c>
      <c r="AA2" s="69">
        <v>43190</v>
      </c>
      <c r="AB2" s="65" t="s">
        <v>23</v>
      </c>
      <c r="AC2" s="65" t="s">
        <v>24</v>
      </c>
      <c r="AH2" s="73">
        <v>0</v>
      </c>
      <c r="AI2" s="73">
        <v>0</v>
      </c>
      <c r="AJ2" s="73">
        <v>0</v>
      </c>
      <c r="AK2" s="73">
        <v>0</v>
      </c>
      <c r="AL2" s="73">
        <v>0</v>
      </c>
      <c r="AM2" s="73">
        <v>0</v>
      </c>
      <c r="AN2" s="73">
        <v>230</v>
      </c>
      <c r="AO2" s="73">
        <v>0</v>
      </c>
      <c r="AP2" s="73">
        <v>0</v>
      </c>
      <c r="AQ2" s="73">
        <v>0</v>
      </c>
      <c r="AR2" s="73">
        <v>0</v>
      </c>
      <c r="AS2" s="73">
        <v>230</v>
      </c>
      <c r="AT2" s="73">
        <v>0</v>
      </c>
      <c r="AU2" s="73">
        <v>0</v>
      </c>
      <c r="AV2" s="73">
        <v>0</v>
      </c>
      <c r="AW2" s="73">
        <v>0</v>
      </c>
      <c r="AX2" s="73">
        <v>0</v>
      </c>
      <c r="AY2" s="73">
        <v>0</v>
      </c>
      <c r="AZ2" s="73">
        <v>0</v>
      </c>
      <c r="BA2" s="73">
        <v>0</v>
      </c>
      <c r="BB2" s="73">
        <v>0</v>
      </c>
      <c r="BC2" s="73">
        <v>0</v>
      </c>
      <c r="BD2" s="73">
        <v>230</v>
      </c>
      <c r="BE2" s="73">
        <v>0</v>
      </c>
      <c r="BF2" s="73">
        <v>0</v>
      </c>
      <c r="BG2" s="73">
        <v>0</v>
      </c>
      <c r="BH2" s="73">
        <v>0</v>
      </c>
      <c r="BI2" s="73">
        <v>230</v>
      </c>
      <c r="BJ2" s="73">
        <v>0</v>
      </c>
      <c r="BK2" s="73">
        <v>0</v>
      </c>
      <c r="BL2" s="73">
        <v>0</v>
      </c>
      <c r="BM2" s="73">
        <v>0</v>
      </c>
      <c r="BN2" s="185" t="s">
        <v>3794</v>
      </c>
      <c r="BO2" s="185" t="s">
        <v>126</v>
      </c>
      <c r="BP2" s="185" t="s">
        <v>3794</v>
      </c>
      <c r="BQ2" s="73">
        <v>0</v>
      </c>
      <c r="BR2" s="73">
        <v>0</v>
      </c>
      <c r="BS2" s="73">
        <v>0</v>
      </c>
      <c r="BT2" s="73">
        <v>0</v>
      </c>
      <c r="BU2" s="73">
        <v>0</v>
      </c>
      <c r="BV2" s="73">
        <v>0</v>
      </c>
      <c r="BW2" s="73">
        <v>0</v>
      </c>
      <c r="BX2" s="73">
        <v>0</v>
      </c>
      <c r="BY2" s="73">
        <v>0</v>
      </c>
      <c r="BZ2" s="73">
        <v>0</v>
      </c>
      <c r="CA2" s="73">
        <v>0</v>
      </c>
      <c r="CB2" s="73">
        <v>0</v>
      </c>
      <c r="CD2" s="73">
        <v>0</v>
      </c>
      <c r="CE2" s="73">
        <v>0</v>
      </c>
      <c r="CF2" s="73">
        <v>0</v>
      </c>
      <c r="CG2" s="73">
        <v>0</v>
      </c>
      <c r="CH2" t="s">
        <v>25</v>
      </c>
      <c r="CI2" t="s">
        <v>25</v>
      </c>
      <c r="CJ2" t="s">
        <v>25</v>
      </c>
      <c r="CK2" t="s">
        <v>25</v>
      </c>
      <c r="CL2" t="s">
        <v>25</v>
      </c>
      <c r="CM2" t="s">
        <v>72</v>
      </c>
      <c r="CN2" t="s">
        <v>25</v>
      </c>
      <c r="CO2" t="s">
        <v>25</v>
      </c>
      <c r="CP2" t="s">
        <v>25</v>
      </c>
      <c r="CQ2" t="s">
        <v>25</v>
      </c>
      <c r="CR2" t="s">
        <v>25</v>
      </c>
      <c r="CS2" t="s">
        <v>25</v>
      </c>
      <c r="CT2" t="s">
        <v>25</v>
      </c>
      <c r="CU2" t="s">
        <v>25</v>
      </c>
      <c r="CV2" t="s">
        <v>25</v>
      </c>
      <c r="CW2" t="s">
        <v>25</v>
      </c>
      <c r="CX2" t="s">
        <v>25</v>
      </c>
      <c r="CY2" t="s">
        <v>25</v>
      </c>
      <c r="CZ2" t="s">
        <v>72</v>
      </c>
      <c r="DA2" t="s">
        <v>25</v>
      </c>
      <c r="DB2" t="s">
        <v>25</v>
      </c>
      <c r="DC2" t="s">
        <v>25</v>
      </c>
      <c r="DD2" t="s">
        <v>25</v>
      </c>
      <c r="DE2" t="s">
        <v>25</v>
      </c>
      <c r="DF2" t="s">
        <v>25</v>
      </c>
      <c r="DG2" t="s">
        <v>25</v>
      </c>
      <c r="DI2" s="73">
        <v>230</v>
      </c>
      <c r="DJ2" s="73">
        <v>230</v>
      </c>
      <c r="DK2" s="73">
        <v>0</v>
      </c>
      <c r="DO2" s="65" t="s">
        <v>126</v>
      </c>
      <c r="DP2" t="s">
        <v>2903</v>
      </c>
      <c r="DS2"/>
      <c r="DX2" s="73">
        <v>0</v>
      </c>
      <c r="DY2" s="73">
        <v>0</v>
      </c>
      <c r="DZ2" s="73">
        <v>0</v>
      </c>
      <c r="EB2" s="65" t="s">
        <v>126</v>
      </c>
    </row>
    <row r="3" spans="1:132" x14ac:dyDescent="0.2">
      <c r="A3" t="s">
        <v>2937</v>
      </c>
      <c r="B3" t="s">
        <v>2946</v>
      </c>
      <c r="C3" t="s">
        <v>3798</v>
      </c>
      <c r="D3" s="65">
        <v>2304</v>
      </c>
      <c r="E3" t="s">
        <v>1514</v>
      </c>
      <c r="F3" s="71" t="s">
        <v>3947</v>
      </c>
      <c r="G3" s="67">
        <v>0.91500002145767201</v>
      </c>
      <c r="H3" s="65">
        <v>528666</v>
      </c>
      <c r="I3" s="65">
        <v>177450</v>
      </c>
      <c r="K3" s="65" t="s">
        <v>558</v>
      </c>
      <c r="L3" s="65" t="s">
        <v>33</v>
      </c>
      <c r="M3" s="69">
        <v>42296</v>
      </c>
      <c r="N3" s="69">
        <v>42465</v>
      </c>
      <c r="P3" s="69">
        <v>42353</v>
      </c>
      <c r="Q3" s="65" t="s">
        <v>28</v>
      </c>
      <c r="T3" t="s">
        <v>559</v>
      </c>
      <c r="U3" s="65" t="s">
        <v>21</v>
      </c>
      <c r="V3" s="65" t="s">
        <v>21</v>
      </c>
      <c r="W3" s="65" t="s">
        <v>69</v>
      </c>
      <c r="AB3" s="65" t="s">
        <v>23</v>
      </c>
      <c r="AC3" s="65" t="s">
        <v>24</v>
      </c>
      <c r="AH3" s="73">
        <v>0</v>
      </c>
      <c r="AI3" s="73">
        <v>0</v>
      </c>
      <c r="AJ3" s="73">
        <v>0</v>
      </c>
      <c r="AK3" s="73">
        <v>0</v>
      </c>
      <c r="AL3" s="73">
        <v>0</v>
      </c>
      <c r="AM3" s="73">
        <v>0</v>
      </c>
      <c r="AN3" s="73">
        <v>0</v>
      </c>
      <c r="AO3" s="73">
        <v>0</v>
      </c>
      <c r="AP3" s="73">
        <v>0</v>
      </c>
      <c r="AQ3" s="73">
        <v>0</v>
      </c>
      <c r="AR3" s="73">
        <v>0</v>
      </c>
      <c r="AS3" s="73">
        <v>0</v>
      </c>
      <c r="AT3" s="73">
        <v>0</v>
      </c>
      <c r="AU3" s="73">
        <v>0</v>
      </c>
      <c r="AV3" s="73">
        <v>0</v>
      </c>
      <c r="AW3" s="73">
        <v>0</v>
      </c>
      <c r="AX3" s="73">
        <v>0</v>
      </c>
      <c r="AY3" s="73">
        <v>594</v>
      </c>
      <c r="AZ3" s="73">
        <v>0</v>
      </c>
      <c r="BA3" s="73">
        <v>0</v>
      </c>
      <c r="BB3" s="73">
        <v>0</v>
      </c>
      <c r="BC3" s="73">
        <v>594</v>
      </c>
      <c r="BD3" s="73">
        <v>0</v>
      </c>
      <c r="BE3" s="73">
        <v>0</v>
      </c>
      <c r="BF3" s="73">
        <v>0</v>
      </c>
      <c r="BG3" s="73">
        <v>0</v>
      </c>
      <c r="BH3" s="73">
        <v>0</v>
      </c>
      <c r="BI3" s="73">
        <v>0</v>
      </c>
      <c r="BJ3" s="73">
        <v>0</v>
      </c>
      <c r="BK3" s="73">
        <v>0</v>
      </c>
      <c r="BL3" s="73">
        <v>0</v>
      </c>
      <c r="BM3" s="73">
        <v>0</v>
      </c>
      <c r="BN3" s="185" t="s">
        <v>126</v>
      </c>
      <c r="BO3" s="185" t="s">
        <v>3794</v>
      </c>
      <c r="BP3" s="185" t="s">
        <v>3794</v>
      </c>
      <c r="BQ3" s="73">
        <v>0</v>
      </c>
      <c r="BR3" s="73">
        <v>-594</v>
      </c>
      <c r="BS3" s="73">
        <v>0</v>
      </c>
      <c r="BT3" s="73">
        <v>0</v>
      </c>
      <c r="BU3" s="73">
        <v>0</v>
      </c>
      <c r="BV3" s="73">
        <v>-594</v>
      </c>
      <c r="BW3" s="73">
        <v>0</v>
      </c>
      <c r="BX3" s="73">
        <v>0</v>
      </c>
      <c r="BY3" s="73">
        <v>0</v>
      </c>
      <c r="BZ3" s="73">
        <v>0</v>
      </c>
      <c r="CA3" s="73">
        <v>0</v>
      </c>
      <c r="CB3" s="73">
        <v>0</v>
      </c>
      <c r="CD3" s="73">
        <v>0</v>
      </c>
      <c r="CE3" s="73">
        <v>0</v>
      </c>
      <c r="CF3" s="73">
        <v>0</v>
      </c>
      <c r="CG3" s="73">
        <v>0</v>
      </c>
      <c r="CH3" t="s">
        <v>25</v>
      </c>
      <c r="CI3" t="s">
        <v>25</v>
      </c>
      <c r="CJ3" t="s">
        <v>25</v>
      </c>
      <c r="CK3" t="s">
        <v>25</v>
      </c>
      <c r="CL3" t="s">
        <v>25</v>
      </c>
      <c r="CM3" t="s">
        <v>25</v>
      </c>
      <c r="CN3" t="s">
        <v>25</v>
      </c>
      <c r="CO3" t="s">
        <v>25</v>
      </c>
      <c r="CP3" t="s">
        <v>25</v>
      </c>
      <c r="CQ3" t="s">
        <v>25</v>
      </c>
      <c r="CR3" t="s">
        <v>25</v>
      </c>
      <c r="CS3" t="s">
        <v>25</v>
      </c>
      <c r="CT3" t="s">
        <v>25</v>
      </c>
      <c r="CU3" t="s">
        <v>25</v>
      </c>
      <c r="CV3" t="s">
        <v>31</v>
      </c>
      <c r="CW3" t="s">
        <v>25</v>
      </c>
      <c r="CX3" t="s">
        <v>25</v>
      </c>
      <c r="CY3" t="s">
        <v>25</v>
      </c>
      <c r="CZ3" t="s">
        <v>25</v>
      </c>
      <c r="DA3" t="s">
        <v>25</v>
      </c>
      <c r="DB3" t="s">
        <v>25</v>
      </c>
      <c r="DC3" t="s">
        <v>25</v>
      </c>
      <c r="DD3" t="s">
        <v>25</v>
      </c>
      <c r="DE3" t="s">
        <v>25</v>
      </c>
      <c r="DF3" t="s">
        <v>25</v>
      </c>
      <c r="DG3" t="s">
        <v>25</v>
      </c>
      <c r="DI3" s="73">
        <v>0</v>
      </c>
      <c r="DJ3" s="73">
        <v>594</v>
      </c>
      <c r="DK3" s="73">
        <v>-594</v>
      </c>
      <c r="DL3" s="65" t="s">
        <v>126</v>
      </c>
      <c r="DS3" s="65" t="s">
        <v>126</v>
      </c>
      <c r="DX3" s="73">
        <v>594</v>
      </c>
      <c r="DY3" s="73">
        <v>0</v>
      </c>
      <c r="DZ3" s="73">
        <v>594</v>
      </c>
      <c r="EA3" s="65" t="s">
        <v>126</v>
      </c>
      <c r="EB3" s="65" t="s">
        <v>126</v>
      </c>
    </row>
    <row r="4" spans="1:132" x14ac:dyDescent="0.2">
      <c r="A4" t="s">
        <v>2936</v>
      </c>
      <c r="B4" t="s">
        <v>2946</v>
      </c>
      <c r="C4" t="s">
        <v>3798</v>
      </c>
      <c r="D4" s="65">
        <v>2304</v>
      </c>
      <c r="E4" t="s">
        <v>1514</v>
      </c>
      <c r="F4" s="71" t="s">
        <v>3947</v>
      </c>
      <c r="G4" s="67">
        <v>0.91500002145767201</v>
      </c>
      <c r="H4" s="65">
        <v>528666</v>
      </c>
      <c r="I4" s="65">
        <v>177450</v>
      </c>
      <c r="K4" s="65" t="s">
        <v>1515</v>
      </c>
      <c r="L4" s="65" t="s">
        <v>27</v>
      </c>
      <c r="M4" s="69">
        <v>42979</v>
      </c>
      <c r="N4" s="69">
        <v>43031</v>
      </c>
      <c r="Q4" s="65" t="s">
        <v>28</v>
      </c>
      <c r="T4" t="s">
        <v>1516</v>
      </c>
      <c r="U4" s="65" t="s">
        <v>21</v>
      </c>
      <c r="V4" s="65" t="s">
        <v>21</v>
      </c>
      <c r="W4" s="65" t="s">
        <v>35</v>
      </c>
      <c r="Y4" s="69">
        <v>43031</v>
      </c>
      <c r="Z4" s="69">
        <v>43190</v>
      </c>
      <c r="AA4" s="69">
        <v>43190</v>
      </c>
      <c r="AB4" s="65" t="s">
        <v>23</v>
      </c>
      <c r="AC4" s="65" t="s">
        <v>24</v>
      </c>
      <c r="AH4" s="73">
        <v>0</v>
      </c>
      <c r="AI4" s="73">
        <v>561</v>
      </c>
      <c r="AJ4" s="73">
        <v>0</v>
      </c>
      <c r="AK4" s="73">
        <v>0</v>
      </c>
      <c r="AL4" s="73">
        <v>0</v>
      </c>
      <c r="AM4" s="73">
        <v>561</v>
      </c>
      <c r="AN4" s="73">
        <v>0</v>
      </c>
      <c r="AO4" s="73">
        <v>0</v>
      </c>
      <c r="AP4" s="73">
        <v>0</v>
      </c>
      <c r="AQ4" s="73">
        <v>0</v>
      </c>
      <c r="AR4" s="73">
        <v>0</v>
      </c>
      <c r="AS4" s="73">
        <v>0</v>
      </c>
      <c r="AT4" s="73">
        <v>0</v>
      </c>
      <c r="AU4" s="73">
        <v>0</v>
      </c>
      <c r="AV4" s="73">
        <v>0</v>
      </c>
      <c r="AW4" s="73">
        <v>0</v>
      </c>
      <c r="AX4" s="73">
        <v>0</v>
      </c>
      <c r="AY4" s="73">
        <v>0</v>
      </c>
      <c r="AZ4" s="73">
        <v>0</v>
      </c>
      <c r="BA4" s="73">
        <v>0</v>
      </c>
      <c r="BB4" s="73">
        <v>0</v>
      </c>
      <c r="BC4" s="73">
        <v>0</v>
      </c>
      <c r="BD4" s="73">
        <v>561</v>
      </c>
      <c r="BE4" s="73">
        <v>0</v>
      </c>
      <c r="BF4" s="73">
        <v>0</v>
      </c>
      <c r="BG4" s="73">
        <v>0</v>
      </c>
      <c r="BH4" s="73">
        <v>0</v>
      </c>
      <c r="BI4" s="73">
        <v>561</v>
      </c>
      <c r="BJ4" s="73">
        <v>0</v>
      </c>
      <c r="BK4" s="73">
        <v>0</v>
      </c>
      <c r="BL4" s="73">
        <v>0</v>
      </c>
      <c r="BM4" s="73">
        <v>0</v>
      </c>
      <c r="BN4" s="185" t="s">
        <v>126</v>
      </c>
      <c r="BO4" s="185" t="s">
        <v>126</v>
      </c>
      <c r="BP4" s="185" t="s">
        <v>3794</v>
      </c>
      <c r="BQ4" s="73">
        <v>0</v>
      </c>
      <c r="BR4" s="73">
        <v>561</v>
      </c>
      <c r="BS4" s="73">
        <v>0</v>
      </c>
      <c r="BT4" s="73">
        <v>0</v>
      </c>
      <c r="BU4" s="73">
        <v>0</v>
      </c>
      <c r="BV4" s="73">
        <v>561</v>
      </c>
      <c r="BW4" s="73">
        <v>-561</v>
      </c>
      <c r="BX4" s="73">
        <v>0</v>
      </c>
      <c r="BY4" s="73">
        <v>0</v>
      </c>
      <c r="BZ4" s="73">
        <v>0</v>
      </c>
      <c r="CA4" s="73">
        <v>0</v>
      </c>
      <c r="CB4" s="73">
        <v>-561</v>
      </c>
      <c r="CC4" s="65" t="s">
        <v>126</v>
      </c>
      <c r="CD4" s="73">
        <v>0</v>
      </c>
      <c r="CE4" s="73">
        <v>0</v>
      </c>
      <c r="CF4" s="73">
        <v>0</v>
      </c>
      <c r="CG4" s="73">
        <v>0</v>
      </c>
      <c r="CH4" t="s">
        <v>25</v>
      </c>
      <c r="CI4" t="s">
        <v>49</v>
      </c>
      <c r="CJ4" t="s">
        <v>25</v>
      </c>
      <c r="CK4" t="s">
        <v>25</v>
      </c>
      <c r="CL4" t="s">
        <v>25</v>
      </c>
      <c r="CM4" t="s">
        <v>25</v>
      </c>
      <c r="CN4" t="s">
        <v>25</v>
      </c>
      <c r="CO4" t="s">
        <v>25</v>
      </c>
      <c r="CP4" t="s">
        <v>25</v>
      </c>
      <c r="CQ4" t="s">
        <v>25</v>
      </c>
      <c r="CR4" t="s">
        <v>25</v>
      </c>
      <c r="CS4" t="s">
        <v>25</v>
      </c>
      <c r="CT4" t="s">
        <v>25</v>
      </c>
      <c r="CU4" t="s">
        <v>25</v>
      </c>
      <c r="CV4" t="s">
        <v>25</v>
      </c>
      <c r="CW4" t="s">
        <v>25</v>
      </c>
      <c r="CX4" t="s">
        <v>25</v>
      </c>
      <c r="CY4" t="s">
        <v>25</v>
      </c>
      <c r="CZ4" t="s">
        <v>72</v>
      </c>
      <c r="DA4" t="s">
        <v>25</v>
      </c>
      <c r="DB4" t="s">
        <v>25</v>
      </c>
      <c r="DC4" t="s">
        <v>25</v>
      </c>
      <c r="DD4" t="s">
        <v>25</v>
      </c>
      <c r="DE4" t="s">
        <v>25</v>
      </c>
      <c r="DF4" t="s">
        <v>25</v>
      </c>
      <c r="DG4" t="s">
        <v>25</v>
      </c>
      <c r="DI4" s="73">
        <v>561</v>
      </c>
      <c r="DJ4" s="73">
        <v>561</v>
      </c>
      <c r="DK4" s="73">
        <v>0</v>
      </c>
      <c r="DL4" s="65" t="s">
        <v>126</v>
      </c>
      <c r="DS4" s="65" t="s">
        <v>126</v>
      </c>
      <c r="DX4" s="73">
        <v>0</v>
      </c>
      <c r="DY4" s="73">
        <v>0</v>
      </c>
      <c r="DZ4" s="73">
        <v>0</v>
      </c>
      <c r="EB4" s="65" t="s">
        <v>126</v>
      </c>
    </row>
    <row r="5" spans="1:132" x14ac:dyDescent="0.2">
      <c r="A5" t="s">
        <v>2935</v>
      </c>
      <c r="B5" t="s">
        <v>2946</v>
      </c>
      <c r="C5" t="s">
        <v>3798</v>
      </c>
      <c r="D5" s="65">
        <v>2411</v>
      </c>
      <c r="E5" t="s">
        <v>1525</v>
      </c>
      <c r="F5" s="71" t="s">
        <v>3947</v>
      </c>
      <c r="G5" s="67">
        <v>15.800000190734901</v>
      </c>
      <c r="H5" s="65">
        <v>528934</v>
      </c>
      <c r="I5" s="65">
        <v>177496</v>
      </c>
      <c r="J5" s="65" t="s">
        <v>1526</v>
      </c>
      <c r="K5" s="65" t="s">
        <v>271</v>
      </c>
      <c r="L5" s="65" t="s">
        <v>27</v>
      </c>
      <c r="M5" s="69">
        <v>42082</v>
      </c>
      <c r="N5" s="69">
        <v>42198</v>
      </c>
      <c r="Q5" s="65" t="s">
        <v>28</v>
      </c>
      <c r="T5" t="s">
        <v>272</v>
      </c>
      <c r="U5" s="65" t="s">
        <v>29</v>
      </c>
      <c r="V5" s="65" t="s">
        <v>29</v>
      </c>
      <c r="W5" s="65" t="s">
        <v>30</v>
      </c>
      <c r="Y5" s="69">
        <v>42825</v>
      </c>
      <c r="AB5" s="65" t="s">
        <v>23</v>
      </c>
      <c r="AC5" s="65" t="s">
        <v>24</v>
      </c>
      <c r="AH5" s="73">
        <v>0</v>
      </c>
      <c r="AI5" s="73">
        <v>0</v>
      </c>
      <c r="AJ5" s="73">
        <v>0</v>
      </c>
      <c r="AK5" s="73">
        <v>0</v>
      </c>
      <c r="AL5" s="73">
        <v>0</v>
      </c>
      <c r="AM5" s="73">
        <v>0</v>
      </c>
      <c r="AN5" s="73">
        <v>0</v>
      </c>
      <c r="AO5" s="73">
        <v>0</v>
      </c>
      <c r="AP5" s="73">
        <v>0</v>
      </c>
      <c r="AQ5" s="73">
        <v>0</v>
      </c>
      <c r="AR5" s="73">
        <v>0</v>
      </c>
      <c r="AS5" s="73">
        <v>0</v>
      </c>
      <c r="AT5" s="73">
        <v>0</v>
      </c>
      <c r="AU5" s="73">
        <v>0</v>
      </c>
      <c r="AV5" s="73">
        <v>0</v>
      </c>
      <c r="AW5" s="73">
        <v>0</v>
      </c>
      <c r="AX5" s="73">
        <v>0</v>
      </c>
      <c r="AY5" s="73">
        <v>0</v>
      </c>
      <c r="AZ5" s="73">
        <v>0</v>
      </c>
      <c r="BA5" s="73">
        <v>0</v>
      </c>
      <c r="BB5" s="73">
        <v>0</v>
      </c>
      <c r="BC5" s="73">
        <v>0</v>
      </c>
      <c r="BD5" s="73">
        <v>0</v>
      </c>
      <c r="BE5" s="73">
        <v>0</v>
      </c>
      <c r="BF5" s="73">
        <v>0</v>
      </c>
      <c r="BG5" s="73">
        <v>0</v>
      </c>
      <c r="BH5" s="73">
        <v>0</v>
      </c>
      <c r="BI5" s="73">
        <v>0</v>
      </c>
      <c r="BJ5" s="73">
        <v>0</v>
      </c>
      <c r="BK5" s="73">
        <v>0</v>
      </c>
      <c r="BL5" s="73">
        <v>0</v>
      </c>
      <c r="BM5" s="73">
        <v>0</v>
      </c>
      <c r="BN5" s="185" t="s">
        <v>3794</v>
      </c>
      <c r="BO5" s="185" t="s">
        <v>3794</v>
      </c>
      <c r="BP5" s="185" t="s">
        <v>3794</v>
      </c>
      <c r="BQ5" s="73">
        <v>0</v>
      </c>
      <c r="BR5" s="73">
        <v>0</v>
      </c>
      <c r="BS5" s="73">
        <v>0</v>
      </c>
      <c r="BT5" s="73">
        <v>0</v>
      </c>
      <c r="BU5" s="73">
        <v>0</v>
      </c>
      <c r="BV5" s="73">
        <v>0</v>
      </c>
      <c r="BW5" s="73">
        <v>0</v>
      </c>
      <c r="BX5" s="73">
        <v>0</v>
      </c>
      <c r="BY5" s="73">
        <v>0</v>
      </c>
      <c r="BZ5" s="73">
        <v>0</v>
      </c>
      <c r="CA5" s="73">
        <v>0</v>
      </c>
      <c r="CB5" s="73">
        <v>0</v>
      </c>
      <c r="CD5" s="73">
        <v>0</v>
      </c>
      <c r="CE5" s="73">
        <v>0</v>
      </c>
      <c r="CF5" s="73">
        <v>0</v>
      </c>
      <c r="CG5" s="73">
        <v>0</v>
      </c>
      <c r="CH5" t="s">
        <v>25</v>
      </c>
      <c r="CI5" t="s">
        <v>25</v>
      </c>
      <c r="CJ5" t="s">
        <v>25</v>
      </c>
      <c r="CK5" t="s">
        <v>25</v>
      </c>
      <c r="CL5" t="s">
        <v>25</v>
      </c>
      <c r="CM5" t="s">
        <v>25</v>
      </c>
      <c r="CN5" t="s">
        <v>25</v>
      </c>
      <c r="CO5" t="s">
        <v>25</v>
      </c>
      <c r="CP5" t="s">
        <v>25</v>
      </c>
      <c r="CQ5" t="s">
        <v>25</v>
      </c>
      <c r="CR5" t="s">
        <v>25</v>
      </c>
      <c r="CS5" t="s">
        <v>25</v>
      </c>
      <c r="CT5" t="s">
        <v>25</v>
      </c>
      <c r="CU5" t="s">
        <v>25</v>
      </c>
      <c r="CV5" t="s">
        <v>25</v>
      </c>
      <c r="CW5" t="s">
        <v>25</v>
      </c>
      <c r="CX5" t="s">
        <v>25</v>
      </c>
      <c r="CY5" t="s">
        <v>25</v>
      </c>
      <c r="CZ5" t="s">
        <v>25</v>
      </c>
      <c r="DA5" t="s">
        <v>25</v>
      </c>
      <c r="DB5" t="s">
        <v>25</v>
      </c>
      <c r="DC5" t="s">
        <v>25</v>
      </c>
      <c r="DD5" t="s">
        <v>25</v>
      </c>
      <c r="DE5" t="s">
        <v>25</v>
      </c>
      <c r="DF5" t="s">
        <v>25</v>
      </c>
      <c r="DG5" t="s">
        <v>25</v>
      </c>
      <c r="DI5" s="73">
        <v>800</v>
      </c>
      <c r="DJ5" s="73">
        <v>0</v>
      </c>
      <c r="DK5" s="73">
        <v>800</v>
      </c>
      <c r="DL5" s="65" t="s">
        <v>126</v>
      </c>
      <c r="DS5" s="65" t="s">
        <v>126</v>
      </c>
      <c r="DX5" s="73">
        <v>0</v>
      </c>
      <c r="DY5" s="73">
        <v>0</v>
      </c>
      <c r="DZ5" s="73">
        <v>0</v>
      </c>
      <c r="EB5" s="65" t="s">
        <v>126</v>
      </c>
    </row>
    <row r="6" spans="1:132" x14ac:dyDescent="0.2">
      <c r="A6" t="s">
        <v>2938</v>
      </c>
      <c r="B6" t="s">
        <v>2946</v>
      </c>
      <c r="C6" t="s">
        <v>3798</v>
      </c>
      <c r="D6" s="65">
        <v>2502</v>
      </c>
      <c r="E6" t="s">
        <v>1546</v>
      </c>
      <c r="F6" s="71" t="s">
        <v>3953</v>
      </c>
      <c r="G6" s="67">
        <v>33.259998321533203</v>
      </c>
      <c r="H6" s="65">
        <v>527221</v>
      </c>
      <c r="I6" s="65">
        <v>172443</v>
      </c>
      <c r="J6" s="65" t="s">
        <v>1547</v>
      </c>
      <c r="K6" s="65" t="s">
        <v>1548</v>
      </c>
      <c r="L6" s="65" t="s">
        <v>172</v>
      </c>
      <c r="M6" s="69">
        <v>43166</v>
      </c>
      <c r="Q6" s="65" t="s">
        <v>28</v>
      </c>
      <c r="T6" t="s">
        <v>1549</v>
      </c>
      <c r="U6" s="65" t="s">
        <v>29</v>
      </c>
      <c r="V6" s="65" t="s">
        <v>29</v>
      </c>
      <c r="W6" s="65" t="s">
        <v>69</v>
      </c>
      <c r="AB6" s="65" t="s">
        <v>173</v>
      </c>
      <c r="AC6" s="65" t="s">
        <v>24</v>
      </c>
      <c r="AH6" s="73">
        <v>0</v>
      </c>
      <c r="AI6" s="73">
        <v>0</v>
      </c>
      <c r="AJ6" s="73">
        <v>0</v>
      </c>
      <c r="AK6" s="73">
        <v>0</v>
      </c>
      <c r="AL6" s="73">
        <v>0</v>
      </c>
      <c r="AM6" s="73">
        <v>0</v>
      </c>
      <c r="AN6" s="73">
        <v>0</v>
      </c>
      <c r="AO6" s="73">
        <v>0</v>
      </c>
      <c r="AP6" s="73">
        <v>0</v>
      </c>
      <c r="AQ6" s="73">
        <v>0</v>
      </c>
      <c r="AR6" s="73">
        <v>0</v>
      </c>
      <c r="AS6" s="73">
        <v>0</v>
      </c>
      <c r="AT6" s="73">
        <v>0</v>
      </c>
      <c r="AU6" s="73">
        <v>1246</v>
      </c>
      <c r="AV6" s="73">
        <v>0</v>
      </c>
      <c r="AW6" s="73">
        <v>1246</v>
      </c>
      <c r="AX6" s="73">
        <v>0</v>
      </c>
      <c r="AY6" s="73">
        <v>0</v>
      </c>
      <c r="AZ6" s="73">
        <v>0</v>
      </c>
      <c r="BA6" s="73">
        <v>0</v>
      </c>
      <c r="BB6" s="73">
        <v>0</v>
      </c>
      <c r="BC6" s="73">
        <v>0</v>
      </c>
      <c r="BD6" s="73">
        <v>0</v>
      </c>
      <c r="BE6" s="73">
        <v>0</v>
      </c>
      <c r="BF6" s="73">
        <v>0</v>
      </c>
      <c r="BG6" s="73">
        <v>0</v>
      </c>
      <c r="BH6" s="73">
        <v>0</v>
      </c>
      <c r="BI6" s="73">
        <v>0</v>
      </c>
      <c r="BJ6" s="73">
        <v>0</v>
      </c>
      <c r="BK6" s="73">
        <v>0</v>
      </c>
      <c r="BL6" s="73">
        <v>0</v>
      </c>
      <c r="BM6" s="73">
        <v>0</v>
      </c>
      <c r="BN6" s="185" t="s">
        <v>3794</v>
      </c>
      <c r="BO6" s="185" t="s">
        <v>3794</v>
      </c>
      <c r="BP6" s="185" t="s">
        <v>126</v>
      </c>
      <c r="BQ6" s="73">
        <v>0</v>
      </c>
      <c r="BR6" s="73">
        <v>0</v>
      </c>
      <c r="BS6" s="73">
        <v>0</v>
      </c>
      <c r="BT6" s="73">
        <v>0</v>
      </c>
      <c r="BU6" s="73">
        <v>0</v>
      </c>
      <c r="BV6" s="73">
        <v>0</v>
      </c>
      <c r="BW6" s="73">
        <v>0</v>
      </c>
      <c r="BX6" s="73">
        <v>0</v>
      </c>
      <c r="BY6" s="73">
        <v>0</v>
      </c>
      <c r="BZ6" s="73">
        <v>0</v>
      </c>
      <c r="CA6" s="73">
        <v>0</v>
      </c>
      <c r="CB6" s="73">
        <v>0</v>
      </c>
      <c r="CD6" s="73">
        <v>0</v>
      </c>
      <c r="CE6" s="73">
        <v>1246</v>
      </c>
      <c r="CF6" s="73">
        <v>0</v>
      </c>
      <c r="CG6" s="73">
        <v>1246</v>
      </c>
      <c r="CH6" t="s">
        <v>25</v>
      </c>
      <c r="CI6" t="s">
        <v>25</v>
      </c>
      <c r="CJ6" t="s">
        <v>25</v>
      </c>
      <c r="CK6" t="s">
        <v>25</v>
      </c>
      <c r="CL6" t="s">
        <v>25</v>
      </c>
      <c r="CM6" t="s">
        <v>25</v>
      </c>
      <c r="CN6" t="s">
        <v>25</v>
      </c>
      <c r="CO6" t="s">
        <v>25</v>
      </c>
      <c r="CP6" t="s">
        <v>25</v>
      </c>
      <c r="CQ6" t="s">
        <v>25</v>
      </c>
      <c r="CR6" t="s">
        <v>25</v>
      </c>
      <c r="CS6" t="s">
        <v>49</v>
      </c>
      <c r="CT6" t="s">
        <v>25</v>
      </c>
      <c r="CU6" t="s">
        <v>25</v>
      </c>
      <c r="CV6" t="s">
        <v>25</v>
      </c>
      <c r="CW6" t="s">
        <v>25</v>
      </c>
      <c r="CX6" t="s">
        <v>25</v>
      </c>
      <c r="CY6" t="s">
        <v>25</v>
      </c>
      <c r="CZ6" t="s">
        <v>25</v>
      </c>
      <c r="DA6" t="s">
        <v>25</v>
      </c>
      <c r="DB6" t="s">
        <v>25</v>
      </c>
      <c r="DC6" t="s">
        <v>25</v>
      </c>
      <c r="DD6" t="s">
        <v>25</v>
      </c>
      <c r="DE6" t="s">
        <v>25</v>
      </c>
      <c r="DF6" t="s">
        <v>25</v>
      </c>
      <c r="DG6" t="s">
        <v>25</v>
      </c>
      <c r="DI6" s="73">
        <v>1246</v>
      </c>
      <c r="DJ6" s="73">
        <v>0</v>
      </c>
      <c r="DK6" s="73">
        <v>1246</v>
      </c>
      <c r="DS6"/>
      <c r="DX6" s="73">
        <v>0</v>
      </c>
      <c r="DY6" s="73">
        <v>0</v>
      </c>
      <c r="DZ6" s="73">
        <v>0</v>
      </c>
      <c r="EB6" s="65" t="s">
        <v>126</v>
      </c>
    </row>
    <row r="7" spans="1:132" x14ac:dyDescent="0.2">
      <c r="A7" t="s">
        <v>2938</v>
      </c>
      <c r="B7" t="s">
        <v>2946</v>
      </c>
      <c r="C7" t="s">
        <v>3798</v>
      </c>
      <c r="D7" s="65">
        <v>2502</v>
      </c>
      <c r="E7" t="s">
        <v>1546</v>
      </c>
      <c r="F7" s="71" t="s">
        <v>3953</v>
      </c>
      <c r="G7" s="67">
        <v>33.259998321533203</v>
      </c>
      <c r="H7" s="65">
        <v>527221</v>
      </c>
      <c r="I7" s="65">
        <v>172443</v>
      </c>
      <c r="J7" s="65" t="s">
        <v>1547</v>
      </c>
      <c r="K7" s="65" t="s">
        <v>1550</v>
      </c>
      <c r="L7" s="65" t="s">
        <v>172</v>
      </c>
      <c r="M7" s="69">
        <v>43158</v>
      </c>
      <c r="Q7" s="65" t="s">
        <v>28</v>
      </c>
      <c r="T7" t="s">
        <v>1551</v>
      </c>
      <c r="U7" s="65" t="s">
        <v>29</v>
      </c>
      <c r="V7" s="65" t="s">
        <v>29</v>
      </c>
      <c r="W7" s="65" t="s">
        <v>69</v>
      </c>
      <c r="AB7" s="65" t="s">
        <v>173</v>
      </c>
      <c r="AC7" s="65" t="s">
        <v>24</v>
      </c>
      <c r="AH7" s="73">
        <v>0</v>
      </c>
      <c r="AI7" s="73">
        <v>0</v>
      </c>
      <c r="AJ7" s="73">
        <v>0</v>
      </c>
      <c r="AK7" s="73">
        <v>0</v>
      </c>
      <c r="AL7" s="73">
        <v>0</v>
      </c>
      <c r="AM7" s="73">
        <v>0</v>
      </c>
      <c r="AN7" s="73">
        <v>0</v>
      </c>
      <c r="AO7" s="73">
        <v>0</v>
      </c>
      <c r="AP7" s="73">
        <v>0</v>
      </c>
      <c r="AQ7" s="73">
        <v>0</v>
      </c>
      <c r="AR7" s="73">
        <v>0</v>
      </c>
      <c r="AS7" s="73">
        <v>0</v>
      </c>
      <c r="AT7" s="73">
        <v>0</v>
      </c>
      <c r="AU7" s="73">
        <v>0</v>
      </c>
      <c r="AV7" s="73">
        <v>0</v>
      </c>
      <c r="AW7" s="73">
        <v>0</v>
      </c>
      <c r="AX7" s="73">
        <v>0</v>
      </c>
      <c r="AY7" s="73">
        <v>0</v>
      </c>
      <c r="AZ7" s="73">
        <v>0</v>
      </c>
      <c r="BA7" s="73">
        <v>0</v>
      </c>
      <c r="BB7" s="73">
        <v>0</v>
      </c>
      <c r="BC7" s="73">
        <v>0</v>
      </c>
      <c r="BD7" s="73">
        <v>0</v>
      </c>
      <c r="BE7" s="73">
        <v>0</v>
      </c>
      <c r="BF7" s="73">
        <v>0</v>
      </c>
      <c r="BG7" s="73">
        <v>0</v>
      </c>
      <c r="BH7" s="73">
        <v>0</v>
      </c>
      <c r="BI7" s="73">
        <v>0</v>
      </c>
      <c r="BJ7" s="73">
        <v>0</v>
      </c>
      <c r="BK7" s="73">
        <v>0</v>
      </c>
      <c r="BL7" s="73">
        <v>0</v>
      </c>
      <c r="BM7" s="73">
        <v>0</v>
      </c>
      <c r="BN7" s="185" t="s">
        <v>3794</v>
      </c>
      <c r="BO7" s="185" t="s">
        <v>3794</v>
      </c>
      <c r="BP7" s="185" t="s">
        <v>3794</v>
      </c>
      <c r="BQ7" s="73">
        <v>0</v>
      </c>
      <c r="BR7" s="73">
        <v>0</v>
      </c>
      <c r="BS7" s="73">
        <v>0</v>
      </c>
      <c r="BT7" s="73">
        <v>0</v>
      </c>
      <c r="BU7" s="73">
        <v>0</v>
      </c>
      <c r="BV7" s="73">
        <v>0</v>
      </c>
      <c r="BW7" s="73">
        <v>0</v>
      </c>
      <c r="BX7" s="73">
        <v>0</v>
      </c>
      <c r="BY7" s="73">
        <v>0</v>
      </c>
      <c r="BZ7" s="73">
        <v>0</v>
      </c>
      <c r="CA7" s="73">
        <v>0</v>
      </c>
      <c r="CB7" s="73">
        <v>0</v>
      </c>
      <c r="CD7" s="73">
        <v>0</v>
      </c>
      <c r="CE7" s="73">
        <v>0</v>
      </c>
      <c r="CF7" s="73">
        <v>0</v>
      </c>
      <c r="CG7" s="73">
        <v>0</v>
      </c>
      <c r="CH7" t="s">
        <v>25</v>
      </c>
      <c r="CI7" t="s">
        <v>25</v>
      </c>
      <c r="CJ7" t="s">
        <v>25</v>
      </c>
      <c r="CK7" t="s">
        <v>25</v>
      </c>
      <c r="CL7" t="s">
        <v>25</v>
      </c>
      <c r="CM7" t="s">
        <v>25</v>
      </c>
      <c r="CN7" t="s">
        <v>25</v>
      </c>
      <c r="CO7" t="s">
        <v>25</v>
      </c>
      <c r="CP7" t="s">
        <v>25</v>
      </c>
      <c r="CQ7" t="s">
        <v>25</v>
      </c>
      <c r="CR7" t="s">
        <v>25</v>
      </c>
      <c r="CS7" t="s">
        <v>25</v>
      </c>
      <c r="CT7" t="s">
        <v>25</v>
      </c>
      <c r="CU7" t="s">
        <v>25</v>
      </c>
      <c r="CV7" t="s">
        <v>25</v>
      </c>
      <c r="CW7" t="s">
        <v>25</v>
      </c>
      <c r="CX7" t="s">
        <v>25</v>
      </c>
      <c r="CY7" t="s">
        <v>25</v>
      </c>
      <c r="CZ7" t="s">
        <v>25</v>
      </c>
      <c r="DA7" t="s">
        <v>25</v>
      </c>
      <c r="DB7" t="s">
        <v>25</v>
      </c>
      <c r="DC7" t="s">
        <v>25</v>
      </c>
      <c r="DD7" t="s">
        <v>25</v>
      </c>
      <c r="DE7" t="s">
        <v>25</v>
      </c>
      <c r="DF7" t="s">
        <v>25</v>
      </c>
      <c r="DG7" t="s">
        <v>25</v>
      </c>
      <c r="DI7" s="73">
        <v>6605</v>
      </c>
      <c r="DJ7" s="73">
        <v>0</v>
      </c>
      <c r="DK7" s="73">
        <v>6605</v>
      </c>
      <c r="DS7"/>
      <c r="DX7" s="73">
        <v>0</v>
      </c>
      <c r="DY7" s="73">
        <v>0</v>
      </c>
      <c r="DZ7" s="73">
        <v>0</v>
      </c>
      <c r="EB7" s="65" t="s">
        <v>126</v>
      </c>
    </row>
    <row r="8" spans="1:132" x14ac:dyDescent="0.2">
      <c r="A8" t="s">
        <v>2935</v>
      </c>
      <c r="B8" t="s">
        <v>2946</v>
      </c>
      <c r="C8" t="s">
        <v>3798</v>
      </c>
      <c r="D8" s="65">
        <v>2676</v>
      </c>
      <c r="E8" t="s">
        <v>1566</v>
      </c>
      <c r="F8" s="71" t="s">
        <v>3940</v>
      </c>
      <c r="G8" s="67">
        <v>2.4260001182556201</v>
      </c>
      <c r="H8" s="65">
        <v>521433</v>
      </c>
      <c r="I8" s="65">
        <v>174272</v>
      </c>
      <c r="K8" s="65" t="s">
        <v>1567</v>
      </c>
      <c r="L8" s="65" t="s">
        <v>27</v>
      </c>
      <c r="M8" s="69">
        <v>42787</v>
      </c>
      <c r="N8" s="69">
        <v>42843</v>
      </c>
      <c r="Q8" s="65" t="s">
        <v>28</v>
      </c>
      <c r="T8" t="s">
        <v>1568</v>
      </c>
      <c r="U8" s="65" t="s">
        <v>29</v>
      </c>
      <c r="V8" s="65" t="s">
        <v>29</v>
      </c>
      <c r="W8" s="65" t="s">
        <v>30</v>
      </c>
      <c r="Y8" s="69">
        <v>43190</v>
      </c>
      <c r="AB8" s="65" t="s">
        <v>23</v>
      </c>
      <c r="AC8" s="65" t="s">
        <v>24</v>
      </c>
      <c r="AH8" s="73">
        <v>0</v>
      </c>
      <c r="AI8" s="73">
        <v>0</v>
      </c>
      <c r="AJ8" s="73">
        <v>0</v>
      </c>
      <c r="AK8" s="73">
        <v>0</v>
      </c>
      <c r="AL8" s="73">
        <v>0</v>
      </c>
      <c r="AM8" s="73">
        <v>0</v>
      </c>
      <c r="AN8" s="73">
        <v>0</v>
      </c>
      <c r="AO8" s="73">
        <v>0</v>
      </c>
      <c r="AP8" s="73">
        <v>0</v>
      </c>
      <c r="AQ8" s="73">
        <v>0</v>
      </c>
      <c r="AR8" s="73">
        <v>0</v>
      </c>
      <c r="AS8" s="73">
        <v>0</v>
      </c>
      <c r="AT8" s="73">
        <v>0</v>
      </c>
      <c r="AU8" s="73">
        <v>2143</v>
      </c>
      <c r="AV8" s="73">
        <v>0</v>
      </c>
      <c r="AW8" s="73">
        <v>2143</v>
      </c>
      <c r="AX8" s="73">
        <v>0</v>
      </c>
      <c r="AY8" s="73">
        <v>0</v>
      </c>
      <c r="AZ8" s="73">
        <v>0</v>
      </c>
      <c r="BA8" s="73">
        <v>0</v>
      </c>
      <c r="BB8" s="73">
        <v>0</v>
      </c>
      <c r="BC8" s="73">
        <v>0</v>
      </c>
      <c r="BD8" s="73">
        <v>0</v>
      </c>
      <c r="BE8" s="73">
        <v>0</v>
      </c>
      <c r="BF8" s="73">
        <v>0</v>
      </c>
      <c r="BG8" s="73">
        <v>0</v>
      </c>
      <c r="BH8" s="73">
        <v>0</v>
      </c>
      <c r="BI8" s="73">
        <v>0</v>
      </c>
      <c r="BJ8" s="73">
        <v>0</v>
      </c>
      <c r="BK8" s="73">
        <v>630</v>
      </c>
      <c r="BL8" s="73">
        <v>0</v>
      </c>
      <c r="BM8" s="73">
        <v>630</v>
      </c>
      <c r="BN8" s="185" t="s">
        <v>3794</v>
      </c>
      <c r="BO8" s="185" t="s">
        <v>3794</v>
      </c>
      <c r="BP8" s="185" t="s">
        <v>126</v>
      </c>
      <c r="BQ8" s="73">
        <v>0</v>
      </c>
      <c r="BR8" s="73">
        <v>0</v>
      </c>
      <c r="BS8" s="73">
        <v>0</v>
      </c>
      <c r="BT8" s="73">
        <v>0</v>
      </c>
      <c r="BU8" s="73">
        <v>0</v>
      </c>
      <c r="BV8" s="73">
        <v>0</v>
      </c>
      <c r="BW8" s="73">
        <v>0</v>
      </c>
      <c r="BX8" s="73">
        <v>0</v>
      </c>
      <c r="BY8" s="73">
        <v>0</v>
      </c>
      <c r="BZ8" s="73">
        <v>0</v>
      </c>
      <c r="CA8" s="73">
        <v>0</v>
      </c>
      <c r="CB8" s="73">
        <v>0</v>
      </c>
      <c r="CD8" s="73">
        <v>0</v>
      </c>
      <c r="CE8" s="73">
        <v>1513</v>
      </c>
      <c r="CF8" s="73">
        <v>0</v>
      </c>
      <c r="CG8" s="73">
        <v>1513</v>
      </c>
      <c r="CH8" t="s">
        <v>25</v>
      </c>
      <c r="CI8" t="s">
        <v>25</v>
      </c>
      <c r="CJ8" t="s">
        <v>25</v>
      </c>
      <c r="CK8" t="s">
        <v>25</v>
      </c>
      <c r="CL8" t="s">
        <v>25</v>
      </c>
      <c r="CM8" t="s">
        <v>25</v>
      </c>
      <c r="CN8" t="s">
        <v>25</v>
      </c>
      <c r="CO8" t="s">
        <v>25</v>
      </c>
      <c r="CP8" t="s">
        <v>25</v>
      </c>
      <c r="CQ8" t="s">
        <v>25</v>
      </c>
      <c r="CR8" t="s">
        <v>25</v>
      </c>
      <c r="CS8" t="s">
        <v>49</v>
      </c>
      <c r="CT8" t="s">
        <v>25</v>
      </c>
      <c r="CU8" t="s">
        <v>25</v>
      </c>
      <c r="CV8" t="s">
        <v>25</v>
      </c>
      <c r="CW8" t="s">
        <v>25</v>
      </c>
      <c r="CX8" t="s">
        <v>25</v>
      </c>
      <c r="CY8" t="s">
        <v>25</v>
      </c>
      <c r="CZ8" t="s">
        <v>25</v>
      </c>
      <c r="DA8" t="s">
        <v>25</v>
      </c>
      <c r="DB8" t="s">
        <v>25</v>
      </c>
      <c r="DC8" t="s">
        <v>25</v>
      </c>
      <c r="DD8" t="s">
        <v>25</v>
      </c>
      <c r="DE8" t="s">
        <v>25</v>
      </c>
      <c r="DF8" t="s">
        <v>49</v>
      </c>
      <c r="DG8" t="s">
        <v>25</v>
      </c>
      <c r="DI8" s="73">
        <v>2143</v>
      </c>
      <c r="DJ8" s="73">
        <v>630</v>
      </c>
      <c r="DK8" s="73">
        <v>1513</v>
      </c>
      <c r="DS8"/>
      <c r="DX8" s="73">
        <v>0</v>
      </c>
      <c r="DY8" s="73">
        <v>0</v>
      </c>
      <c r="DZ8" s="73">
        <v>0</v>
      </c>
      <c r="EB8" s="65" t="s">
        <v>126</v>
      </c>
    </row>
    <row r="9" spans="1:132" x14ac:dyDescent="0.2">
      <c r="A9" t="s">
        <v>2937</v>
      </c>
      <c r="B9" t="s">
        <v>2946</v>
      </c>
      <c r="C9" t="s">
        <v>3798</v>
      </c>
      <c r="D9" s="65">
        <v>2859</v>
      </c>
      <c r="E9" t="s">
        <v>1599</v>
      </c>
      <c r="F9" s="71" t="s">
        <v>3949</v>
      </c>
      <c r="G9" s="67">
        <v>1.9800000190734901</v>
      </c>
      <c r="H9" s="65">
        <v>523900</v>
      </c>
      <c r="I9" s="65">
        <v>174602</v>
      </c>
      <c r="K9" s="65" t="s">
        <v>1600</v>
      </c>
      <c r="L9" s="65" t="s">
        <v>27</v>
      </c>
      <c r="M9" s="69">
        <v>42965</v>
      </c>
      <c r="N9" s="69">
        <v>43066</v>
      </c>
      <c r="Q9" s="65" t="s">
        <v>28</v>
      </c>
      <c r="T9" t="s">
        <v>1601</v>
      </c>
      <c r="U9" s="65" t="s">
        <v>29</v>
      </c>
      <c r="V9" s="65" t="s">
        <v>29</v>
      </c>
      <c r="W9" s="65" t="s">
        <v>69</v>
      </c>
      <c r="AB9" s="65" t="s">
        <v>23</v>
      </c>
      <c r="AC9" s="65" t="s">
        <v>24</v>
      </c>
      <c r="AH9" s="73">
        <v>0</v>
      </c>
      <c r="AI9" s="73">
        <v>0</v>
      </c>
      <c r="AJ9" s="73">
        <v>0</v>
      </c>
      <c r="AK9" s="73">
        <v>0</v>
      </c>
      <c r="AL9" s="73">
        <v>0</v>
      </c>
      <c r="AM9" s="73">
        <v>0</v>
      </c>
      <c r="AN9" s="73">
        <v>0</v>
      </c>
      <c r="AO9" s="73">
        <v>0</v>
      </c>
      <c r="AP9" s="73">
        <v>0</v>
      </c>
      <c r="AQ9" s="73">
        <v>0</v>
      </c>
      <c r="AR9" s="73">
        <v>0</v>
      </c>
      <c r="AS9" s="73">
        <v>0</v>
      </c>
      <c r="AT9" s="73">
        <v>0</v>
      </c>
      <c r="AU9" s="73">
        <v>1350</v>
      </c>
      <c r="AV9" s="73">
        <v>0</v>
      </c>
      <c r="AW9" s="73">
        <v>1350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185" t="s">
        <v>3794</v>
      </c>
      <c r="BO9" s="185" t="s">
        <v>3794</v>
      </c>
      <c r="BP9" s="185" t="s">
        <v>126</v>
      </c>
      <c r="BQ9" s="73">
        <v>0</v>
      </c>
      <c r="BR9" s="73">
        <v>0</v>
      </c>
      <c r="BS9" s="73">
        <v>0</v>
      </c>
      <c r="BT9" s="73">
        <v>0</v>
      </c>
      <c r="BU9" s="73">
        <v>0</v>
      </c>
      <c r="BV9" s="73">
        <v>0</v>
      </c>
      <c r="BW9" s="73">
        <v>0</v>
      </c>
      <c r="BX9" s="73">
        <v>0</v>
      </c>
      <c r="BY9" s="73">
        <v>0</v>
      </c>
      <c r="BZ9" s="73">
        <v>0</v>
      </c>
      <c r="CA9" s="73">
        <v>0</v>
      </c>
      <c r="CB9" s="73">
        <v>0</v>
      </c>
      <c r="CD9" s="73">
        <v>0</v>
      </c>
      <c r="CE9" s="73">
        <v>1350</v>
      </c>
      <c r="CF9" s="73">
        <v>0</v>
      </c>
      <c r="CG9" s="73">
        <v>1350</v>
      </c>
      <c r="CH9" t="s">
        <v>25</v>
      </c>
      <c r="CI9" t="s">
        <v>25</v>
      </c>
      <c r="CJ9" t="s">
        <v>25</v>
      </c>
      <c r="CK9" t="s">
        <v>25</v>
      </c>
      <c r="CL9" t="s">
        <v>25</v>
      </c>
      <c r="CM9" t="s">
        <v>25</v>
      </c>
      <c r="CN9" t="s">
        <v>25</v>
      </c>
      <c r="CO9" t="s">
        <v>25</v>
      </c>
      <c r="CP9" t="s">
        <v>25</v>
      </c>
      <c r="CQ9" t="s">
        <v>25</v>
      </c>
      <c r="CR9" t="s">
        <v>25</v>
      </c>
      <c r="CS9" t="s">
        <v>60</v>
      </c>
      <c r="CT9" t="s">
        <v>25</v>
      </c>
      <c r="CU9" t="s">
        <v>25</v>
      </c>
      <c r="CV9" t="s">
        <v>25</v>
      </c>
      <c r="CW9" t="s">
        <v>25</v>
      </c>
      <c r="CX9" t="s">
        <v>25</v>
      </c>
      <c r="CY9" t="s">
        <v>25</v>
      </c>
      <c r="CZ9" t="s">
        <v>25</v>
      </c>
      <c r="DA9" t="s">
        <v>25</v>
      </c>
      <c r="DB9" t="s">
        <v>25</v>
      </c>
      <c r="DC9" t="s">
        <v>25</v>
      </c>
      <c r="DD9" t="s">
        <v>25</v>
      </c>
      <c r="DE9" t="s">
        <v>25</v>
      </c>
      <c r="DF9" t="s">
        <v>25</v>
      </c>
      <c r="DG9" t="s">
        <v>25</v>
      </c>
      <c r="DI9" s="73">
        <v>1350</v>
      </c>
      <c r="DJ9" s="73">
        <v>0</v>
      </c>
      <c r="DK9" s="73">
        <v>1350</v>
      </c>
      <c r="DS9"/>
      <c r="DX9" s="73">
        <v>0</v>
      </c>
      <c r="DY9" s="73">
        <v>0</v>
      </c>
      <c r="DZ9" s="73">
        <v>0</v>
      </c>
      <c r="EB9" s="65" t="s">
        <v>126</v>
      </c>
    </row>
    <row r="10" spans="1:132" x14ac:dyDescent="0.2">
      <c r="A10" t="s">
        <v>2937</v>
      </c>
      <c r="B10" t="s">
        <v>2946</v>
      </c>
      <c r="C10" t="s">
        <v>3798</v>
      </c>
      <c r="D10" s="65">
        <v>3004</v>
      </c>
      <c r="E10" t="s">
        <v>1624</v>
      </c>
      <c r="F10" s="71" t="s">
        <v>150</v>
      </c>
      <c r="G10" s="67">
        <v>1.09999999403954E-2</v>
      </c>
      <c r="H10" s="65">
        <v>527748</v>
      </c>
      <c r="I10" s="65">
        <v>172086</v>
      </c>
      <c r="K10" s="65" t="s">
        <v>1625</v>
      </c>
      <c r="L10" s="65" t="s">
        <v>27</v>
      </c>
      <c r="M10" s="69">
        <v>42850</v>
      </c>
      <c r="N10" s="69">
        <v>42947</v>
      </c>
      <c r="Q10" s="65" t="s">
        <v>28</v>
      </c>
      <c r="T10" t="s">
        <v>1626</v>
      </c>
      <c r="U10" s="65" t="s">
        <v>21</v>
      </c>
      <c r="V10" s="65" t="s">
        <v>21</v>
      </c>
      <c r="W10" s="65" t="s">
        <v>69</v>
      </c>
      <c r="AB10" s="65" t="s">
        <v>23</v>
      </c>
      <c r="AC10" s="65" t="s">
        <v>24</v>
      </c>
      <c r="AH10" s="73">
        <v>0</v>
      </c>
      <c r="AI10" s="73">
        <v>0</v>
      </c>
      <c r="AJ10" s="73">
        <v>0</v>
      </c>
      <c r="AK10" s="73">
        <v>0</v>
      </c>
      <c r="AL10" s="73">
        <v>0</v>
      </c>
      <c r="AM10" s="73">
        <v>0</v>
      </c>
      <c r="AN10" s="73">
        <v>0</v>
      </c>
      <c r="AO10" s="73">
        <v>0</v>
      </c>
      <c r="AP10" s="73">
        <v>0</v>
      </c>
      <c r="AQ10" s="73">
        <v>0</v>
      </c>
      <c r="AR10" s="73">
        <v>0</v>
      </c>
      <c r="AS10" s="73">
        <v>0</v>
      </c>
      <c r="AT10" s="73">
        <v>0</v>
      </c>
      <c r="AU10" s="73">
        <v>0</v>
      </c>
      <c r="AV10" s="73">
        <v>0</v>
      </c>
      <c r="AW10" s="73">
        <v>0</v>
      </c>
      <c r="AX10" s="73">
        <v>0</v>
      </c>
      <c r="AY10" s="73">
        <v>0</v>
      </c>
      <c r="AZ10" s="73">
        <v>9</v>
      </c>
      <c r="BA10" s="73">
        <v>0</v>
      </c>
      <c r="BB10" s="73">
        <v>0</v>
      </c>
      <c r="BC10" s="73">
        <v>9</v>
      </c>
      <c r="BD10" s="73">
        <v>0</v>
      </c>
      <c r="BE10" s="73">
        <v>0</v>
      </c>
      <c r="BF10" s="73">
        <v>0</v>
      </c>
      <c r="BG10" s="73">
        <v>0</v>
      </c>
      <c r="BH10" s="73">
        <v>0</v>
      </c>
      <c r="BI10" s="73">
        <v>0</v>
      </c>
      <c r="BJ10" s="73">
        <v>0</v>
      </c>
      <c r="BK10" s="73">
        <v>0</v>
      </c>
      <c r="BL10" s="73">
        <v>0</v>
      </c>
      <c r="BM10" s="73">
        <v>0</v>
      </c>
      <c r="BN10" s="185" t="s">
        <v>126</v>
      </c>
      <c r="BO10" s="185" t="s">
        <v>3794</v>
      </c>
      <c r="BP10" s="185" t="s">
        <v>3794</v>
      </c>
      <c r="BQ10" s="73">
        <v>0</v>
      </c>
      <c r="BR10" s="73">
        <v>0</v>
      </c>
      <c r="BS10" s="73">
        <v>-9</v>
      </c>
      <c r="BT10" s="73">
        <v>0</v>
      </c>
      <c r="BU10" s="73">
        <v>0</v>
      </c>
      <c r="BV10" s="73">
        <v>-9</v>
      </c>
      <c r="BW10" s="73">
        <v>0</v>
      </c>
      <c r="BX10" s="73">
        <v>0</v>
      </c>
      <c r="BY10" s="73">
        <v>0</v>
      </c>
      <c r="BZ10" s="73">
        <v>0</v>
      </c>
      <c r="CA10" s="73">
        <v>0</v>
      </c>
      <c r="CB10" s="73">
        <v>0</v>
      </c>
      <c r="CD10" s="73">
        <v>0</v>
      </c>
      <c r="CE10" s="73">
        <v>0</v>
      </c>
      <c r="CF10" s="73">
        <v>0</v>
      </c>
      <c r="CG10" s="73">
        <v>0</v>
      </c>
      <c r="CH10" t="s">
        <v>25</v>
      </c>
      <c r="CI10" t="s">
        <v>25</v>
      </c>
      <c r="CJ10" t="s">
        <v>25</v>
      </c>
      <c r="CK10" t="s">
        <v>25</v>
      </c>
      <c r="CL10" t="s">
        <v>25</v>
      </c>
      <c r="CM10" t="s">
        <v>25</v>
      </c>
      <c r="CN10" t="s">
        <v>25</v>
      </c>
      <c r="CO10" t="s">
        <v>25</v>
      </c>
      <c r="CP10" t="s">
        <v>25</v>
      </c>
      <c r="CQ10" t="s">
        <v>25</v>
      </c>
      <c r="CR10" t="s">
        <v>25</v>
      </c>
      <c r="CS10" t="s">
        <v>25</v>
      </c>
      <c r="CT10" t="s">
        <v>25</v>
      </c>
      <c r="CU10" t="s">
        <v>25</v>
      </c>
      <c r="CV10" t="s">
        <v>25</v>
      </c>
      <c r="CW10" t="s">
        <v>47</v>
      </c>
      <c r="CX10" t="s">
        <v>25</v>
      </c>
      <c r="CY10" t="s">
        <v>25</v>
      </c>
      <c r="CZ10" t="s">
        <v>25</v>
      </c>
      <c r="DA10" t="s">
        <v>25</v>
      </c>
      <c r="DB10" t="s">
        <v>25</v>
      </c>
      <c r="DC10" t="s">
        <v>25</v>
      </c>
      <c r="DD10" t="s">
        <v>25</v>
      </c>
      <c r="DE10" t="s">
        <v>25</v>
      </c>
      <c r="DF10" t="s">
        <v>25</v>
      </c>
      <c r="DG10" t="s">
        <v>25</v>
      </c>
      <c r="DI10" s="73">
        <v>9</v>
      </c>
      <c r="DJ10" s="73">
        <v>9</v>
      </c>
      <c r="DK10" s="73">
        <v>0</v>
      </c>
      <c r="DS10"/>
      <c r="DX10" s="73">
        <v>0</v>
      </c>
      <c r="DY10" s="73">
        <v>0</v>
      </c>
      <c r="DZ10" s="73">
        <v>0</v>
      </c>
      <c r="EB10" s="65" t="s">
        <v>126</v>
      </c>
    </row>
    <row r="11" spans="1:132" x14ac:dyDescent="0.2">
      <c r="A11" t="s">
        <v>2938</v>
      </c>
      <c r="B11" t="s">
        <v>2946</v>
      </c>
      <c r="C11" t="s">
        <v>3798</v>
      </c>
      <c r="D11" s="65">
        <v>3063</v>
      </c>
      <c r="E11" t="s">
        <v>1634</v>
      </c>
      <c r="F11" s="71" t="s">
        <v>3940</v>
      </c>
      <c r="G11" s="67">
        <v>0.123000003397465</v>
      </c>
      <c r="H11" s="65">
        <v>522488</v>
      </c>
      <c r="I11" s="65">
        <v>173685</v>
      </c>
      <c r="K11" s="65" t="s">
        <v>1635</v>
      </c>
      <c r="L11" s="65" t="s">
        <v>172</v>
      </c>
      <c r="M11" s="69">
        <v>43136</v>
      </c>
      <c r="Q11" s="65" t="s">
        <v>28</v>
      </c>
      <c r="T11" t="s">
        <v>1636</v>
      </c>
      <c r="U11" s="65" t="s">
        <v>21</v>
      </c>
      <c r="V11" s="65" t="s">
        <v>21</v>
      </c>
      <c r="W11" s="65" t="s">
        <v>69</v>
      </c>
      <c r="AB11" s="65" t="s">
        <v>173</v>
      </c>
      <c r="AC11" s="65" t="s">
        <v>24</v>
      </c>
      <c r="AH11" s="73">
        <v>0</v>
      </c>
      <c r="AI11" s="73">
        <v>0</v>
      </c>
      <c r="AJ11" s="73">
        <v>0</v>
      </c>
      <c r="AK11" s="73">
        <v>0</v>
      </c>
      <c r="AL11" s="73">
        <v>0</v>
      </c>
      <c r="AM11" s="73">
        <v>0</v>
      </c>
      <c r="AN11" s="73">
        <v>504</v>
      </c>
      <c r="AO11" s="73">
        <v>0</v>
      </c>
      <c r="AP11" s="73">
        <v>0</v>
      </c>
      <c r="AQ11" s="73">
        <v>0</v>
      </c>
      <c r="AR11" s="73">
        <v>0</v>
      </c>
      <c r="AS11" s="73">
        <v>504</v>
      </c>
      <c r="AT11" s="73">
        <v>0</v>
      </c>
      <c r="AU11" s="73">
        <v>0</v>
      </c>
      <c r="AV11" s="73">
        <v>0</v>
      </c>
      <c r="AW11" s="73">
        <v>0</v>
      </c>
      <c r="AX11" s="73">
        <v>0</v>
      </c>
      <c r="AY11" s="73">
        <v>0</v>
      </c>
      <c r="AZ11" s="73">
        <v>0</v>
      </c>
      <c r="BA11" s="73">
        <v>0</v>
      </c>
      <c r="BB11" s="73">
        <v>0</v>
      </c>
      <c r="BC11" s="73">
        <v>0</v>
      </c>
      <c r="BD11" s="73">
        <v>0</v>
      </c>
      <c r="BE11" s="73">
        <v>0</v>
      </c>
      <c r="BF11" s="73">
        <v>0</v>
      </c>
      <c r="BG11" s="73">
        <v>0</v>
      </c>
      <c r="BH11" s="73">
        <v>0</v>
      </c>
      <c r="BI11" s="73">
        <v>0</v>
      </c>
      <c r="BJ11" s="73">
        <v>0</v>
      </c>
      <c r="BK11" s="73">
        <v>504</v>
      </c>
      <c r="BL11" s="73">
        <v>0</v>
      </c>
      <c r="BM11" s="73">
        <v>504</v>
      </c>
      <c r="BN11" s="185" t="s">
        <v>3794</v>
      </c>
      <c r="BO11" s="185" t="s">
        <v>126</v>
      </c>
      <c r="BP11" s="185" t="s">
        <v>126</v>
      </c>
      <c r="BQ11" s="73">
        <v>0</v>
      </c>
      <c r="BR11" s="73">
        <v>0</v>
      </c>
      <c r="BS11" s="73">
        <v>0</v>
      </c>
      <c r="BT11" s="73">
        <v>0</v>
      </c>
      <c r="BU11" s="73">
        <v>0</v>
      </c>
      <c r="BV11" s="73">
        <v>0</v>
      </c>
      <c r="BW11" s="73">
        <v>504</v>
      </c>
      <c r="BX11" s="73">
        <v>0</v>
      </c>
      <c r="BY11" s="73">
        <v>0</v>
      </c>
      <c r="BZ11" s="73">
        <v>0</v>
      </c>
      <c r="CA11" s="73">
        <v>0</v>
      </c>
      <c r="CB11" s="73">
        <v>504</v>
      </c>
      <c r="CD11" s="73">
        <v>0</v>
      </c>
      <c r="CE11" s="73">
        <v>-504</v>
      </c>
      <c r="CF11" s="73">
        <v>0</v>
      </c>
      <c r="CG11" s="73">
        <v>-504</v>
      </c>
      <c r="CH11" t="s">
        <v>25</v>
      </c>
      <c r="CI11" t="s">
        <v>25</v>
      </c>
      <c r="CJ11" t="s">
        <v>25</v>
      </c>
      <c r="CK11" t="s">
        <v>25</v>
      </c>
      <c r="CL11" t="s">
        <v>25</v>
      </c>
      <c r="CM11" t="s">
        <v>72</v>
      </c>
      <c r="CN11" t="s">
        <v>25</v>
      </c>
      <c r="CO11" t="s">
        <v>25</v>
      </c>
      <c r="CP11" t="s">
        <v>25</v>
      </c>
      <c r="CQ11" t="s">
        <v>25</v>
      </c>
      <c r="CR11" t="s">
        <v>25</v>
      </c>
      <c r="CS11" t="s">
        <v>25</v>
      </c>
      <c r="CT11" t="s">
        <v>25</v>
      </c>
      <c r="CU11" t="s">
        <v>25</v>
      </c>
      <c r="CV11" t="s">
        <v>25</v>
      </c>
      <c r="CW11" t="s">
        <v>25</v>
      </c>
      <c r="CX11" t="s">
        <v>25</v>
      </c>
      <c r="CY11" t="s">
        <v>25</v>
      </c>
      <c r="CZ11" t="s">
        <v>25</v>
      </c>
      <c r="DA11" t="s">
        <v>25</v>
      </c>
      <c r="DB11" t="s">
        <v>25</v>
      </c>
      <c r="DC11" t="s">
        <v>25</v>
      </c>
      <c r="DD11" t="s">
        <v>25</v>
      </c>
      <c r="DE11" t="s">
        <v>25</v>
      </c>
      <c r="DF11" t="s">
        <v>49</v>
      </c>
      <c r="DG11" t="s">
        <v>25</v>
      </c>
      <c r="DI11" s="73">
        <v>504</v>
      </c>
      <c r="DJ11" s="73">
        <v>504</v>
      </c>
      <c r="DK11" s="73">
        <v>0</v>
      </c>
      <c r="DS11"/>
      <c r="DX11" s="73">
        <v>0</v>
      </c>
      <c r="DY11" s="73">
        <v>0</v>
      </c>
      <c r="DZ11" s="73">
        <v>0</v>
      </c>
      <c r="EB11" s="65" t="s">
        <v>126</v>
      </c>
    </row>
    <row r="12" spans="1:132" x14ac:dyDescent="0.2">
      <c r="A12" t="s">
        <v>2937</v>
      </c>
      <c r="B12" t="s">
        <v>2946</v>
      </c>
      <c r="C12" t="s">
        <v>3798</v>
      </c>
      <c r="D12" s="65">
        <v>3159</v>
      </c>
      <c r="E12" t="s">
        <v>1645</v>
      </c>
      <c r="F12" s="71" t="s">
        <v>3944</v>
      </c>
      <c r="G12" s="67">
        <v>0.62000000476837203</v>
      </c>
      <c r="H12" s="65">
        <v>525640</v>
      </c>
      <c r="I12" s="65">
        <v>175236</v>
      </c>
      <c r="J12" s="65" t="s">
        <v>1646</v>
      </c>
      <c r="K12" s="65" t="s">
        <v>761</v>
      </c>
      <c r="L12" s="65" t="s">
        <v>33</v>
      </c>
      <c r="M12" s="69">
        <v>42233</v>
      </c>
      <c r="N12" s="69">
        <v>42697</v>
      </c>
      <c r="P12" s="69">
        <v>42318</v>
      </c>
      <c r="Q12" s="65" t="s">
        <v>28</v>
      </c>
      <c r="T12" t="s">
        <v>762</v>
      </c>
      <c r="U12" s="65" t="s">
        <v>29</v>
      </c>
      <c r="V12" s="65" t="s">
        <v>29</v>
      </c>
      <c r="W12" s="65" t="s">
        <v>69</v>
      </c>
      <c r="AB12" s="65" t="s">
        <v>23</v>
      </c>
      <c r="AC12" s="65" t="s">
        <v>24</v>
      </c>
      <c r="AH12" s="73">
        <v>0</v>
      </c>
      <c r="AI12" s="73">
        <v>0</v>
      </c>
      <c r="AJ12" s="73">
        <v>0</v>
      </c>
      <c r="AK12" s="73">
        <v>0</v>
      </c>
      <c r="AL12" s="73">
        <v>0</v>
      </c>
      <c r="AM12" s="73">
        <v>0</v>
      </c>
      <c r="AN12" s="73">
        <v>0</v>
      </c>
      <c r="AO12" s="73">
        <v>0</v>
      </c>
      <c r="AP12" s="73">
        <v>0</v>
      </c>
      <c r="AQ12" s="73">
        <v>0</v>
      </c>
      <c r="AR12" s="73">
        <v>4475</v>
      </c>
      <c r="AS12" s="73">
        <v>4475</v>
      </c>
      <c r="AT12" s="73">
        <v>0</v>
      </c>
      <c r="AU12" s="73">
        <v>0</v>
      </c>
      <c r="AV12" s="73">
        <v>0</v>
      </c>
      <c r="AW12" s="73">
        <v>0</v>
      </c>
      <c r="AX12" s="73">
        <v>0</v>
      </c>
      <c r="AY12" s="73">
        <v>0</v>
      </c>
      <c r="AZ12" s="73">
        <v>0</v>
      </c>
      <c r="BA12" s="73">
        <v>0</v>
      </c>
      <c r="BB12" s="73">
        <v>0</v>
      </c>
      <c r="BC12" s="73">
        <v>0</v>
      </c>
      <c r="BD12" s="73">
        <v>0</v>
      </c>
      <c r="BE12" s="73">
        <v>0</v>
      </c>
      <c r="BF12" s="73">
        <v>0</v>
      </c>
      <c r="BG12" s="73">
        <v>0</v>
      </c>
      <c r="BH12" s="73">
        <v>6675</v>
      </c>
      <c r="BI12" s="73">
        <v>6675</v>
      </c>
      <c r="BJ12" s="73">
        <v>0</v>
      </c>
      <c r="BK12" s="73">
        <v>0</v>
      </c>
      <c r="BL12" s="73">
        <v>0</v>
      </c>
      <c r="BM12" s="73">
        <v>0</v>
      </c>
      <c r="BN12" s="185" t="s">
        <v>3794</v>
      </c>
      <c r="BO12" s="185" t="s">
        <v>126</v>
      </c>
      <c r="BP12" s="185" t="s">
        <v>3794</v>
      </c>
      <c r="BQ12" s="73">
        <v>0</v>
      </c>
      <c r="BR12" s="73">
        <v>0</v>
      </c>
      <c r="BS12" s="73">
        <v>0</v>
      </c>
      <c r="BT12" s="73">
        <v>0</v>
      </c>
      <c r="BU12" s="73">
        <v>0</v>
      </c>
      <c r="BV12" s="73">
        <v>0</v>
      </c>
      <c r="BW12" s="73">
        <v>0</v>
      </c>
      <c r="BX12" s="73">
        <v>0</v>
      </c>
      <c r="BY12" s="73">
        <v>0</v>
      </c>
      <c r="BZ12" s="73">
        <v>0</v>
      </c>
      <c r="CA12" s="73">
        <v>-2200</v>
      </c>
      <c r="CB12" s="73">
        <v>-2200</v>
      </c>
      <c r="CC12" s="65" t="s">
        <v>126</v>
      </c>
      <c r="CD12" s="73">
        <v>0</v>
      </c>
      <c r="CE12" s="73">
        <v>0</v>
      </c>
      <c r="CF12" s="73">
        <v>0</v>
      </c>
      <c r="CG12" s="73">
        <v>0</v>
      </c>
      <c r="CH12" t="s">
        <v>25</v>
      </c>
      <c r="CI12" t="s">
        <v>25</v>
      </c>
      <c r="CJ12" t="s">
        <v>25</v>
      </c>
      <c r="CK12" t="s">
        <v>25</v>
      </c>
      <c r="CL12" t="s">
        <v>25</v>
      </c>
      <c r="CM12" t="s">
        <v>25</v>
      </c>
      <c r="CN12" t="s">
        <v>25</v>
      </c>
      <c r="CO12" t="s">
        <v>25</v>
      </c>
      <c r="CP12" t="s">
        <v>25</v>
      </c>
      <c r="CQ12" t="s">
        <v>25</v>
      </c>
      <c r="CR12" t="s">
        <v>25</v>
      </c>
      <c r="CS12" t="s">
        <v>25</v>
      </c>
      <c r="CT12" t="s">
        <v>25</v>
      </c>
      <c r="CU12" t="s">
        <v>25</v>
      </c>
      <c r="CV12" t="s">
        <v>25</v>
      </c>
      <c r="CW12" t="s">
        <v>25</v>
      </c>
      <c r="CX12" t="s">
        <v>25</v>
      </c>
      <c r="CY12" t="s">
        <v>25</v>
      </c>
      <c r="CZ12" t="s">
        <v>25</v>
      </c>
      <c r="DA12" t="s">
        <v>25</v>
      </c>
      <c r="DB12" t="s">
        <v>25</v>
      </c>
      <c r="DC12" t="s">
        <v>25</v>
      </c>
      <c r="DD12" t="s">
        <v>25</v>
      </c>
      <c r="DE12" t="s">
        <v>25</v>
      </c>
      <c r="DF12" t="s">
        <v>25</v>
      </c>
      <c r="DG12" t="s">
        <v>25</v>
      </c>
      <c r="DI12" s="73">
        <v>6675</v>
      </c>
      <c r="DJ12" s="73">
        <v>6675</v>
      </c>
      <c r="DK12" s="73">
        <v>0</v>
      </c>
      <c r="DL12" s="65" t="s">
        <v>126</v>
      </c>
      <c r="DS12"/>
      <c r="DX12" s="73">
        <v>0</v>
      </c>
      <c r="DY12" s="73">
        <v>0</v>
      </c>
      <c r="DZ12" s="73">
        <v>0</v>
      </c>
      <c r="EB12" s="65" t="s">
        <v>126</v>
      </c>
    </row>
    <row r="13" spans="1:132" x14ac:dyDescent="0.2">
      <c r="A13" t="s">
        <v>2938</v>
      </c>
      <c r="B13" t="s">
        <v>2946</v>
      </c>
      <c r="C13" t="s">
        <v>3798</v>
      </c>
      <c r="D13" s="65">
        <v>3526</v>
      </c>
      <c r="E13" t="s">
        <v>1723</v>
      </c>
      <c r="F13" s="71" t="s">
        <v>3943</v>
      </c>
      <c r="G13" s="67">
        <v>0.81999999284744296</v>
      </c>
      <c r="H13" s="65">
        <v>526547</v>
      </c>
      <c r="I13" s="65">
        <v>175744</v>
      </c>
      <c r="J13" s="65" t="s">
        <v>1724</v>
      </c>
      <c r="K13" s="65" t="s">
        <v>1727</v>
      </c>
      <c r="L13" s="65" t="s">
        <v>172</v>
      </c>
      <c r="M13" s="69">
        <v>43188</v>
      </c>
      <c r="Q13" s="65" t="s">
        <v>28</v>
      </c>
      <c r="T13" t="s">
        <v>1728</v>
      </c>
      <c r="U13" s="65" t="s">
        <v>29</v>
      </c>
      <c r="V13" s="65" t="s">
        <v>29</v>
      </c>
      <c r="W13" s="65" t="s">
        <v>69</v>
      </c>
      <c r="AB13" s="65" t="s">
        <v>173</v>
      </c>
      <c r="AC13" s="65" t="s">
        <v>24</v>
      </c>
      <c r="AH13" s="73">
        <v>0</v>
      </c>
      <c r="AI13" s="73">
        <v>0</v>
      </c>
      <c r="AJ13" s="73">
        <v>0</v>
      </c>
      <c r="AK13" s="73">
        <v>0</v>
      </c>
      <c r="AL13" s="73">
        <v>0</v>
      </c>
      <c r="AM13" s="73">
        <v>0</v>
      </c>
      <c r="AN13" s="73">
        <v>0</v>
      </c>
      <c r="AO13" s="73">
        <v>0</v>
      </c>
      <c r="AP13" s="73">
        <v>0</v>
      </c>
      <c r="AQ13" s="73">
        <v>0</v>
      </c>
      <c r="AR13" s="73">
        <v>0</v>
      </c>
      <c r="AS13" s="73">
        <v>0</v>
      </c>
      <c r="AT13" s="73">
        <v>0</v>
      </c>
      <c r="AU13" s="73">
        <v>0</v>
      </c>
      <c r="AV13" s="73">
        <v>0</v>
      </c>
      <c r="AW13" s="73">
        <v>0</v>
      </c>
      <c r="AX13" s="73">
        <v>0</v>
      </c>
      <c r="AY13" s="73">
        <v>0</v>
      </c>
      <c r="AZ13" s="73">
        <v>0</v>
      </c>
      <c r="BA13" s="73">
        <v>0</v>
      </c>
      <c r="BB13" s="73">
        <v>0</v>
      </c>
      <c r="BC13" s="73">
        <v>0</v>
      </c>
      <c r="BD13" s="73">
        <v>0</v>
      </c>
      <c r="BE13" s="73">
        <v>0</v>
      </c>
      <c r="BF13" s="73">
        <v>0</v>
      </c>
      <c r="BG13" s="73">
        <v>0</v>
      </c>
      <c r="BH13" s="73">
        <v>0</v>
      </c>
      <c r="BI13" s="73">
        <v>0</v>
      </c>
      <c r="BJ13" s="73">
        <v>0</v>
      </c>
      <c r="BK13" s="73">
        <v>0</v>
      </c>
      <c r="BL13" s="73">
        <v>0</v>
      </c>
      <c r="BM13" s="73">
        <v>0</v>
      </c>
      <c r="BN13" s="185" t="s">
        <v>3794</v>
      </c>
      <c r="BO13" s="185" t="s">
        <v>3794</v>
      </c>
      <c r="BP13" s="185" t="s">
        <v>3794</v>
      </c>
      <c r="BQ13" s="73">
        <v>0</v>
      </c>
      <c r="BR13" s="73">
        <v>0</v>
      </c>
      <c r="BS13" s="73">
        <v>0</v>
      </c>
      <c r="BT13" s="73">
        <v>0</v>
      </c>
      <c r="BU13" s="73">
        <v>0</v>
      </c>
      <c r="BV13" s="73">
        <v>0</v>
      </c>
      <c r="BW13" s="73">
        <v>0</v>
      </c>
      <c r="BX13" s="73">
        <v>0</v>
      </c>
      <c r="BY13" s="73">
        <v>0</v>
      </c>
      <c r="BZ13" s="73">
        <v>0</v>
      </c>
      <c r="CA13" s="73">
        <v>0</v>
      </c>
      <c r="CB13" s="73">
        <v>0</v>
      </c>
      <c r="CD13" s="73">
        <v>0</v>
      </c>
      <c r="CE13" s="73">
        <v>0</v>
      </c>
      <c r="CF13" s="73">
        <v>0</v>
      </c>
      <c r="CG13" s="73">
        <v>0</v>
      </c>
      <c r="CH13" t="s">
        <v>25</v>
      </c>
      <c r="CI13" t="s">
        <v>25</v>
      </c>
      <c r="CJ13" t="s">
        <v>25</v>
      </c>
      <c r="CK13" t="s">
        <v>25</v>
      </c>
      <c r="CL13" t="s">
        <v>25</v>
      </c>
      <c r="CM13" t="s">
        <v>25</v>
      </c>
      <c r="CN13" t="s">
        <v>25</v>
      </c>
      <c r="CO13" t="s">
        <v>25</v>
      </c>
      <c r="CP13" t="s">
        <v>25</v>
      </c>
      <c r="CQ13" t="s">
        <v>25</v>
      </c>
      <c r="CR13" t="s">
        <v>25</v>
      </c>
      <c r="CS13" t="s">
        <v>25</v>
      </c>
      <c r="CT13" t="s">
        <v>25</v>
      </c>
      <c r="CU13" t="s">
        <v>25</v>
      </c>
      <c r="CV13" t="s">
        <v>25</v>
      </c>
      <c r="CW13" t="s">
        <v>25</v>
      </c>
      <c r="CX13" t="s">
        <v>25</v>
      </c>
      <c r="CY13" t="s">
        <v>25</v>
      </c>
      <c r="CZ13" t="s">
        <v>25</v>
      </c>
      <c r="DA13" t="s">
        <v>25</v>
      </c>
      <c r="DB13" t="s">
        <v>25</v>
      </c>
      <c r="DC13" t="s">
        <v>25</v>
      </c>
      <c r="DD13" t="s">
        <v>25</v>
      </c>
      <c r="DE13" t="s">
        <v>25</v>
      </c>
      <c r="DF13" t="s">
        <v>25</v>
      </c>
      <c r="DG13" t="s">
        <v>25</v>
      </c>
      <c r="DI13" s="73">
        <v>58</v>
      </c>
      <c r="DJ13" s="73">
        <v>0</v>
      </c>
      <c r="DK13" s="73">
        <v>58</v>
      </c>
      <c r="DL13" s="65" t="s">
        <v>126</v>
      </c>
      <c r="DS13"/>
      <c r="DX13" s="73">
        <v>0</v>
      </c>
      <c r="DY13" s="73">
        <v>0</v>
      </c>
      <c r="DZ13" s="73">
        <v>0</v>
      </c>
      <c r="EB13" s="65" t="s">
        <v>126</v>
      </c>
    </row>
    <row r="14" spans="1:132" x14ac:dyDescent="0.2">
      <c r="A14" t="s">
        <v>2936</v>
      </c>
      <c r="B14" t="s">
        <v>2946</v>
      </c>
      <c r="C14" t="s">
        <v>3798</v>
      </c>
      <c r="D14" s="65">
        <v>3598</v>
      </c>
      <c r="E14" t="s">
        <v>1733</v>
      </c>
      <c r="F14" s="71" t="s">
        <v>3941</v>
      </c>
      <c r="G14" s="67">
        <v>0.365000009536743</v>
      </c>
      <c r="H14" s="65">
        <v>528192</v>
      </c>
      <c r="I14" s="65">
        <v>173340</v>
      </c>
      <c r="K14" s="65" t="s">
        <v>1734</v>
      </c>
      <c r="L14" s="65" t="s">
        <v>27</v>
      </c>
      <c r="M14" s="69">
        <v>42913</v>
      </c>
      <c r="N14" s="69">
        <v>42969</v>
      </c>
      <c r="Q14" s="65" t="s">
        <v>28</v>
      </c>
      <c r="T14" t="s">
        <v>1735</v>
      </c>
      <c r="U14" s="65" t="s">
        <v>39</v>
      </c>
      <c r="V14" s="65" t="s">
        <v>21</v>
      </c>
      <c r="W14" s="65" t="s">
        <v>35</v>
      </c>
      <c r="Y14" s="69">
        <v>42948</v>
      </c>
      <c r="Z14" s="69">
        <v>43123</v>
      </c>
      <c r="AA14" s="69">
        <v>43123</v>
      </c>
      <c r="AB14" s="65" t="s">
        <v>23</v>
      </c>
      <c r="AC14" s="65" t="s">
        <v>24</v>
      </c>
      <c r="AH14" s="73">
        <v>0</v>
      </c>
      <c r="AI14" s="73">
        <v>0</v>
      </c>
      <c r="AJ14" s="73">
        <v>0</v>
      </c>
      <c r="AK14" s="73">
        <v>0</v>
      </c>
      <c r="AL14" s="73">
        <v>0</v>
      </c>
      <c r="AM14" s="73">
        <v>0</v>
      </c>
      <c r="AN14" s="73">
        <v>0</v>
      </c>
      <c r="AO14" s="73">
        <v>0</v>
      </c>
      <c r="AP14" s="73">
        <v>0</v>
      </c>
      <c r="AQ14" s="73">
        <v>0</v>
      </c>
      <c r="AR14" s="73">
        <v>0</v>
      </c>
      <c r="AS14" s="73">
        <v>0</v>
      </c>
      <c r="AT14" s="73">
        <v>0</v>
      </c>
      <c r="AU14" s="73">
        <v>116</v>
      </c>
      <c r="AV14" s="73">
        <v>0</v>
      </c>
      <c r="AW14" s="73">
        <v>116</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185" t="s">
        <v>3794</v>
      </c>
      <c r="BO14" s="185" t="s">
        <v>3794</v>
      </c>
      <c r="BP14" s="185" t="s">
        <v>126</v>
      </c>
      <c r="BQ14" s="73">
        <v>0</v>
      </c>
      <c r="BR14" s="73">
        <v>0</v>
      </c>
      <c r="BS14" s="73">
        <v>0</v>
      </c>
      <c r="BT14" s="73">
        <v>0</v>
      </c>
      <c r="BU14" s="73">
        <v>0</v>
      </c>
      <c r="BV14" s="73">
        <v>0</v>
      </c>
      <c r="BW14" s="73">
        <v>0</v>
      </c>
      <c r="BX14" s="73">
        <v>0</v>
      </c>
      <c r="BY14" s="73">
        <v>0</v>
      </c>
      <c r="BZ14" s="73">
        <v>0</v>
      </c>
      <c r="CA14" s="73">
        <v>0</v>
      </c>
      <c r="CB14" s="73">
        <v>0</v>
      </c>
      <c r="CD14" s="73">
        <v>0</v>
      </c>
      <c r="CE14" s="73">
        <v>116</v>
      </c>
      <c r="CF14" s="73">
        <v>0</v>
      </c>
      <c r="CG14" s="73">
        <v>116</v>
      </c>
      <c r="CH14" t="s">
        <v>25</v>
      </c>
      <c r="CI14" t="s">
        <v>25</v>
      </c>
      <c r="CJ14" t="s">
        <v>25</v>
      </c>
      <c r="CK14" t="s">
        <v>25</v>
      </c>
      <c r="CL14" t="s">
        <v>25</v>
      </c>
      <c r="CM14" t="s">
        <v>25</v>
      </c>
      <c r="CN14" t="s">
        <v>25</v>
      </c>
      <c r="CO14" t="s">
        <v>25</v>
      </c>
      <c r="CP14" t="s">
        <v>25</v>
      </c>
      <c r="CQ14" t="s">
        <v>25</v>
      </c>
      <c r="CR14" t="s">
        <v>25</v>
      </c>
      <c r="CS14" t="s">
        <v>60</v>
      </c>
      <c r="CT14" t="s">
        <v>25</v>
      </c>
      <c r="CU14" t="s">
        <v>25</v>
      </c>
      <c r="CV14" t="s">
        <v>25</v>
      </c>
      <c r="CW14" t="s">
        <v>25</v>
      </c>
      <c r="CX14" t="s">
        <v>25</v>
      </c>
      <c r="CY14" t="s">
        <v>25</v>
      </c>
      <c r="CZ14" t="s">
        <v>25</v>
      </c>
      <c r="DA14" t="s">
        <v>25</v>
      </c>
      <c r="DB14" t="s">
        <v>25</v>
      </c>
      <c r="DC14" t="s">
        <v>25</v>
      </c>
      <c r="DD14" t="s">
        <v>25</v>
      </c>
      <c r="DE14" t="s">
        <v>25</v>
      </c>
      <c r="DF14" t="s">
        <v>25</v>
      </c>
      <c r="DG14" t="s">
        <v>25</v>
      </c>
      <c r="DI14" s="73">
        <v>116</v>
      </c>
      <c r="DJ14" s="73">
        <v>0</v>
      </c>
      <c r="DK14" s="73">
        <v>116</v>
      </c>
      <c r="DS14"/>
      <c r="DX14" s="73">
        <v>0</v>
      </c>
      <c r="DY14" s="73">
        <v>0</v>
      </c>
      <c r="DZ14" s="73">
        <v>0</v>
      </c>
      <c r="EB14" s="65" t="s">
        <v>126</v>
      </c>
    </row>
    <row r="15" spans="1:132" x14ac:dyDescent="0.2">
      <c r="A15" t="s">
        <v>2936</v>
      </c>
      <c r="B15" t="s">
        <v>2946</v>
      </c>
      <c r="C15" t="s">
        <v>3798</v>
      </c>
      <c r="D15" s="65">
        <v>4100</v>
      </c>
      <c r="E15" t="s">
        <v>1803</v>
      </c>
      <c r="F15" s="71" t="s">
        <v>150</v>
      </c>
      <c r="G15" s="67">
        <v>0.20900000631809201</v>
      </c>
      <c r="H15" s="65">
        <v>527435</v>
      </c>
      <c r="I15" s="65">
        <v>171561</v>
      </c>
      <c r="K15" s="65" t="s">
        <v>1804</v>
      </c>
      <c r="L15" s="65" t="s">
        <v>27</v>
      </c>
      <c r="M15" s="69">
        <v>43010</v>
      </c>
      <c r="N15" s="69">
        <v>43066</v>
      </c>
      <c r="Q15" s="65" t="s">
        <v>28</v>
      </c>
      <c r="T15" t="s">
        <v>1805</v>
      </c>
      <c r="U15" s="65" t="s">
        <v>39</v>
      </c>
      <c r="V15" s="65" t="s">
        <v>21</v>
      </c>
      <c r="W15" s="65" t="s">
        <v>35</v>
      </c>
      <c r="Y15" s="69">
        <v>43066</v>
      </c>
      <c r="Z15" s="69">
        <v>43190</v>
      </c>
      <c r="AA15" s="69">
        <v>43190</v>
      </c>
      <c r="AB15" s="65" t="s">
        <v>23</v>
      </c>
      <c r="AC15" s="65" t="s">
        <v>24</v>
      </c>
      <c r="AH15" s="73">
        <v>0</v>
      </c>
      <c r="AI15" s="73">
        <v>0</v>
      </c>
      <c r="AJ15" s="73">
        <v>0</v>
      </c>
      <c r="AK15" s="73">
        <v>135</v>
      </c>
      <c r="AL15" s="73">
        <v>0</v>
      </c>
      <c r="AM15" s="73">
        <v>135</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185" t="s">
        <v>126</v>
      </c>
      <c r="BO15" s="185" t="s">
        <v>3794</v>
      </c>
      <c r="BP15" s="185" t="s">
        <v>3794</v>
      </c>
      <c r="BQ15" s="73">
        <v>0</v>
      </c>
      <c r="BR15" s="73">
        <v>0</v>
      </c>
      <c r="BS15" s="73">
        <v>0</v>
      </c>
      <c r="BT15" s="73">
        <v>135</v>
      </c>
      <c r="BU15" s="73">
        <v>0</v>
      </c>
      <c r="BV15" s="73">
        <v>135</v>
      </c>
      <c r="BW15" s="73">
        <v>0</v>
      </c>
      <c r="BX15" s="73">
        <v>0</v>
      </c>
      <c r="BY15" s="73">
        <v>0</v>
      </c>
      <c r="BZ15" s="73">
        <v>0</v>
      </c>
      <c r="CA15" s="73">
        <v>0</v>
      </c>
      <c r="CB15" s="73">
        <v>0</v>
      </c>
      <c r="CD15" s="73">
        <v>0</v>
      </c>
      <c r="CE15" s="73">
        <v>0</v>
      </c>
      <c r="CF15" s="73">
        <v>0</v>
      </c>
      <c r="CG15" s="73">
        <v>0</v>
      </c>
      <c r="CH15" t="s">
        <v>25</v>
      </c>
      <c r="CI15" t="s">
        <v>25</v>
      </c>
      <c r="CJ15" t="s">
        <v>25</v>
      </c>
      <c r="CK15" t="s">
        <v>71</v>
      </c>
      <c r="CL15" t="s">
        <v>25</v>
      </c>
      <c r="CM15" t="s">
        <v>25</v>
      </c>
      <c r="CN15" t="s">
        <v>25</v>
      </c>
      <c r="CO15" t="s">
        <v>25</v>
      </c>
      <c r="CP15" t="s">
        <v>25</v>
      </c>
      <c r="CQ15" t="s">
        <v>25</v>
      </c>
      <c r="CR15" t="s">
        <v>25</v>
      </c>
      <c r="CS15" t="s">
        <v>25</v>
      </c>
      <c r="CT15" t="s">
        <v>25</v>
      </c>
      <c r="CU15" t="s">
        <v>25</v>
      </c>
      <c r="CV15" t="s">
        <v>25</v>
      </c>
      <c r="CW15" t="s">
        <v>25</v>
      </c>
      <c r="CX15" t="s">
        <v>25</v>
      </c>
      <c r="CY15" t="s">
        <v>25</v>
      </c>
      <c r="CZ15" t="s">
        <v>25</v>
      </c>
      <c r="DA15" t="s">
        <v>25</v>
      </c>
      <c r="DB15" t="s">
        <v>25</v>
      </c>
      <c r="DC15" t="s">
        <v>25</v>
      </c>
      <c r="DD15" t="s">
        <v>25</v>
      </c>
      <c r="DE15" t="s">
        <v>25</v>
      </c>
      <c r="DF15" t="s">
        <v>25</v>
      </c>
      <c r="DG15" t="s">
        <v>25</v>
      </c>
      <c r="DI15" s="73">
        <v>135</v>
      </c>
      <c r="DJ15" s="73">
        <v>0</v>
      </c>
      <c r="DK15" s="73">
        <v>135</v>
      </c>
      <c r="DS15"/>
      <c r="DT15" s="65" t="s">
        <v>126</v>
      </c>
      <c r="DU15" t="s">
        <v>113</v>
      </c>
      <c r="DX15" s="73">
        <v>0</v>
      </c>
      <c r="DY15" s="73">
        <v>0</v>
      </c>
      <c r="DZ15" s="73">
        <v>0</v>
      </c>
      <c r="EB15" s="65" t="s">
        <v>126</v>
      </c>
    </row>
    <row r="16" spans="1:132" x14ac:dyDescent="0.2">
      <c r="A16" t="s">
        <v>2937</v>
      </c>
      <c r="B16" t="s">
        <v>2947</v>
      </c>
      <c r="C16" t="s">
        <v>3971</v>
      </c>
      <c r="D16" s="65">
        <v>4509</v>
      </c>
      <c r="E16" t="s">
        <v>1852</v>
      </c>
      <c r="F16" s="71" t="s">
        <v>3947</v>
      </c>
      <c r="G16" s="67">
        <v>1.12999999523163</v>
      </c>
      <c r="H16" s="65">
        <v>529156</v>
      </c>
      <c r="I16" s="65">
        <v>177572</v>
      </c>
      <c r="J16" s="65" t="s">
        <v>1853</v>
      </c>
      <c r="K16" s="65" t="s">
        <v>571</v>
      </c>
      <c r="L16" s="65" t="s">
        <v>70</v>
      </c>
      <c r="M16" s="69">
        <v>42408</v>
      </c>
      <c r="N16" s="69">
        <v>42555</v>
      </c>
      <c r="Q16" s="65" t="s">
        <v>28</v>
      </c>
      <c r="T16" t="s">
        <v>783</v>
      </c>
      <c r="U16" s="65" t="s">
        <v>29</v>
      </c>
      <c r="V16" s="65" t="s">
        <v>29</v>
      </c>
      <c r="W16" s="65" t="s">
        <v>69</v>
      </c>
      <c r="AB16" s="65" t="s">
        <v>23</v>
      </c>
      <c r="AC16" s="65" t="s">
        <v>24</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185" t="s">
        <v>3794</v>
      </c>
      <c r="BO16" s="185" t="s">
        <v>3794</v>
      </c>
      <c r="BP16" s="185" t="s">
        <v>3794</v>
      </c>
      <c r="BQ16" s="73">
        <v>0</v>
      </c>
      <c r="BR16" s="73">
        <v>0</v>
      </c>
      <c r="BS16" s="73">
        <v>0</v>
      </c>
      <c r="BT16" s="73">
        <v>0</v>
      </c>
      <c r="BU16" s="73">
        <v>0</v>
      </c>
      <c r="BV16" s="73">
        <v>0</v>
      </c>
      <c r="BW16" s="73">
        <v>0</v>
      </c>
      <c r="BX16" s="73">
        <v>0</v>
      </c>
      <c r="BY16" s="73">
        <v>0</v>
      </c>
      <c r="BZ16" s="73">
        <v>0</v>
      </c>
      <c r="CA16" s="73">
        <v>0</v>
      </c>
      <c r="CB16" s="73">
        <v>0</v>
      </c>
      <c r="CD16" s="73">
        <v>0</v>
      </c>
      <c r="CE16" s="73">
        <v>0</v>
      </c>
      <c r="CF16" s="73">
        <v>0</v>
      </c>
      <c r="CG16" s="73">
        <v>0</v>
      </c>
      <c r="CH16" t="s">
        <v>25</v>
      </c>
      <c r="CI16" t="s">
        <v>25</v>
      </c>
      <c r="CJ16" t="s">
        <v>25</v>
      </c>
      <c r="CK16" t="s">
        <v>25</v>
      </c>
      <c r="CL16" t="s">
        <v>25</v>
      </c>
      <c r="CM16" t="s">
        <v>25</v>
      </c>
      <c r="CN16" t="s">
        <v>25</v>
      </c>
      <c r="CO16" t="s">
        <v>25</v>
      </c>
      <c r="CP16" t="s">
        <v>25</v>
      </c>
      <c r="CQ16" t="s">
        <v>25</v>
      </c>
      <c r="CR16" t="s">
        <v>25</v>
      </c>
      <c r="CS16" t="s">
        <v>25</v>
      </c>
      <c r="CT16" t="s">
        <v>25</v>
      </c>
      <c r="CU16" t="s">
        <v>25</v>
      </c>
      <c r="CV16" t="s">
        <v>25</v>
      </c>
      <c r="CW16" t="s">
        <v>25</v>
      </c>
      <c r="CX16" t="s">
        <v>25</v>
      </c>
      <c r="CY16" t="s">
        <v>25</v>
      </c>
      <c r="CZ16" t="s">
        <v>25</v>
      </c>
      <c r="DA16" t="s">
        <v>25</v>
      </c>
      <c r="DB16" t="s">
        <v>25</v>
      </c>
      <c r="DC16" t="s">
        <v>25</v>
      </c>
      <c r="DD16" t="s">
        <v>25</v>
      </c>
      <c r="DE16" t="s">
        <v>25</v>
      </c>
      <c r="DF16" t="s">
        <v>25</v>
      </c>
      <c r="DG16" t="s">
        <v>25</v>
      </c>
      <c r="DI16" s="73">
        <v>2876</v>
      </c>
      <c r="DJ16" s="73">
        <v>0</v>
      </c>
      <c r="DK16" s="73">
        <v>2876</v>
      </c>
      <c r="DL16" s="65" t="s">
        <v>126</v>
      </c>
      <c r="DS16" s="65" t="s">
        <v>126</v>
      </c>
      <c r="DX16" s="73">
        <v>0</v>
      </c>
      <c r="DY16" s="73">
        <v>0</v>
      </c>
      <c r="DZ16" s="73">
        <v>0</v>
      </c>
      <c r="EB16" s="65" t="s">
        <v>126</v>
      </c>
    </row>
    <row r="17" spans="1:132" x14ac:dyDescent="0.2">
      <c r="A17" t="s">
        <v>2936</v>
      </c>
      <c r="B17" t="s">
        <v>2946</v>
      </c>
      <c r="C17" t="s">
        <v>3798</v>
      </c>
      <c r="D17" s="65">
        <v>4753</v>
      </c>
      <c r="E17" t="s">
        <v>1904</v>
      </c>
      <c r="F17" s="71" t="s">
        <v>3947</v>
      </c>
      <c r="G17" s="67">
        <v>1.8270000219345099</v>
      </c>
      <c r="H17" s="65">
        <v>528176</v>
      </c>
      <c r="I17" s="65">
        <v>177365</v>
      </c>
      <c r="K17" s="65" t="s">
        <v>1268</v>
      </c>
      <c r="L17" s="65" t="s">
        <v>27</v>
      </c>
      <c r="M17" s="69">
        <v>42796</v>
      </c>
      <c r="N17" s="69">
        <v>42852</v>
      </c>
      <c r="Q17" s="65" t="s">
        <v>28</v>
      </c>
      <c r="T17" t="s">
        <v>1269</v>
      </c>
      <c r="U17" s="65" t="s">
        <v>29</v>
      </c>
      <c r="V17" s="65" t="s">
        <v>29</v>
      </c>
      <c r="W17" s="65" t="s">
        <v>35</v>
      </c>
      <c r="Y17" s="69">
        <v>42852</v>
      </c>
      <c r="Z17" s="69">
        <v>43190</v>
      </c>
      <c r="AA17" s="69">
        <v>43190</v>
      </c>
      <c r="AB17" s="65" t="s">
        <v>23</v>
      </c>
      <c r="AC17" s="65" t="s">
        <v>24</v>
      </c>
      <c r="AH17" s="73">
        <v>0</v>
      </c>
      <c r="AI17" s="73">
        <v>0</v>
      </c>
      <c r="AJ17" s="73">
        <v>0</v>
      </c>
      <c r="AK17" s="73">
        <v>0</v>
      </c>
      <c r="AL17" s="73">
        <v>0</v>
      </c>
      <c r="AM17" s="73">
        <v>0</v>
      </c>
      <c r="AN17" s="73">
        <v>0</v>
      </c>
      <c r="AO17" s="73">
        <v>0</v>
      </c>
      <c r="AP17" s="73">
        <v>0</v>
      </c>
      <c r="AQ17" s="73">
        <v>0</v>
      </c>
      <c r="AR17" s="73">
        <v>0</v>
      </c>
      <c r="AS17" s="73">
        <v>0</v>
      </c>
      <c r="AT17" s="73">
        <v>0</v>
      </c>
      <c r="AU17" s="73">
        <v>0</v>
      </c>
      <c r="AV17" s="73">
        <v>6730</v>
      </c>
      <c r="AW17" s="73">
        <v>6730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185" t="s">
        <v>3794</v>
      </c>
      <c r="BO17" s="185" t="s">
        <v>3794</v>
      </c>
      <c r="BP17" s="185" t="s">
        <v>126</v>
      </c>
      <c r="BQ17" s="73">
        <v>0</v>
      </c>
      <c r="BR17" s="73">
        <v>0</v>
      </c>
      <c r="BS17" s="73">
        <v>0</v>
      </c>
      <c r="BT17" s="73">
        <v>0</v>
      </c>
      <c r="BU17" s="73">
        <v>0</v>
      </c>
      <c r="BV17" s="73">
        <v>0</v>
      </c>
      <c r="BW17" s="73">
        <v>0</v>
      </c>
      <c r="BX17" s="73">
        <v>0</v>
      </c>
      <c r="BY17" s="73">
        <v>0</v>
      </c>
      <c r="BZ17" s="73">
        <v>0</v>
      </c>
      <c r="CA17" s="73">
        <v>0</v>
      </c>
      <c r="CB17" s="73">
        <v>0</v>
      </c>
      <c r="CD17" s="73">
        <v>0</v>
      </c>
      <c r="CE17" s="73">
        <v>0</v>
      </c>
      <c r="CF17" s="73">
        <v>6730</v>
      </c>
      <c r="CG17" s="73">
        <v>6730</v>
      </c>
      <c r="CH17" t="s">
        <v>25</v>
      </c>
      <c r="CI17" t="s">
        <v>25</v>
      </c>
      <c r="CJ17" t="s">
        <v>25</v>
      </c>
      <c r="CK17" t="s">
        <v>25</v>
      </c>
      <c r="CL17" t="s">
        <v>25</v>
      </c>
      <c r="CM17" t="s">
        <v>25</v>
      </c>
      <c r="CN17" t="s">
        <v>25</v>
      </c>
      <c r="CO17" t="s">
        <v>25</v>
      </c>
      <c r="CP17" t="s">
        <v>25</v>
      </c>
      <c r="CQ17" t="s">
        <v>25</v>
      </c>
      <c r="CR17" t="s">
        <v>25</v>
      </c>
      <c r="CS17" t="s">
        <v>25</v>
      </c>
      <c r="CT17" t="s">
        <v>49</v>
      </c>
      <c r="CU17" t="s">
        <v>25</v>
      </c>
      <c r="CV17" t="s">
        <v>25</v>
      </c>
      <c r="CW17" t="s">
        <v>25</v>
      </c>
      <c r="CX17" t="s">
        <v>25</v>
      </c>
      <c r="CY17" t="s">
        <v>25</v>
      </c>
      <c r="CZ17" t="s">
        <v>25</v>
      </c>
      <c r="DA17" t="s">
        <v>25</v>
      </c>
      <c r="DB17" t="s">
        <v>25</v>
      </c>
      <c r="DC17" t="s">
        <v>25</v>
      </c>
      <c r="DD17" t="s">
        <v>25</v>
      </c>
      <c r="DE17" t="s">
        <v>25</v>
      </c>
      <c r="DF17" t="s">
        <v>25</v>
      </c>
      <c r="DG17" t="s">
        <v>25</v>
      </c>
      <c r="DI17" s="73">
        <v>6750</v>
      </c>
      <c r="DJ17" s="73">
        <v>20</v>
      </c>
      <c r="DK17" s="73">
        <v>6730</v>
      </c>
      <c r="DL17" s="65" t="s">
        <v>126</v>
      </c>
      <c r="DS17"/>
      <c r="DX17" s="73">
        <v>0</v>
      </c>
      <c r="DY17" s="73">
        <v>0</v>
      </c>
      <c r="DZ17" s="73">
        <v>0</v>
      </c>
      <c r="EB17" s="65" t="s">
        <v>126</v>
      </c>
    </row>
    <row r="18" spans="1:132" x14ac:dyDescent="0.2">
      <c r="A18" t="s">
        <v>2937</v>
      </c>
      <c r="B18" t="s">
        <v>2946</v>
      </c>
      <c r="C18" t="s">
        <v>3798</v>
      </c>
      <c r="D18" s="65">
        <v>5290</v>
      </c>
      <c r="E18" t="s">
        <v>1981</v>
      </c>
      <c r="F18" s="71" t="s">
        <v>3940</v>
      </c>
      <c r="G18" s="67">
        <v>6.3000001013279003E-2</v>
      </c>
      <c r="H18" s="65">
        <v>522325</v>
      </c>
      <c r="I18" s="65">
        <v>173735</v>
      </c>
      <c r="J18" s="65" t="s">
        <v>1982</v>
      </c>
      <c r="K18" s="65" t="s">
        <v>467</v>
      </c>
      <c r="L18" s="65" t="s">
        <v>27</v>
      </c>
      <c r="M18" s="69">
        <v>42124</v>
      </c>
      <c r="N18" s="69">
        <v>42165</v>
      </c>
      <c r="Q18" s="65" t="s">
        <v>28</v>
      </c>
      <c r="T18" t="s">
        <v>741</v>
      </c>
      <c r="U18" s="65" t="s">
        <v>34</v>
      </c>
      <c r="V18" s="65" t="s">
        <v>29</v>
      </c>
      <c r="W18" s="65" t="s">
        <v>59</v>
      </c>
      <c r="AB18" s="65" t="s">
        <v>23</v>
      </c>
      <c r="AC18" s="65" t="s">
        <v>24</v>
      </c>
      <c r="AH18" s="73">
        <v>0</v>
      </c>
      <c r="AI18" s="73">
        <v>0</v>
      </c>
      <c r="AJ18" s="73">
        <v>0</v>
      </c>
      <c r="AK18" s="73">
        <v>0</v>
      </c>
      <c r="AL18" s="73">
        <v>0</v>
      </c>
      <c r="AM18" s="73">
        <v>0</v>
      </c>
      <c r="AN18" s="73">
        <v>52</v>
      </c>
      <c r="AO18" s="73">
        <v>0</v>
      </c>
      <c r="AP18" s="73">
        <v>0</v>
      </c>
      <c r="AQ18" s="73">
        <v>0</v>
      </c>
      <c r="AR18" s="73">
        <v>0</v>
      </c>
      <c r="AS18" s="73">
        <v>52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185" t="s">
        <v>3794</v>
      </c>
      <c r="BO18" s="185" t="s">
        <v>126</v>
      </c>
      <c r="BP18" s="185" t="s">
        <v>3794</v>
      </c>
      <c r="BQ18" s="73">
        <v>0</v>
      </c>
      <c r="BR18" s="73">
        <v>0</v>
      </c>
      <c r="BS18" s="73">
        <v>0</v>
      </c>
      <c r="BT18" s="73">
        <v>0</v>
      </c>
      <c r="BU18" s="73">
        <v>0</v>
      </c>
      <c r="BV18" s="73">
        <v>0</v>
      </c>
      <c r="BW18" s="73">
        <v>52</v>
      </c>
      <c r="BX18" s="73">
        <v>0</v>
      </c>
      <c r="BY18" s="73">
        <v>0</v>
      </c>
      <c r="BZ18" s="73">
        <v>0</v>
      </c>
      <c r="CA18" s="73">
        <v>0</v>
      </c>
      <c r="CB18" s="73">
        <v>52</v>
      </c>
      <c r="CD18" s="73">
        <v>0</v>
      </c>
      <c r="CE18" s="73">
        <v>0</v>
      </c>
      <c r="CF18" s="73">
        <v>0</v>
      </c>
      <c r="CG18" s="73">
        <v>0</v>
      </c>
      <c r="CH18" t="s">
        <v>25</v>
      </c>
      <c r="CI18" t="s">
        <v>25</v>
      </c>
      <c r="CJ18" t="s">
        <v>25</v>
      </c>
      <c r="CK18" t="s">
        <v>25</v>
      </c>
      <c r="CL18" t="s">
        <v>25</v>
      </c>
      <c r="CM18" t="s">
        <v>49</v>
      </c>
      <c r="CN18" t="s">
        <v>25</v>
      </c>
      <c r="CO18" t="s">
        <v>25</v>
      </c>
      <c r="CP18" t="s">
        <v>25</v>
      </c>
      <c r="CQ18" t="s">
        <v>25</v>
      </c>
      <c r="CR18" t="s">
        <v>25</v>
      </c>
      <c r="CS18" t="s">
        <v>25</v>
      </c>
      <c r="CT18" t="s">
        <v>25</v>
      </c>
      <c r="CU18" t="s">
        <v>25</v>
      </c>
      <c r="CV18" t="s">
        <v>25</v>
      </c>
      <c r="CW18" t="s">
        <v>25</v>
      </c>
      <c r="CX18" t="s">
        <v>25</v>
      </c>
      <c r="CY18" t="s">
        <v>25</v>
      </c>
      <c r="CZ18" t="s">
        <v>25</v>
      </c>
      <c r="DA18" t="s">
        <v>25</v>
      </c>
      <c r="DB18" t="s">
        <v>25</v>
      </c>
      <c r="DC18" t="s">
        <v>25</v>
      </c>
      <c r="DD18" t="s">
        <v>25</v>
      </c>
      <c r="DE18" t="s">
        <v>25</v>
      </c>
      <c r="DF18" t="s">
        <v>25</v>
      </c>
      <c r="DG18" t="s">
        <v>25</v>
      </c>
      <c r="DI18" s="73">
        <v>52</v>
      </c>
      <c r="DJ18" s="73">
        <v>40</v>
      </c>
      <c r="DK18" s="73">
        <v>12</v>
      </c>
      <c r="DS18"/>
      <c r="DV18" s="65" t="s">
        <v>126</v>
      </c>
      <c r="DW18" t="s">
        <v>2913</v>
      </c>
      <c r="DX18" s="73">
        <v>0</v>
      </c>
      <c r="DY18" s="73">
        <v>0</v>
      </c>
      <c r="DZ18" s="73">
        <v>0</v>
      </c>
      <c r="EB18" s="65" t="s">
        <v>126</v>
      </c>
    </row>
    <row r="19" spans="1:132" x14ac:dyDescent="0.2">
      <c r="A19" t="s">
        <v>2936</v>
      </c>
      <c r="B19" t="s">
        <v>2946</v>
      </c>
      <c r="C19" t="s">
        <v>3798</v>
      </c>
      <c r="D19" s="65">
        <v>5629</v>
      </c>
      <c r="E19" t="s">
        <v>2024</v>
      </c>
      <c r="F19" s="71" t="s">
        <v>2907</v>
      </c>
      <c r="G19" s="67">
        <v>5.2999999374151202E-2</v>
      </c>
      <c r="H19" s="65">
        <v>525681</v>
      </c>
      <c r="I19" s="65">
        <v>174324</v>
      </c>
      <c r="K19" s="65" t="s">
        <v>2025</v>
      </c>
      <c r="L19" s="65" t="s">
        <v>27</v>
      </c>
      <c r="M19" s="69">
        <v>42934</v>
      </c>
      <c r="N19" s="69">
        <v>42936</v>
      </c>
      <c r="Q19" s="65" t="s">
        <v>28</v>
      </c>
      <c r="T19" t="s">
        <v>2026</v>
      </c>
      <c r="U19" s="65" t="s">
        <v>29</v>
      </c>
      <c r="V19" s="65" t="s">
        <v>29</v>
      </c>
      <c r="W19" s="65" t="s">
        <v>35</v>
      </c>
      <c r="Z19" s="69">
        <v>43190</v>
      </c>
      <c r="AA19" s="69">
        <v>43190</v>
      </c>
      <c r="AB19" s="65" t="s">
        <v>23</v>
      </c>
      <c r="AC19" s="65" t="s">
        <v>24</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185" t="s">
        <v>3794</v>
      </c>
      <c r="BO19" s="185" t="s">
        <v>3794</v>
      </c>
      <c r="BP19" s="185" t="s">
        <v>3794</v>
      </c>
      <c r="BQ19" s="73">
        <v>0</v>
      </c>
      <c r="BR19" s="73">
        <v>0</v>
      </c>
      <c r="BS19" s="73">
        <v>0</v>
      </c>
      <c r="BT19" s="73">
        <v>0</v>
      </c>
      <c r="BU19" s="73">
        <v>0</v>
      </c>
      <c r="BV19" s="73">
        <v>0</v>
      </c>
      <c r="BW19" s="73">
        <v>0</v>
      </c>
      <c r="BX19" s="73">
        <v>0</v>
      </c>
      <c r="BY19" s="73">
        <v>0</v>
      </c>
      <c r="BZ19" s="73">
        <v>0</v>
      </c>
      <c r="CA19" s="73">
        <v>0</v>
      </c>
      <c r="CB19" s="73">
        <v>0</v>
      </c>
      <c r="CD19" s="73">
        <v>0</v>
      </c>
      <c r="CE19" s="73">
        <v>0</v>
      </c>
      <c r="CF19" s="73">
        <v>0</v>
      </c>
      <c r="CG19" s="73">
        <v>0</v>
      </c>
      <c r="CH19" t="s">
        <v>25</v>
      </c>
      <c r="CI19" t="s">
        <v>25</v>
      </c>
      <c r="CJ19" t="s">
        <v>25</v>
      </c>
      <c r="CK19" t="s">
        <v>25</v>
      </c>
      <c r="CL19" t="s">
        <v>25</v>
      </c>
      <c r="CM19" t="s">
        <v>25</v>
      </c>
      <c r="CN19" t="s">
        <v>25</v>
      </c>
      <c r="CO19" t="s">
        <v>25</v>
      </c>
      <c r="CP19" t="s">
        <v>25</v>
      </c>
      <c r="CQ19" t="s">
        <v>25</v>
      </c>
      <c r="CR19" t="s">
        <v>25</v>
      </c>
      <c r="CS19" t="s">
        <v>25</v>
      </c>
      <c r="CT19" t="s">
        <v>25</v>
      </c>
      <c r="CU19" t="s">
        <v>25</v>
      </c>
      <c r="CV19" t="s">
        <v>25</v>
      </c>
      <c r="CW19" t="s">
        <v>25</v>
      </c>
      <c r="CX19" t="s">
        <v>25</v>
      </c>
      <c r="CY19" t="s">
        <v>25</v>
      </c>
      <c r="CZ19" t="s">
        <v>25</v>
      </c>
      <c r="DA19" t="s">
        <v>25</v>
      </c>
      <c r="DB19" t="s">
        <v>25</v>
      </c>
      <c r="DC19" t="s">
        <v>25</v>
      </c>
      <c r="DD19" t="s">
        <v>25</v>
      </c>
      <c r="DE19" t="s">
        <v>25</v>
      </c>
      <c r="DF19" t="s">
        <v>25</v>
      </c>
      <c r="DG19" t="s">
        <v>25</v>
      </c>
      <c r="DI19" s="73">
        <v>58</v>
      </c>
      <c r="DJ19" s="73">
        <v>0</v>
      </c>
      <c r="DK19" s="73">
        <v>58</v>
      </c>
      <c r="DS19"/>
      <c r="DT19" s="65" t="s">
        <v>126</v>
      </c>
      <c r="DU19" t="s">
        <v>114</v>
      </c>
      <c r="DX19" s="73">
        <v>0</v>
      </c>
      <c r="DY19" s="73">
        <v>0</v>
      </c>
      <c r="DZ19" s="73">
        <v>0</v>
      </c>
      <c r="EB19" s="65" t="s">
        <v>126</v>
      </c>
    </row>
    <row r="20" spans="1:132" x14ac:dyDescent="0.2">
      <c r="A20" t="s">
        <v>2936</v>
      </c>
      <c r="B20" t="s">
        <v>2946</v>
      </c>
      <c r="C20" t="s">
        <v>3798</v>
      </c>
      <c r="D20" s="65">
        <v>6069</v>
      </c>
      <c r="E20" t="s">
        <v>2161</v>
      </c>
      <c r="F20" s="71" t="s">
        <v>3946</v>
      </c>
      <c r="G20" s="67">
        <v>1.60000007599592E-2</v>
      </c>
      <c r="H20" s="65">
        <v>524324</v>
      </c>
      <c r="I20" s="65">
        <v>174957</v>
      </c>
      <c r="K20" s="65" t="s">
        <v>2162</v>
      </c>
      <c r="L20" s="65" t="s">
        <v>27</v>
      </c>
      <c r="M20" s="69">
        <v>42970</v>
      </c>
      <c r="N20" s="69">
        <v>43026</v>
      </c>
      <c r="Q20" s="65" t="s">
        <v>28</v>
      </c>
      <c r="T20" t="s">
        <v>2163</v>
      </c>
      <c r="U20" s="65" t="s">
        <v>21</v>
      </c>
      <c r="V20" s="65" t="s">
        <v>21</v>
      </c>
      <c r="W20" s="65" t="s">
        <v>35</v>
      </c>
      <c r="Y20" s="69">
        <v>43027</v>
      </c>
      <c r="Z20" s="69">
        <v>43082</v>
      </c>
      <c r="AA20" s="69">
        <v>43082</v>
      </c>
      <c r="AB20" s="65" t="s">
        <v>23</v>
      </c>
      <c r="AC20" s="65" t="s">
        <v>24</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90</v>
      </c>
      <c r="AY20" s="73">
        <v>0</v>
      </c>
      <c r="AZ20" s="73">
        <v>0</v>
      </c>
      <c r="BA20" s="73">
        <v>0</v>
      </c>
      <c r="BB20" s="73">
        <v>0</v>
      </c>
      <c r="BC20" s="73">
        <v>90</v>
      </c>
      <c r="BD20" s="73">
        <v>0</v>
      </c>
      <c r="BE20" s="73">
        <v>0</v>
      </c>
      <c r="BF20" s="73">
        <v>0</v>
      </c>
      <c r="BG20" s="73">
        <v>0</v>
      </c>
      <c r="BH20" s="73">
        <v>0</v>
      </c>
      <c r="BI20" s="73">
        <v>0</v>
      </c>
      <c r="BJ20" s="73">
        <v>0</v>
      </c>
      <c r="BK20" s="73">
        <v>0</v>
      </c>
      <c r="BL20" s="73">
        <v>0</v>
      </c>
      <c r="BM20" s="73">
        <v>0</v>
      </c>
      <c r="BN20" s="185" t="s">
        <v>126</v>
      </c>
      <c r="BO20" s="185" t="s">
        <v>3794</v>
      </c>
      <c r="BP20" s="185" t="s">
        <v>3794</v>
      </c>
      <c r="BQ20" s="73">
        <v>-90</v>
      </c>
      <c r="BR20" s="73">
        <v>0</v>
      </c>
      <c r="BS20" s="73">
        <v>0</v>
      </c>
      <c r="BT20" s="73">
        <v>0</v>
      </c>
      <c r="BU20" s="73">
        <v>0</v>
      </c>
      <c r="BV20" s="73">
        <v>-90</v>
      </c>
      <c r="BW20" s="73">
        <v>0</v>
      </c>
      <c r="BX20" s="73">
        <v>0</v>
      </c>
      <c r="BY20" s="73">
        <v>0</v>
      </c>
      <c r="BZ20" s="73">
        <v>0</v>
      </c>
      <c r="CA20" s="73">
        <v>0</v>
      </c>
      <c r="CB20" s="73">
        <v>0</v>
      </c>
      <c r="CD20" s="73">
        <v>0</v>
      </c>
      <c r="CE20" s="73">
        <v>0</v>
      </c>
      <c r="CF20" s="73">
        <v>0</v>
      </c>
      <c r="CG20" s="73">
        <v>0</v>
      </c>
      <c r="CH20" t="s">
        <v>25</v>
      </c>
      <c r="CI20" t="s">
        <v>25</v>
      </c>
      <c r="CJ20" t="s">
        <v>25</v>
      </c>
      <c r="CK20" t="s">
        <v>25</v>
      </c>
      <c r="CL20" t="s">
        <v>25</v>
      </c>
      <c r="CM20" t="s">
        <v>25</v>
      </c>
      <c r="CN20" t="s">
        <v>25</v>
      </c>
      <c r="CO20" t="s">
        <v>25</v>
      </c>
      <c r="CP20" t="s">
        <v>25</v>
      </c>
      <c r="CQ20" t="s">
        <v>25</v>
      </c>
      <c r="CR20" t="s">
        <v>25</v>
      </c>
      <c r="CS20" t="s">
        <v>25</v>
      </c>
      <c r="CT20" t="s">
        <v>25</v>
      </c>
      <c r="CU20" t="s">
        <v>47</v>
      </c>
      <c r="CV20" t="s">
        <v>25</v>
      </c>
      <c r="CW20" t="s">
        <v>25</v>
      </c>
      <c r="CX20" t="s">
        <v>25</v>
      </c>
      <c r="CY20" t="s">
        <v>25</v>
      </c>
      <c r="CZ20" t="s">
        <v>25</v>
      </c>
      <c r="DA20" t="s">
        <v>25</v>
      </c>
      <c r="DB20" t="s">
        <v>25</v>
      </c>
      <c r="DC20" t="s">
        <v>25</v>
      </c>
      <c r="DD20" t="s">
        <v>25</v>
      </c>
      <c r="DE20" t="s">
        <v>25</v>
      </c>
      <c r="DF20" t="s">
        <v>25</v>
      </c>
      <c r="DG20" t="s">
        <v>25</v>
      </c>
      <c r="DI20" s="73">
        <v>90</v>
      </c>
      <c r="DJ20" s="73">
        <v>90</v>
      </c>
      <c r="DK20" s="73">
        <v>0</v>
      </c>
      <c r="DS20"/>
      <c r="DT20" s="65" t="s">
        <v>126</v>
      </c>
      <c r="DU20" t="s">
        <v>112</v>
      </c>
      <c r="DX20" s="73">
        <v>0</v>
      </c>
      <c r="DY20" s="73">
        <v>0</v>
      </c>
      <c r="DZ20" s="73">
        <v>0</v>
      </c>
      <c r="EB20" s="65" t="s">
        <v>126</v>
      </c>
    </row>
    <row r="21" spans="1:132" x14ac:dyDescent="0.2">
      <c r="A21" t="s">
        <v>2938</v>
      </c>
      <c r="B21" t="s">
        <v>2946</v>
      </c>
      <c r="C21" t="s">
        <v>3798</v>
      </c>
      <c r="D21" s="65">
        <v>6079</v>
      </c>
      <c r="E21" t="s">
        <v>2166</v>
      </c>
      <c r="F21" s="71" t="s">
        <v>3946</v>
      </c>
      <c r="G21" s="67">
        <v>9.3000002205371898E-2</v>
      </c>
      <c r="H21" s="65">
        <v>525314</v>
      </c>
      <c r="I21" s="65">
        <v>175111</v>
      </c>
      <c r="J21" s="65" t="s">
        <v>1855</v>
      </c>
      <c r="K21" s="65" t="s">
        <v>2167</v>
      </c>
      <c r="L21" s="65" t="s">
        <v>172</v>
      </c>
      <c r="M21" s="69">
        <v>43147</v>
      </c>
      <c r="Q21" s="65" t="s">
        <v>28</v>
      </c>
      <c r="T21" t="s">
        <v>2168</v>
      </c>
      <c r="U21" s="65" t="s">
        <v>21</v>
      </c>
      <c r="V21" s="65" t="s">
        <v>21</v>
      </c>
      <c r="W21" s="65" t="s">
        <v>69</v>
      </c>
      <c r="AB21" s="65" t="s">
        <v>173</v>
      </c>
      <c r="AC21" s="65" t="s">
        <v>24</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1013</v>
      </c>
      <c r="BI21" s="73">
        <v>1013</v>
      </c>
      <c r="BJ21" s="73">
        <v>0</v>
      </c>
      <c r="BK21" s="73">
        <v>0</v>
      </c>
      <c r="BL21" s="73">
        <v>0</v>
      </c>
      <c r="BM21" s="73">
        <v>0</v>
      </c>
      <c r="BN21" s="185" t="s">
        <v>3794</v>
      </c>
      <c r="BO21" s="185" t="s">
        <v>126</v>
      </c>
      <c r="BP21" s="185" t="s">
        <v>3794</v>
      </c>
      <c r="BQ21" s="73">
        <v>0</v>
      </c>
      <c r="BR21" s="73">
        <v>0</v>
      </c>
      <c r="BS21" s="73">
        <v>0</v>
      </c>
      <c r="BT21" s="73">
        <v>0</v>
      </c>
      <c r="BU21" s="73">
        <v>0</v>
      </c>
      <c r="BV21" s="73">
        <v>0</v>
      </c>
      <c r="BW21" s="73">
        <v>0</v>
      </c>
      <c r="BX21" s="73">
        <v>0</v>
      </c>
      <c r="BY21" s="73">
        <v>0</v>
      </c>
      <c r="BZ21" s="73">
        <v>0</v>
      </c>
      <c r="CA21" s="73">
        <v>-1013</v>
      </c>
      <c r="CB21" s="73">
        <v>-1013</v>
      </c>
      <c r="CC21" s="65" t="s">
        <v>126</v>
      </c>
      <c r="CD21" s="73">
        <v>0</v>
      </c>
      <c r="CE21" s="73">
        <v>0</v>
      </c>
      <c r="CF21" s="73">
        <v>0</v>
      </c>
      <c r="CG21" s="73">
        <v>0</v>
      </c>
      <c r="CH21" t="s">
        <v>25</v>
      </c>
      <c r="CI21" t="s">
        <v>25</v>
      </c>
      <c r="CJ21" t="s">
        <v>25</v>
      </c>
      <c r="CK21" t="s">
        <v>25</v>
      </c>
      <c r="CL21" t="s">
        <v>25</v>
      </c>
      <c r="CM21" t="s">
        <v>25</v>
      </c>
      <c r="CN21" t="s">
        <v>25</v>
      </c>
      <c r="CO21" t="s">
        <v>25</v>
      </c>
      <c r="CP21" t="s">
        <v>25</v>
      </c>
      <c r="CQ21" t="s">
        <v>25</v>
      </c>
      <c r="CR21" t="s">
        <v>25</v>
      </c>
      <c r="CS21" t="s">
        <v>25</v>
      </c>
      <c r="CT21" t="s">
        <v>25</v>
      </c>
      <c r="CU21" t="s">
        <v>25</v>
      </c>
      <c r="CV21" t="s">
        <v>25</v>
      </c>
      <c r="CW21" t="s">
        <v>25</v>
      </c>
      <c r="CX21" t="s">
        <v>25</v>
      </c>
      <c r="CY21" t="s">
        <v>25</v>
      </c>
      <c r="CZ21" t="s">
        <v>25</v>
      </c>
      <c r="DA21" t="s">
        <v>25</v>
      </c>
      <c r="DB21" t="s">
        <v>25</v>
      </c>
      <c r="DC21" t="s">
        <v>25</v>
      </c>
      <c r="DD21" t="s">
        <v>53</v>
      </c>
      <c r="DE21" t="s">
        <v>25</v>
      </c>
      <c r="DF21" t="s">
        <v>25</v>
      </c>
      <c r="DG21" t="s">
        <v>25</v>
      </c>
      <c r="DI21" s="73">
        <v>1013</v>
      </c>
      <c r="DJ21" s="73">
        <v>1013</v>
      </c>
      <c r="DK21" s="73">
        <v>0</v>
      </c>
      <c r="DL21" s="65" t="s">
        <v>126</v>
      </c>
      <c r="DQ21" s="65" t="s">
        <v>126</v>
      </c>
      <c r="DR21" t="s">
        <v>61</v>
      </c>
      <c r="DS21"/>
      <c r="DX21" s="73">
        <v>0</v>
      </c>
      <c r="DY21" s="73">
        <v>0</v>
      </c>
      <c r="DZ21" s="73">
        <v>0</v>
      </c>
      <c r="EB21" s="65" t="s">
        <v>126</v>
      </c>
    </row>
    <row r="22" spans="1:132" x14ac:dyDescent="0.2">
      <c r="A22" t="s">
        <v>2937</v>
      </c>
      <c r="B22" t="s">
        <v>2946</v>
      </c>
      <c r="C22" t="s">
        <v>3798</v>
      </c>
      <c r="D22" s="65">
        <v>6267</v>
      </c>
      <c r="E22" t="s">
        <v>2245</v>
      </c>
      <c r="F22" s="71" t="s">
        <v>3948</v>
      </c>
      <c r="G22" s="67">
        <v>9.9999997764825804E-3</v>
      </c>
      <c r="H22" s="65">
        <v>526873</v>
      </c>
      <c r="I22" s="65">
        <v>175509</v>
      </c>
      <c r="J22" s="65" t="s">
        <v>2001</v>
      </c>
      <c r="K22" s="65" t="s">
        <v>840</v>
      </c>
      <c r="L22" s="65" t="s">
        <v>27</v>
      </c>
      <c r="M22" s="69">
        <v>42468</v>
      </c>
      <c r="N22" s="69">
        <v>42503</v>
      </c>
      <c r="Q22" s="65" t="s">
        <v>28</v>
      </c>
      <c r="T22" t="s">
        <v>841</v>
      </c>
      <c r="U22" s="65" t="s">
        <v>29</v>
      </c>
      <c r="V22" s="65" t="s">
        <v>29</v>
      </c>
      <c r="W22" s="65" t="s">
        <v>59</v>
      </c>
      <c r="AB22" s="65" t="s">
        <v>23</v>
      </c>
      <c r="AC22" s="65" t="s">
        <v>24</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185" t="s">
        <v>3794</v>
      </c>
      <c r="BO22" s="185" t="s">
        <v>3794</v>
      </c>
      <c r="BP22" s="185" t="s">
        <v>3794</v>
      </c>
      <c r="BQ22" s="73">
        <v>0</v>
      </c>
      <c r="BR22" s="73">
        <v>0</v>
      </c>
      <c r="BS22" s="73">
        <v>0</v>
      </c>
      <c r="BT22" s="73">
        <v>0</v>
      </c>
      <c r="BU22" s="73">
        <v>0</v>
      </c>
      <c r="BV22" s="73">
        <v>0</v>
      </c>
      <c r="BW22" s="73">
        <v>0</v>
      </c>
      <c r="BX22" s="73">
        <v>0</v>
      </c>
      <c r="BY22" s="73">
        <v>0</v>
      </c>
      <c r="BZ22" s="73">
        <v>0</v>
      </c>
      <c r="CA22" s="73">
        <v>0</v>
      </c>
      <c r="CB22" s="73">
        <v>0</v>
      </c>
      <c r="CD22" s="73">
        <v>0</v>
      </c>
      <c r="CE22" s="73">
        <v>0</v>
      </c>
      <c r="CF22" s="73">
        <v>0</v>
      </c>
      <c r="CG22" s="73">
        <v>0</v>
      </c>
      <c r="CH22" t="s">
        <v>25</v>
      </c>
      <c r="CI22" t="s">
        <v>25</v>
      </c>
      <c r="CJ22" t="s">
        <v>25</v>
      </c>
      <c r="CK22" t="s">
        <v>25</v>
      </c>
      <c r="CL22" t="s">
        <v>25</v>
      </c>
      <c r="CM22" t="s">
        <v>25</v>
      </c>
      <c r="CN22" t="s">
        <v>25</v>
      </c>
      <c r="CO22" t="s">
        <v>25</v>
      </c>
      <c r="CP22" t="s">
        <v>25</v>
      </c>
      <c r="CQ22" t="s">
        <v>25</v>
      </c>
      <c r="CR22" t="s">
        <v>25</v>
      </c>
      <c r="CS22" t="s">
        <v>25</v>
      </c>
      <c r="CT22" t="s">
        <v>25</v>
      </c>
      <c r="CU22" t="s">
        <v>25</v>
      </c>
      <c r="CV22" t="s">
        <v>25</v>
      </c>
      <c r="CW22" t="s">
        <v>25</v>
      </c>
      <c r="CX22" t="s">
        <v>25</v>
      </c>
      <c r="CY22" t="s">
        <v>25</v>
      </c>
      <c r="CZ22" t="s">
        <v>25</v>
      </c>
      <c r="DA22" t="s">
        <v>25</v>
      </c>
      <c r="DB22" t="s">
        <v>25</v>
      </c>
      <c r="DC22" t="s">
        <v>25</v>
      </c>
      <c r="DD22" t="s">
        <v>25</v>
      </c>
      <c r="DE22" t="s">
        <v>25</v>
      </c>
      <c r="DF22" t="s">
        <v>25</v>
      </c>
      <c r="DG22" t="s">
        <v>25</v>
      </c>
      <c r="DI22" s="73">
        <v>108</v>
      </c>
      <c r="DJ22" s="73">
        <v>0</v>
      </c>
      <c r="DK22" s="73">
        <v>108</v>
      </c>
      <c r="DS22"/>
      <c r="DX22" s="73">
        <v>0</v>
      </c>
      <c r="DY22" s="73">
        <v>0</v>
      </c>
      <c r="DZ22" s="73">
        <v>0</v>
      </c>
      <c r="EB22" s="65" t="s">
        <v>126</v>
      </c>
    </row>
    <row r="23" spans="1:132" x14ac:dyDescent="0.2">
      <c r="A23" t="s">
        <v>2935</v>
      </c>
      <c r="B23" t="s">
        <v>2946</v>
      </c>
      <c r="C23" t="s">
        <v>3798</v>
      </c>
      <c r="D23" s="65">
        <v>6477</v>
      </c>
      <c r="E23" t="s">
        <v>2351</v>
      </c>
      <c r="F23" s="71" t="s">
        <v>3947</v>
      </c>
      <c r="G23" s="67">
        <v>7.1999996900558499E-2</v>
      </c>
      <c r="H23" s="65">
        <v>529778</v>
      </c>
      <c r="I23" s="65">
        <v>177730</v>
      </c>
      <c r="K23" s="65" t="s">
        <v>879</v>
      </c>
      <c r="L23" s="65" t="s">
        <v>27</v>
      </c>
      <c r="M23" s="69">
        <v>42506</v>
      </c>
      <c r="N23" s="69">
        <v>42555</v>
      </c>
      <c r="Q23" s="65" t="s">
        <v>28</v>
      </c>
      <c r="T23" t="s">
        <v>880</v>
      </c>
      <c r="U23" s="65" t="s">
        <v>29</v>
      </c>
      <c r="V23" s="65" t="s">
        <v>29</v>
      </c>
      <c r="W23" s="65" t="s">
        <v>30</v>
      </c>
      <c r="Y23" s="69">
        <v>42825</v>
      </c>
      <c r="AB23" s="65" t="s">
        <v>23</v>
      </c>
      <c r="AC23" s="65" t="s">
        <v>24</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185" t="s">
        <v>3794</v>
      </c>
      <c r="BO23" s="185" t="s">
        <v>3794</v>
      </c>
      <c r="BP23" s="185" t="s">
        <v>3794</v>
      </c>
      <c r="BQ23" s="73">
        <v>0</v>
      </c>
      <c r="BR23" s="73">
        <v>0</v>
      </c>
      <c r="BS23" s="73">
        <v>0</v>
      </c>
      <c r="BT23" s="73">
        <v>0</v>
      </c>
      <c r="BU23" s="73">
        <v>0</v>
      </c>
      <c r="BV23" s="73">
        <v>0</v>
      </c>
      <c r="BW23" s="73">
        <v>0</v>
      </c>
      <c r="BX23" s="73">
        <v>0</v>
      </c>
      <c r="BY23" s="73">
        <v>0</v>
      </c>
      <c r="BZ23" s="73">
        <v>0</v>
      </c>
      <c r="CA23" s="73">
        <v>0</v>
      </c>
      <c r="CB23" s="73">
        <v>0</v>
      </c>
      <c r="CD23" s="73">
        <v>0</v>
      </c>
      <c r="CE23" s="73">
        <v>0</v>
      </c>
      <c r="CF23" s="73">
        <v>0</v>
      </c>
      <c r="CG23" s="73">
        <v>0</v>
      </c>
      <c r="CH23" t="s">
        <v>25</v>
      </c>
      <c r="CI23" t="s">
        <v>25</v>
      </c>
      <c r="CJ23" t="s">
        <v>25</v>
      </c>
      <c r="CK23" t="s">
        <v>25</v>
      </c>
      <c r="CL23" t="s">
        <v>25</v>
      </c>
      <c r="CM23" t="s">
        <v>25</v>
      </c>
      <c r="CN23" t="s">
        <v>25</v>
      </c>
      <c r="CO23" t="s">
        <v>25</v>
      </c>
      <c r="CP23" t="s">
        <v>25</v>
      </c>
      <c r="CQ23" t="s">
        <v>25</v>
      </c>
      <c r="CR23" t="s">
        <v>25</v>
      </c>
      <c r="CS23" t="s">
        <v>25</v>
      </c>
      <c r="CT23" t="s">
        <v>25</v>
      </c>
      <c r="CU23" t="s">
        <v>25</v>
      </c>
      <c r="CV23" t="s">
        <v>25</v>
      </c>
      <c r="CW23" t="s">
        <v>25</v>
      </c>
      <c r="CX23" t="s">
        <v>25</v>
      </c>
      <c r="CY23" t="s">
        <v>25</v>
      </c>
      <c r="CZ23" t="s">
        <v>25</v>
      </c>
      <c r="DA23" t="s">
        <v>25</v>
      </c>
      <c r="DB23" t="s">
        <v>25</v>
      </c>
      <c r="DC23" t="s">
        <v>25</v>
      </c>
      <c r="DD23" t="s">
        <v>25</v>
      </c>
      <c r="DE23" t="s">
        <v>25</v>
      </c>
      <c r="DF23" t="s">
        <v>25</v>
      </c>
      <c r="DG23" t="s">
        <v>25</v>
      </c>
      <c r="DI23" s="73">
        <v>47</v>
      </c>
      <c r="DJ23" s="73">
        <v>0</v>
      </c>
      <c r="DK23" s="73">
        <v>47</v>
      </c>
      <c r="DL23" s="65" t="s">
        <v>126</v>
      </c>
      <c r="DS23" s="65" t="s">
        <v>126</v>
      </c>
      <c r="DX23" s="73">
        <v>0</v>
      </c>
      <c r="DY23" s="73">
        <v>0</v>
      </c>
      <c r="DZ23" s="73">
        <v>0</v>
      </c>
      <c r="EB23" s="65" t="s">
        <v>126</v>
      </c>
    </row>
    <row r="24" spans="1:132" x14ac:dyDescent="0.2">
      <c r="A24" t="s">
        <v>2936</v>
      </c>
      <c r="B24" t="s">
        <v>2948</v>
      </c>
      <c r="C24" t="s">
        <v>422</v>
      </c>
      <c r="D24" s="65">
        <v>6635</v>
      </c>
      <c r="E24" t="s">
        <v>2497</v>
      </c>
      <c r="F24" s="71" t="s">
        <v>3943</v>
      </c>
      <c r="G24" s="67">
        <v>2.5000000372528999E-2</v>
      </c>
      <c r="H24" s="65">
        <v>526284</v>
      </c>
      <c r="I24" s="65">
        <v>175487</v>
      </c>
      <c r="K24" s="65" t="s">
        <v>2498</v>
      </c>
      <c r="L24" s="65" t="s">
        <v>244</v>
      </c>
      <c r="M24" s="69">
        <v>42899</v>
      </c>
      <c r="N24" s="69">
        <v>42912</v>
      </c>
      <c r="Q24" s="65" t="s">
        <v>28</v>
      </c>
      <c r="T24" t="s">
        <v>2499</v>
      </c>
      <c r="U24" s="65" t="s">
        <v>21</v>
      </c>
      <c r="V24" s="65" t="s">
        <v>21</v>
      </c>
      <c r="W24" s="65" t="s">
        <v>35</v>
      </c>
      <c r="Y24" s="69">
        <v>42912</v>
      </c>
      <c r="Z24" s="69">
        <v>43190</v>
      </c>
      <c r="AA24" s="69">
        <v>43190</v>
      </c>
      <c r="AB24" s="65" t="s">
        <v>23</v>
      </c>
      <c r="AC24" s="65" t="s">
        <v>24</v>
      </c>
      <c r="AH24" s="73">
        <v>0</v>
      </c>
      <c r="AI24" s="73">
        <v>0</v>
      </c>
      <c r="AJ24" s="73">
        <v>0</v>
      </c>
      <c r="AK24" s="73">
        <v>0</v>
      </c>
      <c r="AL24" s="73">
        <v>0</v>
      </c>
      <c r="AM24" s="73">
        <v>0</v>
      </c>
      <c r="AN24" s="73">
        <v>70</v>
      </c>
      <c r="AO24" s="73">
        <v>0</v>
      </c>
      <c r="AP24" s="73">
        <v>0</v>
      </c>
      <c r="AQ24" s="73">
        <v>0</v>
      </c>
      <c r="AR24" s="73">
        <v>0</v>
      </c>
      <c r="AS24" s="73">
        <v>70</v>
      </c>
      <c r="AT24" s="73">
        <v>0</v>
      </c>
      <c r="AU24" s="73">
        <v>0</v>
      </c>
      <c r="AV24" s="73">
        <v>0</v>
      </c>
      <c r="AW24" s="73">
        <v>0</v>
      </c>
      <c r="AX24" s="73">
        <v>70</v>
      </c>
      <c r="AY24" s="73">
        <v>0</v>
      </c>
      <c r="AZ24" s="73">
        <v>0</v>
      </c>
      <c r="BA24" s="73">
        <v>0</v>
      </c>
      <c r="BB24" s="73">
        <v>0</v>
      </c>
      <c r="BC24" s="73">
        <v>70</v>
      </c>
      <c r="BD24" s="73">
        <v>0</v>
      </c>
      <c r="BE24" s="73">
        <v>0</v>
      </c>
      <c r="BF24" s="73">
        <v>0</v>
      </c>
      <c r="BG24" s="73">
        <v>0</v>
      </c>
      <c r="BH24" s="73">
        <v>0</v>
      </c>
      <c r="BI24" s="73">
        <v>0</v>
      </c>
      <c r="BJ24" s="73">
        <v>0</v>
      </c>
      <c r="BK24" s="73">
        <v>0</v>
      </c>
      <c r="BL24" s="73">
        <v>0</v>
      </c>
      <c r="BM24" s="73">
        <v>0</v>
      </c>
      <c r="BN24" s="185" t="s">
        <v>126</v>
      </c>
      <c r="BO24" s="185" t="s">
        <v>126</v>
      </c>
      <c r="BP24" s="185" t="s">
        <v>3794</v>
      </c>
      <c r="BQ24" s="73">
        <v>-70</v>
      </c>
      <c r="BR24" s="73">
        <v>0</v>
      </c>
      <c r="BS24" s="73">
        <v>0</v>
      </c>
      <c r="BT24" s="73">
        <v>0</v>
      </c>
      <c r="BU24" s="73">
        <v>0</v>
      </c>
      <c r="BV24" s="73">
        <v>-70</v>
      </c>
      <c r="BW24" s="73">
        <v>70</v>
      </c>
      <c r="BX24" s="73">
        <v>0</v>
      </c>
      <c r="BY24" s="73">
        <v>0</v>
      </c>
      <c r="BZ24" s="73">
        <v>0</v>
      </c>
      <c r="CA24" s="73">
        <v>0</v>
      </c>
      <c r="CB24" s="73">
        <v>70</v>
      </c>
      <c r="CD24" s="73">
        <v>0</v>
      </c>
      <c r="CE24" s="73">
        <v>0</v>
      </c>
      <c r="CF24" s="73">
        <v>0</v>
      </c>
      <c r="CG24" s="73">
        <v>0</v>
      </c>
      <c r="CH24" t="s">
        <v>25</v>
      </c>
      <c r="CI24" t="s">
        <v>25</v>
      </c>
      <c r="CJ24" t="s">
        <v>25</v>
      </c>
      <c r="CK24" t="s">
        <v>25</v>
      </c>
      <c r="CL24" t="s">
        <v>25</v>
      </c>
      <c r="CM24" t="s">
        <v>31</v>
      </c>
      <c r="CN24" t="s">
        <v>25</v>
      </c>
      <c r="CO24" t="s">
        <v>25</v>
      </c>
      <c r="CP24" t="s">
        <v>25</v>
      </c>
      <c r="CQ24" t="s">
        <v>25</v>
      </c>
      <c r="CR24" t="s">
        <v>25</v>
      </c>
      <c r="CS24" t="s">
        <v>25</v>
      </c>
      <c r="CT24" t="s">
        <v>25</v>
      </c>
      <c r="CU24" t="s">
        <v>31</v>
      </c>
      <c r="CV24" t="s">
        <v>25</v>
      </c>
      <c r="CW24" t="s">
        <v>25</v>
      </c>
      <c r="CX24" t="s">
        <v>25</v>
      </c>
      <c r="CY24" t="s">
        <v>25</v>
      </c>
      <c r="CZ24" t="s">
        <v>25</v>
      </c>
      <c r="DA24" t="s">
        <v>25</v>
      </c>
      <c r="DB24" t="s">
        <v>25</v>
      </c>
      <c r="DC24" t="s">
        <v>25</v>
      </c>
      <c r="DD24" t="s">
        <v>25</v>
      </c>
      <c r="DE24" t="s">
        <v>25</v>
      </c>
      <c r="DF24" t="s">
        <v>25</v>
      </c>
      <c r="DG24" t="s">
        <v>25</v>
      </c>
      <c r="DI24" s="73">
        <v>70</v>
      </c>
      <c r="DJ24" s="73">
        <v>70</v>
      </c>
      <c r="DK24" s="73">
        <v>0</v>
      </c>
      <c r="DL24" s="65" t="s">
        <v>126</v>
      </c>
      <c r="DS24"/>
      <c r="DX24" s="73">
        <v>0</v>
      </c>
      <c r="DY24" s="73">
        <v>0</v>
      </c>
      <c r="DZ24" s="73">
        <v>0</v>
      </c>
      <c r="EB24" s="65" t="s">
        <v>126</v>
      </c>
    </row>
    <row r="25" spans="1:132" x14ac:dyDescent="0.2">
      <c r="A25" t="s">
        <v>2937</v>
      </c>
      <c r="B25" t="s">
        <v>2948</v>
      </c>
      <c r="C25" t="s">
        <v>422</v>
      </c>
      <c r="D25" s="65">
        <v>6640</v>
      </c>
      <c r="E25" t="s">
        <v>2500</v>
      </c>
      <c r="F25" s="71" t="s">
        <v>3948</v>
      </c>
      <c r="G25" s="67">
        <v>8.0000003799796104E-3</v>
      </c>
      <c r="H25" s="65">
        <v>526806</v>
      </c>
      <c r="I25" s="65">
        <v>175862</v>
      </c>
      <c r="K25" s="65" t="s">
        <v>2501</v>
      </c>
      <c r="L25" s="65" t="s">
        <v>244</v>
      </c>
      <c r="M25" s="69">
        <v>42941</v>
      </c>
      <c r="N25" s="69">
        <v>42996</v>
      </c>
      <c r="Q25" s="65" t="s">
        <v>28</v>
      </c>
      <c r="T25" t="s">
        <v>2502</v>
      </c>
      <c r="U25" s="65" t="s">
        <v>21</v>
      </c>
      <c r="V25" s="65" t="s">
        <v>21</v>
      </c>
      <c r="W25" s="65" t="s">
        <v>59</v>
      </c>
      <c r="AB25" s="65" t="s">
        <v>23</v>
      </c>
      <c r="AC25" s="65" t="s">
        <v>24</v>
      </c>
      <c r="AH25" s="73">
        <v>0</v>
      </c>
      <c r="AI25" s="73">
        <v>0</v>
      </c>
      <c r="AJ25" s="73">
        <v>59</v>
      </c>
      <c r="AK25" s="73">
        <v>0</v>
      </c>
      <c r="AL25" s="73">
        <v>0</v>
      </c>
      <c r="AM25" s="73">
        <v>59</v>
      </c>
      <c r="AN25" s="73">
        <v>0</v>
      </c>
      <c r="AO25" s="73">
        <v>0</v>
      </c>
      <c r="AP25" s="73">
        <v>0</v>
      </c>
      <c r="AQ25" s="73">
        <v>0</v>
      </c>
      <c r="AR25" s="73">
        <v>0</v>
      </c>
      <c r="AS25" s="73">
        <v>0</v>
      </c>
      <c r="AT25" s="73">
        <v>0</v>
      </c>
      <c r="AU25" s="73">
        <v>0</v>
      </c>
      <c r="AV25" s="73">
        <v>0</v>
      </c>
      <c r="AW25" s="73">
        <v>0</v>
      </c>
      <c r="AX25" s="73">
        <v>59</v>
      </c>
      <c r="AY25" s="73">
        <v>0</v>
      </c>
      <c r="AZ25" s="73">
        <v>0</v>
      </c>
      <c r="BA25" s="73">
        <v>0</v>
      </c>
      <c r="BB25" s="73">
        <v>0</v>
      </c>
      <c r="BC25" s="73">
        <v>59</v>
      </c>
      <c r="BD25" s="73">
        <v>0</v>
      </c>
      <c r="BE25" s="73">
        <v>0</v>
      </c>
      <c r="BF25" s="73">
        <v>0</v>
      </c>
      <c r="BG25" s="73">
        <v>0</v>
      </c>
      <c r="BH25" s="73">
        <v>0</v>
      </c>
      <c r="BI25" s="73">
        <v>0</v>
      </c>
      <c r="BJ25" s="73">
        <v>0</v>
      </c>
      <c r="BK25" s="73">
        <v>0</v>
      </c>
      <c r="BL25" s="73">
        <v>0</v>
      </c>
      <c r="BM25" s="73">
        <v>0</v>
      </c>
      <c r="BN25" s="185" t="s">
        <v>126</v>
      </c>
      <c r="BO25" s="185" t="s">
        <v>3794</v>
      </c>
      <c r="BP25" s="185" t="s">
        <v>3794</v>
      </c>
      <c r="BQ25" s="73">
        <v>-59</v>
      </c>
      <c r="BR25" s="73">
        <v>0</v>
      </c>
      <c r="BS25" s="73">
        <v>59</v>
      </c>
      <c r="BT25" s="73">
        <v>0</v>
      </c>
      <c r="BU25" s="73">
        <v>0</v>
      </c>
      <c r="BV25" s="73">
        <v>0</v>
      </c>
      <c r="BW25" s="73">
        <v>0</v>
      </c>
      <c r="BX25" s="73">
        <v>0</v>
      </c>
      <c r="BY25" s="73">
        <v>0</v>
      </c>
      <c r="BZ25" s="73">
        <v>0</v>
      </c>
      <c r="CA25" s="73">
        <v>0</v>
      </c>
      <c r="CB25" s="73">
        <v>0</v>
      </c>
      <c r="CD25" s="73">
        <v>0</v>
      </c>
      <c r="CE25" s="73">
        <v>0</v>
      </c>
      <c r="CF25" s="73">
        <v>0</v>
      </c>
      <c r="CG25" s="73">
        <v>0</v>
      </c>
      <c r="CH25" t="s">
        <v>25</v>
      </c>
      <c r="CI25" t="s">
        <v>25</v>
      </c>
      <c r="CJ25" t="s">
        <v>50</v>
      </c>
      <c r="CK25" t="s">
        <v>25</v>
      </c>
      <c r="CL25" t="s">
        <v>25</v>
      </c>
      <c r="CM25" t="s">
        <v>25</v>
      </c>
      <c r="CN25" t="s">
        <v>25</v>
      </c>
      <c r="CO25" t="s">
        <v>25</v>
      </c>
      <c r="CP25" t="s">
        <v>25</v>
      </c>
      <c r="CQ25" t="s">
        <v>25</v>
      </c>
      <c r="CR25" t="s">
        <v>25</v>
      </c>
      <c r="CS25" t="s">
        <v>25</v>
      </c>
      <c r="CT25" t="s">
        <v>25</v>
      </c>
      <c r="CU25" t="s">
        <v>47</v>
      </c>
      <c r="CV25" t="s">
        <v>25</v>
      </c>
      <c r="CW25" t="s">
        <v>25</v>
      </c>
      <c r="CX25" t="s">
        <v>25</v>
      </c>
      <c r="CY25" t="s">
        <v>25</v>
      </c>
      <c r="CZ25" t="s">
        <v>25</v>
      </c>
      <c r="DA25" t="s">
        <v>25</v>
      </c>
      <c r="DB25" t="s">
        <v>25</v>
      </c>
      <c r="DC25" t="s">
        <v>25</v>
      </c>
      <c r="DD25" t="s">
        <v>25</v>
      </c>
      <c r="DE25" t="s">
        <v>25</v>
      </c>
      <c r="DF25" t="s">
        <v>25</v>
      </c>
      <c r="DG25" t="s">
        <v>25</v>
      </c>
      <c r="DI25" s="73">
        <v>59</v>
      </c>
      <c r="DJ25" s="73">
        <v>59</v>
      </c>
      <c r="DK25" s="73">
        <v>0</v>
      </c>
      <c r="DS25"/>
      <c r="DX25" s="73">
        <v>0</v>
      </c>
      <c r="DY25" s="73">
        <v>0</v>
      </c>
      <c r="DZ25" s="73">
        <v>0</v>
      </c>
      <c r="EB25" s="65" t="s">
        <v>126</v>
      </c>
    </row>
    <row r="26" spans="1:132" x14ac:dyDescent="0.2">
      <c r="A26" t="s">
        <v>2936</v>
      </c>
      <c r="B26" t="s">
        <v>2946</v>
      </c>
      <c r="C26" t="s">
        <v>3798</v>
      </c>
      <c r="D26" s="65">
        <v>6712</v>
      </c>
      <c r="E26" t="s">
        <v>2577</v>
      </c>
      <c r="F26" s="71" t="s">
        <v>150</v>
      </c>
      <c r="G26" s="67">
        <v>0.21500000357627899</v>
      </c>
      <c r="H26" s="65">
        <v>526787</v>
      </c>
      <c r="I26" s="65">
        <v>171180</v>
      </c>
      <c r="K26" s="65" t="s">
        <v>2578</v>
      </c>
      <c r="L26" s="65" t="s">
        <v>27</v>
      </c>
      <c r="M26" s="69">
        <v>42944</v>
      </c>
      <c r="N26" s="69">
        <v>43066</v>
      </c>
      <c r="Q26" s="65" t="s">
        <v>28</v>
      </c>
      <c r="T26" t="s">
        <v>2579</v>
      </c>
      <c r="U26" s="65" t="s">
        <v>39</v>
      </c>
      <c r="V26" s="65" t="s">
        <v>21</v>
      </c>
      <c r="W26" s="65" t="s">
        <v>35</v>
      </c>
      <c r="Y26" s="69">
        <v>42797</v>
      </c>
      <c r="Z26" s="69">
        <v>42867</v>
      </c>
      <c r="AA26" s="69">
        <v>42867</v>
      </c>
      <c r="AB26" s="65" t="s">
        <v>23</v>
      </c>
      <c r="AC26" s="65" t="s">
        <v>24</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185" t="s">
        <v>3794</v>
      </c>
      <c r="BO26" s="185" t="s">
        <v>3794</v>
      </c>
      <c r="BP26" s="185" t="s">
        <v>3794</v>
      </c>
      <c r="BQ26" s="73">
        <v>0</v>
      </c>
      <c r="BR26" s="73">
        <v>0</v>
      </c>
      <c r="BS26" s="73">
        <v>0</v>
      </c>
      <c r="BT26" s="73">
        <v>0</v>
      </c>
      <c r="BU26" s="73">
        <v>0</v>
      </c>
      <c r="BV26" s="73">
        <v>0</v>
      </c>
      <c r="BW26" s="73">
        <v>0</v>
      </c>
      <c r="BX26" s="73">
        <v>0</v>
      </c>
      <c r="BY26" s="73">
        <v>0</v>
      </c>
      <c r="BZ26" s="73">
        <v>0</v>
      </c>
      <c r="CA26" s="73">
        <v>0</v>
      </c>
      <c r="CB26" s="73">
        <v>0</v>
      </c>
      <c r="CD26" s="73">
        <v>0</v>
      </c>
      <c r="CE26" s="73">
        <v>0</v>
      </c>
      <c r="CF26" s="73">
        <v>0</v>
      </c>
      <c r="CG26" s="73">
        <v>0</v>
      </c>
      <c r="CH26" t="s">
        <v>25</v>
      </c>
      <c r="CI26" t="s">
        <v>25</v>
      </c>
      <c r="CJ26" t="s">
        <v>25</v>
      </c>
      <c r="CK26" t="s">
        <v>25</v>
      </c>
      <c r="CL26" t="s">
        <v>25</v>
      </c>
      <c r="CM26" t="s">
        <v>25</v>
      </c>
      <c r="CN26" t="s">
        <v>25</v>
      </c>
      <c r="CO26" t="s">
        <v>25</v>
      </c>
      <c r="CP26" t="s">
        <v>25</v>
      </c>
      <c r="CQ26" t="s">
        <v>25</v>
      </c>
      <c r="CR26" t="s">
        <v>25</v>
      </c>
      <c r="CS26" t="s">
        <v>25</v>
      </c>
      <c r="CT26" t="s">
        <v>25</v>
      </c>
      <c r="CU26" t="s">
        <v>25</v>
      </c>
      <c r="CV26" t="s">
        <v>25</v>
      </c>
      <c r="CW26" t="s">
        <v>25</v>
      </c>
      <c r="CX26" t="s">
        <v>25</v>
      </c>
      <c r="CY26" t="s">
        <v>25</v>
      </c>
      <c r="CZ26" t="s">
        <v>25</v>
      </c>
      <c r="DA26" t="s">
        <v>25</v>
      </c>
      <c r="DB26" t="s">
        <v>25</v>
      </c>
      <c r="DC26" t="s">
        <v>25</v>
      </c>
      <c r="DD26" t="s">
        <v>25</v>
      </c>
      <c r="DE26" t="s">
        <v>25</v>
      </c>
      <c r="DF26" t="s">
        <v>25</v>
      </c>
      <c r="DG26" t="s">
        <v>25</v>
      </c>
      <c r="DI26" s="73">
        <v>0</v>
      </c>
      <c r="DJ26" s="73">
        <v>1500</v>
      </c>
      <c r="DK26" s="73">
        <v>-1500</v>
      </c>
      <c r="DS26"/>
      <c r="DX26" s="73">
        <v>0</v>
      </c>
      <c r="DY26" s="73">
        <v>0</v>
      </c>
      <c r="DZ26" s="73">
        <v>0</v>
      </c>
      <c r="EB26" s="65" t="s">
        <v>126</v>
      </c>
    </row>
    <row r="27" spans="1:132" x14ac:dyDescent="0.2">
      <c r="A27" t="s">
        <v>2938</v>
      </c>
      <c r="B27" t="s">
        <v>2946</v>
      </c>
      <c r="C27" t="s">
        <v>3798</v>
      </c>
      <c r="D27" s="65">
        <v>6816</v>
      </c>
      <c r="E27" t="s">
        <v>2720</v>
      </c>
      <c r="F27" s="71" t="s">
        <v>3947</v>
      </c>
      <c r="G27" s="67">
        <v>8.0000003799796104E-3</v>
      </c>
      <c r="H27" s="65">
        <v>528717</v>
      </c>
      <c r="I27" s="65">
        <v>176891</v>
      </c>
      <c r="J27" s="65" t="s">
        <v>2071</v>
      </c>
      <c r="K27" s="65" t="s">
        <v>2721</v>
      </c>
      <c r="L27" s="65" t="s">
        <v>172</v>
      </c>
      <c r="M27" s="69">
        <v>43147</v>
      </c>
      <c r="Q27" s="65" t="s">
        <v>28</v>
      </c>
      <c r="T27" t="s">
        <v>2722</v>
      </c>
      <c r="U27" s="65" t="s">
        <v>29</v>
      </c>
      <c r="V27" s="65" t="s">
        <v>29</v>
      </c>
      <c r="W27" s="65" t="s">
        <v>69</v>
      </c>
      <c r="AB27" s="65" t="s">
        <v>173</v>
      </c>
      <c r="AC27" s="65" t="s">
        <v>24</v>
      </c>
      <c r="AH27" s="73">
        <v>0</v>
      </c>
      <c r="AI27" s="73">
        <v>0</v>
      </c>
      <c r="AJ27" s="73">
        <v>0</v>
      </c>
      <c r="AK27" s="73">
        <v>0</v>
      </c>
      <c r="AL27" s="73">
        <v>0</v>
      </c>
      <c r="AM27" s="73">
        <v>0</v>
      </c>
      <c r="AN27" s="73">
        <v>0</v>
      </c>
      <c r="AO27" s="73">
        <v>0</v>
      </c>
      <c r="AP27" s="73">
        <v>0</v>
      </c>
      <c r="AQ27" s="73">
        <v>0</v>
      </c>
      <c r="AR27" s="73">
        <v>0</v>
      </c>
      <c r="AS27" s="73">
        <v>0</v>
      </c>
      <c r="AT27" s="73">
        <v>0</v>
      </c>
      <c r="AU27" s="73">
        <v>0</v>
      </c>
      <c r="AV27" s="73">
        <v>0</v>
      </c>
      <c r="AW27" s="73">
        <v>0</v>
      </c>
      <c r="AX27" s="73">
        <v>0</v>
      </c>
      <c r="AY27" s="73">
        <v>0</v>
      </c>
      <c r="AZ27" s="73">
        <v>0</v>
      </c>
      <c r="BA27" s="73">
        <v>0</v>
      </c>
      <c r="BB27" s="73">
        <v>0</v>
      </c>
      <c r="BC27" s="73">
        <v>0</v>
      </c>
      <c r="BD27" s="73">
        <v>0</v>
      </c>
      <c r="BE27" s="73">
        <v>0</v>
      </c>
      <c r="BF27" s="73">
        <v>0</v>
      </c>
      <c r="BG27" s="73">
        <v>0</v>
      </c>
      <c r="BH27" s="73">
        <v>0</v>
      </c>
      <c r="BI27" s="73">
        <v>0</v>
      </c>
      <c r="BJ27" s="73">
        <v>0</v>
      </c>
      <c r="BK27" s="73">
        <v>0</v>
      </c>
      <c r="BL27" s="73">
        <v>0</v>
      </c>
      <c r="BM27" s="73">
        <v>0</v>
      </c>
      <c r="BN27" s="185" t="s">
        <v>3794</v>
      </c>
      <c r="BO27" s="185" t="s">
        <v>3794</v>
      </c>
      <c r="BP27" s="185" t="s">
        <v>3794</v>
      </c>
      <c r="BQ27" s="73">
        <v>0</v>
      </c>
      <c r="BR27" s="73">
        <v>0</v>
      </c>
      <c r="BS27" s="73">
        <v>0</v>
      </c>
      <c r="BT27" s="73">
        <v>0</v>
      </c>
      <c r="BU27" s="73">
        <v>0</v>
      </c>
      <c r="BV27" s="73">
        <v>0</v>
      </c>
      <c r="BW27" s="73">
        <v>0</v>
      </c>
      <c r="BX27" s="73">
        <v>0</v>
      </c>
      <c r="BY27" s="73">
        <v>0</v>
      </c>
      <c r="BZ27" s="73">
        <v>0</v>
      </c>
      <c r="CA27" s="73">
        <v>0</v>
      </c>
      <c r="CB27" s="73">
        <v>0</v>
      </c>
      <c r="CD27" s="73">
        <v>0</v>
      </c>
      <c r="CE27" s="73">
        <v>0</v>
      </c>
      <c r="CF27" s="73">
        <v>0</v>
      </c>
      <c r="CG27" s="73">
        <v>0</v>
      </c>
      <c r="CH27" t="s">
        <v>25</v>
      </c>
      <c r="CI27" t="s">
        <v>25</v>
      </c>
      <c r="CJ27" t="s">
        <v>25</v>
      </c>
      <c r="CK27" t="s">
        <v>25</v>
      </c>
      <c r="CL27" t="s">
        <v>25</v>
      </c>
      <c r="CM27" t="s">
        <v>25</v>
      </c>
      <c r="CN27" t="s">
        <v>25</v>
      </c>
      <c r="CO27" t="s">
        <v>25</v>
      </c>
      <c r="CP27" t="s">
        <v>25</v>
      </c>
      <c r="CQ27" t="s">
        <v>25</v>
      </c>
      <c r="CR27" t="s">
        <v>25</v>
      </c>
      <c r="CS27" t="s">
        <v>25</v>
      </c>
      <c r="CT27" t="s">
        <v>25</v>
      </c>
      <c r="CU27" t="s">
        <v>25</v>
      </c>
      <c r="CV27" t="s">
        <v>25</v>
      </c>
      <c r="CW27" t="s">
        <v>25</v>
      </c>
      <c r="CX27" t="s">
        <v>25</v>
      </c>
      <c r="CY27" t="s">
        <v>25</v>
      </c>
      <c r="CZ27" t="s">
        <v>25</v>
      </c>
      <c r="DA27" t="s">
        <v>25</v>
      </c>
      <c r="DB27" t="s">
        <v>25</v>
      </c>
      <c r="DC27" t="s">
        <v>25</v>
      </c>
      <c r="DD27" t="s">
        <v>25</v>
      </c>
      <c r="DE27" t="s">
        <v>25</v>
      </c>
      <c r="DF27" t="s">
        <v>25</v>
      </c>
      <c r="DG27" t="s">
        <v>25</v>
      </c>
      <c r="DI27" s="73">
        <v>41</v>
      </c>
      <c r="DJ27" s="73">
        <v>41</v>
      </c>
      <c r="DK27" s="73">
        <v>0</v>
      </c>
      <c r="DS27" s="65" t="s">
        <v>126</v>
      </c>
      <c r="DX27" s="73">
        <v>0</v>
      </c>
      <c r="DY27" s="73">
        <v>0</v>
      </c>
      <c r="DZ27" s="73">
        <v>0</v>
      </c>
      <c r="EB27" s="65" t="s">
        <v>126</v>
      </c>
    </row>
    <row r="28" spans="1:132" x14ac:dyDescent="0.2">
      <c r="A28" t="s">
        <v>2937</v>
      </c>
      <c r="B28" t="s">
        <v>2946</v>
      </c>
      <c r="C28" t="s">
        <v>3798</v>
      </c>
      <c r="D28" s="65">
        <v>7065</v>
      </c>
      <c r="E28" t="s">
        <v>2808</v>
      </c>
      <c r="F28" s="71" t="s">
        <v>3943</v>
      </c>
      <c r="G28" s="67">
        <v>0.10000000149011599</v>
      </c>
      <c r="H28" s="65">
        <v>528737</v>
      </c>
      <c r="I28" s="65">
        <v>177686</v>
      </c>
      <c r="K28" s="65" t="s">
        <v>2809</v>
      </c>
      <c r="L28" s="65" t="s">
        <v>1363</v>
      </c>
      <c r="M28" s="69">
        <v>42662</v>
      </c>
      <c r="N28" s="69">
        <v>42681</v>
      </c>
      <c r="Q28" s="65" t="s">
        <v>28</v>
      </c>
      <c r="T28" t="s">
        <v>2810</v>
      </c>
      <c r="U28" s="65" t="s">
        <v>29</v>
      </c>
      <c r="V28" s="65" t="s">
        <v>29</v>
      </c>
      <c r="W28" s="65" t="s">
        <v>69</v>
      </c>
      <c r="AB28" s="65" t="s">
        <v>23</v>
      </c>
      <c r="AC28" s="65" t="s">
        <v>24</v>
      </c>
      <c r="AD28" s="71" t="s">
        <v>2811</v>
      </c>
      <c r="AE28" s="65" t="s">
        <v>23</v>
      </c>
      <c r="AH28" s="73">
        <v>0</v>
      </c>
      <c r="AI28" s="73">
        <v>0</v>
      </c>
      <c r="AJ28" s="73">
        <v>0</v>
      </c>
      <c r="AK28" s="73">
        <v>0</v>
      </c>
      <c r="AL28" s="73">
        <v>0</v>
      </c>
      <c r="AM28" s="73">
        <v>0</v>
      </c>
      <c r="AN28" s="73">
        <v>0</v>
      </c>
      <c r="AO28" s="73">
        <v>0</v>
      </c>
      <c r="AP28" s="73">
        <v>0</v>
      </c>
      <c r="AQ28" s="73">
        <v>0</v>
      </c>
      <c r="AR28" s="73">
        <v>22</v>
      </c>
      <c r="AS28" s="73">
        <v>22</v>
      </c>
      <c r="AT28" s="73">
        <v>0</v>
      </c>
      <c r="AU28" s="73">
        <v>0</v>
      </c>
      <c r="AV28" s="73">
        <v>0</v>
      </c>
      <c r="AW28" s="73">
        <v>0</v>
      </c>
      <c r="AX28" s="73">
        <v>0</v>
      </c>
      <c r="AY28" s="73">
        <v>0</v>
      </c>
      <c r="AZ28" s="73">
        <v>0</v>
      </c>
      <c r="BA28" s="73">
        <v>0</v>
      </c>
      <c r="BB28" s="73">
        <v>0</v>
      </c>
      <c r="BC28" s="73">
        <v>0</v>
      </c>
      <c r="BD28" s="73">
        <v>0</v>
      </c>
      <c r="BE28" s="73">
        <v>0</v>
      </c>
      <c r="BF28" s="73">
        <v>0</v>
      </c>
      <c r="BG28" s="73">
        <v>0</v>
      </c>
      <c r="BH28" s="73">
        <v>0</v>
      </c>
      <c r="BI28" s="73">
        <v>0</v>
      </c>
      <c r="BJ28" s="73">
        <v>0</v>
      </c>
      <c r="BK28" s="73">
        <v>0</v>
      </c>
      <c r="BL28" s="73">
        <v>0</v>
      </c>
      <c r="BM28" s="73">
        <v>0</v>
      </c>
      <c r="BN28" s="185" t="s">
        <v>3794</v>
      </c>
      <c r="BO28" s="185" t="s">
        <v>126</v>
      </c>
      <c r="BP28" s="185" t="s">
        <v>3794</v>
      </c>
      <c r="BQ28" s="73">
        <v>0</v>
      </c>
      <c r="BR28" s="73">
        <v>0</v>
      </c>
      <c r="BS28" s="73">
        <v>0</v>
      </c>
      <c r="BT28" s="73">
        <v>0</v>
      </c>
      <c r="BU28" s="73">
        <v>0</v>
      </c>
      <c r="BV28" s="73">
        <v>0</v>
      </c>
      <c r="BW28" s="73">
        <v>0</v>
      </c>
      <c r="BX28" s="73">
        <v>0</v>
      </c>
      <c r="BY28" s="73">
        <v>0</v>
      </c>
      <c r="BZ28" s="73">
        <v>0</v>
      </c>
      <c r="CA28" s="73">
        <v>22</v>
      </c>
      <c r="CB28" s="73">
        <v>22</v>
      </c>
      <c r="CD28" s="73">
        <v>0</v>
      </c>
      <c r="CE28" s="73">
        <v>0</v>
      </c>
      <c r="CF28" s="73">
        <v>0</v>
      </c>
      <c r="CG28" s="73">
        <v>0</v>
      </c>
      <c r="CH28" t="s">
        <v>25</v>
      </c>
      <c r="CI28" t="s">
        <v>25</v>
      </c>
      <c r="CJ28" t="s">
        <v>25</v>
      </c>
      <c r="CK28" t="s">
        <v>25</v>
      </c>
      <c r="CL28" t="s">
        <v>25</v>
      </c>
      <c r="CM28" t="s">
        <v>25</v>
      </c>
      <c r="CN28" t="s">
        <v>25</v>
      </c>
      <c r="CO28" t="s">
        <v>25</v>
      </c>
      <c r="CP28" t="s">
        <v>25</v>
      </c>
      <c r="CQ28" t="s">
        <v>53</v>
      </c>
      <c r="CR28" t="s">
        <v>25</v>
      </c>
      <c r="CS28" t="s">
        <v>25</v>
      </c>
      <c r="CT28" t="s">
        <v>25</v>
      </c>
      <c r="CU28" t="s">
        <v>25</v>
      </c>
      <c r="CV28" t="s">
        <v>25</v>
      </c>
      <c r="CW28" t="s">
        <v>25</v>
      </c>
      <c r="CX28" t="s">
        <v>25</v>
      </c>
      <c r="CY28" t="s">
        <v>25</v>
      </c>
      <c r="CZ28" t="s">
        <v>25</v>
      </c>
      <c r="DA28" t="s">
        <v>25</v>
      </c>
      <c r="DB28" t="s">
        <v>25</v>
      </c>
      <c r="DC28" t="s">
        <v>25</v>
      </c>
      <c r="DD28" t="s">
        <v>25</v>
      </c>
      <c r="DE28" t="s">
        <v>25</v>
      </c>
      <c r="DF28" t="s">
        <v>25</v>
      </c>
      <c r="DG28" t="s">
        <v>25</v>
      </c>
      <c r="DI28" s="73">
        <v>22</v>
      </c>
      <c r="DJ28" s="73">
        <v>0</v>
      </c>
      <c r="DK28" s="73">
        <v>22</v>
      </c>
      <c r="DL28" s="65" t="s">
        <v>126</v>
      </c>
      <c r="DS28" s="65" t="s">
        <v>126</v>
      </c>
      <c r="DX28" s="73">
        <v>0</v>
      </c>
      <c r="DY28" s="73">
        <v>0</v>
      </c>
      <c r="DZ28" s="73">
        <v>0</v>
      </c>
      <c r="EB28" s="65" t="s">
        <v>126</v>
      </c>
    </row>
    <row r="29" spans="1:132" x14ac:dyDescent="0.2">
      <c r="A29" t="s">
        <v>2937</v>
      </c>
      <c r="B29" t="s">
        <v>2946</v>
      </c>
      <c r="C29" t="s">
        <v>3798</v>
      </c>
      <c r="D29" s="65">
        <v>7065</v>
      </c>
      <c r="E29" t="s">
        <v>2808</v>
      </c>
      <c r="F29" s="71" t="s">
        <v>3943</v>
      </c>
      <c r="G29" s="67">
        <v>0.10000000149011599</v>
      </c>
      <c r="H29" s="65">
        <v>528737</v>
      </c>
      <c r="I29" s="65">
        <v>177686</v>
      </c>
      <c r="K29" s="65" t="s">
        <v>2809</v>
      </c>
      <c r="L29" s="65" t="s">
        <v>1363</v>
      </c>
      <c r="M29" s="69">
        <v>42662</v>
      </c>
      <c r="N29" s="69">
        <v>42681</v>
      </c>
      <c r="Q29" s="65" t="s">
        <v>28</v>
      </c>
      <c r="T29" t="s">
        <v>2810</v>
      </c>
      <c r="U29" s="65" t="s">
        <v>29</v>
      </c>
      <c r="V29" s="65" t="s">
        <v>29</v>
      </c>
      <c r="W29" s="65" t="s">
        <v>69</v>
      </c>
      <c r="AB29" s="65" t="s">
        <v>23</v>
      </c>
      <c r="AC29" s="65" t="s">
        <v>24</v>
      </c>
      <c r="AD29" s="71" t="s">
        <v>2812</v>
      </c>
      <c r="AE29" s="65" t="s">
        <v>23</v>
      </c>
      <c r="AH29" s="73">
        <v>0</v>
      </c>
      <c r="AI29" s="73">
        <v>0</v>
      </c>
      <c r="AJ29" s="73">
        <v>0</v>
      </c>
      <c r="AK29" s="73">
        <v>0</v>
      </c>
      <c r="AL29" s="73">
        <v>0</v>
      </c>
      <c r="AM29" s="73">
        <v>0</v>
      </c>
      <c r="AN29" s="73">
        <v>0</v>
      </c>
      <c r="AO29" s="73">
        <v>0</v>
      </c>
      <c r="AP29" s="73">
        <v>0</v>
      </c>
      <c r="AQ29" s="73">
        <v>0</v>
      </c>
      <c r="AR29" s="73">
        <v>0</v>
      </c>
      <c r="AS29" s="73">
        <v>0</v>
      </c>
      <c r="AT29" s="73">
        <v>0</v>
      </c>
      <c r="AU29" s="73">
        <v>0</v>
      </c>
      <c r="AV29" s="73">
        <v>0</v>
      </c>
      <c r="AW29" s="73">
        <v>0</v>
      </c>
      <c r="AX29" s="73">
        <v>0</v>
      </c>
      <c r="AY29" s="73">
        <v>0</v>
      </c>
      <c r="AZ29" s="73">
        <v>0</v>
      </c>
      <c r="BA29" s="73">
        <v>0</v>
      </c>
      <c r="BB29" s="73">
        <v>0</v>
      </c>
      <c r="BC29" s="73">
        <v>0</v>
      </c>
      <c r="BD29" s="73">
        <v>0</v>
      </c>
      <c r="BE29" s="73">
        <v>0</v>
      </c>
      <c r="BF29" s="73">
        <v>0</v>
      </c>
      <c r="BG29" s="73">
        <v>0</v>
      </c>
      <c r="BH29" s="73">
        <v>0</v>
      </c>
      <c r="BI29" s="73">
        <v>0</v>
      </c>
      <c r="BJ29" s="73">
        <v>0</v>
      </c>
      <c r="BK29" s="73">
        <v>0</v>
      </c>
      <c r="BL29" s="73">
        <v>0</v>
      </c>
      <c r="BM29" s="73">
        <v>0</v>
      </c>
      <c r="BN29" s="185" t="s">
        <v>3794</v>
      </c>
      <c r="BO29" s="185" t="s">
        <v>3794</v>
      </c>
      <c r="BP29" s="185" t="s">
        <v>3794</v>
      </c>
      <c r="BQ29" s="73">
        <v>0</v>
      </c>
      <c r="BR29" s="73">
        <v>0</v>
      </c>
      <c r="BS29" s="73">
        <v>0</v>
      </c>
      <c r="BT29" s="73">
        <v>0</v>
      </c>
      <c r="BU29" s="73">
        <v>0</v>
      </c>
      <c r="BV29" s="73">
        <v>0</v>
      </c>
      <c r="BW29" s="73">
        <v>0</v>
      </c>
      <c r="BX29" s="73">
        <v>0</v>
      </c>
      <c r="BY29" s="73">
        <v>0</v>
      </c>
      <c r="BZ29" s="73">
        <v>0</v>
      </c>
      <c r="CA29" s="73">
        <v>0</v>
      </c>
      <c r="CB29" s="73">
        <v>0</v>
      </c>
      <c r="CD29" s="73">
        <v>0</v>
      </c>
      <c r="CE29" s="73">
        <v>0</v>
      </c>
      <c r="CF29" s="73">
        <v>0</v>
      </c>
      <c r="CG29" s="73">
        <v>0</v>
      </c>
      <c r="CH29" t="s">
        <v>25</v>
      </c>
      <c r="CI29" t="s">
        <v>25</v>
      </c>
      <c r="CJ29" t="s">
        <v>25</v>
      </c>
      <c r="CK29" t="s">
        <v>25</v>
      </c>
      <c r="CL29" t="s">
        <v>25</v>
      </c>
      <c r="CM29" t="s">
        <v>25</v>
      </c>
      <c r="CN29" t="s">
        <v>25</v>
      </c>
      <c r="CO29" t="s">
        <v>25</v>
      </c>
      <c r="CP29" t="s">
        <v>25</v>
      </c>
      <c r="CQ29" t="s">
        <v>25</v>
      </c>
      <c r="CR29" t="s">
        <v>25</v>
      </c>
      <c r="CS29" t="s">
        <v>25</v>
      </c>
      <c r="CT29" t="s">
        <v>25</v>
      </c>
      <c r="CU29" t="s">
        <v>25</v>
      </c>
      <c r="CV29" t="s">
        <v>25</v>
      </c>
      <c r="CW29" t="s">
        <v>25</v>
      </c>
      <c r="CX29" t="s">
        <v>25</v>
      </c>
      <c r="CY29" t="s">
        <v>25</v>
      </c>
      <c r="CZ29" t="s">
        <v>25</v>
      </c>
      <c r="DA29" t="s">
        <v>25</v>
      </c>
      <c r="DB29" t="s">
        <v>25</v>
      </c>
      <c r="DC29" t="s">
        <v>25</v>
      </c>
      <c r="DD29" t="s">
        <v>25</v>
      </c>
      <c r="DE29" t="s">
        <v>25</v>
      </c>
      <c r="DF29" t="s">
        <v>25</v>
      </c>
      <c r="DG29" t="s">
        <v>25</v>
      </c>
      <c r="DI29" s="73">
        <v>38</v>
      </c>
      <c r="DJ29" s="73">
        <v>0</v>
      </c>
      <c r="DK29" s="73">
        <v>38</v>
      </c>
      <c r="DL29" s="65" t="s">
        <v>126</v>
      </c>
      <c r="DS29" s="65" t="s">
        <v>126</v>
      </c>
      <c r="DX29" s="73">
        <v>0</v>
      </c>
      <c r="DY29" s="73">
        <v>0</v>
      </c>
      <c r="DZ29" s="73">
        <v>0</v>
      </c>
      <c r="EB29" s="65" t="s">
        <v>126</v>
      </c>
    </row>
    <row r="30" spans="1:132" x14ac:dyDescent="0.2">
      <c r="A30" t="s">
        <v>2937</v>
      </c>
      <c r="B30" t="s">
        <v>2946</v>
      </c>
      <c r="C30" t="s">
        <v>3798</v>
      </c>
      <c r="D30" s="65">
        <v>7065</v>
      </c>
      <c r="E30" t="s">
        <v>2808</v>
      </c>
      <c r="F30" s="71" t="s">
        <v>3943</v>
      </c>
      <c r="G30" s="67">
        <v>0.10000000149011599</v>
      </c>
      <c r="H30" s="65">
        <v>528737</v>
      </c>
      <c r="I30" s="65">
        <v>177686</v>
      </c>
      <c r="K30" s="65" t="s">
        <v>2809</v>
      </c>
      <c r="L30" s="65" t="s">
        <v>1363</v>
      </c>
      <c r="M30" s="69">
        <v>42662</v>
      </c>
      <c r="N30" s="69">
        <v>42681</v>
      </c>
      <c r="Q30" s="65" t="s">
        <v>28</v>
      </c>
      <c r="T30" t="s">
        <v>2810</v>
      </c>
      <c r="U30" s="65" t="s">
        <v>29</v>
      </c>
      <c r="V30" s="65" t="s">
        <v>29</v>
      </c>
      <c r="W30" s="65" t="s">
        <v>69</v>
      </c>
      <c r="AB30" s="65" t="s">
        <v>23</v>
      </c>
      <c r="AC30" s="65" t="s">
        <v>24</v>
      </c>
      <c r="AD30" s="71" t="s">
        <v>2813</v>
      </c>
      <c r="AE30" s="65" t="s">
        <v>23</v>
      </c>
      <c r="AH30" s="73">
        <v>0</v>
      </c>
      <c r="AI30" s="73">
        <v>0</v>
      </c>
      <c r="AJ30" s="73">
        <v>0</v>
      </c>
      <c r="AK30" s="73">
        <v>0</v>
      </c>
      <c r="AL30" s="73">
        <v>0</v>
      </c>
      <c r="AM30" s="73">
        <v>0</v>
      </c>
      <c r="AN30" s="73">
        <v>74</v>
      </c>
      <c r="AO30" s="73">
        <v>0</v>
      </c>
      <c r="AP30" s="73">
        <v>0</v>
      </c>
      <c r="AQ30" s="73">
        <v>0</v>
      </c>
      <c r="AR30" s="73">
        <v>0</v>
      </c>
      <c r="AS30" s="73">
        <v>74</v>
      </c>
      <c r="AT30" s="73">
        <v>0</v>
      </c>
      <c r="AU30" s="73">
        <v>0</v>
      </c>
      <c r="AV30" s="73">
        <v>0</v>
      </c>
      <c r="AW30" s="73">
        <v>0</v>
      </c>
      <c r="AX30" s="73">
        <v>0</v>
      </c>
      <c r="AY30" s="73">
        <v>0</v>
      </c>
      <c r="AZ30" s="73">
        <v>0</v>
      </c>
      <c r="BA30" s="73">
        <v>0</v>
      </c>
      <c r="BB30" s="73">
        <v>0</v>
      </c>
      <c r="BC30" s="73">
        <v>0</v>
      </c>
      <c r="BD30" s="73">
        <v>0</v>
      </c>
      <c r="BE30" s="73">
        <v>0</v>
      </c>
      <c r="BF30" s="73">
        <v>0</v>
      </c>
      <c r="BG30" s="73">
        <v>0</v>
      </c>
      <c r="BH30" s="73">
        <v>0</v>
      </c>
      <c r="BI30" s="73">
        <v>0</v>
      </c>
      <c r="BJ30" s="73">
        <v>0</v>
      </c>
      <c r="BK30" s="73">
        <v>0</v>
      </c>
      <c r="BL30" s="73">
        <v>0</v>
      </c>
      <c r="BM30" s="73">
        <v>0</v>
      </c>
      <c r="BN30" s="185" t="s">
        <v>3794</v>
      </c>
      <c r="BO30" s="185" t="s">
        <v>126</v>
      </c>
      <c r="BP30" s="185" t="s">
        <v>3794</v>
      </c>
      <c r="BQ30" s="73">
        <v>0</v>
      </c>
      <c r="BR30" s="73">
        <v>0</v>
      </c>
      <c r="BS30" s="73">
        <v>0</v>
      </c>
      <c r="BT30" s="73">
        <v>0</v>
      </c>
      <c r="BU30" s="73">
        <v>0</v>
      </c>
      <c r="BV30" s="73">
        <v>0</v>
      </c>
      <c r="BW30" s="73">
        <v>74</v>
      </c>
      <c r="BX30" s="73">
        <v>0</v>
      </c>
      <c r="BY30" s="73">
        <v>0</v>
      </c>
      <c r="BZ30" s="73">
        <v>0</v>
      </c>
      <c r="CA30" s="73">
        <v>0</v>
      </c>
      <c r="CB30" s="73">
        <v>74</v>
      </c>
      <c r="CD30" s="73">
        <v>0</v>
      </c>
      <c r="CE30" s="73">
        <v>0</v>
      </c>
      <c r="CF30" s="73">
        <v>0</v>
      </c>
      <c r="CG30" s="73">
        <v>0</v>
      </c>
      <c r="CH30" t="s">
        <v>25</v>
      </c>
      <c r="CI30" t="s">
        <v>25</v>
      </c>
      <c r="CJ30" t="s">
        <v>25</v>
      </c>
      <c r="CK30" t="s">
        <v>25</v>
      </c>
      <c r="CL30" t="s">
        <v>25</v>
      </c>
      <c r="CM30" t="s">
        <v>31</v>
      </c>
      <c r="CN30" t="s">
        <v>25</v>
      </c>
      <c r="CO30" t="s">
        <v>25</v>
      </c>
      <c r="CP30" t="s">
        <v>25</v>
      </c>
      <c r="CQ30" t="s">
        <v>25</v>
      </c>
      <c r="CR30" t="s">
        <v>25</v>
      </c>
      <c r="CS30" t="s">
        <v>25</v>
      </c>
      <c r="CT30" t="s">
        <v>25</v>
      </c>
      <c r="CU30" t="s">
        <v>25</v>
      </c>
      <c r="CV30" t="s">
        <v>25</v>
      </c>
      <c r="CW30" t="s">
        <v>25</v>
      </c>
      <c r="CX30" t="s">
        <v>25</v>
      </c>
      <c r="CY30" t="s">
        <v>25</v>
      </c>
      <c r="CZ30" t="s">
        <v>25</v>
      </c>
      <c r="DA30" t="s">
        <v>25</v>
      </c>
      <c r="DB30" t="s">
        <v>25</v>
      </c>
      <c r="DC30" t="s">
        <v>25</v>
      </c>
      <c r="DD30" t="s">
        <v>25</v>
      </c>
      <c r="DE30" t="s">
        <v>25</v>
      </c>
      <c r="DF30" t="s">
        <v>25</v>
      </c>
      <c r="DG30" t="s">
        <v>25</v>
      </c>
      <c r="DI30" s="73">
        <v>74</v>
      </c>
      <c r="DJ30" s="73">
        <v>0</v>
      </c>
      <c r="DK30" s="73">
        <v>74</v>
      </c>
      <c r="DL30" s="65" t="s">
        <v>126</v>
      </c>
      <c r="DS30" s="65" t="s">
        <v>126</v>
      </c>
      <c r="DX30" s="73">
        <v>0</v>
      </c>
      <c r="DY30" s="73">
        <v>0</v>
      </c>
      <c r="DZ30" s="73">
        <v>0</v>
      </c>
      <c r="EB30" s="65" t="s">
        <v>126</v>
      </c>
    </row>
    <row r="31" spans="1:132" x14ac:dyDescent="0.2">
      <c r="A31" t="s">
        <v>2937</v>
      </c>
      <c r="B31" t="s">
        <v>2946</v>
      </c>
      <c r="C31" t="s">
        <v>3798</v>
      </c>
      <c r="D31" s="65">
        <v>7065</v>
      </c>
      <c r="E31" t="s">
        <v>2808</v>
      </c>
      <c r="F31" s="71" t="s">
        <v>3943</v>
      </c>
      <c r="G31" s="67">
        <v>0.10000000149011599</v>
      </c>
      <c r="H31" s="65">
        <v>528737</v>
      </c>
      <c r="I31" s="65">
        <v>177686</v>
      </c>
      <c r="K31" s="65" t="s">
        <v>2809</v>
      </c>
      <c r="L31" s="65" t="s">
        <v>1363</v>
      </c>
      <c r="M31" s="69">
        <v>42662</v>
      </c>
      <c r="N31" s="69">
        <v>42681</v>
      </c>
      <c r="Q31" s="65" t="s">
        <v>28</v>
      </c>
      <c r="T31" t="s">
        <v>2810</v>
      </c>
      <c r="U31" s="65" t="s">
        <v>29</v>
      </c>
      <c r="V31" s="65" t="s">
        <v>29</v>
      </c>
      <c r="W31" s="65" t="s">
        <v>69</v>
      </c>
      <c r="AB31" s="65" t="s">
        <v>23</v>
      </c>
      <c r="AC31" s="65" t="s">
        <v>24</v>
      </c>
      <c r="AD31" s="71" t="s">
        <v>2814</v>
      </c>
      <c r="AE31" s="65" t="s">
        <v>23</v>
      </c>
      <c r="AH31" s="73">
        <v>28</v>
      </c>
      <c r="AI31" s="73">
        <v>0</v>
      </c>
      <c r="AJ31" s="73">
        <v>0</v>
      </c>
      <c r="AK31" s="73">
        <v>0</v>
      </c>
      <c r="AL31" s="73">
        <v>28</v>
      </c>
      <c r="AM31" s="73">
        <v>56</v>
      </c>
      <c r="AN31" s="73">
        <v>0</v>
      </c>
      <c r="AO31" s="73">
        <v>0</v>
      </c>
      <c r="AP31" s="73">
        <v>0</v>
      </c>
      <c r="AQ31" s="73">
        <v>0</v>
      </c>
      <c r="AR31" s="73">
        <v>0</v>
      </c>
      <c r="AS31" s="73">
        <v>0</v>
      </c>
      <c r="AT31" s="73">
        <v>0</v>
      </c>
      <c r="AU31" s="73">
        <v>0</v>
      </c>
      <c r="AV31" s="73">
        <v>28</v>
      </c>
      <c r="AW31" s="73">
        <v>28</v>
      </c>
      <c r="AX31" s="73">
        <v>0</v>
      </c>
      <c r="AY31" s="73">
        <v>0</v>
      </c>
      <c r="AZ31" s="73">
        <v>0</v>
      </c>
      <c r="BA31" s="73">
        <v>0</v>
      </c>
      <c r="BB31" s="73">
        <v>0</v>
      </c>
      <c r="BC31" s="73">
        <v>0</v>
      </c>
      <c r="BD31" s="73">
        <v>0</v>
      </c>
      <c r="BE31" s="73">
        <v>0</v>
      </c>
      <c r="BF31" s="73">
        <v>0</v>
      </c>
      <c r="BG31" s="73">
        <v>0</v>
      </c>
      <c r="BH31" s="73">
        <v>0</v>
      </c>
      <c r="BI31" s="73">
        <v>0</v>
      </c>
      <c r="BJ31" s="73">
        <v>0</v>
      </c>
      <c r="BK31" s="73">
        <v>0</v>
      </c>
      <c r="BL31" s="73">
        <v>0</v>
      </c>
      <c r="BM31" s="73">
        <v>0</v>
      </c>
      <c r="BN31" s="185" t="s">
        <v>126</v>
      </c>
      <c r="BO31" s="185" t="s">
        <v>3794</v>
      </c>
      <c r="BP31" s="185" t="s">
        <v>126</v>
      </c>
      <c r="BQ31" s="73">
        <v>28</v>
      </c>
      <c r="BR31" s="73">
        <v>0</v>
      </c>
      <c r="BS31" s="73">
        <v>0</v>
      </c>
      <c r="BT31" s="73">
        <v>0</v>
      </c>
      <c r="BU31" s="73">
        <v>28</v>
      </c>
      <c r="BV31" s="73">
        <v>56</v>
      </c>
      <c r="BW31" s="73">
        <v>0</v>
      </c>
      <c r="BX31" s="73">
        <v>0</v>
      </c>
      <c r="BY31" s="73">
        <v>0</v>
      </c>
      <c r="BZ31" s="73">
        <v>0</v>
      </c>
      <c r="CA31" s="73">
        <v>0</v>
      </c>
      <c r="CB31" s="73">
        <v>0</v>
      </c>
      <c r="CD31" s="73">
        <v>0</v>
      </c>
      <c r="CE31" s="73">
        <v>0</v>
      </c>
      <c r="CF31" s="73">
        <v>28</v>
      </c>
      <c r="CG31" s="73">
        <v>28</v>
      </c>
      <c r="CH31" t="s">
        <v>31</v>
      </c>
      <c r="CI31" t="s">
        <v>25</v>
      </c>
      <c r="CJ31" t="s">
        <v>25</v>
      </c>
      <c r="CK31" t="s">
        <v>25</v>
      </c>
      <c r="CL31" t="s">
        <v>31</v>
      </c>
      <c r="CM31" t="s">
        <v>25</v>
      </c>
      <c r="CN31" t="s">
        <v>25</v>
      </c>
      <c r="CO31" t="s">
        <v>25</v>
      </c>
      <c r="CP31" t="s">
        <v>25</v>
      </c>
      <c r="CQ31" t="s">
        <v>25</v>
      </c>
      <c r="CR31" t="s">
        <v>25</v>
      </c>
      <c r="CS31" t="s">
        <v>25</v>
      </c>
      <c r="CT31" t="s">
        <v>31</v>
      </c>
      <c r="CU31" t="s">
        <v>25</v>
      </c>
      <c r="CV31" t="s">
        <v>25</v>
      </c>
      <c r="CW31" t="s">
        <v>25</v>
      </c>
      <c r="CX31" t="s">
        <v>25</v>
      </c>
      <c r="CY31" t="s">
        <v>25</v>
      </c>
      <c r="CZ31" t="s">
        <v>25</v>
      </c>
      <c r="DA31" t="s">
        <v>25</v>
      </c>
      <c r="DB31" t="s">
        <v>25</v>
      </c>
      <c r="DC31" t="s">
        <v>25</v>
      </c>
      <c r="DD31" t="s">
        <v>25</v>
      </c>
      <c r="DE31" t="s">
        <v>25</v>
      </c>
      <c r="DF31" t="s">
        <v>25</v>
      </c>
      <c r="DG31" t="s">
        <v>25</v>
      </c>
      <c r="DI31" s="73">
        <v>84</v>
      </c>
      <c r="DJ31" s="73">
        <v>0</v>
      </c>
      <c r="DK31" s="73">
        <v>84</v>
      </c>
      <c r="DL31" s="65" t="s">
        <v>126</v>
      </c>
      <c r="DS31" s="65" t="s">
        <v>126</v>
      </c>
      <c r="DX31" s="73">
        <v>0</v>
      </c>
      <c r="DY31" s="73">
        <v>0</v>
      </c>
      <c r="DZ31" s="73">
        <v>0</v>
      </c>
      <c r="EB31" s="65" t="s">
        <v>126</v>
      </c>
    </row>
    <row r="32" spans="1:132" x14ac:dyDescent="0.2">
      <c r="A32" t="s">
        <v>2937</v>
      </c>
      <c r="B32" t="s">
        <v>2946</v>
      </c>
      <c r="C32" t="s">
        <v>3798</v>
      </c>
      <c r="D32" s="65">
        <v>7065</v>
      </c>
      <c r="E32" t="s">
        <v>2808</v>
      </c>
      <c r="F32" s="71" t="s">
        <v>3943</v>
      </c>
      <c r="G32" s="67">
        <v>0.10000000149011599</v>
      </c>
      <c r="H32" s="65">
        <v>528737</v>
      </c>
      <c r="I32" s="65">
        <v>177686</v>
      </c>
      <c r="K32" s="65" t="s">
        <v>2809</v>
      </c>
      <c r="L32" s="65" t="s">
        <v>1363</v>
      </c>
      <c r="M32" s="69">
        <v>42662</v>
      </c>
      <c r="N32" s="69">
        <v>42681</v>
      </c>
      <c r="Q32" s="65" t="s">
        <v>28</v>
      </c>
      <c r="T32" t="s">
        <v>2810</v>
      </c>
      <c r="U32" s="65" t="s">
        <v>29</v>
      </c>
      <c r="V32" s="65" t="s">
        <v>29</v>
      </c>
      <c r="W32" s="65" t="s">
        <v>69</v>
      </c>
      <c r="AB32" s="65" t="s">
        <v>23</v>
      </c>
      <c r="AC32" s="65" t="s">
        <v>24</v>
      </c>
      <c r="AD32" s="71" t="s">
        <v>2815</v>
      </c>
      <c r="AE32" s="65" t="s">
        <v>23</v>
      </c>
      <c r="AH32" s="73">
        <v>37</v>
      </c>
      <c r="AI32" s="73">
        <v>0</v>
      </c>
      <c r="AJ32" s="73">
        <v>37</v>
      </c>
      <c r="AK32" s="73">
        <v>36</v>
      </c>
      <c r="AL32" s="73">
        <v>0</v>
      </c>
      <c r="AM32" s="73">
        <v>110</v>
      </c>
      <c r="AN32" s="73">
        <v>0</v>
      </c>
      <c r="AO32" s="73">
        <v>0</v>
      </c>
      <c r="AP32" s="73">
        <v>0</v>
      </c>
      <c r="AQ32" s="73">
        <v>0</v>
      </c>
      <c r="AR32" s="73">
        <v>0</v>
      </c>
      <c r="AS32" s="73">
        <v>0</v>
      </c>
      <c r="AT32" s="73">
        <v>0</v>
      </c>
      <c r="AU32" s="73">
        <v>0</v>
      </c>
      <c r="AV32" s="73">
        <v>0</v>
      </c>
      <c r="AW32" s="73">
        <v>0</v>
      </c>
      <c r="AX32" s="73">
        <v>0</v>
      </c>
      <c r="AY32" s="73">
        <v>0</v>
      </c>
      <c r="AZ32" s="73">
        <v>0</v>
      </c>
      <c r="BA32" s="73">
        <v>0</v>
      </c>
      <c r="BB32" s="73">
        <v>0</v>
      </c>
      <c r="BC32" s="73">
        <v>0</v>
      </c>
      <c r="BD32" s="73">
        <v>0</v>
      </c>
      <c r="BE32" s="73">
        <v>0</v>
      </c>
      <c r="BF32" s="73">
        <v>0</v>
      </c>
      <c r="BG32" s="73">
        <v>0</v>
      </c>
      <c r="BH32" s="73">
        <v>0</v>
      </c>
      <c r="BI32" s="73">
        <v>0</v>
      </c>
      <c r="BJ32" s="73">
        <v>0</v>
      </c>
      <c r="BK32" s="73">
        <v>0</v>
      </c>
      <c r="BL32" s="73">
        <v>0</v>
      </c>
      <c r="BM32" s="73">
        <v>0</v>
      </c>
      <c r="BN32" s="185" t="s">
        <v>126</v>
      </c>
      <c r="BO32" s="185" t="s">
        <v>3794</v>
      </c>
      <c r="BP32" s="185" t="s">
        <v>3794</v>
      </c>
      <c r="BQ32" s="73">
        <v>37</v>
      </c>
      <c r="BR32" s="73">
        <v>0</v>
      </c>
      <c r="BS32" s="73">
        <v>37</v>
      </c>
      <c r="BT32" s="73">
        <v>36</v>
      </c>
      <c r="BU32" s="73">
        <v>0</v>
      </c>
      <c r="BV32" s="73">
        <v>110</v>
      </c>
      <c r="BW32" s="73">
        <v>0</v>
      </c>
      <c r="BX32" s="73">
        <v>0</v>
      </c>
      <c r="BY32" s="73">
        <v>0</v>
      </c>
      <c r="BZ32" s="73">
        <v>0</v>
      </c>
      <c r="CA32" s="73">
        <v>0</v>
      </c>
      <c r="CB32" s="73">
        <v>0</v>
      </c>
      <c r="CD32" s="73">
        <v>0</v>
      </c>
      <c r="CE32" s="73">
        <v>0</v>
      </c>
      <c r="CF32" s="73">
        <v>0</v>
      </c>
      <c r="CG32" s="73">
        <v>0</v>
      </c>
      <c r="CH32" t="s">
        <v>31</v>
      </c>
      <c r="CI32" t="s">
        <v>25</v>
      </c>
      <c r="CJ32" t="s">
        <v>31</v>
      </c>
      <c r="CK32" t="s">
        <v>31</v>
      </c>
      <c r="CL32" t="s">
        <v>25</v>
      </c>
      <c r="CM32" t="s">
        <v>25</v>
      </c>
      <c r="CN32" t="s">
        <v>25</v>
      </c>
      <c r="CO32" t="s">
        <v>25</v>
      </c>
      <c r="CP32" t="s">
        <v>25</v>
      </c>
      <c r="CQ32" t="s">
        <v>25</v>
      </c>
      <c r="CR32" t="s">
        <v>25</v>
      </c>
      <c r="CS32" t="s">
        <v>25</v>
      </c>
      <c r="CT32" t="s">
        <v>25</v>
      </c>
      <c r="CU32" t="s">
        <v>25</v>
      </c>
      <c r="CV32" t="s">
        <v>25</v>
      </c>
      <c r="CW32" t="s">
        <v>25</v>
      </c>
      <c r="CX32" t="s">
        <v>25</v>
      </c>
      <c r="CY32" t="s">
        <v>25</v>
      </c>
      <c r="CZ32" t="s">
        <v>25</v>
      </c>
      <c r="DA32" t="s">
        <v>25</v>
      </c>
      <c r="DB32" t="s">
        <v>25</v>
      </c>
      <c r="DC32" t="s">
        <v>25</v>
      </c>
      <c r="DD32" t="s">
        <v>25</v>
      </c>
      <c r="DE32" t="s">
        <v>25</v>
      </c>
      <c r="DF32" t="s">
        <v>25</v>
      </c>
      <c r="DG32" t="s">
        <v>25</v>
      </c>
      <c r="DI32" s="73">
        <v>110</v>
      </c>
      <c r="DJ32" s="73">
        <v>0</v>
      </c>
      <c r="DK32" s="73">
        <v>110</v>
      </c>
      <c r="DL32" s="65" t="s">
        <v>126</v>
      </c>
      <c r="DS32" s="65" t="s">
        <v>126</v>
      </c>
      <c r="DX32" s="73">
        <v>0</v>
      </c>
      <c r="DY32" s="73">
        <v>0</v>
      </c>
      <c r="DZ32" s="73">
        <v>0</v>
      </c>
      <c r="EB32" s="65" t="s">
        <v>126</v>
      </c>
    </row>
    <row r="33" spans="1:132" x14ac:dyDescent="0.2">
      <c r="A33" t="s">
        <v>2937</v>
      </c>
      <c r="B33" t="s">
        <v>2946</v>
      </c>
      <c r="C33" t="s">
        <v>3798</v>
      </c>
      <c r="D33" s="65">
        <v>7065</v>
      </c>
      <c r="E33" t="s">
        <v>2808</v>
      </c>
      <c r="F33" s="71" t="s">
        <v>3943</v>
      </c>
      <c r="G33" s="67">
        <v>0.10000000149011599</v>
      </c>
      <c r="H33" s="65">
        <v>528737</v>
      </c>
      <c r="I33" s="65">
        <v>177686</v>
      </c>
      <c r="K33" s="65" t="s">
        <v>2816</v>
      </c>
      <c r="L33" s="65" t="s">
        <v>1363</v>
      </c>
      <c r="M33" s="69">
        <v>42979</v>
      </c>
      <c r="N33" s="69">
        <v>42997</v>
      </c>
      <c r="Q33" s="65" t="s">
        <v>28</v>
      </c>
      <c r="T33" t="s">
        <v>2817</v>
      </c>
      <c r="U33" s="65" t="s">
        <v>29</v>
      </c>
      <c r="V33" s="65" t="s">
        <v>29</v>
      </c>
      <c r="W33" s="65" t="s">
        <v>69</v>
      </c>
      <c r="AB33" s="65" t="s">
        <v>23</v>
      </c>
      <c r="AC33" s="65" t="s">
        <v>24</v>
      </c>
      <c r="AD33" s="71" t="s">
        <v>2818</v>
      </c>
      <c r="AE33" s="65" t="s">
        <v>23</v>
      </c>
      <c r="AH33" s="73">
        <v>24</v>
      </c>
      <c r="AI33" s="73">
        <v>0</v>
      </c>
      <c r="AJ33" s="73">
        <v>0</v>
      </c>
      <c r="AK33" s="73">
        <v>25</v>
      </c>
      <c r="AL33" s="73">
        <v>24</v>
      </c>
      <c r="AM33" s="73">
        <v>73</v>
      </c>
      <c r="AN33" s="73">
        <v>0</v>
      </c>
      <c r="AO33" s="73">
        <v>0</v>
      </c>
      <c r="AP33" s="73">
        <v>0</v>
      </c>
      <c r="AQ33" s="73">
        <v>0</v>
      </c>
      <c r="AR33" s="73">
        <v>0</v>
      </c>
      <c r="AS33" s="73">
        <v>0</v>
      </c>
      <c r="AT33" s="73">
        <v>0</v>
      </c>
      <c r="AU33" s="73">
        <v>0</v>
      </c>
      <c r="AV33" s="73">
        <v>25</v>
      </c>
      <c r="AW33" s="73">
        <v>25</v>
      </c>
      <c r="AX33" s="73">
        <v>0</v>
      </c>
      <c r="AY33" s="73">
        <v>0</v>
      </c>
      <c r="AZ33" s="73">
        <v>0</v>
      </c>
      <c r="BA33" s="73">
        <v>0</v>
      </c>
      <c r="BB33" s="73">
        <v>0</v>
      </c>
      <c r="BC33" s="73">
        <v>0</v>
      </c>
      <c r="BD33" s="73">
        <v>0</v>
      </c>
      <c r="BE33" s="73">
        <v>0</v>
      </c>
      <c r="BF33" s="73">
        <v>0</v>
      </c>
      <c r="BG33" s="73">
        <v>0</v>
      </c>
      <c r="BH33" s="73">
        <v>0</v>
      </c>
      <c r="BI33" s="73">
        <v>0</v>
      </c>
      <c r="BJ33" s="73">
        <v>0</v>
      </c>
      <c r="BK33" s="73">
        <v>0</v>
      </c>
      <c r="BL33" s="73">
        <v>0</v>
      </c>
      <c r="BM33" s="73">
        <v>0</v>
      </c>
      <c r="BN33" s="185" t="s">
        <v>126</v>
      </c>
      <c r="BO33" s="185" t="s">
        <v>3794</v>
      </c>
      <c r="BP33" s="185" t="s">
        <v>126</v>
      </c>
      <c r="BQ33" s="73">
        <v>24</v>
      </c>
      <c r="BR33" s="73">
        <v>0</v>
      </c>
      <c r="BS33" s="73">
        <v>0</v>
      </c>
      <c r="BT33" s="73">
        <v>25</v>
      </c>
      <c r="BU33" s="73">
        <v>24</v>
      </c>
      <c r="BV33" s="73">
        <v>73</v>
      </c>
      <c r="BW33" s="73">
        <v>0</v>
      </c>
      <c r="BX33" s="73">
        <v>0</v>
      </c>
      <c r="BY33" s="73">
        <v>0</v>
      </c>
      <c r="BZ33" s="73">
        <v>0</v>
      </c>
      <c r="CA33" s="73">
        <v>0</v>
      </c>
      <c r="CB33" s="73">
        <v>0</v>
      </c>
      <c r="CD33" s="73">
        <v>0</v>
      </c>
      <c r="CE33" s="73">
        <v>0</v>
      </c>
      <c r="CF33" s="73">
        <v>25</v>
      </c>
      <c r="CG33" s="73">
        <v>25</v>
      </c>
      <c r="CH33" t="s">
        <v>31</v>
      </c>
      <c r="CI33" t="s">
        <v>25</v>
      </c>
      <c r="CJ33" t="s">
        <v>25</v>
      </c>
      <c r="CK33" t="s">
        <v>31</v>
      </c>
      <c r="CL33" t="s">
        <v>31</v>
      </c>
      <c r="CM33" t="s">
        <v>25</v>
      </c>
      <c r="CN33" t="s">
        <v>25</v>
      </c>
      <c r="CO33" t="s">
        <v>25</v>
      </c>
      <c r="CP33" t="s">
        <v>25</v>
      </c>
      <c r="CQ33" t="s">
        <v>25</v>
      </c>
      <c r="CR33" t="s">
        <v>25</v>
      </c>
      <c r="CS33" t="s">
        <v>25</v>
      </c>
      <c r="CT33" t="s">
        <v>31</v>
      </c>
      <c r="CU33" t="s">
        <v>25</v>
      </c>
      <c r="CV33" t="s">
        <v>25</v>
      </c>
      <c r="CW33" t="s">
        <v>25</v>
      </c>
      <c r="CX33" t="s">
        <v>25</v>
      </c>
      <c r="CY33" t="s">
        <v>25</v>
      </c>
      <c r="CZ33" t="s">
        <v>25</v>
      </c>
      <c r="DA33" t="s">
        <v>25</v>
      </c>
      <c r="DB33" t="s">
        <v>25</v>
      </c>
      <c r="DC33" t="s">
        <v>25</v>
      </c>
      <c r="DD33" t="s">
        <v>25</v>
      </c>
      <c r="DE33" t="s">
        <v>25</v>
      </c>
      <c r="DF33" t="s">
        <v>25</v>
      </c>
      <c r="DG33" t="s">
        <v>25</v>
      </c>
      <c r="DI33" s="73">
        <v>98</v>
      </c>
      <c r="DJ33" s="73">
        <v>0</v>
      </c>
      <c r="DK33" s="73">
        <v>98</v>
      </c>
      <c r="DL33" s="65" t="s">
        <v>126</v>
      </c>
      <c r="DS33" s="65" t="s">
        <v>126</v>
      </c>
      <c r="DX33" s="73">
        <v>0</v>
      </c>
      <c r="DY33" s="73">
        <v>0</v>
      </c>
      <c r="DZ33" s="73">
        <v>0</v>
      </c>
      <c r="EB33" s="65" t="s">
        <v>126</v>
      </c>
    </row>
  </sheetData>
  <autoFilter ref="A1:EB33" xr:uid="{00000000-0009-0000-0000-000003000000}"/>
  <pageMargins left="0.39370078740157483" right="0.39370078740157483" top="0.39370078740157483" bottom="0.39370078740157483" header="0.19685039370078741" footer="0.19685039370078741"/>
  <pageSetup paperSize="9" fitToHeight="0" orientation="landscape" verticalDpi="1200" r:id="rId1"/>
  <headerFooter>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9"/>
  <dimension ref="A1:AI21"/>
  <sheetViews>
    <sheetView workbookViewId="0">
      <selection sqref="A1:H1"/>
    </sheetView>
  </sheetViews>
  <sheetFormatPr defaultRowHeight="12" x14ac:dyDescent="0.2"/>
  <cols>
    <col min="1" max="1" width="23.7109375" style="12" customWidth="1"/>
    <col min="2" max="2" width="13.85546875" style="4" customWidth="1"/>
    <col min="3" max="6" width="12.7109375" style="4" customWidth="1"/>
    <col min="7" max="7" width="12.7109375" style="7" customWidth="1"/>
    <col min="8" max="8" width="12.7109375" style="14" customWidth="1"/>
    <col min="9" max="9" width="8" style="14" customWidth="1"/>
    <col min="10" max="16384" width="9.140625" style="4"/>
  </cols>
  <sheetData>
    <row r="1" spans="1:35" ht="15.75" customHeight="1" x14ac:dyDescent="0.25">
      <c r="A1" s="606" t="s">
        <v>423</v>
      </c>
      <c r="B1" s="606"/>
      <c r="C1" s="606"/>
      <c r="D1" s="606"/>
      <c r="E1" s="606"/>
      <c r="F1" s="606"/>
      <c r="G1" s="606"/>
      <c r="H1" s="606"/>
      <c r="AI1" s="10"/>
    </row>
    <row r="2" spans="1:35" s="16" customFormat="1" ht="12" customHeight="1" x14ac:dyDescent="0.2">
      <c r="A2" s="296" t="s">
        <v>3904</v>
      </c>
      <c r="B2" s="544"/>
      <c r="C2" s="544"/>
      <c r="D2" s="544"/>
      <c r="E2" s="544"/>
      <c r="F2" s="544"/>
      <c r="G2" s="544"/>
      <c r="H2" s="544"/>
      <c r="I2" s="544"/>
      <c r="J2" s="544"/>
      <c r="K2" s="544"/>
      <c r="L2" s="544"/>
    </row>
    <row r="3" spans="1:35" s="16" customFormat="1" x14ac:dyDescent="0.2">
      <c r="A3" s="419"/>
      <c r="G3" s="11"/>
      <c r="H3" s="32"/>
      <c r="I3" s="32"/>
    </row>
    <row r="4" spans="1:35" x14ac:dyDescent="0.2">
      <c r="A4" s="652" t="s">
        <v>105</v>
      </c>
      <c r="B4" s="158"/>
      <c r="C4" s="164" t="s">
        <v>97</v>
      </c>
      <c r="D4" s="165" t="s">
        <v>98</v>
      </c>
      <c r="E4" s="164" t="s">
        <v>99</v>
      </c>
      <c r="F4" s="165" t="s">
        <v>100</v>
      </c>
      <c r="G4" s="164" t="s">
        <v>101</v>
      </c>
      <c r="H4" s="650" t="s">
        <v>95</v>
      </c>
    </row>
    <row r="5" spans="1:35" ht="24" x14ac:dyDescent="0.2">
      <c r="A5" s="653"/>
      <c r="B5" s="159"/>
      <c r="C5" s="166" t="s">
        <v>416</v>
      </c>
      <c r="D5" s="166" t="s">
        <v>55</v>
      </c>
      <c r="E5" s="166" t="s">
        <v>51</v>
      </c>
      <c r="F5" s="166" t="s">
        <v>2986</v>
      </c>
      <c r="G5" s="166" t="s">
        <v>2987</v>
      </c>
      <c r="H5" s="651"/>
    </row>
    <row r="6" spans="1:35" ht="12" customHeight="1" x14ac:dyDescent="0.2">
      <c r="A6" s="655" t="s">
        <v>107</v>
      </c>
      <c r="B6" s="160" t="s">
        <v>2970</v>
      </c>
      <c r="C6" s="167">
        <f>GETPIVOTDATA("Count of B1a Net",'1.6c Pivot A'!$A$12)</f>
        <v>3</v>
      </c>
      <c r="D6" s="167">
        <f>GETPIVOTDATA("Count of B1b Net",'1.6c Pivot A'!$A$12)</f>
        <v>0</v>
      </c>
      <c r="E6" s="167">
        <f>GETPIVOTDATA("Count of B1c Net",'1.6c Pivot A'!$A$12)</f>
        <v>0</v>
      </c>
      <c r="F6" s="167">
        <f>GETPIVOTDATA("Count of B2 Net",'1.6c Pivot A'!$A$12)</f>
        <v>0</v>
      </c>
      <c r="G6" s="167">
        <f>GETPIVOTDATA("Count of B8 Net",'1.6c Pivot A'!$A$12)</f>
        <v>1</v>
      </c>
      <c r="H6" s="462">
        <f>GETPIVOTDATA("Count of B Total Net",'1.6c Pivot A'!$A$12)</f>
        <v>3</v>
      </c>
    </row>
    <row r="7" spans="1:35" ht="12" customHeight="1" x14ac:dyDescent="0.2">
      <c r="A7" s="656"/>
      <c r="B7" s="83" t="s">
        <v>168</v>
      </c>
      <c r="C7" s="172">
        <f>GETPIVOTDATA("Sum of B1a Net2",'1.6c Pivot A'!$A$12)</f>
        <v>-4583</v>
      </c>
      <c r="D7" s="172">
        <f>GETPIVOTDATA("Sum of B1b Net2",'1.6c Pivot A'!$A$12)</f>
        <v>0</v>
      </c>
      <c r="E7" s="172">
        <f>GETPIVOTDATA("Sum of B1c Net2",'1.6c Pivot A'!$A$12)</f>
        <v>0</v>
      </c>
      <c r="F7" s="172">
        <f>GETPIVOTDATA("Sum of B2 Net2",'1.6c Pivot A'!$A$12)</f>
        <v>0</v>
      </c>
      <c r="G7" s="172">
        <f>GETPIVOTDATA("Sum of B8 Net2",'1.6c Pivot A'!$A$12)</f>
        <v>-97</v>
      </c>
      <c r="H7" s="463">
        <f>GETPIVOTDATA("Sum of B Total Net2",'1.6c Pivot A'!$A$12)</f>
        <v>-4680</v>
      </c>
    </row>
    <row r="8" spans="1:35" ht="12" customHeight="1" x14ac:dyDescent="0.2">
      <c r="A8" s="655" t="s">
        <v>108</v>
      </c>
      <c r="B8" s="160" t="s">
        <v>2970</v>
      </c>
      <c r="C8" s="167">
        <f>GETPIVOTDATA("Count of B1a Net",'1.6c Pivot B'!$A$12)</f>
        <v>0</v>
      </c>
      <c r="D8" s="167">
        <f>GETPIVOTDATA("Count of B1b Net",'1.6c Pivot B'!$A$12)</f>
        <v>0</v>
      </c>
      <c r="E8" s="167">
        <f>GETPIVOTDATA("Count of B1c Net",'1.6c Pivot B'!$A$12)</f>
        <v>0</v>
      </c>
      <c r="F8" s="167">
        <f>GETPIVOTDATA("Count of B2 Net",'1.6c Pivot B'!$A$12)</f>
        <v>0</v>
      </c>
      <c r="G8" s="167">
        <f>GETPIVOTDATA("Count of B8 Net",'1.6c Pivot B'!$A$12)</f>
        <v>0</v>
      </c>
      <c r="H8" s="462">
        <f>GETPIVOTDATA("Count of B Total Net",'1.6c Pivot B'!$A$12)</f>
        <v>0</v>
      </c>
    </row>
    <row r="9" spans="1:35" ht="12" customHeight="1" x14ac:dyDescent="0.2">
      <c r="A9" s="656"/>
      <c r="B9" s="83" t="s">
        <v>168</v>
      </c>
      <c r="C9" s="172">
        <f>GETPIVOTDATA("Sum of B1a Net2",'1.6c Pivot B'!$A$12)</f>
        <v>0</v>
      </c>
      <c r="D9" s="172">
        <f>GETPIVOTDATA("Sum of B1b Net2",'1.6c Pivot B'!$A$12)</f>
        <v>0</v>
      </c>
      <c r="E9" s="172">
        <f>GETPIVOTDATA("Sum of B1c Net2",'1.6c Pivot B'!$A$12)</f>
        <v>0</v>
      </c>
      <c r="F9" s="172">
        <f>GETPIVOTDATA("Sum of B2 Net2",'1.6c Pivot B'!$A$12)</f>
        <v>0</v>
      </c>
      <c r="G9" s="172">
        <f>GETPIVOTDATA("Sum of B8 Net2",'1.6c Pivot B'!$A$12)</f>
        <v>0</v>
      </c>
      <c r="H9" s="463">
        <f>GETPIVOTDATA("Sum of B Total Net2",'1.6c Pivot B'!$A$12)</f>
        <v>0</v>
      </c>
    </row>
    <row r="10" spans="1:35" ht="12" customHeight="1" x14ac:dyDescent="0.2">
      <c r="A10" s="655" t="s">
        <v>109</v>
      </c>
      <c r="B10" s="160" t="s">
        <v>2970</v>
      </c>
      <c r="C10" s="167">
        <f>GETPIVOTDATA("Count of B1a Net",'1.6c Pivot C'!$A$12)</f>
        <v>0</v>
      </c>
      <c r="D10" s="167">
        <f>GETPIVOTDATA("Count of B1b Net",'1.6c Pivot C'!$A$12)</f>
        <v>0</v>
      </c>
      <c r="E10" s="167">
        <f>GETPIVOTDATA("Count of B1c Net",'1.6c Pivot C'!$A$12)</f>
        <v>0</v>
      </c>
      <c r="F10" s="167">
        <f>GETPIVOTDATA("Count of B2 Net",'1.6c Pivot C'!$A$12)</f>
        <v>0</v>
      </c>
      <c r="G10" s="167">
        <f>GETPIVOTDATA("Count of B8 Net",'1.6c Pivot C'!$A$12)</f>
        <v>0</v>
      </c>
      <c r="H10" s="462">
        <f>GETPIVOTDATA("Count of B Total Net",'1.6c Pivot C'!$A$12)</f>
        <v>0</v>
      </c>
    </row>
    <row r="11" spans="1:35" ht="12" customHeight="1" x14ac:dyDescent="0.2">
      <c r="A11" s="656"/>
      <c r="B11" s="83" t="s">
        <v>168</v>
      </c>
      <c r="C11" s="172">
        <f>GETPIVOTDATA("Sum of B1a Net2",'1.6c Pivot C'!$A$12)</f>
        <v>0</v>
      </c>
      <c r="D11" s="172">
        <f>GETPIVOTDATA("Sum of B1b Net2",'1.6c Pivot C'!$A$12)</f>
        <v>0</v>
      </c>
      <c r="E11" s="172">
        <f>GETPIVOTDATA("Sum of B1c Net2",'1.6c Pivot C'!$A$12)</f>
        <v>0</v>
      </c>
      <c r="F11" s="172">
        <f>GETPIVOTDATA("Sum of B2 Net2",'1.6c Pivot C'!$A$12)</f>
        <v>0</v>
      </c>
      <c r="G11" s="172">
        <f>GETPIVOTDATA("Sum of B8 Net2",'1.6c Pivot C'!$A$12)</f>
        <v>0</v>
      </c>
      <c r="H11" s="463">
        <f>GETPIVOTDATA("Sum of B Total Net2",'1.6c Pivot C'!$A$12)</f>
        <v>0</v>
      </c>
    </row>
    <row r="12" spans="1:35" ht="12" customHeight="1" x14ac:dyDescent="0.2">
      <c r="A12" s="655" t="s">
        <v>110</v>
      </c>
      <c r="B12" s="160" t="s">
        <v>2970</v>
      </c>
      <c r="C12" s="167">
        <f>GETPIVOTDATA("Count of B1a Net",'1.6c Pivot D'!$A$12)</f>
        <v>1</v>
      </c>
      <c r="D12" s="167">
        <f>GETPIVOTDATA("Count of B1b Net",'1.6c Pivot D'!$A$12)</f>
        <v>0</v>
      </c>
      <c r="E12" s="167">
        <f>GETPIVOTDATA("Count of B1c Net",'1.6c Pivot D'!$A$12)</f>
        <v>0</v>
      </c>
      <c r="F12" s="167">
        <f>GETPIVOTDATA("Count of B2 Net",'1.6c Pivot D'!$A$12)</f>
        <v>0</v>
      </c>
      <c r="G12" s="167">
        <f>GETPIVOTDATA("Count of B8 Net",'1.6c Pivot D'!$A$12)</f>
        <v>1</v>
      </c>
      <c r="H12" s="462">
        <f>GETPIVOTDATA("Count of B Total Net",'1.6c Pivot D'!$A$12)</f>
        <v>1</v>
      </c>
    </row>
    <row r="13" spans="1:35" ht="12" customHeight="1" x14ac:dyDescent="0.2">
      <c r="A13" s="656"/>
      <c r="B13" s="83" t="s">
        <v>168</v>
      </c>
      <c r="C13" s="172">
        <f>GETPIVOTDATA("Sum of B1a Net2",'1.6c Pivot D'!$A$12)</f>
        <v>26</v>
      </c>
      <c r="D13" s="172">
        <f>GETPIVOTDATA("Sum of B1b Net2",'1.6c Pivot D'!$A$12)</f>
        <v>0</v>
      </c>
      <c r="E13" s="172">
        <f>GETPIVOTDATA("Sum of B1c Net2",'1.6c Pivot D'!$A$12)</f>
        <v>0</v>
      </c>
      <c r="F13" s="172">
        <f>GETPIVOTDATA("Sum of B2 Net2",'1.6c Pivot D'!$A$12)</f>
        <v>0</v>
      </c>
      <c r="G13" s="172">
        <f>GETPIVOTDATA("Sum of B8 Net2",'1.6c Pivot D'!$A$12)</f>
        <v>-97</v>
      </c>
      <c r="H13" s="463">
        <f>GETPIVOTDATA("Sum of B Total Net2",'1.6c Pivot D'!$A$12)</f>
        <v>-71</v>
      </c>
    </row>
    <row r="14" spans="1:35" ht="12" customHeight="1" x14ac:dyDescent="0.2">
      <c r="A14" s="655" t="s">
        <v>2900</v>
      </c>
      <c r="B14" s="160" t="s">
        <v>2970</v>
      </c>
      <c r="C14" s="167">
        <f>GETPIVOTDATA("Count of B1a Net",'1.6c Pivot E'!$A$12)</f>
        <v>1</v>
      </c>
      <c r="D14" s="167">
        <f>GETPIVOTDATA("Count of B1b Net",'1.6c Pivot E'!$A$12)</f>
        <v>1</v>
      </c>
      <c r="E14" s="167">
        <f>GETPIVOTDATA("Count of B1c Net",'1.6c Pivot E'!$A$12)</f>
        <v>1</v>
      </c>
      <c r="F14" s="167">
        <f>GETPIVOTDATA("Count of B2 Net",'1.6c Pivot E'!$A$12)</f>
        <v>0</v>
      </c>
      <c r="G14" s="167">
        <f>GETPIVOTDATA("Count of B8 Net",'1.6c Pivot E'!$A$12)</f>
        <v>1</v>
      </c>
      <c r="H14" s="462">
        <f>GETPIVOTDATA("Count of B Total Net",'1.6c Pivot E'!$A$12)</f>
        <v>1</v>
      </c>
    </row>
    <row r="15" spans="1:35" ht="12" customHeight="1" x14ac:dyDescent="0.2">
      <c r="A15" s="656"/>
      <c r="B15" s="83" t="s">
        <v>168</v>
      </c>
      <c r="C15" s="172">
        <f>GETPIVOTDATA("Sum of B1a Net2",'1.6c Pivot E'!$A$12)</f>
        <v>405</v>
      </c>
      <c r="D15" s="172">
        <f>GETPIVOTDATA("Sum of B1b Net2",'1.6c Pivot E'!$A$12)</f>
        <v>405</v>
      </c>
      <c r="E15" s="172">
        <f>GETPIVOTDATA("Sum of B1c Net2",'1.6c Pivot E'!$A$12)</f>
        <v>-1791</v>
      </c>
      <c r="F15" s="172">
        <f>GETPIVOTDATA("Sum of B2 Net2",'1.6c Pivot E'!$A$12)</f>
        <v>0</v>
      </c>
      <c r="G15" s="172">
        <f>GETPIVOTDATA("Sum of B8 Net2",'1.6c Pivot E'!$A$12)</f>
        <v>-2171</v>
      </c>
      <c r="H15" s="463">
        <f>GETPIVOTDATA("Sum of B Total Net2",'1.6c Pivot E'!$A$12)</f>
        <v>-3152</v>
      </c>
    </row>
    <row r="16" spans="1:35" ht="12" customHeight="1" x14ac:dyDescent="0.2">
      <c r="A16" s="655" t="s">
        <v>2991</v>
      </c>
      <c r="B16" s="160" t="s">
        <v>2970</v>
      </c>
      <c r="C16" s="167">
        <f>GETPIVOTDATA("Count of B1a Net",'1.6c Pivot F'!$A$12)</f>
        <v>5</v>
      </c>
      <c r="D16" s="167">
        <f>GETPIVOTDATA("Count of B1b Net",'1.6c Pivot F'!$A$12)</f>
        <v>0</v>
      </c>
      <c r="E16" s="167">
        <f>GETPIVOTDATA("Count of B1c Net",'1.6c Pivot F'!$A$12)</f>
        <v>1</v>
      </c>
      <c r="F16" s="167">
        <f>GETPIVOTDATA("Count of B2 Net",'1.6c Pivot F'!$A$12)</f>
        <v>1</v>
      </c>
      <c r="G16" s="167">
        <f>GETPIVOTDATA("Count of B8 Net",'1.6c Pivot F'!$A$12)</f>
        <v>1</v>
      </c>
      <c r="H16" s="462">
        <f>GETPIVOTDATA("Count of B Total Net",'1.6c Pivot F'!$A$12)</f>
        <v>8</v>
      </c>
    </row>
    <row r="17" spans="1:8" ht="12" customHeight="1" x14ac:dyDescent="0.2">
      <c r="A17" s="656"/>
      <c r="B17" s="83" t="s">
        <v>168</v>
      </c>
      <c r="C17" s="172">
        <f>GETPIVOTDATA("Sum of B1a Net2",'1.6c Pivot F'!$A$12)</f>
        <v>-3201</v>
      </c>
      <c r="D17" s="172">
        <f>GETPIVOTDATA("Sum of B1b Net2",'1.6c Pivot F'!$A$12)</f>
        <v>0</v>
      </c>
      <c r="E17" s="172">
        <f>GETPIVOTDATA("Sum of B1c Net2",'1.6c Pivot F'!$A$12)</f>
        <v>-29</v>
      </c>
      <c r="F17" s="172">
        <f>GETPIVOTDATA("Sum of B2 Net2",'1.6c Pivot F'!$A$12)</f>
        <v>-541</v>
      </c>
      <c r="G17" s="172">
        <f>GETPIVOTDATA("Sum of B8 Net2",'1.6c Pivot F'!$A$12)</f>
        <v>-69</v>
      </c>
      <c r="H17" s="463">
        <f>GETPIVOTDATA("Sum of B Total Net2",'1.6c Pivot F'!$A$12)</f>
        <v>-3840</v>
      </c>
    </row>
    <row r="18" spans="1:8" ht="12" customHeight="1" x14ac:dyDescent="0.2">
      <c r="A18" s="655" t="s">
        <v>426</v>
      </c>
      <c r="B18" s="160" t="s">
        <v>2970</v>
      </c>
      <c r="C18" s="167">
        <f>GETPIVOTDATA("Count of B1a Net",'1.6c Pivot G'!$A$12)</f>
        <v>16</v>
      </c>
      <c r="D18" s="167">
        <f>GETPIVOTDATA("Count of B1b Net",'1.6c Pivot G'!$A$12)</f>
        <v>0</v>
      </c>
      <c r="E18" s="167">
        <f>GETPIVOTDATA("Count of B1c Net",'1.6c Pivot G'!$A$12)</f>
        <v>4</v>
      </c>
      <c r="F18" s="167">
        <f>GETPIVOTDATA("Count of B2 Net",'1.6c Pivot G'!$A$12)</f>
        <v>2</v>
      </c>
      <c r="G18" s="167">
        <f>GETPIVOTDATA("Count of B8 Net",'1.6c Pivot G'!$A$12)</f>
        <v>8</v>
      </c>
      <c r="H18" s="462">
        <f>GETPIVOTDATA("Count of B Total Net",'1.6c Pivot G'!$A$12)</f>
        <v>27</v>
      </c>
    </row>
    <row r="19" spans="1:8" ht="12" customHeight="1" x14ac:dyDescent="0.2">
      <c r="A19" s="657"/>
      <c r="B19" s="161" t="s">
        <v>168</v>
      </c>
      <c r="C19" s="168">
        <f>GETPIVOTDATA("Sum of B1a Net2",'1.6c Pivot G'!$A$12)</f>
        <v>-2903</v>
      </c>
      <c r="D19" s="168">
        <f>GETPIVOTDATA("Sum of B1b Net2",'1.6c Pivot G'!$A$12)</f>
        <v>0</v>
      </c>
      <c r="E19" s="168">
        <f>GETPIVOTDATA("Sum of B1c Net2",'1.6c Pivot G'!$A$12)</f>
        <v>-428</v>
      </c>
      <c r="F19" s="168">
        <f>GETPIVOTDATA("Sum of B2 Net2",'1.6c Pivot G'!$A$12)</f>
        <v>-142</v>
      </c>
      <c r="G19" s="168">
        <f>GETPIVOTDATA("Sum of B8 Net2",'1.6c Pivot G'!$A$12)</f>
        <v>-583</v>
      </c>
      <c r="H19" s="464">
        <f>GETPIVOTDATA("Sum of B Total Net2",'1.6c Pivot G'!$A$12)</f>
        <v>-4056</v>
      </c>
    </row>
    <row r="20" spans="1:8" ht="12" customHeight="1" x14ac:dyDescent="0.2">
      <c r="A20" s="652" t="s">
        <v>95</v>
      </c>
      <c r="B20" s="160" t="s">
        <v>2970</v>
      </c>
      <c r="C20" s="164">
        <f>GETPIVOTDATA("Count of B1a Net",'1.6c Pivot H'!$A$12)</f>
        <v>25</v>
      </c>
      <c r="D20" s="164">
        <f>GETPIVOTDATA("Count of B1b Net",'1.6c Pivot H'!$A$12)</f>
        <v>1</v>
      </c>
      <c r="E20" s="164">
        <f>GETPIVOTDATA("Count of B1c Net",'1.6c Pivot H'!$A$12)</f>
        <v>6</v>
      </c>
      <c r="F20" s="164">
        <f>GETPIVOTDATA("Count of B2 Net",'1.6c Pivot H'!$A$12)</f>
        <v>3</v>
      </c>
      <c r="G20" s="164">
        <f>GETPIVOTDATA("Count of B8 Net",'1.6c Pivot H'!$A$12)</f>
        <v>11</v>
      </c>
      <c r="H20" s="465">
        <f>GETPIVOTDATA("Count of B Total Net",'1.6c Pivot H'!$A$12)</f>
        <v>39</v>
      </c>
    </row>
    <row r="21" spans="1:8" ht="12" customHeight="1" x14ac:dyDescent="0.2">
      <c r="A21" s="653"/>
      <c r="B21" s="161" t="s">
        <v>168</v>
      </c>
      <c r="C21" s="170">
        <f>GETPIVOTDATA("Sum of B1a Net2",'1.6c Pivot H'!$A$12)</f>
        <v>-10282</v>
      </c>
      <c r="D21" s="170">
        <f>GETPIVOTDATA("Sum of B1b Net2",'1.6c Pivot H'!$A$12)</f>
        <v>405</v>
      </c>
      <c r="E21" s="170">
        <f>GETPIVOTDATA("Sum of B1c Net2",'1.6c Pivot H'!$A$12)</f>
        <v>-2248</v>
      </c>
      <c r="F21" s="170">
        <f>GETPIVOTDATA("Sum of B2 Net2",'1.6c Pivot H'!$A$12)</f>
        <v>-683</v>
      </c>
      <c r="G21" s="170">
        <f>GETPIVOTDATA("Sum of B8 Net2",'1.6c Pivot H'!$A$12)</f>
        <v>-2920</v>
      </c>
      <c r="H21" s="170">
        <f>GETPIVOTDATA("Sum of B Total Net2",'1.6c Pivot H'!$A$12)</f>
        <v>-15728</v>
      </c>
    </row>
  </sheetData>
  <mergeCells count="11">
    <mergeCell ref="A1:H1"/>
    <mergeCell ref="H4:H5"/>
    <mergeCell ref="A6:A7"/>
    <mergeCell ref="A8:A9"/>
    <mergeCell ref="A20:A21"/>
    <mergeCell ref="A4:A5"/>
    <mergeCell ref="A10:A11"/>
    <mergeCell ref="A12:A13"/>
    <mergeCell ref="A14:A15"/>
    <mergeCell ref="A16:A17"/>
    <mergeCell ref="A18:A19"/>
  </mergeCells>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126</v>
      </c>
    </row>
    <row r="6" spans="1:12" x14ac:dyDescent="0.2">
      <c r="A6" s="77" t="s">
        <v>2894</v>
      </c>
      <c r="B6" s="446" t="s">
        <v>429</v>
      </c>
    </row>
    <row r="7" spans="1:12" x14ac:dyDescent="0.2">
      <c r="A7" s="77" t="s">
        <v>111</v>
      </c>
      <c r="B7" s="446" t="s">
        <v>429</v>
      </c>
    </row>
    <row r="8" spans="1:12" x14ac:dyDescent="0.2">
      <c r="A8" s="77" t="s">
        <v>2896</v>
      </c>
      <c r="B8" s="446" t="s">
        <v>429</v>
      </c>
    </row>
    <row r="9" spans="1:12" x14ac:dyDescent="0.2">
      <c r="A9" s="77" t="s">
        <v>2900</v>
      </c>
      <c r="B9" s="446" t="s">
        <v>429</v>
      </c>
    </row>
    <row r="10" spans="1:12" x14ac:dyDescent="0.2">
      <c r="A10" s="77" t="s">
        <v>2898</v>
      </c>
      <c r="B10" s="446" t="s">
        <v>429</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3</v>
      </c>
      <c r="B13" s="74">
        <v>-4583</v>
      </c>
      <c r="C13" s="74">
        <v>0</v>
      </c>
      <c r="D13" s="74">
        <v>0</v>
      </c>
      <c r="E13" s="74">
        <v>0</v>
      </c>
      <c r="F13" s="74">
        <v>0</v>
      </c>
      <c r="G13" s="74">
        <v>0</v>
      </c>
      <c r="H13" s="74">
        <v>0</v>
      </c>
      <c r="I13" s="74">
        <v>1</v>
      </c>
      <c r="J13" s="74">
        <v>-97</v>
      </c>
      <c r="K13" s="74">
        <v>3</v>
      </c>
      <c r="L13" s="74">
        <v>-4680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429</v>
      </c>
    </row>
    <row r="6" spans="1:12" x14ac:dyDescent="0.2">
      <c r="A6" s="77" t="s">
        <v>2894</v>
      </c>
      <c r="B6" s="446" t="s">
        <v>126</v>
      </c>
    </row>
    <row r="7" spans="1:12" x14ac:dyDescent="0.2">
      <c r="A7" s="77" t="s">
        <v>111</v>
      </c>
      <c r="B7" s="446" t="s">
        <v>429</v>
      </c>
    </row>
    <row r="8" spans="1:12" x14ac:dyDescent="0.2">
      <c r="A8" s="77" t="s">
        <v>2896</v>
      </c>
      <c r="B8" s="446" t="s">
        <v>429</v>
      </c>
    </row>
    <row r="9" spans="1:12" x14ac:dyDescent="0.2">
      <c r="A9" s="77" t="s">
        <v>2900</v>
      </c>
      <c r="B9" s="446" t="s">
        <v>429</v>
      </c>
    </row>
    <row r="10" spans="1:12" x14ac:dyDescent="0.2">
      <c r="A10" s="77" t="s">
        <v>2898</v>
      </c>
      <c r="B10" s="446" t="s">
        <v>429</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0</v>
      </c>
      <c r="B13" s="74">
        <v>0</v>
      </c>
      <c r="C13" s="74">
        <v>0</v>
      </c>
      <c r="D13" s="74">
        <v>0</v>
      </c>
      <c r="E13" s="74">
        <v>0</v>
      </c>
      <c r="F13" s="74">
        <v>0</v>
      </c>
      <c r="G13" s="74">
        <v>0</v>
      </c>
      <c r="H13" s="74">
        <v>0</v>
      </c>
      <c r="I13" s="74">
        <v>0</v>
      </c>
      <c r="J13" s="74">
        <v>0</v>
      </c>
      <c r="K13" s="74">
        <v>0</v>
      </c>
      <c r="L13"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429</v>
      </c>
    </row>
    <row r="6" spans="1:12" x14ac:dyDescent="0.2">
      <c r="A6" s="77" t="s">
        <v>2894</v>
      </c>
      <c r="B6" s="446" t="s">
        <v>429</v>
      </c>
    </row>
    <row r="7" spans="1:12" x14ac:dyDescent="0.2">
      <c r="A7" s="77" t="s">
        <v>111</v>
      </c>
      <c r="B7" s="446" t="s">
        <v>429</v>
      </c>
    </row>
    <row r="8" spans="1:12" x14ac:dyDescent="0.2">
      <c r="A8" s="77" t="s">
        <v>2896</v>
      </c>
      <c r="B8" s="446" t="s">
        <v>126</v>
      </c>
    </row>
    <row r="9" spans="1:12" x14ac:dyDescent="0.2">
      <c r="A9" s="77" t="s">
        <v>2900</v>
      </c>
      <c r="B9" s="446" t="s">
        <v>429</v>
      </c>
    </row>
    <row r="10" spans="1:12" x14ac:dyDescent="0.2">
      <c r="A10" s="77" t="s">
        <v>2898</v>
      </c>
      <c r="B10" s="446" t="s">
        <v>429</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0</v>
      </c>
      <c r="B13" s="74">
        <v>0</v>
      </c>
      <c r="C13" s="74">
        <v>0</v>
      </c>
      <c r="D13" s="74">
        <v>0</v>
      </c>
      <c r="E13" s="74">
        <v>0</v>
      </c>
      <c r="F13" s="74">
        <v>0</v>
      </c>
      <c r="G13" s="74">
        <v>0</v>
      </c>
      <c r="H13" s="74">
        <v>0</v>
      </c>
      <c r="I13" s="74">
        <v>0</v>
      </c>
      <c r="J13" s="74">
        <v>0</v>
      </c>
      <c r="K13" s="74">
        <v>0</v>
      </c>
      <c r="L13" s="74">
        <v>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429</v>
      </c>
    </row>
    <row r="6" spans="1:12" x14ac:dyDescent="0.2">
      <c r="A6" s="77" t="s">
        <v>2894</v>
      </c>
      <c r="B6" s="446" t="s">
        <v>429</v>
      </c>
    </row>
    <row r="7" spans="1:12" x14ac:dyDescent="0.2">
      <c r="A7" s="77" t="s">
        <v>111</v>
      </c>
      <c r="B7" s="446" t="s">
        <v>429</v>
      </c>
    </row>
    <row r="8" spans="1:12" x14ac:dyDescent="0.2">
      <c r="A8" s="77" t="s">
        <v>2896</v>
      </c>
      <c r="B8" s="446" t="s">
        <v>429</v>
      </c>
    </row>
    <row r="9" spans="1:12" x14ac:dyDescent="0.2">
      <c r="A9" s="77" t="s">
        <v>2900</v>
      </c>
      <c r="B9" s="446" t="s">
        <v>429</v>
      </c>
    </row>
    <row r="10" spans="1:12" x14ac:dyDescent="0.2">
      <c r="A10" s="77" t="s">
        <v>2898</v>
      </c>
      <c r="B10" s="446" t="s">
        <v>126</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1</v>
      </c>
      <c r="B13" s="74">
        <v>26</v>
      </c>
      <c r="C13" s="74">
        <v>0</v>
      </c>
      <c r="D13" s="74">
        <v>0</v>
      </c>
      <c r="E13" s="74">
        <v>0</v>
      </c>
      <c r="F13" s="74">
        <v>0</v>
      </c>
      <c r="G13" s="74">
        <v>0</v>
      </c>
      <c r="H13" s="74">
        <v>0</v>
      </c>
      <c r="I13" s="74">
        <v>1</v>
      </c>
      <c r="J13" s="74">
        <v>-97</v>
      </c>
      <c r="K13" s="74">
        <v>1</v>
      </c>
      <c r="L13" s="74">
        <v>-71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429</v>
      </c>
    </row>
    <row r="6" spans="1:12" x14ac:dyDescent="0.2">
      <c r="A6" s="77" t="s">
        <v>2894</v>
      </c>
      <c r="B6" s="446" t="s">
        <v>429</v>
      </c>
    </row>
    <row r="7" spans="1:12" x14ac:dyDescent="0.2">
      <c r="A7" s="77" t="s">
        <v>111</v>
      </c>
      <c r="B7" s="446" t="s">
        <v>429</v>
      </c>
    </row>
    <row r="8" spans="1:12" x14ac:dyDescent="0.2">
      <c r="A8" s="77" t="s">
        <v>2896</v>
      </c>
      <c r="B8" s="446" t="s">
        <v>429</v>
      </c>
    </row>
    <row r="9" spans="1:12" x14ac:dyDescent="0.2">
      <c r="A9" s="77" t="s">
        <v>2900</v>
      </c>
      <c r="B9" s="446" t="s">
        <v>126</v>
      </c>
    </row>
    <row r="10" spans="1:12" x14ac:dyDescent="0.2">
      <c r="A10" s="77" t="s">
        <v>2898</v>
      </c>
      <c r="B10" s="446" t="s">
        <v>429</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1</v>
      </c>
      <c r="B13" s="74">
        <v>405</v>
      </c>
      <c r="C13" s="74">
        <v>1</v>
      </c>
      <c r="D13" s="74">
        <v>405</v>
      </c>
      <c r="E13" s="74">
        <v>1</v>
      </c>
      <c r="F13" s="74">
        <v>-1791</v>
      </c>
      <c r="G13" s="74">
        <v>0</v>
      </c>
      <c r="H13" s="74">
        <v>0</v>
      </c>
      <c r="I13" s="74">
        <v>1</v>
      </c>
      <c r="J13" s="74">
        <v>-2171</v>
      </c>
      <c r="K13" s="74">
        <v>1</v>
      </c>
      <c r="L13" s="74">
        <v>-3152</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429</v>
      </c>
    </row>
    <row r="6" spans="1:12" x14ac:dyDescent="0.2">
      <c r="A6" s="77" t="s">
        <v>2894</v>
      </c>
      <c r="B6" s="446" t="s">
        <v>429</v>
      </c>
    </row>
    <row r="7" spans="1:12" x14ac:dyDescent="0.2">
      <c r="A7" s="77" t="s">
        <v>111</v>
      </c>
      <c r="B7" s="446" t="s">
        <v>126</v>
      </c>
    </row>
    <row r="8" spans="1:12" x14ac:dyDescent="0.2">
      <c r="A8" s="77" t="s">
        <v>2896</v>
      </c>
      <c r="B8" s="446" t="s">
        <v>429</v>
      </c>
    </row>
    <row r="9" spans="1:12" x14ac:dyDescent="0.2">
      <c r="A9" s="77" t="s">
        <v>2900</v>
      </c>
      <c r="B9" s="446" t="s">
        <v>429</v>
      </c>
    </row>
    <row r="10" spans="1:12" x14ac:dyDescent="0.2">
      <c r="A10" s="77" t="s">
        <v>2898</v>
      </c>
      <c r="B10" s="446" t="s">
        <v>429</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5</v>
      </c>
      <c r="B13" s="74">
        <v>-3201</v>
      </c>
      <c r="C13" s="74">
        <v>0</v>
      </c>
      <c r="D13" s="74">
        <v>0</v>
      </c>
      <c r="E13" s="74">
        <v>1</v>
      </c>
      <c r="F13" s="74">
        <v>-29</v>
      </c>
      <c r="G13" s="74">
        <v>1</v>
      </c>
      <c r="H13" s="74">
        <v>-541</v>
      </c>
      <c r="I13" s="74">
        <v>1</v>
      </c>
      <c r="J13" s="74">
        <v>-69</v>
      </c>
      <c r="K13" s="74">
        <v>8</v>
      </c>
      <c r="L13" s="74">
        <v>-3840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153</v>
      </c>
    </row>
    <row r="6" spans="1:12" x14ac:dyDescent="0.2">
      <c r="A6" s="77" t="s">
        <v>2894</v>
      </c>
      <c r="B6" s="446" t="s">
        <v>153</v>
      </c>
    </row>
    <row r="7" spans="1:12" x14ac:dyDescent="0.2">
      <c r="A7" s="77" t="s">
        <v>111</v>
      </c>
      <c r="B7" s="446" t="s">
        <v>153</v>
      </c>
    </row>
    <row r="8" spans="1:12" x14ac:dyDescent="0.2">
      <c r="A8" s="77" t="s">
        <v>2896</v>
      </c>
      <c r="B8" s="446" t="s">
        <v>153</v>
      </c>
    </row>
    <row r="9" spans="1:12" x14ac:dyDescent="0.2">
      <c r="A9" s="77" t="s">
        <v>2900</v>
      </c>
      <c r="B9" s="446" t="s">
        <v>153</v>
      </c>
    </row>
    <row r="10" spans="1:12" x14ac:dyDescent="0.2">
      <c r="A10" s="77" t="s">
        <v>2898</v>
      </c>
      <c r="B10" s="446" t="s">
        <v>153</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16</v>
      </c>
      <c r="B13" s="74">
        <v>-2903</v>
      </c>
      <c r="C13" s="74">
        <v>0</v>
      </c>
      <c r="D13" s="74">
        <v>0</v>
      </c>
      <c r="E13" s="74">
        <v>4</v>
      </c>
      <c r="F13" s="74">
        <v>-428</v>
      </c>
      <c r="G13" s="74">
        <v>2</v>
      </c>
      <c r="H13" s="74">
        <v>-142</v>
      </c>
      <c r="I13" s="74">
        <v>8</v>
      </c>
      <c r="J13" s="74">
        <v>-583</v>
      </c>
      <c r="K13" s="74">
        <v>27</v>
      </c>
      <c r="L13" s="74">
        <v>-4056</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13"/>
  <sheetViews>
    <sheetView workbookViewId="0"/>
  </sheetViews>
  <sheetFormatPr defaultRowHeight="12" x14ac:dyDescent="0.2"/>
  <cols>
    <col min="1" max="1" width="39.42578125" bestFit="1" customWidth="1"/>
    <col min="2" max="2" width="14.5703125" bestFit="1" customWidth="1"/>
    <col min="3" max="6" width="14.5703125" customWidth="1"/>
    <col min="7" max="10" width="13.5703125" customWidth="1"/>
    <col min="11" max="11" width="17"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12" x14ac:dyDescent="0.2">
      <c r="A1" s="77" t="s">
        <v>2939</v>
      </c>
      <c r="B1" s="446" t="s">
        <v>2937</v>
      </c>
    </row>
    <row r="2" spans="1:12" x14ac:dyDescent="0.2">
      <c r="A2" s="77" t="s">
        <v>2940</v>
      </c>
      <c r="B2" s="446" t="s">
        <v>2946</v>
      </c>
    </row>
    <row r="3" spans="1:12" x14ac:dyDescent="0.2">
      <c r="A3" s="77" t="s">
        <v>2892</v>
      </c>
      <c r="B3" s="446" t="s">
        <v>126</v>
      </c>
    </row>
    <row r="4" spans="1:12" x14ac:dyDescent="0.2">
      <c r="A4" s="77" t="s">
        <v>130</v>
      </c>
      <c r="B4" s="446" t="s">
        <v>126</v>
      </c>
    </row>
    <row r="5" spans="1:12" x14ac:dyDescent="0.2">
      <c r="A5" s="77" t="s">
        <v>107</v>
      </c>
      <c r="B5" s="446" t="s">
        <v>429</v>
      </c>
    </row>
    <row r="6" spans="1:12" x14ac:dyDescent="0.2">
      <c r="A6" s="77" t="s">
        <v>2894</v>
      </c>
      <c r="B6" s="446" t="s">
        <v>429</v>
      </c>
    </row>
    <row r="7" spans="1:12" x14ac:dyDescent="0.2">
      <c r="A7" s="77" t="s">
        <v>111</v>
      </c>
      <c r="B7" s="446" t="s">
        <v>429</v>
      </c>
    </row>
    <row r="8" spans="1:12" x14ac:dyDescent="0.2">
      <c r="A8" s="77" t="s">
        <v>2896</v>
      </c>
      <c r="B8" s="446" t="s">
        <v>429</v>
      </c>
    </row>
    <row r="9" spans="1:12" x14ac:dyDescent="0.2">
      <c r="A9" s="77" t="s">
        <v>2900</v>
      </c>
      <c r="B9" s="446" t="s">
        <v>429</v>
      </c>
    </row>
    <row r="10" spans="1:12" x14ac:dyDescent="0.2">
      <c r="A10" s="77" t="s">
        <v>2898</v>
      </c>
      <c r="B10" s="446" t="s">
        <v>429</v>
      </c>
    </row>
    <row r="12" spans="1:12" x14ac:dyDescent="0.2">
      <c r="A12" s="446" t="s">
        <v>116</v>
      </c>
      <c r="B12" s="446" t="s">
        <v>117</v>
      </c>
      <c r="C12" s="446" t="s">
        <v>118</v>
      </c>
      <c r="D12" s="446" t="s">
        <v>119</v>
      </c>
      <c r="E12" s="446" t="s">
        <v>120</v>
      </c>
      <c r="F12" s="446" t="s">
        <v>121</v>
      </c>
      <c r="G12" s="446" t="s">
        <v>122</v>
      </c>
      <c r="H12" s="446" t="s">
        <v>123</v>
      </c>
      <c r="I12" s="446" t="s">
        <v>124</v>
      </c>
      <c r="J12" s="446" t="s">
        <v>125</v>
      </c>
      <c r="K12" s="446" t="s">
        <v>2923</v>
      </c>
      <c r="L12" s="446" t="s">
        <v>2925</v>
      </c>
    </row>
    <row r="13" spans="1:12" x14ac:dyDescent="0.2">
      <c r="A13" s="74">
        <v>25</v>
      </c>
      <c r="B13" s="74">
        <v>-10282</v>
      </c>
      <c r="C13" s="74">
        <v>1</v>
      </c>
      <c r="D13" s="74">
        <v>405</v>
      </c>
      <c r="E13" s="74">
        <v>6</v>
      </c>
      <c r="F13" s="74">
        <v>-2248</v>
      </c>
      <c r="G13" s="74">
        <v>3</v>
      </c>
      <c r="H13" s="74">
        <v>-683</v>
      </c>
      <c r="I13" s="74">
        <v>11</v>
      </c>
      <c r="J13" s="74">
        <v>-2920</v>
      </c>
      <c r="K13" s="74">
        <v>39</v>
      </c>
      <c r="L13" s="74">
        <v>-15728</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6"/>
  <dimension ref="A1:AI39"/>
  <sheetViews>
    <sheetView workbookViewId="0">
      <selection sqref="A1:F1"/>
    </sheetView>
  </sheetViews>
  <sheetFormatPr defaultRowHeight="12" x14ac:dyDescent="0.2"/>
  <cols>
    <col min="1" max="1" width="11" style="424" customWidth="1"/>
    <col min="2" max="2" width="20.140625" style="13" customWidth="1"/>
    <col min="3" max="3" width="46.7109375" style="13" customWidth="1"/>
    <col min="4" max="4" width="15.42578125" style="13" bestFit="1" customWidth="1"/>
    <col min="5" max="5" width="12" style="13" customWidth="1"/>
    <col min="6" max="6" width="14.140625" style="188" customWidth="1"/>
    <col min="7" max="7" width="25.28515625" style="6" customWidth="1"/>
    <col min="8" max="8" width="14.85546875" style="6" customWidth="1"/>
    <col min="9" max="16384" width="9.140625" style="8"/>
  </cols>
  <sheetData>
    <row r="1" spans="1:35" ht="15.75" x14ac:dyDescent="0.2">
      <c r="A1" s="658" t="s">
        <v>423</v>
      </c>
      <c r="B1" s="658"/>
      <c r="C1" s="658"/>
      <c r="D1" s="658"/>
      <c r="E1" s="658"/>
      <c r="F1" s="658"/>
      <c r="AI1" s="186"/>
    </row>
    <row r="2" spans="1:35" ht="12.75" customHeight="1" x14ac:dyDescent="0.2">
      <c r="A2" s="422" t="s">
        <v>3905</v>
      </c>
      <c r="B2" s="241"/>
      <c r="C2" s="241"/>
      <c r="D2" s="241"/>
      <c r="E2" s="241"/>
      <c r="F2" s="241"/>
    </row>
    <row r="3" spans="1:35" x14ac:dyDescent="0.2">
      <c r="A3" s="423"/>
      <c r="B3" s="187"/>
      <c r="C3" s="187"/>
      <c r="E3" s="187"/>
    </row>
    <row r="4" spans="1:35" ht="24" customHeight="1" x14ac:dyDescent="0.2">
      <c r="A4" s="541" t="s">
        <v>2848</v>
      </c>
      <c r="B4" s="189" t="s">
        <v>185</v>
      </c>
      <c r="C4" s="189" t="s">
        <v>3795</v>
      </c>
      <c r="D4" s="82" t="s">
        <v>111</v>
      </c>
      <c r="E4" s="82" t="s">
        <v>3796</v>
      </c>
      <c r="F4" s="456" t="s">
        <v>3797</v>
      </c>
    </row>
    <row r="5" spans="1:35" ht="48" x14ac:dyDescent="0.2">
      <c r="A5" s="542" t="s">
        <v>254</v>
      </c>
      <c r="B5" s="190" t="s">
        <v>2000</v>
      </c>
      <c r="C5" s="190" t="s">
        <v>3357</v>
      </c>
      <c r="D5" s="190" t="s">
        <v>150</v>
      </c>
      <c r="E5" s="190" t="s">
        <v>3798</v>
      </c>
      <c r="F5" s="466">
        <v>-980</v>
      </c>
    </row>
    <row r="6" spans="1:35" ht="24" x14ac:dyDescent="0.2">
      <c r="A6" s="542" t="s">
        <v>349</v>
      </c>
      <c r="B6" s="190" t="s">
        <v>2024</v>
      </c>
      <c r="C6" s="190" t="s">
        <v>3377</v>
      </c>
      <c r="D6" s="190" t="s">
        <v>151</v>
      </c>
      <c r="E6" s="190" t="s">
        <v>421</v>
      </c>
      <c r="F6" s="466">
        <v>-815</v>
      </c>
    </row>
    <row r="7" spans="1:35" x14ac:dyDescent="0.2">
      <c r="A7" s="542" t="s">
        <v>365</v>
      </c>
      <c r="B7" s="190" t="s">
        <v>2041</v>
      </c>
      <c r="C7" s="190" t="s">
        <v>3387</v>
      </c>
      <c r="D7" s="190" t="s">
        <v>131</v>
      </c>
      <c r="E7" s="190" t="s">
        <v>421</v>
      </c>
      <c r="F7" s="466">
        <v>-200</v>
      </c>
    </row>
    <row r="8" spans="1:35" ht="24" x14ac:dyDescent="0.2">
      <c r="A8" s="542" t="s">
        <v>321</v>
      </c>
      <c r="B8" s="190" t="s">
        <v>2032</v>
      </c>
      <c r="C8" s="190" t="s">
        <v>3382</v>
      </c>
      <c r="D8" s="190" t="s">
        <v>151</v>
      </c>
      <c r="E8" s="190" t="s">
        <v>421</v>
      </c>
      <c r="F8" s="466">
        <v>-284</v>
      </c>
    </row>
    <row r="9" spans="1:35" ht="24" x14ac:dyDescent="0.2">
      <c r="A9" s="542" t="s">
        <v>343</v>
      </c>
      <c r="B9" s="190" t="s">
        <v>2024</v>
      </c>
      <c r="C9" s="190" t="s">
        <v>3378</v>
      </c>
      <c r="D9" s="190" t="s">
        <v>151</v>
      </c>
      <c r="E9" s="190" t="s">
        <v>421</v>
      </c>
      <c r="F9" s="466">
        <v>-119</v>
      </c>
    </row>
    <row r="10" spans="1:35" x14ac:dyDescent="0.2">
      <c r="A10" s="542" t="s">
        <v>288</v>
      </c>
      <c r="B10" s="190" t="s">
        <v>2079</v>
      </c>
      <c r="C10" s="190" t="s">
        <v>3417</v>
      </c>
      <c r="D10" s="190" t="s">
        <v>150</v>
      </c>
      <c r="E10" s="190" t="s">
        <v>421</v>
      </c>
      <c r="F10" s="466">
        <v>-322</v>
      </c>
    </row>
    <row r="11" spans="1:35" x14ac:dyDescent="0.2">
      <c r="A11" s="542" t="s">
        <v>457</v>
      </c>
      <c r="B11" s="190" t="s">
        <v>2115</v>
      </c>
      <c r="C11" s="190" t="s">
        <v>3450</v>
      </c>
      <c r="D11" s="190" t="s">
        <v>132</v>
      </c>
      <c r="E11" s="190" t="s">
        <v>421</v>
      </c>
      <c r="F11" s="466">
        <v>-49</v>
      </c>
    </row>
    <row r="12" spans="1:35" ht="48" x14ac:dyDescent="0.2">
      <c r="A12" s="542" t="s">
        <v>838</v>
      </c>
      <c r="B12" s="190" t="s">
        <v>2227</v>
      </c>
      <c r="C12" s="190" t="s">
        <v>3543</v>
      </c>
      <c r="D12" s="190" t="s">
        <v>131</v>
      </c>
      <c r="E12" s="190" t="s">
        <v>3798</v>
      </c>
      <c r="F12" s="466">
        <v>-12</v>
      </c>
    </row>
    <row r="13" spans="1:35" ht="24" x14ac:dyDescent="0.2">
      <c r="A13" s="542" t="s">
        <v>1109</v>
      </c>
      <c r="B13" s="190" t="s">
        <v>1835</v>
      </c>
      <c r="C13" s="190" t="s">
        <v>3253</v>
      </c>
      <c r="D13" s="190" t="s">
        <v>131</v>
      </c>
      <c r="E13" s="190" t="s">
        <v>3798</v>
      </c>
      <c r="F13" s="466">
        <v>-220</v>
      </c>
    </row>
    <row r="14" spans="1:35" x14ac:dyDescent="0.2">
      <c r="A14" s="542" t="s">
        <v>1222</v>
      </c>
      <c r="B14" s="190" t="s">
        <v>2386</v>
      </c>
      <c r="C14" s="190" t="s">
        <v>3659</v>
      </c>
      <c r="D14" s="190" t="s">
        <v>149</v>
      </c>
      <c r="E14" s="190" t="s">
        <v>3798</v>
      </c>
      <c r="F14" s="466">
        <v>-78</v>
      </c>
    </row>
    <row r="15" spans="1:35" ht="36" x14ac:dyDescent="0.2">
      <c r="A15" s="542" t="s">
        <v>2422</v>
      </c>
      <c r="B15" s="190" t="s">
        <v>2421</v>
      </c>
      <c r="C15" s="190" t="s">
        <v>3676</v>
      </c>
      <c r="D15" s="190" t="s">
        <v>150</v>
      </c>
      <c r="E15" s="190" t="s">
        <v>3798</v>
      </c>
      <c r="F15" s="466">
        <v>-8</v>
      </c>
    </row>
    <row r="16" spans="1:35" x14ac:dyDescent="0.2">
      <c r="A16" s="543" t="s">
        <v>95</v>
      </c>
      <c r="B16" s="139"/>
      <c r="C16" s="139"/>
      <c r="D16" s="139"/>
      <c r="E16" s="139"/>
      <c r="F16" s="467">
        <v>-3087</v>
      </c>
    </row>
    <row r="36" spans="2:8" x14ac:dyDescent="0.2">
      <c r="G36" s="8"/>
      <c r="H36" s="8"/>
    </row>
    <row r="39" spans="2:8" x14ac:dyDescent="0.2">
      <c r="B39" s="9"/>
      <c r="C39" s="9"/>
    </row>
  </sheetData>
  <mergeCells count="1">
    <mergeCell ref="A1:F1"/>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sheetPr>
  <dimension ref="A1:AG136"/>
  <sheetViews>
    <sheetView workbookViewId="0">
      <selection activeCell="D35" sqref="D35"/>
    </sheetView>
  </sheetViews>
  <sheetFormatPr defaultRowHeight="12" x14ac:dyDescent="0.2"/>
  <cols>
    <col min="1" max="1" width="8" style="294" customWidth="1"/>
    <col min="2" max="2" width="9" style="16" customWidth="1"/>
    <col min="3" max="3" width="12.140625" style="16" customWidth="1"/>
    <col min="4" max="4" width="27.7109375" style="16" bestFit="1" customWidth="1"/>
    <col min="5" max="5" width="9" style="16" customWidth="1"/>
    <col min="6" max="6" width="9" style="56" customWidth="1"/>
    <col min="7" max="10" width="9" style="52" customWidth="1"/>
    <col min="11" max="11" width="9.7109375" style="52" customWidth="1"/>
    <col min="12" max="17" width="9.7109375" style="16" customWidth="1"/>
    <col min="18" max="16384" width="9.140625" style="16"/>
  </cols>
  <sheetData>
    <row r="1" spans="1:33" ht="15.75" x14ac:dyDescent="0.25">
      <c r="A1" s="582" t="s">
        <v>423</v>
      </c>
      <c r="B1" s="582"/>
      <c r="C1" s="582"/>
      <c r="D1" s="582"/>
      <c r="E1" s="582"/>
      <c r="F1" s="582"/>
      <c r="G1" s="582"/>
      <c r="H1" s="582"/>
      <c r="I1" s="582"/>
      <c r="J1" s="582"/>
      <c r="AG1" s="10"/>
    </row>
    <row r="2" spans="1:33" ht="12.75" x14ac:dyDescent="0.2">
      <c r="A2" s="426" t="s">
        <v>3883</v>
      </c>
      <c r="B2" s="285"/>
      <c r="C2" s="286"/>
      <c r="D2" s="286"/>
      <c r="E2" s="286"/>
      <c r="F2" s="286"/>
      <c r="G2" s="286"/>
      <c r="H2" s="286"/>
      <c r="I2" s="286"/>
      <c r="J2" s="286"/>
    </row>
    <row r="3" spans="1:33" x14ac:dyDescent="0.2">
      <c r="B3" s="11"/>
    </row>
    <row r="4" spans="1:33" ht="24" customHeight="1" x14ac:dyDescent="0.2">
      <c r="A4" s="589" t="s">
        <v>88</v>
      </c>
      <c r="B4" s="590"/>
      <c r="C4" s="591"/>
      <c r="D4" s="601" t="s">
        <v>89</v>
      </c>
      <c r="E4" s="598" t="s">
        <v>2972</v>
      </c>
      <c r="F4" s="599"/>
      <c r="G4" s="600"/>
      <c r="H4" s="598" t="s">
        <v>1308</v>
      </c>
      <c r="I4" s="599"/>
      <c r="J4" s="599"/>
      <c r="K4" s="16"/>
    </row>
    <row r="5" spans="1:33" ht="24" x14ac:dyDescent="0.2">
      <c r="A5" s="589"/>
      <c r="B5" s="590"/>
      <c r="C5" s="591"/>
      <c r="D5" s="602"/>
      <c r="E5" s="89" t="s">
        <v>2930</v>
      </c>
      <c r="F5" s="85" t="s">
        <v>2931</v>
      </c>
      <c r="G5" s="86" t="s">
        <v>2971</v>
      </c>
      <c r="H5" s="89" t="s">
        <v>90</v>
      </c>
      <c r="I5" s="85" t="s">
        <v>91</v>
      </c>
      <c r="J5" s="85" t="s">
        <v>93</v>
      </c>
      <c r="K5" s="16"/>
    </row>
    <row r="6" spans="1:33" s="57" customFormat="1" x14ac:dyDescent="0.2">
      <c r="A6" s="586" t="s">
        <v>2926</v>
      </c>
      <c r="B6" s="587"/>
      <c r="C6" s="588"/>
      <c r="D6" s="359" t="s">
        <v>2943</v>
      </c>
      <c r="E6" s="115">
        <f>GETPIVOTDATA("Count of B Total Gain",'1.1 Pivot'!$A$1,"Status 3 - Occupancy","Occupied")</f>
        <v>22</v>
      </c>
      <c r="F6" s="116">
        <f>GETPIVOTDATA("Count of B Total Loss",'1.1 Pivot'!$A$1,"Status 3 - Occupancy","Occupied")</f>
        <v>47</v>
      </c>
      <c r="G6" s="117">
        <f>GETPIVOTDATA("Count of B Total Net",'1.1 Pivot'!$A$1,"Status 3 - Occupancy","Occupied")</f>
        <v>57</v>
      </c>
      <c r="H6" s="364">
        <f>GETPIVOTDATA("Sum of B Total Gain2",'1.1 Pivot'!$A$1,"Status 3 - Occupancy","Occupied")</f>
        <v>6899</v>
      </c>
      <c r="I6" s="365" t="s">
        <v>25</v>
      </c>
      <c r="J6" s="366" t="s">
        <v>25</v>
      </c>
    </row>
    <row r="7" spans="1:33" s="57" customFormat="1" x14ac:dyDescent="0.2">
      <c r="A7" s="586"/>
      <c r="B7" s="587"/>
      <c r="C7" s="588"/>
      <c r="D7" s="125" t="s">
        <v>2942</v>
      </c>
      <c r="E7" s="118">
        <f>GETPIVOTDATA("Count of B Total Gain",'1.1 Pivot'!$A$1,"Status 3 - Occupancy","Not Occupied")</f>
        <v>8</v>
      </c>
      <c r="F7" s="119">
        <f>GETPIVOTDATA("Count of B Total Loss",'1.1 Pivot'!$A$1,"Status 3 - Occupancy","Not Occupied")</f>
        <v>13</v>
      </c>
      <c r="G7" s="120">
        <f>GETPIVOTDATA("Count of B Total Net",'1.1 Pivot'!$A$1,"Status 3 - Occupancy","Not Occupied")</f>
        <v>18</v>
      </c>
      <c r="H7" s="121">
        <f>GETPIVOTDATA("Sum of B Total Gain2",'1.1 Pivot'!$A$1,"Status 3 - Occupancy","Not Occupied")</f>
        <v>15325</v>
      </c>
      <c r="I7" s="122" t="s">
        <v>25</v>
      </c>
      <c r="J7" s="367" t="s">
        <v>25</v>
      </c>
    </row>
    <row r="8" spans="1:33" s="57" customFormat="1" x14ac:dyDescent="0.2">
      <c r="A8" s="586"/>
      <c r="B8" s="587"/>
      <c r="C8" s="588"/>
      <c r="D8" s="359" t="s">
        <v>2961</v>
      </c>
      <c r="E8" s="115">
        <f>GETPIVOTDATA("Count of B Total Gain",'1.1 Pivot'!$A$1,"Status 1 - Development","01 Completed","Status 2 - Permission Type","02 Full","Status 3 - Occupancy","Not Occupied")+GETPIVOTDATA("Count of B Total Gain",'1.1 Pivot'!$A$1,"Status 1 - Development","01 Completed","Status 2 - Permission Type","02 Full","Status 3 - Occupancy","Occupied")</f>
        <v>27</v>
      </c>
      <c r="F8" s="116">
        <f>GETPIVOTDATA("Count of B Total Loss",'1.1 Pivot'!$A$1,"Status 1 - Development","01 Completed","Status 2 - Permission Type","02 Full","Status 3 - Occupancy","Not Occupied")+GETPIVOTDATA("Count of B Total Loss",'1.1 Pivot'!$A$1,"Status 1 - Development","01 Completed","Status 2 - Permission Type","02 Full","Status 3 - Occupancy","Occupied")</f>
        <v>46</v>
      </c>
      <c r="G8" s="117">
        <f>GETPIVOTDATA("Count of B Total Net",'1.1 Pivot'!$A$1,"Status 1 - Development","01 Completed","Status 2 - Permission Type","02 Full","Status 3 - Occupancy","Not Occupied")+GETPIVOTDATA("Count of B Total Net",'1.1 Pivot'!$A$1,"Status 1 - Development","01 Completed","Status 2 - Permission Type","02 Full","Status 3 - Occupancy","Occupied")</f>
        <v>62</v>
      </c>
      <c r="H8" s="364">
        <f>GETPIVOTDATA("Sum of B Total Gain2",'1.1 Pivot'!$A$1,"Status 1 - Development","01 Completed","Status 2 - Permission Type","02 Full","Status 3 - Occupancy","Not Occupied")+GETPIVOTDATA("Sum of B Total Gain2",'1.1 Pivot'!$A$1,"Status 1 - Development","01 Completed","Status 2 - Permission Type","02 Full","Status 3 - Occupancy","Occupied")</f>
        <v>21247</v>
      </c>
      <c r="I8" s="365">
        <f>GETPIVOTDATA("Sum of B Total Loss",'1.1 Pivot'!$A$1,"Status 1 - Development","01 Completed","Status 2 - Permission Type","02 Full","Status 3 - Occupancy","Not Occupied")+GETPIVOTDATA("Sum of B Total Loss",'1.1 Pivot'!$A$1,"Status 1 - Development","01 Completed","Status 2 - Permission Type","02 Full","Status 3 - Occupancy","Occupied")</f>
        <v>64933</v>
      </c>
      <c r="J8" s="366">
        <f>GETPIVOTDATA("Sum of B Total Net2",'1.1 Pivot'!$A$1,"Status 1 - Development","01 Completed","Status 2 - Permission Type","02 Full","Status 3 - Occupancy","Not Occupied")+GETPIVOTDATA("Sum of B Total Net2",'1.1 Pivot'!$A$1,"Status 1 - Development","01 Completed","Status 2 - Permission Type","02 Full","Status 3 - Occupancy","Occupied")</f>
        <v>-43486</v>
      </c>
    </row>
    <row r="9" spans="1:33" s="57" customFormat="1" x14ac:dyDescent="0.2">
      <c r="A9" s="586"/>
      <c r="B9" s="587"/>
      <c r="C9" s="588"/>
      <c r="D9" s="126" t="s">
        <v>2944</v>
      </c>
      <c r="E9" s="127">
        <f>GETPIVOTDATA("Count of B Total Gain",'1.1 Pivot'!$A$1,"Status 1 - Development","01 Completed","Status 2 - Permission Type","05 Certificate of Lawful Development","Status 3 - Occupancy","Not Occupied")+GETPIVOTDATA("Count of B Total Gain",'1.1 Pivot'!$A$1,"Status 1 - Development","01 Completed","Status 2 - Permission Type","05 Certificate of Lawful Development","Status 3 - Occupancy","Occupied")</f>
        <v>3</v>
      </c>
      <c r="F9" s="128">
        <f>GETPIVOTDATA("Count of B Total Loss",'1.1 Pivot'!$A$1,"Status 1 - Development","01 Completed","Status 2 - Permission Type","05 Certificate of Lawful Development","Status 3 - Occupancy","Not Occupied")+GETPIVOTDATA("Count of B Total Loss",'1.1 Pivot'!$A$1,"Status 1 - Development","01 Completed","Status 2 - Permission Type","05 Certificate of Lawful Development","Status 3 - Occupancy","Occupied")</f>
        <v>2</v>
      </c>
      <c r="G9" s="129">
        <f>GETPIVOTDATA("Count of B Total Net",'1.1 Pivot'!$A$1,"Status 1 - Development","01 Completed","Status 2 - Permission Type","05 Certificate of Lawful Development","Status 3 - Occupancy","Not Occupied")+GETPIVOTDATA("Count of B Total Net",'1.1 Pivot'!$A$1,"Status 1 - Development","01 Completed","Status 2 - Permission Type","05 Certificate of Lawful Development","Status 3 - Occupancy","Occupied")</f>
        <v>1</v>
      </c>
      <c r="H9" s="130">
        <f>GETPIVOTDATA("Sum of B Total Gain2",'1.1 Pivot'!$A$1,"Status 1 - Development","01 Completed","Status 2 - Permission Type","05 Certificate of Lawful Development","Status 3 - Occupancy","Not Occupied")+GETPIVOTDATA("Sum of B Total Gain2",'1.1 Pivot'!$A$1,"Status 1 - Development","01 Completed","Status 2 - Permission Type","05 Certificate of Lawful Development","Status 3 - Occupancy","Occupied")</f>
        <v>977</v>
      </c>
      <c r="I9" s="131">
        <f>GETPIVOTDATA("Sum of B Total Loss",'1.1 Pivot'!$A$1,"Status 1 - Development","01 Completed","Status 2 - Permission Type","05 Certificate of Lawful Development","Status 3 - Occupancy","Not Occupied")+GETPIVOTDATA("Sum of B Total Loss",'1.1 Pivot'!$A$1,"Status 1 - Development","01 Completed","Status 2 - Permission Type","05 Certificate of Lawful Development","Status 3 - Occupancy","Occupied")</f>
        <v>937</v>
      </c>
      <c r="J9" s="368">
        <f>GETPIVOTDATA("Sum of B Total Net2",'1.1 Pivot'!$A$1,"Status 1 - Development","01 Completed","Status 2 - Permission Type","05 Certificate of Lawful Development","Status 3 - Occupancy","Not Occupied")+GETPIVOTDATA("Sum of B Total Net2",'1.1 Pivot'!$A$1,"Status 1 - Development","01 Completed","Status 2 - Permission Type","05 Certificate of Lawful Development","Status 3 - Occupancy","Occupied")</f>
        <v>40</v>
      </c>
    </row>
    <row r="10" spans="1:33" s="57" customFormat="1" x14ac:dyDescent="0.2">
      <c r="A10" s="586"/>
      <c r="B10" s="587"/>
      <c r="C10" s="588"/>
      <c r="D10" s="125" t="s">
        <v>421</v>
      </c>
      <c r="E10" s="118">
        <f>GETPIVOTDATA("Count of B Total Gain",'1.1 Pivot'!$A$1,"Status 1 - Development","01 Completed","Status 2 - Permission Type","04 Prior Approval","Status 3 - Occupancy","Not Occupied")+GETPIVOTDATA("Count of B Total Gain",'1.1 Pivot'!$A$1,"Status 1 - Development","01 Completed","Status 2 - Permission Type","04 Prior Approval","Status 3 - Occupancy","Occupied")</f>
        <v>0</v>
      </c>
      <c r="F10" s="119">
        <f>GETPIVOTDATA("Count of B Total Loss",'1.1 Pivot'!$A$1,"Status 1 - Development","01 Completed","Status 2 - Permission Type","04 Prior Approval","Status 3 - Occupancy","Not Occupied")+GETPIVOTDATA("Count of B Total Loss",'1.1 Pivot'!$A$1,"Status 1 - Development","01 Completed","Status 2 - Permission Type","04 Prior Approval","Status 3 - Occupancy","Occupied")</f>
        <v>12</v>
      </c>
      <c r="G10" s="120">
        <f>GETPIVOTDATA("Count of B Total Net",'1.1 Pivot'!$A$1,"Status 1 - Development","01 Completed","Status 2 - Permission Type","04 Prior Approval","Status 3 - Occupancy","Not Occupied")+GETPIVOTDATA("Count of B Total Net",'1.1 Pivot'!$A$1,"Status 1 - Development","01 Completed","Status 2 - Permission Type","04 Prior Approval","Status 3 - Occupancy","Occupied")</f>
        <v>12</v>
      </c>
      <c r="H10" s="121">
        <f>GETPIVOTDATA("Sum of B Total Gain2",'1.1 Pivot'!$A$1,"Status 1 - Development","01 Completed","Status 2 - Permission Type","04 Prior Approval","Status 3 - Occupancy","Not Occupied")+GETPIVOTDATA("Sum of B Total Gain2",'1.1 Pivot'!$A$1,"Status 1 - Development","01 Completed","Status 2 - Permission Type","04 Prior Approval","Status 3 - Occupancy","Occupied")</f>
        <v>0</v>
      </c>
      <c r="I10" s="122">
        <f>GETPIVOTDATA("Sum of B Total Loss",'1.1 Pivot'!$A$1,"Status 1 - Development","01 Completed","Status 2 - Permission Type","04 Prior Approval","Status 3 - Occupancy","Not Occupied")+GETPIVOTDATA("Sum of B Total Loss",'1.1 Pivot'!$A$1,"Status 1 - Development","01 Completed","Status 2 - Permission Type","04 Prior Approval","Status 3 - Occupancy","Occupied")</f>
        <v>2374</v>
      </c>
      <c r="J10" s="367">
        <f>GETPIVOTDATA("Sum of B Total Net2",'1.1 Pivot'!$A$1,"Status 1 - Development","01 Completed","Status 2 - Permission Type","04 Prior Approval","Status 3 - Occupancy","Not Occupied")+GETPIVOTDATA("Sum of B Total Net2",'1.1 Pivot'!$A$1,"Status 1 - Development","01 Completed","Status 2 - Permission Type","04 Prior Approval","Status 3 - Occupancy","Occupied")</f>
        <v>-2374</v>
      </c>
    </row>
    <row r="11" spans="1:33" s="57" customFormat="1" x14ac:dyDescent="0.2">
      <c r="A11" s="586"/>
      <c r="B11" s="587"/>
      <c r="C11" s="588"/>
      <c r="D11" s="113" t="s">
        <v>95</v>
      </c>
      <c r="E11" s="141">
        <f>SUM(E8:E10)</f>
        <v>30</v>
      </c>
      <c r="F11" s="142">
        <f t="shared" ref="F11:J11" si="0">SUM(F8:F10)</f>
        <v>60</v>
      </c>
      <c r="G11" s="143">
        <f t="shared" si="0"/>
        <v>75</v>
      </c>
      <c r="H11" s="144">
        <f t="shared" si="0"/>
        <v>22224</v>
      </c>
      <c r="I11" s="145">
        <f t="shared" si="0"/>
        <v>68244</v>
      </c>
      <c r="J11" s="146">
        <f t="shared" si="0"/>
        <v>-45820</v>
      </c>
    </row>
    <row r="12" spans="1:33" s="57" customFormat="1" ht="12" customHeight="1" x14ac:dyDescent="0.2">
      <c r="A12" s="583" t="s">
        <v>2962</v>
      </c>
      <c r="B12" s="592" t="s">
        <v>2964</v>
      </c>
      <c r="C12" s="595" t="s">
        <v>96</v>
      </c>
      <c r="D12" s="359" t="s">
        <v>2961</v>
      </c>
      <c r="E12" s="115">
        <f>GETPIVOTDATA("Count of B Total Gain",'1.1 Pivot'!$A$1,"Status 1 - Development","02 Under Construction","Status 2 - Permission Type","02 Full","Status 3 - Occupancy",)</f>
        <v>43</v>
      </c>
      <c r="F12" s="116">
        <f>GETPIVOTDATA("Count of B Total Loss",'1.1 Pivot'!$A$1,"Status 1 - Development","02 Under Construction","Status 2 - Permission Type","02 Full","Status 3 - Occupancy",)</f>
        <v>49</v>
      </c>
      <c r="G12" s="117">
        <f>GETPIVOTDATA("Count of B Total Net",'1.1 Pivot'!$A$1,"Status 1 - Development","02 Under Construction","Status 2 - Permission Type","02 Full","Status 3 - Occupancy",)</f>
        <v>72</v>
      </c>
      <c r="H12" s="364">
        <f>GETPIVOTDATA("Sum of B Total Gain2",'1.1 Pivot'!$A$1,"Status 1 - Development","02 Under Construction","Status 2 - Permission Type","02 Full","Status 3 - Occupancy",)</f>
        <v>83311</v>
      </c>
      <c r="I12" s="365">
        <f>GETPIVOTDATA("Sum of B Total Loss",'1.1 Pivot'!$A$1,"Status 1 - Development","02 Under Construction","Status 2 - Permission Type","02 Full","Status 3 - Occupancy",)</f>
        <v>176541</v>
      </c>
      <c r="J12" s="366">
        <f>GETPIVOTDATA("Sum of B Total Net2",'1.1 Pivot'!$A$1,"Status 1 - Development","02 Under Construction","Status 2 - Permission Type","02 Full","Status 3 - Occupancy",)</f>
        <v>-93230</v>
      </c>
    </row>
    <row r="13" spans="1:33" s="57" customFormat="1" x14ac:dyDescent="0.2">
      <c r="A13" s="584"/>
      <c r="B13" s="593"/>
      <c r="C13" s="596"/>
      <c r="D13" s="126" t="s">
        <v>2944</v>
      </c>
      <c r="E13" s="127">
        <f>GETPIVOTDATA("Count of B Total Gain",'1.1 Pivot'!$A$1,"Status 1 - Development","02 Under Construction","Status 2 - Permission Type","05 Certificate of Lawful Development","Status 3 - Occupancy",)</f>
        <v>0</v>
      </c>
      <c r="F13" s="128">
        <f>GETPIVOTDATA("Count of B Total Loss",'1.1 Pivot'!$A$1,"Status 1 - Development","02 Under Construction","Status 2 - Permission Type","05 Certificate of Lawful Development","Status 3 - Occupancy",)</f>
        <v>0</v>
      </c>
      <c r="G13" s="129">
        <f>GETPIVOTDATA("Count of B Total Net",'1.1 Pivot'!$A$1,"Status 1 - Development","02 Under Construction","Status 2 - Permission Type","05 Certificate of Lawful Development","Status 3 - Occupancy",)</f>
        <v>0</v>
      </c>
      <c r="H13" s="130">
        <f>GETPIVOTDATA("Sum of B Total Gain2",'1.1 Pivot'!$A$1,"Status 1 - Development","02 Under Construction","Status 2 - Permission Type","05 Certificate of Lawful Development","Status 3 - Occupancy",)</f>
        <v>0</v>
      </c>
      <c r="I13" s="131">
        <f>GETPIVOTDATA("Sum of B Total Loss",'1.1 Pivot'!$A$1,"Status 1 - Development","02 Under Construction","Status 2 - Permission Type","05 Certificate of Lawful Development","Status 3 - Occupancy",)</f>
        <v>0</v>
      </c>
      <c r="J13" s="368">
        <f>GETPIVOTDATA("Sum of B Total Net2",'1.1 Pivot'!$A$1,"Status 1 - Development","02 Under Construction","Status 2 - Permission Type","05 Certificate of Lawful Development","Status 3 - Occupancy",)</f>
        <v>0</v>
      </c>
    </row>
    <row r="14" spans="1:33" s="57" customFormat="1" x14ac:dyDescent="0.2">
      <c r="A14" s="584"/>
      <c r="B14" s="593"/>
      <c r="C14" s="596"/>
      <c r="D14" s="126" t="s">
        <v>421</v>
      </c>
      <c r="E14" s="127">
        <f>GETPIVOTDATA("Count of B Total Gain",'1.1 Pivot'!$A$1,"Status 1 - Development","02 Under Construction","Status 2 - Permission Type","04 Prior Approval","Status 3 - Occupancy",)</f>
        <v>0</v>
      </c>
      <c r="F14" s="128">
        <f>GETPIVOTDATA("Count of B Total Loss",'1.1 Pivot'!$A$1,"Status 1 - Development","02 Under Construction","Status 2 - Permission Type","04 Prior Approval","Status 3 - Occupancy",)</f>
        <v>12</v>
      </c>
      <c r="G14" s="129">
        <f>GETPIVOTDATA("Count of B Total Net",'1.1 Pivot'!$A$1,"Status 1 - Development","02 Under Construction","Status 2 - Permission Type","04 Prior Approval","Status 3 - Occupancy",)</f>
        <v>12</v>
      </c>
      <c r="H14" s="130">
        <f>GETPIVOTDATA("Sum of B Total Gain2",'1.1 Pivot'!$A$1,"Status 1 - Development","02 Under Construction","Status 2 - Permission Type","04 Prior Approval","Status 3 - Occupancy",)</f>
        <v>0</v>
      </c>
      <c r="I14" s="131">
        <f>GETPIVOTDATA("Sum of B Total Loss",'1.1 Pivot'!$A$1,"Status 1 - Development","02 Under Construction","Status 2 - Permission Type","04 Prior Approval","Status 3 - Occupancy",)</f>
        <v>5340</v>
      </c>
      <c r="J14" s="368">
        <f>GETPIVOTDATA("Sum of B Total Net2",'1.1 Pivot'!$A$1,"Status 1 - Development","02 Under Construction","Status 2 - Permission Type","04 Prior Approval","Status 3 - Occupancy",)</f>
        <v>-5340</v>
      </c>
    </row>
    <row r="15" spans="1:33" s="57" customFormat="1" x14ac:dyDescent="0.2">
      <c r="A15" s="584"/>
      <c r="B15" s="593"/>
      <c r="C15" s="597"/>
      <c r="D15" s="113" t="s">
        <v>95</v>
      </c>
      <c r="E15" s="134">
        <f>SUM(E12:E14)</f>
        <v>43</v>
      </c>
      <c r="F15" s="135">
        <f t="shared" ref="F15" si="1">SUM(F12:F14)</f>
        <v>61</v>
      </c>
      <c r="G15" s="136">
        <f t="shared" ref="G15" si="2">SUM(G12:G14)</f>
        <v>84</v>
      </c>
      <c r="H15" s="137">
        <f t="shared" ref="H15" si="3">SUM(H12:H14)</f>
        <v>83311</v>
      </c>
      <c r="I15" s="138">
        <f t="shared" ref="I15" si="4">SUM(I12:I14)</f>
        <v>181881</v>
      </c>
      <c r="J15" s="146">
        <f t="shared" ref="J15" si="5">SUM(J12:J14)</f>
        <v>-98570</v>
      </c>
    </row>
    <row r="16" spans="1:33" s="57" customFormat="1" x14ac:dyDescent="0.2">
      <c r="A16" s="584"/>
      <c r="B16" s="593"/>
      <c r="C16" s="603" t="s">
        <v>2965</v>
      </c>
      <c r="D16" s="360" t="s">
        <v>2966</v>
      </c>
      <c r="E16" s="115">
        <f>GETPIVOTDATA("Count of B Total Gain",'1.1 Pivot'!$A$1,"Status 1 - Development","03 Planning","Status 2 - Permission Type","02 Full","Status 3 - Occupancy",)</f>
        <v>48</v>
      </c>
      <c r="F16" s="116">
        <f>GETPIVOTDATA("Count of B Total Loss",'1.1 Pivot'!$A$1,"Status 1 - Development","03 Planning","Status 2 - Permission Type","02 Full","Status 3 - Occupancy",)</f>
        <v>61</v>
      </c>
      <c r="G16" s="117">
        <f>GETPIVOTDATA("Count of B Total Net",'1.1 Pivot'!$A$1,"Status 1 - Development","03 Planning","Status 2 - Permission Type","02 Full","Status 3 - Occupancy",)</f>
        <v>88</v>
      </c>
      <c r="H16" s="364">
        <f>GETPIVOTDATA("Sum of B Total Gain2",'1.1 Pivot'!$A$1,"Status 1 - Development","03 Planning","Status 2 - Permission Type","02 Full","Status 3 - Occupancy",)</f>
        <v>46482</v>
      </c>
      <c r="I16" s="365">
        <f>GETPIVOTDATA("Sum of B Total Loss",'1.1 Pivot'!$A$1,"Status 1 - Development","03 Planning","Status 2 - Permission Type","02 Full","Status 3 - Occupancy",)</f>
        <v>34903</v>
      </c>
      <c r="J16" s="366">
        <f>GETPIVOTDATA("Sum of B Total Net2",'1.1 Pivot'!$A$1,"Status 1 - Development","03 Planning","Status 2 - Permission Type","02 Full","Status 3 - Occupancy",)</f>
        <v>11579</v>
      </c>
    </row>
    <row r="17" spans="1:12" s="57" customFormat="1" ht="12" customHeight="1" x14ac:dyDescent="0.2">
      <c r="A17" s="584"/>
      <c r="B17" s="593"/>
      <c r="C17" s="604"/>
      <c r="D17" s="361" t="s">
        <v>2967</v>
      </c>
      <c r="E17" s="127">
        <f>GETPIVOTDATA("Count of B Total Gain",'1.1 Pivot'!$A$1,"Status 1 - Development","03 Planning","Status 2 - Permission Type","03 Outline","Status 3 - Occupancy",)</f>
        <v>6</v>
      </c>
      <c r="F17" s="128">
        <f>GETPIVOTDATA("Count of B Total Loss",'1.1 Pivot'!$A$1,"Status 1 - Development","03 Planning","Status 2 - Permission Type","03 Outline","Status 3 - Occupancy",)</f>
        <v>0</v>
      </c>
      <c r="G17" s="129">
        <f>GETPIVOTDATA("Count of B Total Net",'1.1 Pivot'!$A$1,"Status 1 - Development","03 Planning","Status 2 - Permission Type","03 Outline","Status 3 - Occupancy",)</f>
        <v>6</v>
      </c>
      <c r="H17" s="130">
        <f>GETPIVOTDATA("Sum of B Total Gain2",'1.1 Pivot'!$A$1,"Status 1 - Development","03 Planning","Status 2 - Permission Type","03 Outline","Status 3 - Occupancy",)</f>
        <v>100039</v>
      </c>
      <c r="I17" s="131">
        <f>GETPIVOTDATA("Sum of B Total Loss",'1.1 Pivot'!$A$1,"Status 1 - Development","03 Planning","Status 2 - Permission Type","03 Outline","Status 3 - Occupancy",)</f>
        <v>0</v>
      </c>
      <c r="J17" s="368">
        <f>GETPIVOTDATA("Sum of B Total Net2",'1.1 Pivot'!$A$1,"Status 1 - Development","03 Planning","Status 2 - Permission Type","03 Outline","Status 3 - Occupancy",)</f>
        <v>100039</v>
      </c>
    </row>
    <row r="18" spans="1:12" s="57" customFormat="1" ht="12" customHeight="1" x14ac:dyDescent="0.2">
      <c r="A18" s="584"/>
      <c r="B18" s="593"/>
      <c r="C18" s="604"/>
      <c r="D18" s="362" t="s">
        <v>2944</v>
      </c>
      <c r="E18" s="127">
        <f>GETPIVOTDATA("Count of B Total Gain",'1.1 Pivot'!$A$1,"Status 1 - Development","03 Planning","Status 2 - Permission Type","05 Certificate of Lawful Development","Status 3 - Occupancy",)</f>
        <v>0</v>
      </c>
      <c r="F18" s="128">
        <f>GETPIVOTDATA("Count of B Total Loss",'1.1 Pivot'!$A$1,"Status 1 - Development","03 Planning","Status 2 - Permission Type","05 Certificate of Lawful Development","Status 3 - Occupancy",)</f>
        <v>0</v>
      </c>
      <c r="G18" s="129">
        <f>GETPIVOTDATA("Count of B Total Net",'1.1 Pivot'!$A$1,"Status 1 - Development","03 Planning","Status 2 - Permission Type","05 Certificate of Lawful Development","Status 3 - Occupancy",)</f>
        <v>0</v>
      </c>
      <c r="H18" s="130">
        <f>GETPIVOTDATA("Sum of B Total Gain2",'1.1 Pivot'!$A$1,"Status 1 - Development","03 Planning","Status 2 - Permission Type","05 Certificate of Lawful Development","Status 3 - Occupancy",)</f>
        <v>0</v>
      </c>
      <c r="I18" s="131">
        <f>GETPIVOTDATA("Sum of B Total Loss",'1.1 Pivot'!$A$1,"Status 1 - Development","03 Planning","Status 2 - Permission Type","05 Certificate of Lawful Development","Status 3 - Occupancy",)</f>
        <v>0</v>
      </c>
      <c r="J18" s="368">
        <f>GETPIVOTDATA("Sum of B Total Net2",'1.1 Pivot'!$A$1,"Status 1 - Development","03 Planning","Status 2 - Permission Type","05 Certificate of Lawful Development","Status 3 - Occupancy",)</f>
        <v>0</v>
      </c>
    </row>
    <row r="19" spans="1:12" s="57" customFormat="1" ht="12" customHeight="1" x14ac:dyDescent="0.2">
      <c r="A19" s="584"/>
      <c r="B19" s="593"/>
      <c r="C19" s="604"/>
      <c r="D19" s="363" t="s">
        <v>421</v>
      </c>
      <c r="E19" s="118">
        <f>GETPIVOTDATA("Count of B Total Gain",'1.1 Pivot'!$A$1,"Status 1 - Development","03 Planning","Status 2 - Permission Type","04 Prior Approval","Status 3 - Occupancy",)</f>
        <v>0</v>
      </c>
      <c r="F19" s="119">
        <f>GETPIVOTDATA("Count of B Total Loss",'1.1 Pivot'!$A$1,"Status 1 - Development","03 Planning","Status 2 - Permission Type","04 Prior Approval","Status 3 - Occupancy",)</f>
        <v>59</v>
      </c>
      <c r="G19" s="120">
        <f>GETPIVOTDATA("Count of B Total Net",'1.1 Pivot'!$A$1,"Status 1 - Development","03 Planning","Status 2 - Permission Type","04 Prior Approval","Status 3 - Occupancy",)</f>
        <v>59</v>
      </c>
      <c r="H19" s="121">
        <f>GETPIVOTDATA("Sum of B Total Gain2",'1.1 Pivot'!$A$1,"Status 1 - Development","03 Planning","Status 2 - Permission Type","04 Prior Approval","Status 3 - Occupancy",)</f>
        <v>0</v>
      </c>
      <c r="I19" s="122">
        <f>GETPIVOTDATA("Sum of B Total Loss",'1.1 Pivot'!$A$1,"Status 1 - Development","03 Planning","Status 2 - Permission Type","04 Prior Approval","Status 3 - Occupancy",)</f>
        <v>23529</v>
      </c>
      <c r="J19" s="367">
        <f>GETPIVOTDATA("Sum of B Total Net2",'1.1 Pivot'!$A$1,"Status 1 - Development","03 Planning","Status 2 - Permission Type","04 Prior Approval","Status 3 - Occupancy",)</f>
        <v>-23529</v>
      </c>
    </row>
    <row r="20" spans="1:12" s="57" customFormat="1" ht="12" customHeight="1" x14ac:dyDescent="0.2">
      <c r="A20" s="584"/>
      <c r="B20" s="593"/>
      <c r="C20" s="605"/>
      <c r="D20" s="114" t="s">
        <v>95</v>
      </c>
      <c r="E20" s="134">
        <f>SUM(E16:E19)</f>
        <v>54</v>
      </c>
      <c r="F20" s="135">
        <f t="shared" ref="F20:J20" si="6">SUM(F16:F19)</f>
        <v>120</v>
      </c>
      <c r="G20" s="136">
        <f t="shared" si="6"/>
        <v>153</v>
      </c>
      <c r="H20" s="137">
        <f t="shared" si="6"/>
        <v>146521</v>
      </c>
      <c r="I20" s="138">
        <f t="shared" si="6"/>
        <v>58432</v>
      </c>
      <c r="J20" s="146">
        <f t="shared" si="6"/>
        <v>88089</v>
      </c>
    </row>
    <row r="21" spans="1:12" s="57" customFormat="1" ht="12" customHeight="1" x14ac:dyDescent="0.2">
      <c r="A21" s="584"/>
      <c r="B21" s="594"/>
      <c r="C21" s="591" t="s">
        <v>95</v>
      </c>
      <c r="D21" s="589"/>
      <c r="E21" s="134">
        <f>E15+E20</f>
        <v>97</v>
      </c>
      <c r="F21" s="135">
        <f t="shared" ref="F21:J21" si="7">F15+F20</f>
        <v>181</v>
      </c>
      <c r="G21" s="136">
        <f t="shared" si="7"/>
        <v>237</v>
      </c>
      <c r="H21" s="137">
        <f t="shared" si="7"/>
        <v>229832</v>
      </c>
      <c r="I21" s="138">
        <f t="shared" si="7"/>
        <v>240313</v>
      </c>
      <c r="J21" s="146">
        <f t="shared" si="7"/>
        <v>-10481</v>
      </c>
    </row>
    <row r="22" spans="1:12" s="57" customFormat="1" ht="12" customHeight="1" x14ac:dyDescent="0.2">
      <c r="A22" s="584"/>
      <c r="B22" s="592" t="s">
        <v>424</v>
      </c>
      <c r="C22" s="591" t="s">
        <v>2965</v>
      </c>
      <c r="D22" s="360" t="s">
        <v>2932</v>
      </c>
      <c r="E22" s="115">
        <f>GETPIVOTDATA("Count of B Total Gain",'1.1 Pivot'!$A$1,"Status 1 - Development","04 Pending","Status 2 - Permission Type","01 Pending Legal Agreement","Status 3 - Occupancy",)</f>
        <v>11</v>
      </c>
      <c r="F22" s="116">
        <f>GETPIVOTDATA("Count of B Total Loss",'1.1 Pivot'!$A$1,"Status 1 - Development","04 Pending","Status 2 - Permission Type","01 Pending Legal Agreement","Status 3 - Occupancy",)</f>
        <v>7</v>
      </c>
      <c r="G22" s="117">
        <f>GETPIVOTDATA("Count of B Total Net",'1.1 Pivot'!$A$1,"Status 1 - Development","04 Pending","Status 2 - Permission Type","01 Pending Legal Agreement","Status 3 - Occupancy",)</f>
        <v>12</v>
      </c>
      <c r="H22" s="364">
        <f>GETPIVOTDATA("Sum of B Total Gain2",'1.1 Pivot'!$A$1,"Status 1 - Development","04 Pending","Status 2 - Permission Type","01 Pending Legal Agreement","Status 3 - Occupancy",)</f>
        <v>38730</v>
      </c>
      <c r="I22" s="365">
        <f>GETPIVOTDATA("Sum of B Total Loss",'1.1 Pivot'!$A$1,"Status 1 - Development","04 Pending","Status 2 - Permission Type","01 Pending Legal Agreement","Status 3 - Occupancy",)</f>
        <v>10500</v>
      </c>
      <c r="J22" s="366">
        <f>GETPIVOTDATA("Sum of B Total Net2",'1.1 Pivot'!$A$1,"Status 1 - Development","04 Pending","Status 2 - Permission Type","01 Pending Legal Agreement","Status 3 - Occupancy",)</f>
        <v>28230</v>
      </c>
    </row>
    <row r="23" spans="1:12" s="57" customFormat="1" ht="12" customHeight="1" x14ac:dyDescent="0.2">
      <c r="A23" s="584"/>
      <c r="B23" s="593"/>
      <c r="C23" s="591"/>
      <c r="D23" s="132" t="s">
        <v>2963</v>
      </c>
      <c r="E23" s="127">
        <f>GETPIVOTDATA("Count of B Total Gain",'1.1 Pivot'!$A$1,"Status 1 - Development","04 Pending","Status 2 - Permission Type","02 Full","Status 3 - Occupancy",)+GETPIVOTDATA("Count of B Total Gain",'1.1 Pivot'!$A$1,"Status 1 - Development","04 Pending","Status 2 - Permission Type","03 Outline","Status 3 - Occupancy",)</f>
        <v>16</v>
      </c>
      <c r="F23" s="128">
        <f>GETPIVOTDATA("Count of B Total Loss",'1.1 Pivot'!$A$1,"Status 1 - Development","04 Pending","Status 2 - Permission Type","02 Full","Status 3 - Occupancy",)+GETPIVOTDATA("Count of B Total Loss",'1.1 Pivot'!$A$1,"Status 1 - Development","04 Pending","Status 2 - Permission Type","03 Outline","Status 3 - Occupancy",)</f>
        <v>18</v>
      </c>
      <c r="G23" s="129">
        <f>GETPIVOTDATA("Count of B Total Net",'1.1 Pivot'!$A$1,"Status 1 - Development","04 Pending","Status 2 - Permission Type","02 Full","Status 3 - Occupancy",)+GETPIVOTDATA("Count of B Total Net",'1.1 Pivot'!$A$1,"Status 1 - Development","04 Pending","Status 2 - Permission Type","03 Outline","Status 3 - Occupancy",)</f>
        <v>27</v>
      </c>
      <c r="H23" s="130">
        <f>GETPIVOTDATA("Sum of B Total Gain2",'1.1 Pivot'!$A$1,"Status 1 - Development","04 Pending","Status 2 - Permission Type","02 Full","Status 3 - Occupancy",)+GETPIVOTDATA("Sum of B Total Gain2",'1.1 Pivot'!$A$1,"Status 1 - Development","04 Pending","Status 2 - Permission Type","03 Outline","Status 3 - Occupancy",)</f>
        <v>7004</v>
      </c>
      <c r="I23" s="131">
        <f>GETPIVOTDATA("Sum of B Total Loss",'1.1 Pivot'!$A$1,"Status 1 - Development","04 Pending","Status 2 - Permission Type","02 Full","Status 3 - Occupancy",)+GETPIVOTDATA("Sum of B Total Loss",'1.1 Pivot'!$A$1,"Status 1 - Development","04 Pending","Status 2 - Permission Type","03 Outline","Status 3 - Occupancy",)</f>
        <v>7521</v>
      </c>
      <c r="J23" s="368">
        <f>GETPIVOTDATA("Sum of B Total Net2",'1.1 Pivot'!$A$1,"Status 1 - Development","04 Pending","Status 2 - Permission Type","02 Full","Status 3 - Occupancy",)+GETPIVOTDATA("Sum of B Total Net2",'1.1 Pivot'!$A$1,"Status 1 - Development","04 Pending","Status 2 - Permission Type","03 Outline","Status 3 - Occupancy",)</f>
        <v>-517</v>
      </c>
    </row>
    <row r="24" spans="1:12" s="57" customFormat="1" ht="12" customHeight="1" x14ac:dyDescent="0.2">
      <c r="A24" s="584"/>
      <c r="B24" s="593"/>
      <c r="C24" s="591"/>
      <c r="D24" s="132" t="s">
        <v>2944</v>
      </c>
      <c r="E24" s="127">
        <f>GETPIVOTDATA("Count of B Total Gain",'1.1 Pivot'!$A$1,"Status 1 - Development","04 Pending","Status 2 - Permission Type","05 Certificate of Lawful Development","Status 3 - Occupancy",)</f>
        <v>0</v>
      </c>
      <c r="F24" s="128">
        <f>GETPIVOTDATA("Count of B Total Loss",'1.1 Pivot'!$A$1,"Status 1 - Development","04 Pending","Status 2 - Permission Type","05 Certificate of Lawful Development","Status 3 - Occupancy",)</f>
        <v>0</v>
      </c>
      <c r="G24" s="129">
        <f>GETPIVOTDATA("Count of B Total Net",'1.1 Pivot'!$A$1,"Status 1 - Development","04 Pending","Status 2 - Permission Type","05 Certificate of Lawful Development","Status 3 - Occupancy",)</f>
        <v>0</v>
      </c>
      <c r="H24" s="130">
        <f>GETPIVOTDATA("Sum of B Total Gain2",'1.1 Pivot'!$A$1,"Status 1 - Development","04 Pending","Status 2 - Permission Type","05 Certificate of Lawful Development","Status 3 - Occupancy",)</f>
        <v>0</v>
      </c>
      <c r="I24" s="131">
        <f>GETPIVOTDATA("Sum of B Total Loss",'1.1 Pivot'!$A$1,"Status 1 - Development","04 Pending","Status 2 - Permission Type","05 Certificate of Lawful Development","Status 3 - Occupancy",)</f>
        <v>0</v>
      </c>
      <c r="J24" s="368">
        <f>GETPIVOTDATA("Sum of B Total Net2",'1.1 Pivot'!$A$1,"Status 1 - Development","04 Pending","Status 2 - Permission Type","05 Certificate of Lawful Development","Status 3 - Occupancy",)</f>
        <v>0</v>
      </c>
    </row>
    <row r="25" spans="1:12" s="57" customFormat="1" ht="12" customHeight="1" x14ac:dyDescent="0.2">
      <c r="A25" s="584"/>
      <c r="B25" s="593"/>
      <c r="C25" s="591"/>
      <c r="D25" s="132" t="s">
        <v>635</v>
      </c>
      <c r="E25" s="127">
        <f>GETPIVOTDATA("Count of B Total Gain",'1.1 Pivot'!$A$1,"Status 1 - Development","04 Pending","Status 2 - Permission Type","04 Prior Approval","Status 3 - Occupancy",)</f>
        <v>0</v>
      </c>
      <c r="F25" s="128">
        <f>GETPIVOTDATA("Count of B Total Loss",'1.1 Pivot'!$A$1,"Status 1 - Development","04 Pending","Status 2 - Permission Type","04 Prior Approval","Status 3 - Occupancy",)</f>
        <v>11</v>
      </c>
      <c r="G25" s="129">
        <f>GETPIVOTDATA("Count of B Total Net",'1.1 Pivot'!$A$1,"Status 1 - Development","04 Pending","Status 2 - Permission Type","04 Prior Approval","Status 3 - Occupancy",)</f>
        <v>11</v>
      </c>
      <c r="H25" s="130">
        <f>GETPIVOTDATA("Sum of B Total Gain2",'1.1 Pivot'!$A$1,"Status 1 - Development","04 Pending","Status 2 - Permission Type","04 Prior Approval","Status 3 - Occupancy",)</f>
        <v>0</v>
      </c>
      <c r="I25" s="131">
        <f>GETPIVOTDATA("Sum of B Total Loss",'1.1 Pivot'!$A$1,"Status 1 - Development","04 Pending","Status 2 - Permission Type","04 Prior Approval","Status 3 - Occupancy",)</f>
        <v>5006</v>
      </c>
      <c r="J25" s="368">
        <f>GETPIVOTDATA("Sum of B Total Net2",'1.1 Pivot'!$A$1,"Status 1 - Development","04 Pending","Status 2 - Permission Type","04 Prior Approval","Status 3 - Occupancy",)</f>
        <v>-5006</v>
      </c>
    </row>
    <row r="26" spans="1:12" s="57" customFormat="1" ht="12" customHeight="1" x14ac:dyDescent="0.2">
      <c r="A26" s="584"/>
      <c r="B26" s="593"/>
      <c r="C26" s="591"/>
      <c r="D26" s="133" t="s">
        <v>2933</v>
      </c>
      <c r="E26" s="118">
        <f>GETPIVOTDATA("Count of B Total Gain",'1.1 Pivot'!$A$1,"Status 1 - Development","04 Pending","Status 2 - Permission Type","06 Appeal","Status 3 - Occupancy",)</f>
        <v>0</v>
      </c>
      <c r="F26" s="119">
        <f>GETPIVOTDATA("Count of B Total Loss",'1.1 Pivot'!$A$1,"Status 1 - Development","04 Pending","Status 2 - Permission Type","06 Appeal","Status 3 - Occupancy",)</f>
        <v>2</v>
      </c>
      <c r="G26" s="120">
        <f>GETPIVOTDATA("Count of B Total Net",'1.1 Pivot'!$A$1,"Status 1 - Development","04 Pending","Status 2 - Permission Type","06 Appeal","Status 3 - Occupancy",)</f>
        <v>2</v>
      </c>
      <c r="H26" s="121">
        <f>GETPIVOTDATA("Sum of B Total Gain2",'1.1 Pivot'!$A$1,"Status 1 - Development","04 Pending","Status 2 - Permission Type","06 Appeal","Status 3 - Occupancy",)</f>
        <v>0</v>
      </c>
      <c r="I26" s="122">
        <f>GETPIVOTDATA("Sum of B Total Loss",'1.1 Pivot'!$A$1,"Status 1 - Development","04 Pending","Status 2 - Permission Type","06 Appeal","Status 3 - Occupancy",)</f>
        <v>147</v>
      </c>
      <c r="J26" s="367">
        <f>GETPIVOTDATA("Sum of B Total Net2",'1.1 Pivot'!$A$1,"Status 1 - Development","04 Pending","Status 2 - Permission Type","06 Appeal","Status 3 - Occupancy",)</f>
        <v>-147</v>
      </c>
    </row>
    <row r="27" spans="1:12" s="57" customFormat="1" ht="12" customHeight="1" x14ac:dyDescent="0.2">
      <c r="A27" s="584"/>
      <c r="B27" s="594"/>
      <c r="C27" s="591"/>
      <c r="D27" s="114" t="s">
        <v>95</v>
      </c>
      <c r="E27" s="134">
        <f>SUM(E22:E26)</f>
        <v>27</v>
      </c>
      <c r="F27" s="135">
        <f t="shared" ref="F27:J27" si="8">SUM(F22:F26)</f>
        <v>38</v>
      </c>
      <c r="G27" s="136">
        <f t="shared" si="8"/>
        <v>52</v>
      </c>
      <c r="H27" s="137">
        <f t="shared" si="8"/>
        <v>45734</v>
      </c>
      <c r="I27" s="138">
        <f t="shared" si="8"/>
        <v>23174</v>
      </c>
      <c r="J27" s="146">
        <f t="shared" si="8"/>
        <v>22560</v>
      </c>
    </row>
    <row r="28" spans="1:12" s="57" customFormat="1" ht="12" customHeight="1" x14ac:dyDescent="0.2">
      <c r="A28" s="585"/>
      <c r="B28" s="579" t="s">
        <v>95</v>
      </c>
      <c r="C28" s="580"/>
      <c r="D28" s="581"/>
      <c r="E28" s="141">
        <f>E27+E21</f>
        <v>124</v>
      </c>
      <c r="F28" s="142">
        <f t="shared" ref="F28:J28" si="9">F27+F21</f>
        <v>219</v>
      </c>
      <c r="G28" s="143">
        <f t="shared" si="9"/>
        <v>289</v>
      </c>
      <c r="H28" s="144">
        <f t="shared" si="9"/>
        <v>275566</v>
      </c>
      <c r="I28" s="146">
        <f t="shared" si="9"/>
        <v>263487</v>
      </c>
      <c r="J28" s="146">
        <f t="shared" si="9"/>
        <v>12079</v>
      </c>
    </row>
    <row r="29" spans="1:12" s="57" customFormat="1" x14ac:dyDescent="0.2">
      <c r="A29" s="432"/>
      <c r="B29" s="11"/>
      <c r="C29" s="4"/>
      <c r="D29" s="4"/>
      <c r="E29" s="4"/>
      <c r="F29" s="16"/>
      <c r="G29" s="16"/>
      <c r="H29" s="16"/>
      <c r="I29" s="16"/>
      <c r="J29" s="59"/>
    </row>
    <row r="30" spans="1:12" ht="13.5" x14ac:dyDescent="0.2">
      <c r="A30" s="294" t="s">
        <v>4001</v>
      </c>
      <c r="B30" s="242"/>
      <c r="C30" s="242"/>
      <c r="D30" s="242"/>
      <c r="E30" s="242"/>
      <c r="F30" s="242"/>
      <c r="G30" s="242"/>
      <c r="H30" s="242"/>
      <c r="I30" s="242"/>
      <c r="J30" s="242"/>
      <c r="K30" s="242"/>
      <c r="L30" s="242"/>
    </row>
    <row r="31" spans="1:12" ht="27" customHeight="1" x14ac:dyDescent="0.2">
      <c r="A31" s="578" t="s">
        <v>4002</v>
      </c>
      <c r="B31" s="578"/>
      <c r="C31" s="578"/>
      <c r="D31" s="578"/>
      <c r="E31" s="578"/>
      <c r="F31" s="578"/>
      <c r="G31" s="578"/>
      <c r="H31" s="578"/>
      <c r="I31" s="578"/>
      <c r="J31" s="578"/>
      <c r="K31" s="284"/>
      <c r="L31" s="284"/>
    </row>
    <row r="32" spans="1:12" x14ac:dyDescent="0.2">
      <c r="A32" s="290"/>
      <c r="B32" s="284"/>
      <c r="C32" s="284"/>
      <c r="D32" s="284"/>
      <c r="E32" s="284"/>
      <c r="F32" s="284"/>
      <c r="G32" s="284"/>
      <c r="H32" s="284"/>
      <c r="I32" s="284"/>
      <c r="J32" s="284"/>
      <c r="K32" s="284"/>
      <c r="L32" s="284"/>
    </row>
    <row r="33" spans="2:12" x14ac:dyDescent="0.2">
      <c r="B33" s="12"/>
      <c r="C33" s="12"/>
      <c r="D33" s="12"/>
      <c r="E33" s="12"/>
      <c r="F33" s="242"/>
      <c r="G33" s="242"/>
      <c r="H33" s="242"/>
      <c r="I33" s="242"/>
      <c r="J33" s="242"/>
      <c r="K33" s="242"/>
      <c r="L33" s="242"/>
    </row>
    <row r="34" spans="2:12" x14ac:dyDescent="0.2">
      <c r="B34" s="12"/>
      <c r="C34" s="12"/>
      <c r="D34" s="12"/>
      <c r="E34" s="12"/>
      <c r="F34" s="242"/>
      <c r="G34" s="242"/>
      <c r="H34" s="242"/>
      <c r="I34" s="242"/>
      <c r="J34" s="242"/>
      <c r="K34" s="242"/>
      <c r="L34" s="242"/>
    </row>
    <row r="35" spans="2:12" x14ac:dyDescent="0.2">
      <c r="B35" s="12"/>
      <c r="C35" s="12"/>
      <c r="D35" s="12"/>
      <c r="E35" s="12"/>
      <c r="F35" s="242"/>
      <c r="G35" s="242"/>
      <c r="H35" s="242"/>
      <c r="I35" s="242"/>
      <c r="J35" s="242"/>
      <c r="K35" s="242"/>
      <c r="L35" s="242"/>
    </row>
    <row r="36" spans="2:12" x14ac:dyDescent="0.2">
      <c r="B36" s="242"/>
      <c r="C36" s="12"/>
      <c r="D36" s="12"/>
      <c r="E36" s="12"/>
      <c r="F36" s="242"/>
      <c r="G36" s="242"/>
      <c r="H36" s="242"/>
      <c r="I36" s="242"/>
      <c r="J36" s="242"/>
      <c r="K36" s="242"/>
      <c r="L36" s="242"/>
    </row>
    <row r="37" spans="2:12" x14ac:dyDescent="0.2">
      <c r="B37" s="242"/>
      <c r="C37" s="12"/>
      <c r="D37" s="12"/>
      <c r="E37" s="12"/>
      <c r="F37" s="242"/>
      <c r="G37" s="242"/>
      <c r="H37" s="242"/>
      <c r="I37" s="242"/>
      <c r="J37" s="242"/>
      <c r="K37" s="242"/>
      <c r="L37" s="242"/>
    </row>
    <row r="38" spans="2:12" x14ac:dyDescent="0.2">
      <c r="C38" s="4"/>
      <c r="D38" s="4"/>
      <c r="E38" s="4"/>
      <c r="F38" s="16"/>
      <c r="G38" s="16"/>
      <c r="H38" s="16"/>
      <c r="I38" s="16"/>
      <c r="J38" s="16"/>
      <c r="K38" s="16"/>
    </row>
    <row r="39" spans="2:12" x14ac:dyDescent="0.2">
      <c r="C39" s="4"/>
      <c r="D39" s="4"/>
      <c r="E39" s="4"/>
      <c r="F39" s="16"/>
      <c r="G39" s="16"/>
      <c r="H39" s="16"/>
      <c r="I39" s="16"/>
      <c r="J39" s="16"/>
      <c r="K39" s="16"/>
    </row>
    <row r="40" spans="2:12" x14ac:dyDescent="0.2">
      <c r="C40" s="4"/>
      <c r="D40" s="4"/>
      <c r="E40" s="4"/>
      <c r="F40" s="16"/>
      <c r="G40" s="16"/>
      <c r="H40" s="16"/>
      <c r="I40" s="16"/>
      <c r="J40" s="16"/>
      <c r="K40" s="16"/>
    </row>
    <row r="41" spans="2:12" x14ac:dyDescent="0.2">
      <c r="C41" s="4"/>
      <c r="D41" s="4"/>
      <c r="E41" s="4"/>
      <c r="F41" s="16"/>
      <c r="G41" s="16"/>
      <c r="H41" s="16"/>
      <c r="I41" s="16"/>
      <c r="J41" s="16"/>
      <c r="K41" s="16"/>
    </row>
    <row r="42" spans="2:12" x14ac:dyDescent="0.2">
      <c r="C42" s="52"/>
      <c r="D42" s="52"/>
      <c r="E42" s="52"/>
      <c r="F42" s="16"/>
      <c r="G42" s="16"/>
      <c r="H42" s="16"/>
      <c r="I42" s="16"/>
      <c r="J42" s="16"/>
      <c r="K42" s="16"/>
    </row>
    <row r="43" spans="2:12" x14ac:dyDescent="0.2">
      <c r="C43" s="52"/>
      <c r="D43" s="52"/>
      <c r="E43" s="52"/>
      <c r="F43" s="16"/>
      <c r="G43" s="16"/>
      <c r="H43" s="16"/>
      <c r="I43" s="16"/>
      <c r="J43" s="16"/>
      <c r="K43" s="16"/>
    </row>
    <row r="44" spans="2:12" x14ac:dyDescent="0.2">
      <c r="B44" s="4"/>
      <c r="C44" s="52"/>
      <c r="D44" s="52"/>
      <c r="E44" s="52"/>
      <c r="F44" s="16"/>
      <c r="G44" s="16"/>
      <c r="H44" s="16"/>
      <c r="I44" s="16"/>
      <c r="J44" s="16"/>
      <c r="K44" s="16"/>
    </row>
    <row r="45" spans="2:12" x14ac:dyDescent="0.2">
      <c r="C45" s="52"/>
      <c r="D45" s="52"/>
      <c r="E45" s="52"/>
      <c r="F45" s="16"/>
      <c r="G45" s="16"/>
      <c r="H45" s="16"/>
      <c r="I45" s="16"/>
      <c r="J45" s="16"/>
      <c r="K45" s="16"/>
    </row>
    <row r="46" spans="2:12" x14ac:dyDescent="0.2">
      <c r="C46" s="52"/>
      <c r="D46" s="52"/>
      <c r="E46" s="52"/>
      <c r="F46" s="16"/>
      <c r="G46" s="16"/>
      <c r="H46" s="16"/>
      <c r="I46" s="16"/>
      <c r="J46" s="16"/>
      <c r="K46" s="16"/>
    </row>
    <row r="47" spans="2:12" x14ac:dyDescent="0.2">
      <c r="K47" s="16"/>
    </row>
    <row r="71" spans="2:9" x14ac:dyDescent="0.2">
      <c r="B71" s="18"/>
      <c r="C71" s="18"/>
      <c r="D71" s="18"/>
      <c r="E71" s="18"/>
      <c r="F71" s="37"/>
      <c r="G71" s="37"/>
      <c r="H71" s="37"/>
      <c r="I71" s="37"/>
    </row>
    <row r="73" spans="2:9" x14ac:dyDescent="0.2">
      <c r="C73" s="57"/>
      <c r="D73" s="57"/>
      <c r="E73" s="57"/>
      <c r="F73" s="57"/>
    </row>
    <row r="74" spans="2:9" x14ac:dyDescent="0.2">
      <c r="C74" s="58"/>
      <c r="D74" s="58"/>
      <c r="E74" s="58"/>
      <c r="F74" s="58"/>
    </row>
    <row r="75" spans="2:9" x14ac:dyDescent="0.2">
      <c r="C75" s="57"/>
    </row>
    <row r="78" spans="2:9" x14ac:dyDescent="0.2">
      <c r="C78" s="57"/>
    </row>
    <row r="79" spans="2:9" x14ac:dyDescent="0.2">
      <c r="C79" s="57"/>
    </row>
    <row r="82" spans="3:3" x14ac:dyDescent="0.2">
      <c r="C82" s="57"/>
    </row>
    <row r="83" spans="3:3" x14ac:dyDescent="0.2">
      <c r="C83" s="57"/>
    </row>
    <row r="84" spans="3:3" x14ac:dyDescent="0.2">
      <c r="C84" s="57"/>
    </row>
    <row r="136" spans="18:18" x14ac:dyDescent="0.2">
      <c r="R136" s="4"/>
    </row>
  </sheetData>
  <mergeCells count="15">
    <mergeCell ref="A31:J31"/>
    <mergeCell ref="B28:D28"/>
    <mergeCell ref="A1:J1"/>
    <mergeCell ref="A12:A28"/>
    <mergeCell ref="A6:C11"/>
    <mergeCell ref="A4:C5"/>
    <mergeCell ref="B22:B27"/>
    <mergeCell ref="C12:C15"/>
    <mergeCell ref="H4:J4"/>
    <mergeCell ref="E4:G4"/>
    <mergeCell ref="D4:D5"/>
    <mergeCell ref="C22:C27"/>
    <mergeCell ref="C16:C20"/>
    <mergeCell ref="B12:B21"/>
    <mergeCell ref="C21:D21"/>
  </mergeCells>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heetViews>
  <sheetFormatPr defaultRowHeight="12" x14ac:dyDescent="0.2"/>
  <cols>
    <col min="1" max="1" width="11.42578125" customWidth="1"/>
    <col min="2" max="2" width="57.5703125" bestFit="1" customWidth="1"/>
    <col min="3" max="3" width="69" customWidth="1"/>
    <col min="4" max="4" width="18.85546875" customWidth="1"/>
    <col min="5" max="5" width="25.42578125" bestFit="1" customWidth="1"/>
    <col min="6" max="7" width="13.5703125" customWidth="1"/>
    <col min="8" max="43" width="14.42578125" customWidth="1"/>
    <col min="44" max="44" width="10.28515625" customWidth="1"/>
    <col min="45"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6" x14ac:dyDescent="0.2">
      <c r="A1" s="77" t="s">
        <v>2939</v>
      </c>
      <c r="B1" s="446" t="s">
        <v>2936</v>
      </c>
    </row>
    <row r="2" spans="1:6" x14ac:dyDescent="0.2">
      <c r="A2" s="77" t="s">
        <v>111</v>
      </c>
      <c r="B2" s="446" t="s">
        <v>126</v>
      </c>
    </row>
    <row r="3" spans="1:6" x14ac:dyDescent="0.2">
      <c r="A3" s="77" t="s">
        <v>3793</v>
      </c>
      <c r="B3" s="446" t="s">
        <v>126</v>
      </c>
    </row>
    <row r="5" spans="1:6" x14ac:dyDescent="0.2">
      <c r="A5" s="77" t="s">
        <v>2848</v>
      </c>
      <c r="B5" s="77" t="s">
        <v>185</v>
      </c>
      <c r="C5" s="77" t="s">
        <v>2994</v>
      </c>
      <c r="D5" s="77" t="s">
        <v>164</v>
      </c>
      <c r="E5" s="77" t="s">
        <v>2940</v>
      </c>
      <c r="F5" t="s">
        <v>5</v>
      </c>
    </row>
    <row r="6" spans="1:6" x14ac:dyDescent="0.2">
      <c r="A6" s="446" t="s">
        <v>254</v>
      </c>
      <c r="B6" s="446" t="s">
        <v>2000</v>
      </c>
      <c r="C6" s="446" t="s">
        <v>3357</v>
      </c>
      <c r="D6" s="446" t="s">
        <v>150</v>
      </c>
      <c r="E6" s="446" t="s">
        <v>2946</v>
      </c>
      <c r="F6" s="74">
        <v>-980</v>
      </c>
    </row>
    <row r="7" spans="1:6" x14ac:dyDescent="0.2">
      <c r="A7" s="446" t="s">
        <v>349</v>
      </c>
      <c r="B7" s="446" t="s">
        <v>2024</v>
      </c>
      <c r="C7" s="446" t="s">
        <v>3377</v>
      </c>
      <c r="D7" s="446" t="s">
        <v>151</v>
      </c>
      <c r="E7" s="446" t="s">
        <v>2948</v>
      </c>
      <c r="F7" s="74">
        <v>-815</v>
      </c>
    </row>
    <row r="8" spans="1:6" x14ac:dyDescent="0.2">
      <c r="A8" s="446" t="s">
        <v>365</v>
      </c>
      <c r="B8" s="446" t="s">
        <v>2041</v>
      </c>
      <c r="C8" s="446" t="s">
        <v>3387</v>
      </c>
      <c r="D8" s="446" t="s">
        <v>131</v>
      </c>
      <c r="E8" s="446" t="s">
        <v>2948</v>
      </c>
      <c r="F8" s="74">
        <v>-200</v>
      </c>
    </row>
    <row r="9" spans="1:6" x14ac:dyDescent="0.2">
      <c r="A9" s="446" t="s">
        <v>321</v>
      </c>
      <c r="B9" s="446" t="s">
        <v>2032</v>
      </c>
      <c r="C9" s="446" t="s">
        <v>3382</v>
      </c>
      <c r="D9" s="446" t="s">
        <v>151</v>
      </c>
      <c r="E9" s="446" t="s">
        <v>2948</v>
      </c>
      <c r="F9" s="74">
        <v>-284</v>
      </c>
    </row>
    <row r="10" spans="1:6" x14ac:dyDescent="0.2">
      <c r="A10" s="446" t="s">
        <v>343</v>
      </c>
      <c r="B10" s="446" t="s">
        <v>2024</v>
      </c>
      <c r="C10" s="446" t="s">
        <v>3378</v>
      </c>
      <c r="D10" s="446" t="s">
        <v>151</v>
      </c>
      <c r="E10" s="446" t="s">
        <v>2948</v>
      </c>
      <c r="F10" s="74">
        <v>-119</v>
      </c>
    </row>
    <row r="11" spans="1:6" x14ac:dyDescent="0.2">
      <c r="A11" s="446" t="s">
        <v>288</v>
      </c>
      <c r="B11" s="446" t="s">
        <v>2079</v>
      </c>
      <c r="C11" s="446" t="s">
        <v>3417</v>
      </c>
      <c r="D11" s="446" t="s">
        <v>150</v>
      </c>
      <c r="E11" s="446" t="s">
        <v>2948</v>
      </c>
      <c r="F11" s="74">
        <v>-322</v>
      </c>
    </row>
    <row r="12" spans="1:6" x14ac:dyDescent="0.2">
      <c r="A12" s="446" t="s">
        <v>457</v>
      </c>
      <c r="B12" s="446" t="s">
        <v>2115</v>
      </c>
      <c r="C12" s="446" t="s">
        <v>3450</v>
      </c>
      <c r="D12" s="446" t="s">
        <v>132</v>
      </c>
      <c r="E12" s="446" t="s">
        <v>2948</v>
      </c>
      <c r="F12" s="74">
        <v>-49</v>
      </c>
    </row>
    <row r="13" spans="1:6" x14ac:dyDescent="0.2">
      <c r="A13" s="446" t="s">
        <v>838</v>
      </c>
      <c r="B13" s="446" t="s">
        <v>2227</v>
      </c>
      <c r="C13" s="446" t="s">
        <v>3543</v>
      </c>
      <c r="D13" s="446" t="s">
        <v>131</v>
      </c>
      <c r="E13" s="446" t="s">
        <v>2946</v>
      </c>
      <c r="F13" s="74">
        <v>-12</v>
      </c>
    </row>
    <row r="14" spans="1:6" x14ac:dyDescent="0.2">
      <c r="A14" s="446" t="s">
        <v>1109</v>
      </c>
      <c r="B14" s="446" t="s">
        <v>1835</v>
      </c>
      <c r="C14" s="446" t="s">
        <v>3253</v>
      </c>
      <c r="D14" s="446" t="s">
        <v>131</v>
      </c>
      <c r="E14" s="446" t="s">
        <v>2946</v>
      </c>
      <c r="F14" s="74">
        <v>-220</v>
      </c>
    </row>
    <row r="15" spans="1:6" x14ac:dyDescent="0.2">
      <c r="A15" s="446" t="s">
        <v>1222</v>
      </c>
      <c r="B15" s="446" t="s">
        <v>2386</v>
      </c>
      <c r="C15" s="446" t="s">
        <v>3659</v>
      </c>
      <c r="D15" s="446" t="s">
        <v>149</v>
      </c>
      <c r="E15" s="446" t="s">
        <v>2946</v>
      </c>
      <c r="F15" s="74">
        <v>-78</v>
      </c>
    </row>
    <row r="16" spans="1:6" x14ac:dyDescent="0.2">
      <c r="A16" s="446" t="s">
        <v>2422</v>
      </c>
      <c r="B16" s="446" t="s">
        <v>2421</v>
      </c>
      <c r="C16" s="446" t="s">
        <v>3676</v>
      </c>
      <c r="D16" s="446" t="s">
        <v>150</v>
      </c>
      <c r="E16" s="446" t="s">
        <v>2946</v>
      </c>
      <c r="F16" s="74">
        <v>-8</v>
      </c>
    </row>
    <row r="17" spans="1:6" x14ac:dyDescent="0.2">
      <c r="A17" s="446" t="s">
        <v>115</v>
      </c>
      <c r="F17" s="74">
        <v>-3087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8"/>
  <dimension ref="A1:AK28"/>
  <sheetViews>
    <sheetView workbookViewId="0">
      <selection sqref="A1:J1"/>
    </sheetView>
  </sheetViews>
  <sheetFormatPr defaultRowHeight="12" x14ac:dyDescent="0.2"/>
  <cols>
    <col min="1" max="1" width="24" style="12" customWidth="1"/>
    <col min="2" max="2" width="14.7109375" style="4" customWidth="1"/>
    <col min="3" max="3" width="12.42578125" style="4" customWidth="1"/>
    <col min="4" max="4" width="11" style="4" customWidth="1"/>
    <col min="5" max="5" width="11.42578125" style="4" customWidth="1"/>
    <col min="6" max="6" width="18" style="4" customWidth="1"/>
    <col min="7" max="7" width="10.42578125" style="4" customWidth="1"/>
    <col min="8" max="8" width="11.5703125" style="4" customWidth="1"/>
    <col min="9" max="9" width="10.85546875" style="4" customWidth="1"/>
    <col min="10" max="10" width="8.5703125" style="4" customWidth="1"/>
    <col min="11" max="11" width="12.7109375" style="4" customWidth="1"/>
    <col min="12" max="16384" width="9.140625" style="4"/>
  </cols>
  <sheetData>
    <row r="1" spans="1:37" ht="15.75" x14ac:dyDescent="0.25">
      <c r="A1" s="606" t="s">
        <v>423</v>
      </c>
      <c r="B1" s="606"/>
      <c r="C1" s="606"/>
      <c r="D1" s="606"/>
      <c r="E1" s="606"/>
      <c r="F1" s="606"/>
      <c r="G1" s="606"/>
      <c r="H1" s="606"/>
      <c r="I1" s="606"/>
      <c r="J1" s="606"/>
      <c r="AK1" s="10"/>
    </row>
    <row r="2" spans="1:37" ht="12.75" x14ac:dyDescent="0.2">
      <c r="A2" s="640" t="s">
        <v>3906</v>
      </c>
      <c r="B2" s="640"/>
      <c r="C2" s="640"/>
      <c r="D2" s="640"/>
      <c r="E2" s="640"/>
      <c r="F2" s="640"/>
      <c r="G2" s="640"/>
      <c r="H2" s="640"/>
      <c r="I2" s="640"/>
      <c r="J2" s="640"/>
      <c r="K2" s="30"/>
    </row>
    <row r="4" spans="1:37" ht="36" customHeight="1" x14ac:dyDescent="0.2">
      <c r="A4" s="659" t="s">
        <v>105</v>
      </c>
      <c r="B4" s="659"/>
      <c r="C4" s="85" t="s">
        <v>96</v>
      </c>
      <c r="D4" s="85" t="s">
        <v>2966</v>
      </c>
      <c r="E4" s="85" t="s">
        <v>2967</v>
      </c>
      <c r="F4" s="85" t="s">
        <v>3861</v>
      </c>
      <c r="G4" s="85" t="s">
        <v>2932</v>
      </c>
      <c r="H4" s="85" t="s">
        <v>3800</v>
      </c>
      <c r="I4" s="85" t="s">
        <v>2933</v>
      </c>
      <c r="J4" s="450" t="s">
        <v>95</v>
      </c>
    </row>
    <row r="5" spans="1:37" x14ac:dyDescent="0.2">
      <c r="A5" s="655" t="s">
        <v>107</v>
      </c>
      <c r="B5" s="160" t="s">
        <v>2970</v>
      </c>
      <c r="C5" s="167">
        <f>GETPIVOTDATA("Count of B Total Net",'1.8 Pivot A'!$A$8,"Status 1 - Development","02 Under Construction")</f>
        <v>18</v>
      </c>
      <c r="D5" s="167">
        <f>GETPIVOTDATA("Count of B Total Net",'1.8 Pivot A'!$A$8,"Status 1 - Development","03 Planning","Status 2 - Permission Type","02 Full")</f>
        <v>19</v>
      </c>
      <c r="E5" s="167">
        <f>GETPIVOTDATA("Count of B Total Net",'1.8 Pivot A'!$A$8,"Status 1 - Development","03 Planning","Status 2 - Permission Type","03 Outline")</f>
        <v>2</v>
      </c>
      <c r="F5" s="167">
        <f>GETPIVOTDATA("Count of B Total Net",'1.8 Pivot A'!$A$8,"Status 1 - Development","03 Planning","Status 2 - Permission Type","04 Prior Approval")</f>
        <v>31</v>
      </c>
      <c r="G5" s="167">
        <f>GETPIVOTDATA("Count of B Total Net",'1.8 Pivot A'!$A$8,"Status 1 - Development","04 Pending","Status 2 - Permission Type","01 Pending Legal Agreement")</f>
        <v>4</v>
      </c>
      <c r="H5" s="167">
        <f>GETPIVOTDATA("Count of B Total Net",'1.8 Pivot A'!$A$8,"Status 1 - Development","04 Pending","Status 2 - Permission Type","02 Full")+GETPIVOTDATA("Count of B Total Net",'1.8 Pivot A'!$A$8,"Status 1 - Development","04 Pending","Status 2 - Permission Type","04 Prior Approval")</f>
        <v>14</v>
      </c>
      <c r="I5" s="167">
        <f>GETPIVOTDATA("Count of B Total Net",'1.8 Pivot A'!$A$8,"Status 1 - Development","04 Pending","Status 2 - Permission Type","06 Appeal")</f>
        <v>0</v>
      </c>
      <c r="J5" s="462">
        <f>GETPIVOTDATA("Count of B Total Net",'1.8 Pivot A'!$A$8)</f>
        <v>88</v>
      </c>
    </row>
    <row r="6" spans="1:37" ht="12" customHeight="1" x14ac:dyDescent="0.2">
      <c r="A6" s="656"/>
      <c r="B6" s="83" t="s">
        <v>168</v>
      </c>
      <c r="C6" s="172">
        <f>GETPIVOTDATA("Sum of B Total Net2",'1.8 Pivot A'!$A$8,"Status 1 - Development","02 Under Construction")</f>
        <v>56036</v>
      </c>
      <c r="D6" s="172">
        <f>GETPIVOTDATA("Sum of B Total Net2",'1.8 Pivot A'!$A$8,"Status 1 - Development","03 Planning","Status 2 - Permission Type","02 Full")</f>
        <v>3257</v>
      </c>
      <c r="E6" s="172">
        <f>GETPIVOTDATA("Sum of B Total Net2",'1.8 Pivot A'!$A$8,"Status 1 - Development","03 Planning","Status 2 - Permission Type","03 Outline")</f>
        <v>87387</v>
      </c>
      <c r="F6" s="172">
        <f>GETPIVOTDATA("Sum of B Total Net2",'1.8 Pivot A'!$A$8,"Status 1 - Development","03 Planning","Status 2 - Permission Type","04 Prior Approval")</f>
        <v>-13294</v>
      </c>
      <c r="G6" s="172">
        <f>GETPIVOTDATA("Sum of B Total Net2",'1.8 Pivot A'!$A$8,"Status 1 - Development","04 Pending","Status 2 - Permission Type","01 Pending Legal Agreement")</f>
        <v>12370</v>
      </c>
      <c r="H6" s="172">
        <f>GETPIVOTDATA("Sum of B Total Net2",'1.8 Pivot A'!$A$8,"Status 1 - Development","04 Pending","Status 2 - Permission Type","02 Full")+GETPIVOTDATA("Sum of B Total Net2",'1.8 Pivot A'!$A$8,"Status 1 - Development","04 Pending","Status 2 - Permission Type","04 Prior Approval")</f>
        <v>-6179</v>
      </c>
      <c r="I6" s="172">
        <f>GETPIVOTDATA("Sum of B Total Net2",'1.8 Pivot A'!$A$8,"Status 1 - Development","04 Pending","Status 2 - Permission Type","06 Appeal")</f>
        <v>0</v>
      </c>
      <c r="J6" s="463">
        <f>GETPIVOTDATA("Sum of B Total Net2",'1.8 Pivot A'!$A$8)</f>
        <v>139577</v>
      </c>
    </row>
    <row r="7" spans="1:37" ht="12" customHeight="1" x14ac:dyDescent="0.2">
      <c r="A7" s="655" t="s">
        <v>108</v>
      </c>
      <c r="B7" s="160" t="s">
        <v>2970</v>
      </c>
      <c r="C7" s="167">
        <f>GETPIVOTDATA("Count of B Total Net",'1.8 Pivot B'!$A$8,"Status 1 - Development","02 Under Construction")</f>
        <v>3</v>
      </c>
      <c r="D7" s="167">
        <f>GETPIVOTDATA("Count of B Total Net",'1.8 Pivot B'!$A$8,"Status 1 - Development","03 Planning","Status 2 - Permission Type","02 Full")</f>
        <v>0</v>
      </c>
      <c r="E7" s="167">
        <f>IFERROR(GETPIVOTDATA("Count of B Total Net",'1.8 Pivot B'!$A$8,"Status 1 - Development","03 Planning","Status 2 - Permission Type","03 Outline"),0)</f>
        <v>0</v>
      </c>
      <c r="F7" s="167">
        <f>GETPIVOTDATA("Count of B Total Net",'1.8 Pivot B'!$A$8,"Status 1 - Development","03 Planning","Status 2 - Permission Type","04 Prior Approval")</f>
        <v>1</v>
      </c>
      <c r="G7" s="167">
        <f>GETPIVOTDATA("Count of B Total Net",'1.8 Pivot B'!$A$8,"Status 1 - Development","04 Pending","Status 2 - Permission Type","01 Pending Legal Agreement")</f>
        <v>2</v>
      </c>
      <c r="H7" s="167">
        <v>0</v>
      </c>
      <c r="I7" s="167">
        <f>IFERROR(GETPIVOTDATA("Count of B Total Net",'1.8 Pivot B'!$A$8,"Status 1 - Development","04 Pending","Status 2 - Permission Type","06 Appeal"),0)</f>
        <v>0</v>
      </c>
      <c r="J7" s="462">
        <f>GETPIVOTDATA("Count of B Total Net",'1.8 Pivot B'!$A$8)</f>
        <v>6</v>
      </c>
    </row>
    <row r="8" spans="1:37" ht="12" customHeight="1" x14ac:dyDescent="0.2">
      <c r="A8" s="656"/>
      <c r="B8" s="83" t="s">
        <v>168</v>
      </c>
      <c r="C8" s="172">
        <f>GETPIVOTDATA("Sum of B Total Net2",'1.8 Pivot B'!$A$8,"Status 1 - Development","02 Under Construction")</f>
        <v>996</v>
      </c>
      <c r="D8" s="172">
        <f>GETPIVOTDATA("Sum of B Total Net2",'1.8 Pivot B'!$A$8,"Status 1 - Development","03 Planning","Status 2 - Permission Type","02 Full")</f>
        <v>0</v>
      </c>
      <c r="E8" s="172">
        <f>IFERROR(GETPIVOTDATA("Sum of B Total Net2",'1.8 Pivot B'!$A$8,"Status 1 - Development","03 Planning","Status 2 - Permission Type","03 Outline"),0)</f>
        <v>0</v>
      </c>
      <c r="F8" s="172">
        <f>GETPIVOTDATA("Sum of B Total Net2",'1.8 Pivot B'!$A$8,"Status 1 - Development","03 Planning","Status 2 - Permission Type","04 Prior Approval")</f>
        <v>-356</v>
      </c>
      <c r="G8" s="172">
        <f>GETPIVOTDATA("Sum of B Total Net2",'1.8 Pivot B'!$A$8,"Status 1 - Development","04 Pending","Status 2 - Permission Type","01 Pending Legal Agreement")</f>
        <v>11853</v>
      </c>
      <c r="H8" s="172">
        <v>0</v>
      </c>
      <c r="I8" s="172">
        <f>IFERROR(GETPIVOTDATA("Sum of B Total Net2",'1.8 Pivot B'!$A$8,"Status 1 - Development","04 Pending","Status 2 - Permission Type","06 Appeal"),0)</f>
        <v>0</v>
      </c>
      <c r="J8" s="463">
        <f>GETPIVOTDATA("Sum of B Total Net2",'1.8 Pivot B'!$A$8)</f>
        <v>12493</v>
      </c>
    </row>
    <row r="9" spans="1:37" ht="12" customHeight="1" x14ac:dyDescent="0.2">
      <c r="A9" s="655" t="s">
        <v>109</v>
      </c>
      <c r="B9" s="160" t="s">
        <v>2970</v>
      </c>
      <c r="C9" s="167">
        <f>GETPIVOTDATA("Count of B Total Net",'1.8 Pivot C'!$A$8,"Status 1 - Development","02 Under Construction")</f>
        <v>1</v>
      </c>
      <c r="D9" s="167">
        <f>GETPIVOTDATA("Count of B Total Net",'1.8 Pivot C'!$A$8,"Status 1 - Development","03 Planning","Status 2 - Permission Type","02 Full")</f>
        <v>5</v>
      </c>
      <c r="E9" s="167">
        <f>IFERROR(GETPIVOTDATA("Count of B Total Net",'1.8 Pivot C'!$A$8,"Status 1 - Development","03 Planning","Status 2 - Permission Type","03 Outline"),0)</f>
        <v>0</v>
      </c>
      <c r="F9" s="167">
        <f>GETPIVOTDATA("Count of B Total Net",'1.8 Pivot C'!$A$8,"Status 1 - Development","03 Planning","Status 2 - Permission Type","04 Prior Approval")</f>
        <v>1</v>
      </c>
      <c r="G9" s="167">
        <f>IFERROR(GETPIVOTDATA("Count of B Total Net",'1.8 Pivot C'!$A$8,"Status 1 - Development","04 Pending","Status 2 - Permission Type","01 Pending Legal Agreement"),0)</f>
        <v>0</v>
      </c>
      <c r="H9" s="167">
        <f>GETPIVOTDATA("Count of B Total Net",'1.8 Pivot C'!$A$8,"Status 1 - Development","04 Pending","Status 2 - Permission Type","02 Full")</f>
        <v>2</v>
      </c>
      <c r="I9" s="167">
        <f>IFERROR(GETPIVOTDATA("Count of B Total Net",'1.8 Pivot C'!$A$8,"Status 1 - Development","04 Pending","Status 2 - Permission Type","06 Appeal"),0)</f>
        <v>0</v>
      </c>
      <c r="J9" s="462">
        <f>GETPIVOTDATA("Count of B Total Net",'1.8 Pivot C'!$A$8)</f>
        <v>9</v>
      </c>
    </row>
    <row r="10" spans="1:37" ht="12" customHeight="1" x14ac:dyDescent="0.2">
      <c r="A10" s="656"/>
      <c r="B10" s="83" t="s">
        <v>168</v>
      </c>
      <c r="C10" s="172">
        <f>GETPIVOTDATA("Sum of B Total Net2",'1.8 Pivot C'!$A$8,"Status 1 - Development","02 Under Construction")</f>
        <v>2306</v>
      </c>
      <c r="D10" s="172">
        <f>GETPIVOTDATA("Sum of B Total Net2",'1.8 Pivot C'!$A$8,"Status 1 - Development","03 Planning","Status 2 - Permission Type","02 Full")</f>
        <v>1516</v>
      </c>
      <c r="E10" s="172">
        <f>IFERROR(GETPIVOTDATA("Sum of B Total Net2",'1.8 Pivot C'!$A$8,"Status 1 - Development","03 Planning","Status 2 - Permission Type","03 Outline"),0)</f>
        <v>0</v>
      </c>
      <c r="F10" s="172">
        <f>GETPIVOTDATA("Sum of B Total Net2",'1.8 Pivot C'!$A$8,"Status 1 - Development","03 Planning","Status 2 - Permission Type","04 Prior Approval")</f>
        <v>-545</v>
      </c>
      <c r="G10" s="172">
        <f>IFERROR(GETPIVOTDATA("Sum of B Total Net2",'1.8 Pivot C'!$A$8,"Status 1 - Development","04 Pending","Status 2 - Permission Type","01 Pending Legal Agreement"),0)</f>
        <v>0</v>
      </c>
      <c r="H10" s="172">
        <f>GETPIVOTDATA("Sum of B Total Net2",'1.8 Pivot C'!$A$8,"Status 1 - Development","04 Pending","Status 2 - Permission Type","02 Full")</f>
        <v>929</v>
      </c>
      <c r="I10" s="172">
        <f>IFERROR(GETPIVOTDATA("Sum of B Total Net2",'1.8 Pivot C'!$A$8,"Status 1 - Development","04 Pending","Status 2 - Permission Type","06 Appeal"),0)</f>
        <v>0</v>
      </c>
      <c r="J10" s="463">
        <f>GETPIVOTDATA("Sum of B Total Net2",'1.8 Pivot C'!$A$8)</f>
        <v>4206</v>
      </c>
    </row>
    <row r="11" spans="1:37" ht="12" customHeight="1" x14ac:dyDescent="0.2">
      <c r="A11" s="655" t="s">
        <v>110</v>
      </c>
      <c r="B11" s="160" t="s">
        <v>2970</v>
      </c>
      <c r="C11" s="167">
        <f>GETPIVOTDATA("Count of B Total Net",'1.8 Pivot D'!$A$8,"Status 1 - Development","02 Under Construction")</f>
        <v>7</v>
      </c>
      <c r="D11" s="167">
        <f>GETPIVOTDATA("Count of B Total Net",'1.8 Pivot D'!$A$8,"Status 1 - Development","03 Planning","Status 2 - Permission Type","02 Full")</f>
        <v>8</v>
      </c>
      <c r="E11" s="167">
        <f>IFERROR(GETPIVOTDATA("Count of B Total Net",'1.8 Pivot D'!$A$8,"Status 1 - Development","03 Planning","Status 2 - Permission Type","03 Outline"),0)</f>
        <v>0</v>
      </c>
      <c r="F11" s="167">
        <f>GETPIVOTDATA("Count of B Total Net",'1.8 Pivot D'!$A$8,"Status 1 - Development","03 Planning","Status 2 - Permission Type","04 Prior Approval")</f>
        <v>2</v>
      </c>
      <c r="G11" s="167">
        <f>IFERROR(GETPIVOTDATA("Count of B Total Net",'1.8 Pivot D'!$A$8,"Status 1 - Development","04 Pending","Status 2 - Permission Type","01 Pending Legal Agreement"),0)</f>
        <v>0</v>
      </c>
      <c r="H11" s="167">
        <f>GETPIVOTDATA("Count of B Total Net",'1.8 Pivot D'!$A$8,"Status 1 - Development","04 Pending","Status 2 - Permission Type","02 Full")</f>
        <v>1</v>
      </c>
      <c r="I11" s="167">
        <f>IFERROR(GETPIVOTDATA("Count of B Total Net",'1.8 Pivot D'!$A$8,"Status 1 - Development","04 Pending","Status 2 - Permission Type","06 Appeal"),0)</f>
        <v>0</v>
      </c>
      <c r="J11" s="462">
        <f>GETPIVOTDATA("Count of B Total Net",'1.8 Pivot D'!$A$8)</f>
        <v>18</v>
      </c>
    </row>
    <row r="12" spans="1:37" ht="12" customHeight="1" x14ac:dyDescent="0.2">
      <c r="A12" s="656"/>
      <c r="B12" s="83" t="s">
        <v>168</v>
      </c>
      <c r="C12" s="172">
        <f>GETPIVOTDATA("Sum of B Total Net2",'1.8 Pivot D'!$A$8,"Status 1 - Development","02 Under Construction")</f>
        <v>-23685</v>
      </c>
      <c r="D12" s="172">
        <f>GETPIVOTDATA("Sum of B Total Net2",'1.8 Pivot D'!$A$8,"Status 1 - Development","03 Planning","Status 2 - Permission Type","02 Full")</f>
        <v>2290</v>
      </c>
      <c r="E12" s="172">
        <f>IFERROR(GETPIVOTDATA("Sum of B Total Net2",'1.8 Pivot D'!$A$8,"Status 1 - Development","03 Planning","Status 2 - Permission Type","03 Outline"),0)</f>
        <v>0</v>
      </c>
      <c r="F12" s="172">
        <f>GETPIVOTDATA("Sum of B Total Net2",'1.8 Pivot D'!$A$8,"Status 1 - Development","03 Planning","Status 2 - Permission Type","04 Prior Approval")</f>
        <v>-3831</v>
      </c>
      <c r="G12" s="172">
        <f>IFERROR(GETPIVOTDATA("Sum of B Total Net2",'1.8 Pivot D'!$A$8,"Status 1 - Development","04 Pending","Status 2 - Permission Type","01 Pending Legal Agreement"),0)</f>
        <v>0</v>
      </c>
      <c r="H12" s="172">
        <f>GETPIVOTDATA("Sum of B Total Net2",'1.8 Pivot D'!$A$8,"Status 1 - Development","04 Pending","Status 2 - Permission Type","02 Full")</f>
        <v>-345</v>
      </c>
      <c r="I12" s="172">
        <f>IFERROR(GETPIVOTDATA("Sum of B Total Net2",'1.8 Pivot D'!$A$8,"Status 1 - Development","04 Pending","Status 2 - Permission Type","06 Appeal"),0)</f>
        <v>0</v>
      </c>
      <c r="J12" s="463">
        <f>GETPIVOTDATA("Sum of B Total Net2",'1.8 Pivot D'!$A$8)</f>
        <v>-25571</v>
      </c>
    </row>
    <row r="13" spans="1:37" ht="12" customHeight="1" x14ac:dyDescent="0.2">
      <c r="A13" s="655" t="s">
        <v>2900</v>
      </c>
      <c r="B13" s="160" t="s">
        <v>2970</v>
      </c>
      <c r="C13" s="167">
        <f>GETPIVOTDATA("Count of B Total Net",'1.8 Pivot E'!$A$8,"Status 1 - Development","02 Under Construction")</f>
        <v>21</v>
      </c>
      <c r="D13" s="167">
        <f>GETPIVOTDATA("Count of B Total Net",'1.8 Pivot E'!$A$8,"Status 1 - Development","03 Planning","Status 2 - Permission Type","02 Full")</f>
        <v>4</v>
      </c>
      <c r="E13" s="167">
        <f>IFERROR(GETPIVOTDATA("Count of B Total Net",'1.8 Pivot E'!$A$8,"Status 1 - Development","03 Planning","Status 2 - Permission Type","03 Outline"),0)</f>
        <v>6</v>
      </c>
      <c r="F13" s="167">
        <f>GETPIVOTDATA("Count of B Total Net",'1.8 Pivot E'!$A$8,"Status 1 - Development","03 Planning","Status 2 - Permission Type","04 Prior Approval")</f>
        <v>1</v>
      </c>
      <c r="G13" s="167">
        <f>IFERROR(GETPIVOTDATA("Count of B Total Net",'1.8 Pivot E'!$A$8,"Status 1 - Development","04 Pending","Status 2 - Permission Type","01 Pending Legal Agreement"),0)</f>
        <v>5</v>
      </c>
      <c r="H13" s="167">
        <f>GETPIVOTDATA("Count of B Total Net",'1.8 Pivot E'!$A$8,"Status 1 - Development","04 Pending","Status 2 - Permission Type","02 Full")</f>
        <v>0</v>
      </c>
      <c r="I13" s="167">
        <f>IFERROR(GETPIVOTDATA("Count of B Total Net",'1.8 Pivot E'!$A$8,"Status 1 - Development","04 Pending","Status 2 - Permission Type","06 Appeal"),0)</f>
        <v>0</v>
      </c>
      <c r="J13" s="462">
        <f>GETPIVOTDATA("Count of B Total Net",'1.8 Pivot E'!$A$8)</f>
        <v>37</v>
      </c>
    </row>
    <row r="14" spans="1:37" ht="12" customHeight="1" x14ac:dyDescent="0.2">
      <c r="A14" s="656"/>
      <c r="B14" s="83" t="s">
        <v>168</v>
      </c>
      <c r="C14" s="172">
        <f>GETPIVOTDATA("Sum of B Total Net2",'1.8 Pivot E'!$A$8,"Status 1 - Development","02 Under Construction")</f>
        <v>-43086</v>
      </c>
      <c r="D14" s="172">
        <f>GETPIVOTDATA("Sum of B Total Net2",'1.8 Pivot E'!$A$8,"Status 1 - Development","03 Planning","Status 2 - Permission Type","02 Full")</f>
        <v>15262</v>
      </c>
      <c r="E14" s="172">
        <f>IFERROR(GETPIVOTDATA("Sum of B Total Net2",'1.8 Pivot E'!$A$8,"Status 1 - Development","03 Planning","Status 2 - Permission Type","03 Outline"),0)</f>
        <v>100039</v>
      </c>
      <c r="F14" s="172">
        <f>GETPIVOTDATA("Sum of B Total Net2",'1.8 Pivot E'!$A$8,"Status 1 - Development","03 Planning","Status 2 - Permission Type","04 Prior Approval")</f>
        <v>-356</v>
      </c>
      <c r="G14" s="172">
        <f>IFERROR(GETPIVOTDATA("Sum of B Total Net2",'1.8 Pivot E'!$A$8,"Status 1 - Development","04 Pending","Status 2 - Permission Type","01 Pending Legal Agreement"),0)</f>
        <v>15329</v>
      </c>
      <c r="H14" s="172">
        <f>GETPIVOTDATA("Sum of B Total Net2",'1.8 Pivot E'!$A$8,"Status 1 - Development","04 Pending","Status 2 - Permission Type","02 Full")</f>
        <v>0</v>
      </c>
      <c r="I14" s="172">
        <f>IFERROR(GETPIVOTDATA("Sum of B Total Net2",'1.8 Pivot E'!$A$8,"Status 1 - Development","04 Pending","Status 2 - Permission Type","06 Appeal"),0)</f>
        <v>0</v>
      </c>
      <c r="J14" s="463">
        <f>GETPIVOTDATA("Sum of B Total Net2",'1.8 Pivot E'!$A$8)</f>
        <v>87188</v>
      </c>
    </row>
    <row r="15" spans="1:37" ht="12" customHeight="1" x14ac:dyDescent="0.2">
      <c r="A15" s="655" t="s">
        <v>2991</v>
      </c>
      <c r="B15" s="160" t="s">
        <v>2970</v>
      </c>
      <c r="C15" s="167">
        <f>GETPIVOTDATA("Count of B Total Net",'1.8 Pivot F'!$A$8,"Status 1 - Development","02 Under Construction")</f>
        <v>18</v>
      </c>
      <c r="D15" s="167">
        <f>GETPIVOTDATA("Count of B Total Net",'1.8 Pivot F'!$A$8,"Status 1 - Development","03 Planning","Status 2 - Permission Type","02 Full")</f>
        <v>13</v>
      </c>
      <c r="E15" s="167">
        <f>GETPIVOTDATA("Count of B Total Net",'1.8 Pivot F'!$A$8,"Status 1 - Development","03 Planning","Status 2 - Permission Type","03 Outline")</f>
        <v>2</v>
      </c>
      <c r="F15" s="167">
        <f>GETPIVOTDATA("Count of B Total Net",'1.8 Pivot F'!$A$8,"Status 1 - Development","03 Planning","Status 2 - Permission Type","04 Prior Approval")+GETPIVOTDATA("Count of B Total Net",'1.8 Pivot F'!$A$8,"Status 1 - Development","03 Planning","Status 2 - Permission Type","05 Certificate of Lawful Development")</f>
        <v>7</v>
      </c>
      <c r="G15" s="167">
        <f>GETPIVOTDATA("Count of B Total Net",'1.8 Pivot F'!$A$8,"Status 1 - Development","04 Pending","Status 2 - Permission Type","01 Pending Legal Agreement")</f>
        <v>0</v>
      </c>
      <c r="H15" s="167">
        <f>GETPIVOTDATA("Count of B Total Net",'1.8 Pivot F'!$A$8,"Status 1 - Development","04 Pending","Status 2 - Permission Type","02 Full")+GETPIVOTDATA("Count of B Total Net",'1.8 Pivot F'!$A$8,"Status 1 - Development","04 Pending","Status 2 - Permission Type","04 Prior Approval")</f>
        <v>5</v>
      </c>
      <c r="I15" s="167">
        <f>GETPIVOTDATA("Count of B Total Net",'1.8 Pivot F'!$A$8:$A$8,"Status 1 - Development","04 Pending","Status 2 - Permission Type","06 Appeal")</f>
        <v>1</v>
      </c>
      <c r="J15" s="462">
        <f>GETPIVOTDATA("Count of B Total Net",'1.8 Pivot F'!$A$8)</f>
        <v>46</v>
      </c>
    </row>
    <row r="16" spans="1:37" ht="12" customHeight="1" x14ac:dyDescent="0.2">
      <c r="A16" s="656"/>
      <c r="B16" s="83" t="s">
        <v>168</v>
      </c>
      <c r="C16" s="172">
        <f>GETPIVOTDATA("Sum of B Total Net2",'1.8 Pivot F'!$A$8,"Status 1 - Development","02 Under Construction")</f>
        <v>27289</v>
      </c>
      <c r="D16" s="172">
        <f>GETPIVOTDATA("Sum of B Total Net2",'1.8 Pivot F'!$A$8,"Status 1 - Development","03 Planning","Status 2 - Permission Type","02 Full")</f>
        <v>-5152</v>
      </c>
      <c r="E16" s="172">
        <f>GETPIVOTDATA("Sum of B Total Net2",'1.8 Pivot F'!$A$8,"Status 1 - Development","03 Planning","Status 2 - Permission Type","03 Outline")</f>
        <v>87387</v>
      </c>
      <c r="F16" s="172">
        <f>GETPIVOTDATA("Sum of B Total Net2",'1.8 Pivot F'!$A$8,"Status 1 - Development","03 Planning","Status 2 - Permission Type","04 Prior Approval")+GETPIVOTDATA("Sum of B Total Net2",'1.8 Pivot F'!$A$8,"Status 1 - Development","03 Planning","Status 2 - Permission Type","05 Certificate of Lawful Development")</f>
        <v>-3819</v>
      </c>
      <c r="G16" s="172">
        <f>GETPIVOTDATA("Sum of B Total Net2",'1.8 Pivot F'!$A$8,"Status 1 - Development","04 Pending","Status 2 - Permission Type","01 Pending Legal Agreement")</f>
        <v>0</v>
      </c>
      <c r="H16" s="172">
        <f>GETPIVOTDATA("Sum of B Total Net2",'1.8 Pivot F'!$A$8,"Status 1 - Development","04 Pending","Status 2 - Permission Type","02 Full")+GETPIVOTDATA("Sum of B Total Net2",'1.8 Pivot F'!$A$8,"Status 1 - Development","04 Pending","Status 2 - Permission Type","04 Prior Approval")</f>
        <v>-865</v>
      </c>
      <c r="I16" s="172">
        <f>GETPIVOTDATA("Sum of B Total Net2",'1.8 Pivot F'!$A$8,"Status 1 - Development","04 Pending","Status 2 - Permission Type","06 Appeal")</f>
        <v>-63</v>
      </c>
      <c r="J16" s="463">
        <f>GETPIVOTDATA("Sum of B Total Net2",'1.8 Pivot F'!$A$8)</f>
        <v>104777</v>
      </c>
    </row>
    <row r="17" spans="1:11" ht="12" customHeight="1" x14ac:dyDescent="0.2">
      <c r="A17" s="655" t="s">
        <v>426</v>
      </c>
      <c r="B17" s="160" t="s">
        <v>2970</v>
      </c>
      <c r="C17" s="167">
        <f>GETPIVOTDATA("Count of B Total Net",'1.8 Pivot G'!$A$8,"Status 1 - Development","02 Under Construction")</f>
        <v>34</v>
      </c>
      <c r="D17" s="167">
        <f>GETPIVOTDATA("Count of B Total Net",'1.8 Pivot G'!$A$8,"Status 1 - Development","03 Planning","Status 2 - Permission Type","02 Full")</f>
        <v>48</v>
      </c>
      <c r="E17" s="167">
        <f>GETPIVOTDATA("Count of B Total Net",'1.8 Pivot G'!$A$8,"Status 1 - Development","03 Planning","Status 2 - Permission Type","03 Outline")</f>
        <v>0</v>
      </c>
      <c r="F17" s="167">
        <f>GETPIVOTDATA("Count of B Total Net",'1.8 Pivot G'!$A$8,"Status 1 - Development","03 Planning","Status 2 - Permission Type","04 Prior Approval")+GETPIVOTDATA("Count of B Total Net",'1.8 Pivot G'!$A$8,"Status 1 - Development","03 Planning","Status 2 - Permission Type","05 Certificate of Lawful Development")</f>
        <v>19</v>
      </c>
      <c r="G17" s="167">
        <f>GETPIVOTDATA("Count of B Total Net",'1.8 Pivot G'!$A$8,"Status 1 - Development","04 Pending","Status 2 - Permission Type","01 Pending Legal Agreement")</f>
        <v>3</v>
      </c>
      <c r="H17" s="167">
        <f>GETPIVOTDATA("Count of B Total Net",'1.8 Pivot G'!$A$8,"Status 1 - Development","04 Pending","Status 2 - Permission Type","02 Full")+GETPIVOTDATA("Count of B Total Net",'1.8 Pivot G'!$A$8,"Status 1 - Development","04 Pending","Status 2 - Permission Type","03 Outline")+GETPIVOTDATA("Count of B Total Net",'1.8 Pivot G'!$A$8,"Status 1 - Development","04 Pending","Status 2 - Permission Type","04 Prior Approval")+GETPIVOTDATA("Count of B Total Net",'1.8 Pivot G'!$A$8,"Status 1 - Development","04 Pending","Status 2 - Permission Type","05 Certificate of Lawful Development")</f>
        <v>17</v>
      </c>
      <c r="I17" s="167">
        <f>GETPIVOTDATA("Count of B Total Net",'1.8 Pivot G'!$A$8,"Status 1 - Development","04 Pending","Status 2 - Permission Type","06 Appeal")</f>
        <v>1</v>
      </c>
      <c r="J17" s="462">
        <f>GETPIVOTDATA("Count of B Total Net",'1.8 Pivot G'!$A$8)</f>
        <v>122</v>
      </c>
    </row>
    <row r="18" spans="1:11" ht="12" customHeight="1" x14ac:dyDescent="0.2">
      <c r="A18" s="657"/>
      <c r="B18" s="161" t="s">
        <v>168</v>
      </c>
      <c r="C18" s="168">
        <f>GETPIVOTDATA("Sum of B Total Net2",'1.8 Pivot G'!$A$8,"Status 1 - Development","02 Under Construction")</f>
        <v>-14213</v>
      </c>
      <c r="D18" s="168">
        <f>GETPIVOTDATA("Sum of B Total Net2",'1.8 Pivot G'!$A$8,"Status 1 - Development","03 Planning","Status 2 - Permission Type","02 Full")</f>
        <v>-3299</v>
      </c>
      <c r="E18" s="168">
        <f>GETPIVOTDATA("Sum of B Total Net2",'1.8 Pivot G'!$A$8,"Status 1 - Development","03 Planning","Status 2 - Permission Type","03 Outline")</f>
        <v>0</v>
      </c>
      <c r="F18" s="168">
        <f>GETPIVOTDATA("Sum of B Total Net2",'1.8 Pivot G'!$A$8,"Status 1 - Development","03 Planning","Status 2 - Permission Type","04 Prior Approval")+GETPIVOTDATA("Sum of B Total Net2",'1.8 Pivot G'!$A$8,"Status 1 - Development","03 Planning","Status 2 - Permission Type","05 Certificate of Lawful Development")</f>
        <v>-6229</v>
      </c>
      <c r="G18" s="168">
        <f>GETPIVOTDATA("Sum of B Total Net2",'1.8 Pivot G'!$A$8,"Status 1 - Development","04 Pending","Status 2 - Permission Type","01 Pending Legal Agreement")</f>
        <v>531</v>
      </c>
      <c r="H18" s="168">
        <f>GETPIVOTDATA("Sum of B Total Net2",'1.8 Pivot G'!$A$8,"Status 1 - Development","04 Pending","Status 2 - Permission Type","02 Full")+GETPIVOTDATA("Sum of B Total Net2",'1.8 Pivot G'!$A$8,"Status 1 - Development","04 Pending","Status 2 - Permission Type","03 Outline")+GETPIVOTDATA("Sum of B Total Net2",'1.8 Pivot G'!$A$8,"Status 1 - Development","04 Pending","Status 2 - Permission Type","04 Prior Approval")+GETPIVOTDATA("Sum of B Total Net2",'1.8 Pivot G'!$A$8,"Status 1 - Development","04 Pending","Status 2 - Permission Type","05 Certificate of Lawful Development")</f>
        <v>592</v>
      </c>
      <c r="I18" s="168">
        <f>GETPIVOTDATA("Sum of B Total Net2",'1.8 Pivot G'!$A$8,"Status 1 - Development","04 Pending","Status 2 - Permission Type","06 Appeal")</f>
        <v>-84</v>
      </c>
      <c r="J18" s="464">
        <f>GETPIVOTDATA("Sum of B Total Net2",'1.8 Pivot G'!$A$8)</f>
        <v>-22702</v>
      </c>
    </row>
    <row r="19" spans="1:11" ht="12" customHeight="1" x14ac:dyDescent="0.2">
      <c r="A19" s="611" t="s">
        <v>95</v>
      </c>
      <c r="B19" s="160" t="s">
        <v>2970</v>
      </c>
      <c r="C19" s="164">
        <f>GETPIVOTDATA("Count of B Total Net",'1.8 Pivot H'!$A$8,"Status 1 - Development","02 Under Construction")</f>
        <v>84</v>
      </c>
      <c r="D19" s="164">
        <f>GETPIVOTDATA("Count of B Total Net",'1.8 Pivot H'!$A$8,"Status 1 - Development","03 Planning","Status 2 - Permission Type","02 Full")</f>
        <v>88</v>
      </c>
      <c r="E19" s="164">
        <f>GETPIVOTDATA("Count of B Total Net",'1.8 Pivot H'!$A$8,"Status 1 - Development","03 Planning","Status 2 - Permission Type","03 Outline")</f>
        <v>6</v>
      </c>
      <c r="F19" s="164">
        <f>GETPIVOTDATA("Count of B Total Net",'1.8 Pivot H'!$A$8,"Status 1 - Development","03 Planning","Status 2 - Permission Type","04 Prior Approval")+GETPIVOTDATA("Count of B Total Net",'1.8 Pivot H'!$A$8,"Status 1 - Development","03 Planning","Status 2 - Permission Type","05 Certificate of Lawful Development")</f>
        <v>59</v>
      </c>
      <c r="G19" s="164">
        <f>GETPIVOTDATA("Count of B Total Net",'1.8 Pivot H'!$A$8,"Status 1 - Development","04 Pending","Status 2 - Permission Type","01 Pending Legal Agreement")</f>
        <v>12</v>
      </c>
      <c r="H19" s="164">
        <f>GETPIVOTDATA("Count of B Total Net",'1.8 Pivot H'!$A$8,"Status 1 - Development","04 Pending","Status 2 - Permission Type","02 Full")+GETPIVOTDATA("Count of B Total Net",'1.8 Pivot H'!$A$8,"Status 1 - Development","04 Pending","Status 2 - Permission Type","03 Outline")+GETPIVOTDATA("Count of B Total Net",'1.8 Pivot H'!$A$8,"Status 1 - Development","04 Pending","Status 2 - Permission Type","04 Prior Approval")+GETPIVOTDATA("Count of B Total Net",'1.8 Pivot H'!$A$8,"Status 1 - Development","04 Pending","Status 2 - Permission Type","05 Certificate of Lawful Development")</f>
        <v>38</v>
      </c>
      <c r="I19" s="164">
        <f>GETPIVOTDATA("Count of B Total Net",'1.8 Pivot H'!$A$8,"Status 1 - Development","04 Pending","Status 2 - Permission Type","06 Appeal")</f>
        <v>2</v>
      </c>
      <c r="J19" s="465">
        <f>GETPIVOTDATA("Count of B Total Net",'1.8 Pivot H'!$A$8)</f>
        <v>289</v>
      </c>
    </row>
    <row r="20" spans="1:11" ht="12" customHeight="1" x14ac:dyDescent="0.2">
      <c r="A20" s="614"/>
      <c r="B20" s="161" t="s">
        <v>168</v>
      </c>
      <c r="C20" s="170">
        <f>GETPIVOTDATA("Sum of B Total Net2",'1.8 Pivot H'!$A$8,"Status 1 - Development","02 Under Construction")</f>
        <v>-98570</v>
      </c>
      <c r="D20" s="170">
        <f>GETPIVOTDATA("Sum of B Total Net2",'1.8 Pivot H'!$A$8,"Status 1 - Development","03 Planning","Status 2 - Permission Type","02 Full")</f>
        <v>11579</v>
      </c>
      <c r="E20" s="170">
        <f>GETPIVOTDATA("Sum of B Total Net2",'1.8 Pivot H'!$A$8,"Status 1 - Development","03 Planning","Status 2 - Permission Type","03 Outline")</f>
        <v>100039</v>
      </c>
      <c r="F20" s="170">
        <f>GETPIVOTDATA("Sum of B Total Net2",'1.8 Pivot H'!$A$8,"Status 1 - Development","03 Planning","Status 2 - Permission Type","04 Prior Approval")+GETPIVOTDATA("Sum of B Total Net2",'1.8 Pivot H'!$A$8,"Status 1 - Development","03 Planning","Status 2 - Permission Type","05 Certificate of Lawful Development")</f>
        <v>-23529</v>
      </c>
      <c r="G20" s="170">
        <f>GETPIVOTDATA("Sum of B Total Net2",'1.8 Pivot H'!$A$8,"Status 1 - Development","04 Pending","Status 2 - Permission Type","01 Pending Legal Agreement")</f>
        <v>28230</v>
      </c>
      <c r="H20" s="170">
        <f>GETPIVOTDATA("Sum of B Total Net2",'1.8 Pivot H'!$A$8,"Status 1 - Development","04 Pending","Status 2 - Permission Type","02 Full")+GETPIVOTDATA("Sum of B Total Net2",'1.8 Pivot H'!$A$8,"Status 1 - Development","04 Pending","Status 2 - Permission Type","03 Outline")+GETPIVOTDATA("Sum of B Total Net2",'1.8 Pivot H'!$A$8,"Status 1 - Development","04 Pending","Status 2 - Permission Type","04 Prior Approval")+GETPIVOTDATA("Sum of B Total Net2",'1.8 Pivot H'!$A$8,"Status 1 - Development","04 Pending","Status 2 - Permission Type","05 Certificate of Lawful Development")</f>
        <v>-5523</v>
      </c>
      <c r="I20" s="170">
        <f>GETPIVOTDATA("Sum of B Total Net2",'1.8 Pivot H'!$A$8,"Status 1 - Development","04 Pending","Status 2 - Permission Type","06 Appeal")</f>
        <v>-147</v>
      </c>
      <c r="J20" s="170">
        <f>GETPIVOTDATA("Sum of B Total Net2",'1.8 Pivot H'!$A$8)</f>
        <v>12079</v>
      </c>
    </row>
    <row r="21" spans="1:11" x14ac:dyDescent="0.2">
      <c r="J21" s="12"/>
    </row>
    <row r="28" spans="1:11" x14ac:dyDescent="0.2">
      <c r="A28" s="403"/>
      <c r="B28" s="15"/>
      <c r="C28" s="15"/>
      <c r="D28" s="15"/>
      <c r="E28" s="15"/>
      <c r="F28" s="15"/>
      <c r="G28" s="15"/>
      <c r="H28" s="15"/>
      <c r="I28" s="15"/>
      <c r="J28" s="15"/>
      <c r="K28" s="15"/>
    </row>
  </sheetData>
  <mergeCells count="11">
    <mergeCell ref="A17:A18"/>
    <mergeCell ref="A19:A20"/>
    <mergeCell ref="A5:A6"/>
    <mergeCell ref="A7:A8"/>
    <mergeCell ref="A9:A10"/>
    <mergeCell ref="A1:J1"/>
    <mergeCell ref="A2:J2"/>
    <mergeCell ref="A11:A12"/>
    <mergeCell ref="A13:A14"/>
    <mergeCell ref="A15:A16"/>
    <mergeCell ref="A4:B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9"/>
  <sheetViews>
    <sheetView workbookViewId="0"/>
  </sheetViews>
  <sheetFormatPr defaultRowHeight="12" x14ac:dyDescent="0.2"/>
  <cols>
    <col min="1" max="1" width="39.42578125" bestFit="1" customWidth="1"/>
    <col min="2" max="2" width="25.425781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126</v>
      </c>
    </row>
    <row r="2" spans="1:4" x14ac:dyDescent="0.2">
      <c r="A2" s="77" t="s">
        <v>2894</v>
      </c>
      <c r="B2" s="446" t="s">
        <v>429</v>
      </c>
    </row>
    <row r="3" spans="1:4" x14ac:dyDescent="0.2">
      <c r="A3" s="77" t="s">
        <v>111</v>
      </c>
      <c r="B3" s="446" t="s">
        <v>429</v>
      </c>
    </row>
    <row r="4" spans="1:4" x14ac:dyDescent="0.2">
      <c r="A4" s="77" t="s">
        <v>2896</v>
      </c>
      <c r="B4" s="446" t="s">
        <v>429</v>
      </c>
    </row>
    <row r="5" spans="1:4" x14ac:dyDescent="0.2">
      <c r="A5" s="77" t="s">
        <v>2900</v>
      </c>
      <c r="B5" s="446" t="s">
        <v>429</v>
      </c>
    </row>
    <row r="6" spans="1:4" x14ac:dyDescent="0.2">
      <c r="A6" s="77" t="s">
        <v>2898</v>
      </c>
      <c r="B6" s="446" t="s">
        <v>429</v>
      </c>
    </row>
    <row r="8" spans="1:4" x14ac:dyDescent="0.2">
      <c r="A8" s="77" t="s">
        <v>2939</v>
      </c>
      <c r="B8" s="77" t="s">
        <v>2940</v>
      </c>
      <c r="C8" s="446" t="s">
        <v>2923</v>
      </c>
      <c r="D8" s="446" t="s">
        <v>2925</v>
      </c>
    </row>
    <row r="9" spans="1:4" x14ac:dyDescent="0.2">
      <c r="A9" s="446" t="s">
        <v>2935</v>
      </c>
      <c r="C9" s="74">
        <v>18</v>
      </c>
      <c r="D9" s="74">
        <v>56036</v>
      </c>
    </row>
    <row r="10" spans="1:4" x14ac:dyDescent="0.2">
      <c r="A10" s="446" t="s">
        <v>2937</v>
      </c>
      <c r="C10" s="74">
        <v>52</v>
      </c>
      <c r="D10" s="74">
        <v>77350</v>
      </c>
    </row>
    <row r="11" spans="1:4" x14ac:dyDescent="0.2">
      <c r="A11" s="446" t="s">
        <v>2937</v>
      </c>
      <c r="B11" s="446" t="s">
        <v>2946</v>
      </c>
      <c r="C11" s="74">
        <v>19</v>
      </c>
      <c r="D11" s="74">
        <v>3257</v>
      </c>
    </row>
    <row r="12" spans="1:4" x14ac:dyDescent="0.2">
      <c r="A12" s="446" t="s">
        <v>2937</v>
      </c>
      <c r="B12" s="446" t="s">
        <v>2947</v>
      </c>
      <c r="C12" s="74">
        <v>2</v>
      </c>
      <c r="D12" s="74">
        <v>87387</v>
      </c>
    </row>
    <row r="13" spans="1:4" x14ac:dyDescent="0.2">
      <c r="A13" s="446" t="s">
        <v>2937</v>
      </c>
      <c r="B13" s="446" t="s">
        <v>2948</v>
      </c>
      <c r="C13" s="74">
        <v>31</v>
      </c>
      <c r="D13" s="74">
        <v>-13294</v>
      </c>
    </row>
    <row r="14" spans="1:4" x14ac:dyDescent="0.2">
      <c r="A14" s="446" t="s">
        <v>2938</v>
      </c>
      <c r="C14" s="74">
        <v>18</v>
      </c>
      <c r="D14" s="74">
        <v>6191</v>
      </c>
    </row>
    <row r="15" spans="1:4" x14ac:dyDescent="0.2">
      <c r="A15" s="446" t="s">
        <v>2938</v>
      </c>
      <c r="B15" s="446" t="s">
        <v>2945</v>
      </c>
      <c r="C15" s="74">
        <v>4</v>
      </c>
      <c r="D15" s="74">
        <v>12370</v>
      </c>
    </row>
    <row r="16" spans="1:4" x14ac:dyDescent="0.2">
      <c r="A16" s="446" t="s">
        <v>2938</v>
      </c>
      <c r="B16" s="446" t="s">
        <v>2946</v>
      </c>
      <c r="C16" s="74">
        <v>4</v>
      </c>
      <c r="D16" s="74">
        <v>-1308</v>
      </c>
    </row>
    <row r="17" spans="1:4" x14ac:dyDescent="0.2">
      <c r="A17" s="446" t="s">
        <v>2938</v>
      </c>
      <c r="B17" s="446" t="s">
        <v>2948</v>
      </c>
      <c r="C17" s="74">
        <v>10</v>
      </c>
      <c r="D17" s="74">
        <v>-4871</v>
      </c>
    </row>
    <row r="18" spans="1:4" x14ac:dyDescent="0.2">
      <c r="A18" s="446" t="s">
        <v>2938</v>
      </c>
      <c r="B18" s="446" t="s">
        <v>2959</v>
      </c>
      <c r="C18" s="74">
        <v>0</v>
      </c>
      <c r="D18" s="74">
        <v>0</v>
      </c>
    </row>
    <row r="19" spans="1:4" x14ac:dyDescent="0.2">
      <c r="A19" s="446" t="s">
        <v>115</v>
      </c>
      <c r="C19" s="74">
        <v>88</v>
      </c>
      <c r="D19" s="74">
        <v>139577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6"/>
  <sheetViews>
    <sheetView workbookViewId="0"/>
  </sheetViews>
  <sheetFormatPr defaultRowHeight="12" x14ac:dyDescent="0.2"/>
  <cols>
    <col min="1" max="1" width="39.42578125" bestFit="1" customWidth="1"/>
    <col min="2" max="2" width="25.425781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429</v>
      </c>
    </row>
    <row r="2" spans="1:4" x14ac:dyDescent="0.2">
      <c r="A2" s="77" t="s">
        <v>2894</v>
      </c>
      <c r="B2" s="446" t="s">
        <v>126</v>
      </c>
    </row>
    <row r="3" spans="1:4" x14ac:dyDescent="0.2">
      <c r="A3" s="77" t="s">
        <v>111</v>
      </c>
      <c r="B3" s="446" t="s">
        <v>429</v>
      </c>
    </row>
    <row r="4" spans="1:4" x14ac:dyDescent="0.2">
      <c r="A4" s="77" t="s">
        <v>2896</v>
      </c>
      <c r="B4" s="446" t="s">
        <v>429</v>
      </c>
    </row>
    <row r="5" spans="1:4" x14ac:dyDescent="0.2">
      <c r="A5" s="77" t="s">
        <v>2900</v>
      </c>
      <c r="B5" s="446" t="s">
        <v>429</v>
      </c>
    </row>
    <row r="6" spans="1:4" x14ac:dyDescent="0.2">
      <c r="A6" s="77" t="s">
        <v>2898</v>
      </c>
      <c r="B6" s="446" t="s">
        <v>429</v>
      </c>
    </row>
    <row r="8" spans="1:4" x14ac:dyDescent="0.2">
      <c r="A8" s="77" t="s">
        <v>2939</v>
      </c>
      <c r="B8" s="77" t="s">
        <v>2940</v>
      </c>
      <c r="C8" s="446" t="s">
        <v>2923</v>
      </c>
      <c r="D8" s="446" t="s">
        <v>2925</v>
      </c>
    </row>
    <row r="9" spans="1:4" x14ac:dyDescent="0.2">
      <c r="A9" s="446" t="s">
        <v>2935</v>
      </c>
      <c r="C9" s="74">
        <v>3</v>
      </c>
      <c r="D9" s="74">
        <v>996</v>
      </c>
    </row>
    <row r="10" spans="1:4" x14ac:dyDescent="0.2">
      <c r="A10" s="446" t="s">
        <v>2935</v>
      </c>
      <c r="B10" s="446" t="s">
        <v>2946</v>
      </c>
      <c r="C10" s="74">
        <v>3</v>
      </c>
      <c r="D10" s="74">
        <v>996</v>
      </c>
    </row>
    <row r="11" spans="1:4" x14ac:dyDescent="0.2">
      <c r="A11" s="446" t="s">
        <v>2937</v>
      </c>
      <c r="C11" s="74">
        <v>1</v>
      </c>
      <c r="D11" s="74">
        <v>-356</v>
      </c>
    </row>
    <row r="12" spans="1:4" x14ac:dyDescent="0.2">
      <c r="A12" s="446" t="s">
        <v>2937</v>
      </c>
      <c r="B12" s="446" t="s">
        <v>2946</v>
      </c>
      <c r="C12" s="74">
        <v>0</v>
      </c>
      <c r="D12" s="74">
        <v>0</v>
      </c>
    </row>
    <row r="13" spans="1:4" x14ac:dyDescent="0.2">
      <c r="A13" s="446" t="s">
        <v>2937</v>
      </c>
      <c r="B13" s="446" t="s">
        <v>2948</v>
      </c>
      <c r="C13" s="74">
        <v>1</v>
      </c>
      <c r="D13" s="74">
        <v>-356</v>
      </c>
    </row>
    <row r="14" spans="1:4" x14ac:dyDescent="0.2">
      <c r="A14" s="446" t="s">
        <v>2938</v>
      </c>
      <c r="C14" s="74">
        <v>2</v>
      </c>
      <c r="D14" s="74">
        <v>11853</v>
      </c>
    </row>
    <row r="15" spans="1:4" x14ac:dyDescent="0.2">
      <c r="A15" s="446" t="s">
        <v>2938</v>
      </c>
      <c r="B15" s="446" t="s">
        <v>2945</v>
      </c>
      <c r="C15" s="74">
        <v>2</v>
      </c>
      <c r="D15" s="74">
        <v>11853</v>
      </c>
    </row>
    <row r="16" spans="1:4" x14ac:dyDescent="0.2">
      <c r="A16" s="446" t="s">
        <v>115</v>
      </c>
      <c r="C16" s="74">
        <v>6</v>
      </c>
      <c r="D16" s="74">
        <v>12493</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6"/>
  <sheetViews>
    <sheetView workbookViewId="0"/>
  </sheetViews>
  <sheetFormatPr defaultRowHeight="12" x14ac:dyDescent="0.2"/>
  <cols>
    <col min="1" max="1" width="39.42578125" bestFit="1" customWidth="1"/>
    <col min="2" max="2" width="25.425781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429</v>
      </c>
    </row>
    <row r="2" spans="1:4" x14ac:dyDescent="0.2">
      <c r="A2" s="77" t="s">
        <v>2894</v>
      </c>
      <c r="B2" s="446" t="s">
        <v>429</v>
      </c>
    </row>
    <row r="3" spans="1:4" x14ac:dyDescent="0.2">
      <c r="A3" s="77" t="s">
        <v>111</v>
      </c>
      <c r="B3" s="446" t="s">
        <v>429</v>
      </c>
    </row>
    <row r="4" spans="1:4" x14ac:dyDescent="0.2">
      <c r="A4" s="77" t="s">
        <v>2896</v>
      </c>
      <c r="B4" s="446" t="s">
        <v>126</v>
      </c>
    </row>
    <row r="5" spans="1:4" x14ac:dyDescent="0.2">
      <c r="A5" s="77" t="s">
        <v>2900</v>
      </c>
      <c r="B5" s="446" t="s">
        <v>429</v>
      </c>
    </row>
    <row r="6" spans="1:4" x14ac:dyDescent="0.2">
      <c r="A6" s="77" t="s">
        <v>2898</v>
      </c>
      <c r="B6" s="446" t="s">
        <v>429</v>
      </c>
    </row>
    <row r="8" spans="1:4" x14ac:dyDescent="0.2">
      <c r="A8" s="77" t="s">
        <v>2939</v>
      </c>
      <c r="B8" s="77" t="s">
        <v>2940</v>
      </c>
      <c r="C8" s="446" t="s">
        <v>2923</v>
      </c>
      <c r="D8" s="446" t="s">
        <v>2925</v>
      </c>
    </row>
    <row r="9" spans="1:4" x14ac:dyDescent="0.2">
      <c r="A9" s="446" t="s">
        <v>2935</v>
      </c>
      <c r="C9" s="74">
        <v>1</v>
      </c>
      <c r="D9" s="74">
        <v>2306</v>
      </c>
    </row>
    <row r="10" spans="1:4" x14ac:dyDescent="0.2">
      <c r="A10" s="446" t="s">
        <v>2935</v>
      </c>
      <c r="B10" s="446" t="s">
        <v>2946</v>
      </c>
      <c r="C10" s="74">
        <v>1</v>
      </c>
      <c r="D10" s="74">
        <v>2306</v>
      </c>
    </row>
    <row r="11" spans="1:4" x14ac:dyDescent="0.2">
      <c r="A11" s="446" t="s">
        <v>2937</v>
      </c>
      <c r="C11" s="74">
        <v>6</v>
      </c>
      <c r="D11" s="74">
        <v>971</v>
      </c>
    </row>
    <row r="12" spans="1:4" x14ac:dyDescent="0.2">
      <c r="A12" s="446" t="s">
        <v>2937</v>
      </c>
      <c r="B12" s="446" t="s">
        <v>2946</v>
      </c>
      <c r="C12" s="74">
        <v>5</v>
      </c>
      <c r="D12" s="74">
        <v>1516</v>
      </c>
    </row>
    <row r="13" spans="1:4" x14ac:dyDescent="0.2">
      <c r="A13" s="446" t="s">
        <v>2937</v>
      </c>
      <c r="B13" s="446" t="s">
        <v>2948</v>
      </c>
      <c r="C13" s="74">
        <v>1</v>
      </c>
      <c r="D13" s="74">
        <v>-545</v>
      </c>
    </row>
    <row r="14" spans="1:4" x14ac:dyDescent="0.2">
      <c r="A14" s="446" t="s">
        <v>2938</v>
      </c>
      <c r="C14" s="74">
        <v>2</v>
      </c>
      <c r="D14" s="74">
        <v>929</v>
      </c>
    </row>
    <row r="15" spans="1:4" x14ac:dyDescent="0.2">
      <c r="A15" s="446" t="s">
        <v>2938</v>
      </c>
      <c r="B15" s="446" t="s">
        <v>2946</v>
      </c>
      <c r="C15" s="74">
        <v>2</v>
      </c>
      <c r="D15" s="74">
        <v>929</v>
      </c>
    </row>
    <row r="16" spans="1:4" x14ac:dyDescent="0.2">
      <c r="A16" s="446" t="s">
        <v>115</v>
      </c>
      <c r="C16" s="74">
        <v>9</v>
      </c>
      <c r="D16" s="74">
        <v>4206</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6"/>
  <sheetViews>
    <sheetView workbookViewId="0"/>
  </sheetViews>
  <sheetFormatPr defaultRowHeight="12" x14ac:dyDescent="0.2"/>
  <cols>
    <col min="1" max="1" width="39.42578125" bestFit="1" customWidth="1"/>
    <col min="2" max="2" width="25.425781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429</v>
      </c>
    </row>
    <row r="2" spans="1:4" x14ac:dyDescent="0.2">
      <c r="A2" s="77" t="s">
        <v>2894</v>
      </c>
      <c r="B2" s="446" t="s">
        <v>429</v>
      </c>
    </row>
    <row r="3" spans="1:4" x14ac:dyDescent="0.2">
      <c r="A3" s="77" t="s">
        <v>111</v>
      </c>
      <c r="B3" s="446" t="s">
        <v>429</v>
      </c>
    </row>
    <row r="4" spans="1:4" x14ac:dyDescent="0.2">
      <c r="A4" s="77" t="s">
        <v>2896</v>
      </c>
      <c r="B4" s="446" t="s">
        <v>429</v>
      </c>
    </row>
    <row r="5" spans="1:4" x14ac:dyDescent="0.2">
      <c r="A5" s="77" t="s">
        <v>2900</v>
      </c>
      <c r="B5" s="446" t="s">
        <v>429</v>
      </c>
    </row>
    <row r="6" spans="1:4" x14ac:dyDescent="0.2">
      <c r="A6" s="77" t="s">
        <v>2898</v>
      </c>
      <c r="B6" s="446" t="s">
        <v>126</v>
      </c>
    </row>
    <row r="8" spans="1:4" x14ac:dyDescent="0.2">
      <c r="A8" s="77" t="s">
        <v>2939</v>
      </c>
      <c r="B8" s="77" t="s">
        <v>2940</v>
      </c>
      <c r="C8" s="446" t="s">
        <v>2923</v>
      </c>
      <c r="D8" s="446" t="s">
        <v>2925</v>
      </c>
    </row>
    <row r="9" spans="1:4" x14ac:dyDescent="0.2">
      <c r="A9" s="446" t="s">
        <v>2935</v>
      </c>
      <c r="C9" s="74">
        <v>7</v>
      </c>
      <c r="D9" s="74">
        <v>-23685</v>
      </c>
    </row>
    <row r="10" spans="1:4" x14ac:dyDescent="0.2">
      <c r="A10" s="446" t="s">
        <v>2935</v>
      </c>
      <c r="B10" s="446" t="s">
        <v>2946</v>
      </c>
      <c r="C10" s="74">
        <v>7</v>
      </c>
      <c r="D10" s="74">
        <v>-23685</v>
      </c>
    </row>
    <row r="11" spans="1:4" x14ac:dyDescent="0.2">
      <c r="A11" s="446" t="s">
        <v>2937</v>
      </c>
      <c r="C11" s="74">
        <v>10</v>
      </c>
      <c r="D11" s="74">
        <v>-1541</v>
      </c>
    </row>
    <row r="12" spans="1:4" x14ac:dyDescent="0.2">
      <c r="A12" s="446" t="s">
        <v>2937</v>
      </c>
      <c r="B12" s="446" t="s">
        <v>2946</v>
      </c>
      <c r="C12" s="74">
        <v>8</v>
      </c>
      <c r="D12" s="74">
        <v>2290</v>
      </c>
    </row>
    <row r="13" spans="1:4" x14ac:dyDescent="0.2">
      <c r="A13" s="446" t="s">
        <v>2937</v>
      </c>
      <c r="B13" s="446" t="s">
        <v>2948</v>
      </c>
      <c r="C13" s="74">
        <v>2</v>
      </c>
      <c r="D13" s="74">
        <v>-3831</v>
      </c>
    </row>
    <row r="14" spans="1:4" x14ac:dyDescent="0.2">
      <c r="A14" s="446" t="s">
        <v>2938</v>
      </c>
      <c r="C14" s="74">
        <v>1</v>
      </c>
      <c r="D14" s="74">
        <v>-345</v>
      </c>
    </row>
    <row r="15" spans="1:4" x14ac:dyDescent="0.2">
      <c r="A15" s="446" t="s">
        <v>2938</v>
      </c>
      <c r="B15" s="446" t="s">
        <v>2946</v>
      </c>
      <c r="C15" s="74">
        <v>1</v>
      </c>
      <c r="D15" s="74">
        <v>-345</v>
      </c>
    </row>
    <row r="16" spans="1:4" x14ac:dyDescent="0.2">
      <c r="A16" s="446" t="s">
        <v>115</v>
      </c>
      <c r="C16" s="74">
        <v>18</v>
      </c>
      <c r="D16" s="74">
        <v>-25571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9"/>
  <sheetViews>
    <sheetView workbookViewId="0"/>
  </sheetViews>
  <sheetFormatPr defaultRowHeight="12" x14ac:dyDescent="0.2"/>
  <cols>
    <col min="1" max="1" width="39.42578125" bestFit="1" customWidth="1"/>
    <col min="2" max="2" width="25.425781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429</v>
      </c>
    </row>
    <row r="2" spans="1:4" x14ac:dyDescent="0.2">
      <c r="A2" s="77" t="s">
        <v>2894</v>
      </c>
      <c r="B2" s="446" t="s">
        <v>429</v>
      </c>
    </row>
    <row r="3" spans="1:4" x14ac:dyDescent="0.2">
      <c r="A3" s="77" t="s">
        <v>111</v>
      </c>
      <c r="B3" s="446" t="s">
        <v>429</v>
      </c>
    </row>
    <row r="4" spans="1:4" x14ac:dyDescent="0.2">
      <c r="A4" s="77" t="s">
        <v>2896</v>
      </c>
      <c r="B4" s="446" t="s">
        <v>429</v>
      </c>
    </row>
    <row r="5" spans="1:4" x14ac:dyDescent="0.2">
      <c r="A5" s="77" t="s">
        <v>2900</v>
      </c>
      <c r="B5" s="446" t="s">
        <v>126</v>
      </c>
    </row>
    <row r="6" spans="1:4" x14ac:dyDescent="0.2">
      <c r="A6" s="77" t="s">
        <v>2898</v>
      </c>
      <c r="B6" s="446" t="s">
        <v>429</v>
      </c>
    </row>
    <row r="8" spans="1:4" x14ac:dyDescent="0.2">
      <c r="A8" s="77" t="s">
        <v>2939</v>
      </c>
      <c r="B8" s="77" t="s">
        <v>2940</v>
      </c>
      <c r="C8" s="446" t="s">
        <v>2923</v>
      </c>
      <c r="D8" s="446" t="s">
        <v>2925</v>
      </c>
    </row>
    <row r="9" spans="1:4" x14ac:dyDescent="0.2">
      <c r="A9" s="446" t="s">
        <v>2935</v>
      </c>
      <c r="C9" s="74">
        <v>21</v>
      </c>
      <c r="D9" s="74">
        <v>-43086</v>
      </c>
    </row>
    <row r="10" spans="1:4" x14ac:dyDescent="0.2">
      <c r="A10" s="446" t="s">
        <v>2935</v>
      </c>
      <c r="B10" s="446" t="s">
        <v>2946</v>
      </c>
      <c r="C10" s="74">
        <v>21</v>
      </c>
      <c r="D10" s="74">
        <v>-43086</v>
      </c>
    </row>
    <row r="11" spans="1:4" x14ac:dyDescent="0.2">
      <c r="A11" s="446" t="s">
        <v>2935</v>
      </c>
      <c r="B11" s="446" t="s">
        <v>2948</v>
      </c>
      <c r="C11" s="74">
        <v>0</v>
      </c>
      <c r="D11" s="74">
        <v>0</v>
      </c>
    </row>
    <row r="12" spans="1:4" x14ac:dyDescent="0.2">
      <c r="A12" s="446" t="s">
        <v>2937</v>
      </c>
      <c r="C12" s="74">
        <v>11</v>
      </c>
      <c r="D12" s="74">
        <v>114945</v>
      </c>
    </row>
    <row r="13" spans="1:4" x14ac:dyDescent="0.2">
      <c r="A13" s="446" t="s">
        <v>2937</v>
      </c>
      <c r="B13" s="446" t="s">
        <v>2946</v>
      </c>
      <c r="C13" s="74">
        <v>4</v>
      </c>
      <c r="D13" s="74">
        <v>15262</v>
      </c>
    </row>
    <row r="14" spans="1:4" x14ac:dyDescent="0.2">
      <c r="A14" s="446" t="s">
        <v>2937</v>
      </c>
      <c r="B14" s="446" t="s">
        <v>2947</v>
      </c>
      <c r="C14" s="74">
        <v>6</v>
      </c>
      <c r="D14" s="74">
        <v>100039</v>
      </c>
    </row>
    <row r="15" spans="1:4" x14ac:dyDescent="0.2">
      <c r="A15" s="446" t="s">
        <v>2937</v>
      </c>
      <c r="B15" s="446" t="s">
        <v>2948</v>
      </c>
      <c r="C15" s="74">
        <v>1</v>
      </c>
      <c r="D15" s="74">
        <v>-356</v>
      </c>
    </row>
    <row r="16" spans="1:4" x14ac:dyDescent="0.2">
      <c r="A16" s="446" t="s">
        <v>2938</v>
      </c>
      <c r="C16" s="74">
        <v>5</v>
      </c>
      <c r="D16" s="74">
        <v>15329</v>
      </c>
    </row>
    <row r="17" spans="1:4" x14ac:dyDescent="0.2">
      <c r="A17" s="446" t="s">
        <v>2938</v>
      </c>
      <c r="B17" s="446" t="s">
        <v>2945</v>
      </c>
      <c r="C17" s="74">
        <v>5</v>
      </c>
      <c r="D17" s="74">
        <v>15329</v>
      </c>
    </row>
    <row r="18" spans="1:4" x14ac:dyDescent="0.2">
      <c r="A18" s="446" t="s">
        <v>2938</v>
      </c>
      <c r="B18" s="446" t="s">
        <v>2946</v>
      </c>
      <c r="C18" s="74">
        <v>0</v>
      </c>
      <c r="D18" s="74">
        <v>0</v>
      </c>
    </row>
    <row r="19" spans="1:4" x14ac:dyDescent="0.2">
      <c r="A19" s="446" t="s">
        <v>115</v>
      </c>
      <c r="C19" s="74">
        <v>37</v>
      </c>
      <c r="D19" s="74">
        <v>87188</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22"/>
  <sheetViews>
    <sheetView workbookViewId="0"/>
  </sheetViews>
  <sheetFormatPr defaultRowHeight="12" x14ac:dyDescent="0.2"/>
  <cols>
    <col min="1" max="1" width="39.42578125" bestFit="1" customWidth="1"/>
    <col min="2" max="2" width="30.285156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429</v>
      </c>
    </row>
    <row r="2" spans="1:4" x14ac:dyDescent="0.2">
      <c r="A2" s="77" t="s">
        <v>2894</v>
      </c>
      <c r="B2" s="446" t="s">
        <v>429</v>
      </c>
    </row>
    <row r="3" spans="1:4" x14ac:dyDescent="0.2">
      <c r="A3" s="77" t="s">
        <v>111</v>
      </c>
      <c r="B3" s="446" t="s">
        <v>126</v>
      </c>
    </row>
    <row r="4" spans="1:4" x14ac:dyDescent="0.2">
      <c r="A4" s="77" t="s">
        <v>2896</v>
      </c>
      <c r="B4" s="446" t="s">
        <v>429</v>
      </c>
    </row>
    <row r="5" spans="1:4" x14ac:dyDescent="0.2">
      <c r="A5" s="77" t="s">
        <v>2900</v>
      </c>
      <c r="B5" s="446" t="s">
        <v>429</v>
      </c>
    </row>
    <row r="6" spans="1:4" x14ac:dyDescent="0.2">
      <c r="A6" s="77" t="s">
        <v>2898</v>
      </c>
      <c r="B6" s="446" t="s">
        <v>429</v>
      </c>
    </row>
    <row r="8" spans="1:4" x14ac:dyDescent="0.2">
      <c r="A8" s="77" t="s">
        <v>2939</v>
      </c>
      <c r="B8" s="77" t="s">
        <v>2940</v>
      </c>
      <c r="C8" s="446" t="s">
        <v>2923</v>
      </c>
      <c r="D8" s="446" t="s">
        <v>2925</v>
      </c>
    </row>
    <row r="9" spans="1:4" x14ac:dyDescent="0.2">
      <c r="A9" s="446" t="s">
        <v>2935</v>
      </c>
      <c r="C9" s="74">
        <v>18</v>
      </c>
      <c r="D9" s="74">
        <v>27289</v>
      </c>
    </row>
    <row r="10" spans="1:4" x14ac:dyDescent="0.2">
      <c r="A10" s="446" t="s">
        <v>2935</v>
      </c>
      <c r="B10" s="446" t="s">
        <v>2946</v>
      </c>
      <c r="C10" s="74">
        <v>14</v>
      </c>
      <c r="D10" s="74">
        <v>31757</v>
      </c>
    </row>
    <row r="11" spans="1:4" x14ac:dyDescent="0.2">
      <c r="A11" s="446" t="s">
        <v>2935</v>
      </c>
      <c r="B11" s="446" t="s">
        <v>2948</v>
      </c>
      <c r="C11" s="74">
        <v>4</v>
      </c>
      <c r="D11" s="74">
        <v>-4468</v>
      </c>
    </row>
    <row r="12" spans="1:4" x14ac:dyDescent="0.2">
      <c r="A12" s="446" t="s">
        <v>2937</v>
      </c>
      <c r="C12" s="74">
        <v>22</v>
      </c>
      <c r="D12" s="74">
        <v>78416</v>
      </c>
    </row>
    <row r="13" spans="1:4" x14ac:dyDescent="0.2">
      <c r="A13" s="446" t="s">
        <v>2937</v>
      </c>
      <c r="B13" s="446" t="s">
        <v>2946</v>
      </c>
      <c r="C13" s="74">
        <v>13</v>
      </c>
      <c r="D13" s="74">
        <v>-5152</v>
      </c>
    </row>
    <row r="14" spans="1:4" x14ac:dyDescent="0.2">
      <c r="A14" s="446" t="s">
        <v>2937</v>
      </c>
      <c r="B14" s="446" t="s">
        <v>2947</v>
      </c>
      <c r="C14" s="74">
        <v>2</v>
      </c>
      <c r="D14" s="74">
        <v>87387</v>
      </c>
    </row>
    <row r="15" spans="1:4" x14ac:dyDescent="0.2">
      <c r="A15" s="446" t="s">
        <v>2937</v>
      </c>
      <c r="B15" s="446" t="s">
        <v>2948</v>
      </c>
      <c r="C15" s="74">
        <v>7</v>
      </c>
      <c r="D15" s="74">
        <v>-3819</v>
      </c>
    </row>
    <row r="16" spans="1:4" x14ac:dyDescent="0.2">
      <c r="A16" s="446" t="s">
        <v>2937</v>
      </c>
      <c r="B16" s="446" t="s">
        <v>2949</v>
      </c>
      <c r="C16" s="74">
        <v>0</v>
      </c>
      <c r="D16" s="74">
        <v>0</v>
      </c>
    </row>
    <row r="17" spans="1:4" x14ac:dyDescent="0.2">
      <c r="A17" s="446" t="s">
        <v>2938</v>
      </c>
      <c r="C17" s="74">
        <v>6</v>
      </c>
      <c r="D17" s="74">
        <v>-928</v>
      </c>
    </row>
    <row r="18" spans="1:4" x14ac:dyDescent="0.2">
      <c r="A18" s="446" t="s">
        <v>2938</v>
      </c>
      <c r="B18" s="446" t="s">
        <v>2945</v>
      </c>
      <c r="C18" s="74">
        <v>0</v>
      </c>
      <c r="D18" s="74">
        <v>0</v>
      </c>
    </row>
    <row r="19" spans="1:4" x14ac:dyDescent="0.2">
      <c r="A19" s="446" t="s">
        <v>2938</v>
      </c>
      <c r="B19" s="446" t="s">
        <v>2946</v>
      </c>
      <c r="C19" s="74">
        <v>4</v>
      </c>
      <c r="D19" s="74">
        <v>-730</v>
      </c>
    </row>
    <row r="20" spans="1:4" x14ac:dyDescent="0.2">
      <c r="A20" s="446" t="s">
        <v>2938</v>
      </c>
      <c r="B20" s="446" t="s">
        <v>2948</v>
      </c>
      <c r="C20" s="74">
        <v>1</v>
      </c>
      <c r="D20" s="74">
        <v>-135</v>
      </c>
    </row>
    <row r="21" spans="1:4" x14ac:dyDescent="0.2">
      <c r="A21" s="446" t="s">
        <v>2938</v>
      </c>
      <c r="B21" s="446" t="s">
        <v>2959</v>
      </c>
      <c r="C21" s="74">
        <v>1</v>
      </c>
      <c r="D21" s="74">
        <v>-63</v>
      </c>
    </row>
    <row r="22" spans="1:4" x14ac:dyDescent="0.2">
      <c r="A22" s="446" t="s">
        <v>115</v>
      </c>
      <c r="C22" s="74">
        <v>46</v>
      </c>
      <c r="D22" s="74">
        <v>104777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25"/>
  <sheetViews>
    <sheetView workbookViewId="0"/>
  </sheetViews>
  <sheetFormatPr defaultRowHeight="12" x14ac:dyDescent="0.2"/>
  <cols>
    <col min="1" max="1" width="39.42578125" bestFit="1" customWidth="1"/>
    <col min="2" max="2" width="30.285156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153</v>
      </c>
    </row>
    <row r="2" spans="1:4" x14ac:dyDescent="0.2">
      <c r="A2" s="77" t="s">
        <v>2894</v>
      </c>
      <c r="B2" s="446" t="s">
        <v>153</v>
      </c>
    </row>
    <row r="3" spans="1:4" x14ac:dyDescent="0.2">
      <c r="A3" s="77" t="s">
        <v>111</v>
      </c>
      <c r="B3" s="446" t="s">
        <v>153</v>
      </c>
    </row>
    <row r="4" spans="1:4" x14ac:dyDescent="0.2">
      <c r="A4" s="77" t="s">
        <v>2896</v>
      </c>
      <c r="B4" s="446" t="s">
        <v>153</v>
      </c>
    </row>
    <row r="5" spans="1:4" x14ac:dyDescent="0.2">
      <c r="A5" s="77" t="s">
        <v>2900</v>
      </c>
      <c r="B5" s="446" t="s">
        <v>153</v>
      </c>
    </row>
    <row r="6" spans="1:4" x14ac:dyDescent="0.2">
      <c r="A6" s="77" t="s">
        <v>2898</v>
      </c>
      <c r="B6" s="446" t="s">
        <v>153</v>
      </c>
    </row>
    <row r="8" spans="1:4" x14ac:dyDescent="0.2">
      <c r="A8" s="77" t="s">
        <v>2939</v>
      </c>
      <c r="B8" s="77" t="s">
        <v>2940</v>
      </c>
      <c r="C8" s="446" t="s">
        <v>2923</v>
      </c>
      <c r="D8" s="446" t="s">
        <v>2925</v>
      </c>
    </row>
    <row r="9" spans="1:4" x14ac:dyDescent="0.2">
      <c r="A9" s="446" t="s">
        <v>2935</v>
      </c>
      <c r="C9" s="74">
        <v>34</v>
      </c>
      <c r="D9" s="74">
        <v>-14213</v>
      </c>
    </row>
    <row r="10" spans="1:4" x14ac:dyDescent="0.2">
      <c r="A10" s="446" t="s">
        <v>2935</v>
      </c>
      <c r="B10" s="446" t="s">
        <v>2946</v>
      </c>
      <c r="C10" s="74">
        <v>28</v>
      </c>
      <c r="D10" s="74">
        <v>-13501</v>
      </c>
    </row>
    <row r="11" spans="1:4" x14ac:dyDescent="0.2">
      <c r="A11" s="446" t="s">
        <v>2935</v>
      </c>
      <c r="B11" s="446" t="s">
        <v>2948</v>
      </c>
      <c r="C11" s="74">
        <v>6</v>
      </c>
      <c r="D11" s="74">
        <v>-712</v>
      </c>
    </row>
    <row r="12" spans="1:4" x14ac:dyDescent="0.2">
      <c r="A12" s="446" t="s">
        <v>2935</v>
      </c>
      <c r="B12" s="446" t="s">
        <v>2949</v>
      </c>
      <c r="C12" s="74">
        <v>0</v>
      </c>
      <c r="D12" s="74">
        <v>0</v>
      </c>
    </row>
    <row r="13" spans="1:4" x14ac:dyDescent="0.2">
      <c r="A13" s="446" t="s">
        <v>2937</v>
      </c>
      <c r="C13" s="74">
        <v>67</v>
      </c>
      <c r="D13" s="74">
        <v>-9528</v>
      </c>
    </row>
    <row r="14" spans="1:4" x14ac:dyDescent="0.2">
      <c r="A14" s="446" t="s">
        <v>2937</v>
      </c>
      <c r="B14" s="446" t="s">
        <v>2946</v>
      </c>
      <c r="C14" s="74">
        <v>48</v>
      </c>
      <c r="D14" s="74">
        <v>-3299</v>
      </c>
    </row>
    <row r="15" spans="1:4" x14ac:dyDescent="0.2">
      <c r="A15" s="446" t="s">
        <v>2937</v>
      </c>
      <c r="B15" s="446" t="s">
        <v>2947</v>
      </c>
      <c r="C15" s="74">
        <v>0</v>
      </c>
      <c r="D15" s="74">
        <v>0</v>
      </c>
    </row>
    <row r="16" spans="1:4" x14ac:dyDescent="0.2">
      <c r="A16" s="446" t="s">
        <v>2937</v>
      </c>
      <c r="B16" s="446" t="s">
        <v>2948</v>
      </c>
      <c r="C16" s="74">
        <v>19</v>
      </c>
      <c r="D16" s="74">
        <v>-6229</v>
      </c>
    </row>
    <row r="17" spans="1:4" x14ac:dyDescent="0.2">
      <c r="A17" s="446" t="s">
        <v>2937</v>
      </c>
      <c r="B17" s="446" t="s">
        <v>2949</v>
      </c>
      <c r="C17" s="74">
        <v>0</v>
      </c>
      <c r="D17" s="74">
        <v>0</v>
      </c>
    </row>
    <row r="18" spans="1:4" x14ac:dyDescent="0.2">
      <c r="A18" s="446" t="s">
        <v>2938</v>
      </c>
      <c r="C18" s="74">
        <v>21</v>
      </c>
      <c r="D18" s="74">
        <v>1039</v>
      </c>
    </row>
    <row r="19" spans="1:4" x14ac:dyDescent="0.2">
      <c r="A19" s="446" t="s">
        <v>2938</v>
      </c>
      <c r="B19" s="446" t="s">
        <v>2945</v>
      </c>
      <c r="C19" s="74">
        <v>3</v>
      </c>
      <c r="D19" s="74">
        <v>531</v>
      </c>
    </row>
    <row r="20" spans="1:4" x14ac:dyDescent="0.2">
      <c r="A20" s="446" t="s">
        <v>2938</v>
      </c>
      <c r="B20" s="446" t="s">
        <v>2946</v>
      </c>
      <c r="C20" s="74">
        <v>17</v>
      </c>
      <c r="D20" s="74">
        <v>592</v>
      </c>
    </row>
    <row r="21" spans="1:4" x14ac:dyDescent="0.2">
      <c r="A21" s="446" t="s">
        <v>2938</v>
      </c>
      <c r="B21" s="446" t="s">
        <v>2947</v>
      </c>
      <c r="C21" s="74">
        <v>0</v>
      </c>
      <c r="D21" s="74">
        <v>0</v>
      </c>
    </row>
    <row r="22" spans="1:4" x14ac:dyDescent="0.2">
      <c r="A22" s="446" t="s">
        <v>2938</v>
      </c>
      <c r="B22" s="446" t="s">
        <v>2948</v>
      </c>
      <c r="C22" s="74">
        <v>0</v>
      </c>
      <c r="D22" s="74">
        <v>0</v>
      </c>
    </row>
    <row r="23" spans="1:4" x14ac:dyDescent="0.2">
      <c r="A23" s="446" t="s">
        <v>2938</v>
      </c>
      <c r="B23" s="446" t="s">
        <v>2949</v>
      </c>
      <c r="C23" s="74">
        <v>0</v>
      </c>
      <c r="D23" s="74">
        <v>0</v>
      </c>
    </row>
    <row r="24" spans="1:4" x14ac:dyDescent="0.2">
      <c r="A24" s="446" t="s">
        <v>2938</v>
      </c>
      <c r="B24" s="446" t="s">
        <v>2959</v>
      </c>
      <c r="C24" s="74">
        <v>1</v>
      </c>
      <c r="D24" s="74">
        <v>-84</v>
      </c>
    </row>
    <row r="25" spans="1:4" x14ac:dyDescent="0.2">
      <c r="A25" s="446" t="s">
        <v>115</v>
      </c>
      <c r="C25" s="74">
        <v>122</v>
      </c>
      <c r="D25" s="74">
        <v>-22702</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5"/>
  <sheetViews>
    <sheetView workbookViewId="0"/>
  </sheetViews>
  <sheetFormatPr defaultRowHeight="12" x14ac:dyDescent="0.2"/>
  <cols>
    <col min="1" max="1" width="39.42578125" bestFit="1" customWidth="1"/>
    <col min="2" max="2" width="30.28515625" customWidth="1"/>
    <col min="3" max="4" width="17" customWidth="1"/>
    <col min="5" max="8" width="39.42578125" customWidth="1"/>
    <col min="9" max="10" width="21.7109375" customWidth="1"/>
    <col min="11" max="11" width="21.7109375" bestFit="1" customWidth="1"/>
    <col min="12" max="29" width="17" customWidth="1"/>
    <col min="30" max="35" width="19.140625" customWidth="1"/>
    <col min="36" max="39" width="18.140625" customWidth="1"/>
    <col min="40" max="41" width="21.7109375" customWidth="1"/>
    <col min="42" max="42" width="13.5703125" customWidth="1"/>
    <col min="43" max="43" width="6.42578125" customWidth="1"/>
    <col min="44" max="45" width="8.42578125" customWidth="1"/>
    <col min="46" max="46" width="11" customWidth="1"/>
    <col min="47" max="48" width="13.5703125" customWidth="1"/>
    <col min="49" max="49" width="6.42578125" customWidth="1"/>
    <col min="50" max="51" width="8.42578125" customWidth="1"/>
    <col min="52" max="52" width="11" customWidth="1"/>
    <col min="53" max="54" width="13.5703125" customWidth="1"/>
    <col min="55" max="55" width="6.42578125" customWidth="1"/>
    <col min="56" max="57" width="8.42578125" customWidth="1"/>
    <col min="58" max="58" width="11" customWidth="1"/>
    <col min="59" max="60" width="13.5703125" customWidth="1"/>
    <col min="61" max="61" width="6.42578125" customWidth="1"/>
    <col min="62" max="63" width="8.42578125" customWidth="1"/>
    <col min="64" max="64" width="11" customWidth="1"/>
    <col min="65" max="66" width="17" customWidth="1"/>
    <col min="67" max="67" width="6.42578125" customWidth="1"/>
    <col min="68" max="69" width="8.42578125" customWidth="1"/>
    <col min="70" max="70" width="11" customWidth="1"/>
    <col min="71" max="72" width="17" customWidth="1"/>
    <col min="73" max="73" width="7" customWidth="1"/>
    <col min="74" max="75" width="8.42578125" customWidth="1"/>
    <col min="76" max="76" width="11" customWidth="1"/>
    <col min="77" max="82" width="19.140625" customWidth="1"/>
    <col min="83" max="86" width="18.140625" customWidth="1"/>
    <col min="87" max="88" width="21.7109375" customWidth="1"/>
    <col min="89" max="89" width="8.42578125" customWidth="1"/>
    <col min="90" max="91" width="11" customWidth="1"/>
    <col min="92" max="93" width="13.5703125" customWidth="1"/>
    <col min="94" max="94" width="11" customWidth="1"/>
    <col min="95" max="95" width="6.42578125" customWidth="1"/>
    <col min="96" max="97" width="8.42578125" customWidth="1"/>
    <col min="98" max="98" width="6.42578125" customWidth="1"/>
    <col min="99" max="100" width="8.42578125" customWidth="1"/>
    <col min="101" max="102" width="11" customWidth="1"/>
    <col min="103" max="103" width="13.5703125" bestFit="1" customWidth="1"/>
    <col min="104" max="104" width="13.5703125" customWidth="1"/>
    <col min="105" max="105" width="11" customWidth="1"/>
    <col min="106" max="106" width="6.42578125" customWidth="1"/>
    <col min="107" max="108" width="8.42578125" customWidth="1"/>
    <col min="109" max="109" width="6.42578125" customWidth="1"/>
    <col min="110" max="111" width="8.42578125" customWidth="1"/>
    <col min="112" max="113" width="11" customWidth="1"/>
    <col min="114" max="114" width="17" bestFit="1" customWidth="1"/>
    <col min="115" max="115" width="17" customWidth="1"/>
    <col min="116" max="116" width="11" customWidth="1"/>
    <col min="117" max="117" width="6.42578125" customWidth="1"/>
    <col min="118" max="119" width="8.42578125" customWidth="1"/>
    <col min="120" max="120" width="6.42578125" customWidth="1"/>
    <col min="121" max="122" width="8.42578125" customWidth="1"/>
    <col min="123" max="124" width="11" customWidth="1"/>
    <col min="125" max="125" width="17" customWidth="1"/>
    <col min="126" max="126" width="17" bestFit="1" customWidth="1"/>
    <col min="127" max="127" width="11" customWidth="1"/>
    <col min="128" max="128" width="6.42578125" customWidth="1"/>
    <col min="129" max="130" width="8.42578125" customWidth="1"/>
    <col min="131" max="131" width="7" customWidth="1"/>
    <col min="132" max="133" width="8.42578125" customWidth="1"/>
    <col min="134" max="135" width="11" customWidth="1"/>
    <col min="136" max="138" width="19.140625" customWidth="1"/>
    <col min="139" max="139" width="19.140625" bestFit="1" customWidth="1"/>
    <col min="140" max="141" width="19.140625" customWidth="1"/>
    <col min="142" max="144" width="18.140625" customWidth="1"/>
    <col min="145" max="145" width="18.140625" bestFit="1" customWidth="1"/>
    <col min="146" max="147" width="21.7109375" customWidth="1"/>
    <col min="148" max="149" width="11" customWidth="1"/>
    <col min="150" max="150" width="6.42578125" customWidth="1"/>
    <col min="151" max="152" width="8.42578125" customWidth="1"/>
    <col min="153" max="153" width="11" customWidth="1"/>
    <col min="154" max="154" width="6.42578125" customWidth="1"/>
    <col min="155" max="156" width="8.42578125" customWidth="1"/>
    <col min="157" max="157" width="6.42578125" customWidth="1"/>
    <col min="158" max="159" width="8.42578125" customWidth="1"/>
    <col min="160" max="162" width="11" customWidth="1"/>
    <col min="163" max="163" width="17" customWidth="1"/>
    <col min="164" max="165" width="11" customWidth="1"/>
    <col min="166" max="166" width="6.42578125" customWidth="1"/>
    <col min="167" max="168" width="8.42578125" customWidth="1"/>
    <col min="169" max="169" width="11" bestFit="1" customWidth="1"/>
    <col min="170" max="170" width="6.42578125" customWidth="1"/>
    <col min="171" max="171" width="8.42578125" customWidth="1"/>
    <col min="172" max="172" width="8.42578125" bestFit="1" customWidth="1"/>
    <col min="173" max="173" width="6.42578125" customWidth="1"/>
    <col min="174" max="175" width="8.42578125" customWidth="1"/>
    <col min="176" max="178" width="11" customWidth="1"/>
    <col min="179" max="179" width="17" customWidth="1"/>
    <col min="180" max="180" width="11" bestFit="1" customWidth="1"/>
    <col min="181" max="181" width="11" customWidth="1"/>
    <col min="182" max="182" width="6.42578125" customWidth="1"/>
    <col min="183" max="183" width="8.42578125" bestFit="1" customWidth="1"/>
    <col min="184" max="184" width="8.42578125" customWidth="1"/>
    <col min="185" max="185" width="11" customWidth="1"/>
    <col min="186" max="186" width="6.42578125" customWidth="1"/>
    <col min="187" max="187" width="8.42578125" bestFit="1" customWidth="1"/>
    <col min="188" max="188" width="8.42578125" customWidth="1"/>
    <col min="189" max="189" width="7" customWidth="1"/>
    <col min="190" max="191" width="8.42578125" customWidth="1"/>
    <col min="192" max="192" width="11" bestFit="1" customWidth="1"/>
    <col min="193" max="194" width="11" customWidth="1"/>
    <col min="195" max="195" width="19.140625" customWidth="1"/>
    <col min="196" max="196" width="19.140625" bestFit="1" customWidth="1"/>
    <col min="197" max="200" width="19.140625" customWidth="1"/>
    <col min="201" max="201" width="18.140625" customWidth="1"/>
    <col min="202" max="202" width="18.140625" bestFit="1" customWidth="1"/>
    <col min="203" max="204" width="18.140625" customWidth="1"/>
    <col min="205" max="206" width="21.7109375" bestFit="1" customWidth="1"/>
    <col min="207" max="207" width="11" bestFit="1" customWidth="1"/>
    <col min="208" max="208" width="6.42578125" customWidth="1"/>
    <col min="209" max="210" width="8.42578125" customWidth="1"/>
    <col min="211" max="211" width="11" bestFit="1" customWidth="1"/>
    <col min="212" max="212" width="6.42578125" customWidth="1"/>
    <col min="213" max="214" width="8.42578125" customWidth="1"/>
    <col min="215" max="215" width="6.42578125" customWidth="1"/>
    <col min="216" max="216" width="8.42578125" bestFit="1" customWidth="1"/>
    <col min="217" max="217" width="8.42578125" customWidth="1"/>
    <col min="218" max="218" width="11" bestFit="1" customWidth="1"/>
    <col min="219" max="219" width="11" customWidth="1"/>
    <col min="220" max="221" width="11" bestFit="1" customWidth="1"/>
    <col min="222" max="222" width="17" customWidth="1"/>
    <col min="223" max="223" width="6.42578125" customWidth="1"/>
    <col min="224" max="224" width="11" customWidth="1"/>
    <col min="225" max="225" width="11" bestFit="1" customWidth="1"/>
    <col min="226" max="226" width="6.42578125" customWidth="1"/>
    <col min="227" max="227" width="8.42578125" customWidth="1"/>
    <col min="228" max="229" width="11" bestFit="1" customWidth="1"/>
    <col min="230" max="230" width="6.42578125" customWidth="1"/>
    <col min="231" max="232" width="8.42578125" customWidth="1"/>
    <col min="233" max="233" width="11" customWidth="1"/>
    <col min="234" max="234" width="6.42578125" customWidth="1"/>
    <col min="235" max="235" width="8.42578125" bestFit="1" customWidth="1"/>
    <col min="236" max="236" width="8.42578125" customWidth="1"/>
    <col min="237" max="237" width="6.42578125" customWidth="1"/>
    <col min="238" max="238" width="8.42578125" bestFit="1" customWidth="1"/>
    <col min="239" max="239" width="8.42578125" customWidth="1"/>
    <col min="240" max="240" width="11" customWidth="1"/>
    <col min="241" max="242" width="11" bestFit="1" customWidth="1"/>
    <col min="243" max="243" width="11" customWidth="1"/>
    <col min="244" max="244" width="17" bestFit="1" customWidth="1"/>
    <col min="245" max="245" width="6.42578125" customWidth="1"/>
    <col min="246" max="246" width="11" bestFit="1" customWidth="1"/>
    <col min="247" max="247" width="11" customWidth="1"/>
    <col min="248" max="248" width="6.42578125" customWidth="1"/>
    <col min="249" max="249" width="8.42578125" bestFit="1" customWidth="1"/>
    <col min="250" max="251" width="11" bestFit="1" customWidth="1"/>
    <col min="252" max="252" width="6.42578125" customWidth="1"/>
    <col min="253" max="253" width="8.42578125" bestFit="1" customWidth="1"/>
    <col min="254" max="254" width="8.42578125" customWidth="1"/>
    <col min="255" max="255" width="11" customWidth="1"/>
    <col min="256" max="256" width="6.42578125" customWidth="1"/>
    <col min="257" max="257" width="8.42578125" customWidth="1"/>
    <col min="258" max="258" width="8.42578125" bestFit="1" customWidth="1"/>
    <col min="259" max="259" width="7" customWidth="1"/>
    <col min="260" max="261" width="8.42578125" customWidth="1"/>
    <col min="262" max="263" width="11" customWidth="1"/>
    <col min="264" max="264" width="11" bestFit="1" customWidth="1"/>
    <col min="265" max="265" width="11" customWidth="1"/>
    <col min="266" max="267" width="19.140625" customWidth="1"/>
    <col min="268" max="268" width="19.140625" bestFit="1" customWidth="1"/>
    <col min="269" max="270" width="19.140625" customWidth="1"/>
    <col min="271" max="271" width="19.140625" bestFit="1" customWidth="1"/>
    <col min="272" max="272" width="18.140625" bestFit="1" customWidth="1"/>
    <col min="273" max="273" width="18.140625" customWidth="1"/>
    <col min="274" max="275" width="18.140625" bestFit="1" customWidth="1"/>
    <col min="276" max="276" width="21.7109375" customWidth="1"/>
    <col min="277" max="277" width="21.7109375" bestFit="1" customWidth="1"/>
    <col min="278" max="278" width="6.42578125" customWidth="1"/>
    <col min="279" max="279" width="11" bestFit="1" customWidth="1"/>
    <col min="280" max="280" width="11" customWidth="1"/>
    <col min="281" max="281" width="6.42578125" customWidth="1"/>
    <col min="282" max="282" width="8.42578125" bestFit="1" customWidth="1"/>
    <col min="283" max="283" width="11" bestFit="1" customWidth="1"/>
    <col min="284" max="284" width="11" customWidth="1"/>
    <col min="285" max="285" width="6.42578125" customWidth="1"/>
    <col min="286" max="286" width="8.42578125" bestFit="1" customWidth="1"/>
    <col min="287" max="287" width="11" bestFit="1" customWidth="1"/>
    <col min="288" max="288" width="6.42578125" customWidth="1"/>
    <col min="289" max="289" width="8.42578125" bestFit="1" customWidth="1"/>
    <col min="290" max="290" width="6.42578125" customWidth="1"/>
    <col min="291" max="291" width="8.42578125" bestFit="1" customWidth="1"/>
    <col min="292" max="292" width="8.42578125" customWidth="1"/>
    <col min="293" max="297" width="11" bestFit="1" customWidth="1"/>
    <col min="298" max="298" width="13.5703125" bestFit="1" customWidth="1"/>
    <col min="299" max="299" width="11" customWidth="1"/>
    <col min="300" max="300" width="6.42578125" customWidth="1"/>
    <col min="301" max="301" width="8.42578125" bestFit="1" customWidth="1"/>
    <col min="302" max="302" width="8.42578125" customWidth="1"/>
    <col min="303" max="303" width="6.42578125" customWidth="1"/>
    <col min="304" max="304" width="8.42578125" bestFit="1" customWidth="1"/>
    <col min="305" max="308" width="11" bestFit="1" customWidth="1"/>
    <col min="309" max="309" width="6.42578125" customWidth="1"/>
    <col min="310" max="310" width="8.42578125" bestFit="1" customWidth="1"/>
    <col min="311" max="311" width="6.42578125" customWidth="1"/>
    <col min="312" max="313" width="11" bestFit="1" customWidth="1"/>
    <col min="314" max="314" width="6.42578125" customWidth="1"/>
    <col min="315" max="315" width="8.42578125" bestFit="1" customWidth="1"/>
    <col min="316" max="317" width="11" bestFit="1" customWidth="1"/>
    <col min="318" max="318" width="6.42578125" customWidth="1"/>
    <col min="319" max="319" width="8.42578125" bestFit="1" customWidth="1"/>
    <col min="320" max="320" width="11" bestFit="1" customWidth="1"/>
    <col min="321" max="321" width="6.42578125" customWidth="1"/>
    <col min="322" max="322" width="8.42578125" bestFit="1" customWidth="1"/>
    <col min="323" max="323" width="6.42578125" customWidth="1"/>
    <col min="324" max="324" width="8.42578125" bestFit="1" customWidth="1"/>
    <col min="325" max="325" width="8.42578125" customWidth="1"/>
    <col min="326" max="330" width="11" bestFit="1" customWidth="1"/>
    <col min="331" max="331" width="17" bestFit="1" customWidth="1"/>
    <col min="332" max="332" width="11" customWidth="1"/>
    <col min="333" max="333" width="6.42578125" customWidth="1"/>
    <col min="334" max="334" width="8.42578125" bestFit="1" customWidth="1"/>
    <col min="335" max="335" width="8.42578125" customWidth="1"/>
    <col min="336" max="336" width="6.42578125" customWidth="1"/>
    <col min="337" max="337" width="8.42578125" bestFit="1" customWidth="1"/>
    <col min="338" max="341" width="11" bestFit="1" customWidth="1"/>
    <col min="342" max="342" width="6.42578125" customWidth="1"/>
    <col min="343" max="343" width="8.42578125" bestFit="1" customWidth="1"/>
    <col min="344" max="344" width="6.42578125" customWidth="1"/>
    <col min="345" max="346" width="11" bestFit="1" customWidth="1"/>
    <col min="347" max="347" width="6.42578125" customWidth="1"/>
    <col min="348" max="348" width="8.42578125" bestFit="1" customWidth="1"/>
    <col min="349" max="350" width="11" bestFit="1" customWidth="1"/>
    <col min="351" max="351" width="6.42578125" customWidth="1"/>
    <col min="352" max="352" width="8.42578125" bestFit="1" customWidth="1"/>
    <col min="353" max="353" width="11" bestFit="1" customWidth="1"/>
    <col min="354" max="354" width="6.42578125" customWidth="1"/>
    <col min="355" max="355" width="8.42578125" bestFit="1" customWidth="1"/>
    <col min="356" max="356" width="6.42578125" customWidth="1"/>
    <col min="357" max="357" width="8.42578125" bestFit="1" customWidth="1"/>
    <col min="358" max="358" width="8.42578125" customWidth="1"/>
    <col min="359" max="363" width="11" bestFit="1" customWidth="1"/>
    <col min="364" max="364" width="17" bestFit="1" customWidth="1"/>
    <col min="365" max="365" width="11" customWidth="1"/>
    <col min="366" max="366" width="6.42578125" customWidth="1"/>
    <col min="367" max="368" width="8.42578125" customWidth="1"/>
    <col min="369" max="369" width="7" customWidth="1"/>
    <col min="370" max="370" width="8.42578125" customWidth="1"/>
    <col min="371" max="374" width="11" customWidth="1"/>
    <col min="375" max="375" width="7" customWidth="1"/>
    <col min="376" max="376" width="8.42578125" customWidth="1"/>
    <col min="377" max="377" width="6.42578125" customWidth="1"/>
    <col min="378" max="379" width="11" bestFit="1" customWidth="1"/>
    <col min="380" max="380" width="6.42578125" customWidth="1"/>
    <col min="381" max="381" width="8.42578125" customWidth="1"/>
    <col min="382" max="383" width="11" bestFit="1" customWidth="1"/>
    <col min="384" max="384" width="6.42578125" customWidth="1"/>
    <col min="385" max="385" width="8.42578125" customWidth="1"/>
    <col min="386" max="386" width="11" bestFit="1" customWidth="1"/>
    <col min="387" max="387" width="6.42578125" customWidth="1"/>
    <col min="388" max="388" width="8.42578125" customWidth="1"/>
    <col min="389" max="389" width="7" customWidth="1"/>
    <col min="390" max="391" width="8.42578125" customWidth="1"/>
    <col min="392" max="396" width="11" bestFit="1" customWidth="1"/>
    <col min="397" max="402" width="19.140625" bestFit="1" customWidth="1"/>
    <col min="403" max="406" width="18.140625" bestFit="1" customWidth="1"/>
    <col min="407" max="408" width="21.7109375" bestFit="1" customWidth="1"/>
  </cols>
  <sheetData>
    <row r="1" spans="1:4" x14ac:dyDescent="0.2">
      <c r="A1" s="77" t="s">
        <v>107</v>
      </c>
      <c r="B1" s="446" t="s">
        <v>429</v>
      </c>
    </row>
    <row r="2" spans="1:4" x14ac:dyDescent="0.2">
      <c r="A2" s="77" t="s">
        <v>2894</v>
      </c>
      <c r="B2" s="446" t="s">
        <v>429</v>
      </c>
    </row>
    <row r="3" spans="1:4" x14ac:dyDescent="0.2">
      <c r="A3" s="77" t="s">
        <v>111</v>
      </c>
      <c r="B3" s="446" t="s">
        <v>429</v>
      </c>
    </row>
    <row r="4" spans="1:4" x14ac:dyDescent="0.2">
      <c r="A4" s="77" t="s">
        <v>2896</v>
      </c>
      <c r="B4" s="446" t="s">
        <v>429</v>
      </c>
    </row>
    <row r="5" spans="1:4" x14ac:dyDescent="0.2">
      <c r="A5" s="77" t="s">
        <v>2900</v>
      </c>
      <c r="B5" s="446" t="s">
        <v>429</v>
      </c>
    </row>
    <row r="6" spans="1:4" x14ac:dyDescent="0.2">
      <c r="A6" s="77" t="s">
        <v>2898</v>
      </c>
      <c r="B6" s="446" t="s">
        <v>429</v>
      </c>
    </row>
    <row r="8" spans="1:4" x14ac:dyDescent="0.2">
      <c r="A8" s="77" t="s">
        <v>2939</v>
      </c>
      <c r="B8" s="77" t="s">
        <v>2940</v>
      </c>
      <c r="C8" s="446" t="s">
        <v>2923</v>
      </c>
      <c r="D8" s="446" t="s">
        <v>2925</v>
      </c>
    </row>
    <row r="9" spans="1:4" x14ac:dyDescent="0.2">
      <c r="A9" s="446" t="s">
        <v>2935</v>
      </c>
      <c r="C9" s="74">
        <v>84</v>
      </c>
      <c r="D9" s="74">
        <v>-98570</v>
      </c>
    </row>
    <row r="10" spans="1:4" x14ac:dyDescent="0.2">
      <c r="A10" s="446" t="s">
        <v>2935</v>
      </c>
      <c r="B10" s="446" t="s">
        <v>2946</v>
      </c>
      <c r="C10" s="74">
        <v>72</v>
      </c>
      <c r="D10" s="74">
        <v>-93230</v>
      </c>
    </row>
    <row r="11" spans="1:4" x14ac:dyDescent="0.2">
      <c r="A11" s="446" t="s">
        <v>2935</v>
      </c>
      <c r="B11" s="446" t="s">
        <v>2948</v>
      </c>
      <c r="C11" s="74">
        <v>12</v>
      </c>
      <c r="D11" s="74">
        <v>-5340</v>
      </c>
    </row>
    <row r="12" spans="1:4" x14ac:dyDescent="0.2">
      <c r="A12" s="446" t="s">
        <v>2935</v>
      </c>
      <c r="B12" s="446" t="s">
        <v>2949</v>
      </c>
      <c r="C12" s="74">
        <v>0</v>
      </c>
      <c r="D12" s="74">
        <v>0</v>
      </c>
    </row>
    <row r="13" spans="1:4" x14ac:dyDescent="0.2">
      <c r="A13" s="446" t="s">
        <v>2937</v>
      </c>
      <c r="C13" s="74">
        <v>153</v>
      </c>
      <c r="D13" s="74">
        <v>88089</v>
      </c>
    </row>
    <row r="14" spans="1:4" x14ac:dyDescent="0.2">
      <c r="A14" s="446" t="s">
        <v>2937</v>
      </c>
      <c r="B14" s="446" t="s">
        <v>2946</v>
      </c>
      <c r="C14" s="74">
        <v>88</v>
      </c>
      <c r="D14" s="74">
        <v>11579</v>
      </c>
    </row>
    <row r="15" spans="1:4" x14ac:dyDescent="0.2">
      <c r="A15" s="446" t="s">
        <v>2937</v>
      </c>
      <c r="B15" s="446" t="s">
        <v>2947</v>
      </c>
      <c r="C15" s="74">
        <v>6</v>
      </c>
      <c r="D15" s="74">
        <v>100039</v>
      </c>
    </row>
    <row r="16" spans="1:4" x14ac:dyDescent="0.2">
      <c r="A16" s="446" t="s">
        <v>2937</v>
      </c>
      <c r="B16" s="446" t="s">
        <v>2948</v>
      </c>
      <c r="C16" s="74">
        <v>59</v>
      </c>
      <c r="D16" s="74">
        <v>-23529</v>
      </c>
    </row>
    <row r="17" spans="1:4" x14ac:dyDescent="0.2">
      <c r="A17" s="446" t="s">
        <v>2937</v>
      </c>
      <c r="B17" s="446" t="s">
        <v>2949</v>
      </c>
      <c r="C17" s="74">
        <v>0</v>
      </c>
      <c r="D17" s="74">
        <v>0</v>
      </c>
    </row>
    <row r="18" spans="1:4" x14ac:dyDescent="0.2">
      <c r="A18" s="446" t="s">
        <v>2938</v>
      </c>
      <c r="C18" s="74">
        <v>52</v>
      </c>
      <c r="D18" s="74">
        <v>22560</v>
      </c>
    </row>
    <row r="19" spans="1:4" x14ac:dyDescent="0.2">
      <c r="A19" s="446" t="s">
        <v>2938</v>
      </c>
      <c r="B19" s="446" t="s">
        <v>2945</v>
      </c>
      <c r="C19" s="74">
        <v>12</v>
      </c>
      <c r="D19" s="74">
        <v>28230</v>
      </c>
    </row>
    <row r="20" spans="1:4" x14ac:dyDescent="0.2">
      <c r="A20" s="446" t="s">
        <v>2938</v>
      </c>
      <c r="B20" s="446" t="s">
        <v>2946</v>
      </c>
      <c r="C20" s="74">
        <v>27</v>
      </c>
      <c r="D20" s="74">
        <v>-517</v>
      </c>
    </row>
    <row r="21" spans="1:4" x14ac:dyDescent="0.2">
      <c r="A21" s="446" t="s">
        <v>2938</v>
      </c>
      <c r="B21" s="446" t="s">
        <v>2947</v>
      </c>
      <c r="C21" s="74">
        <v>0</v>
      </c>
      <c r="D21" s="74">
        <v>0</v>
      </c>
    </row>
    <row r="22" spans="1:4" x14ac:dyDescent="0.2">
      <c r="A22" s="446" t="s">
        <v>2938</v>
      </c>
      <c r="B22" s="446" t="s">
        <v>2948</v>
      </c>
      <c r="C22" s="74">
        <v>11</v>
      </c>
      <c r="D22" s="74">
        <v>-5006</v>
      </c>
    </row>
    <row r="23" spans="1:4" x14ac:dyDescent="0.2">
      <c r="A23" s="446" t="s">
        <v>2938</v>
      </c>
      <c r="B23" s="446" t="s">
        <v>2949</v>
      </c>
      <c r="C23" s="74">
        <v>0</v>
      </c>
      <c r="D23" s="74">
        <v>0</v>
      </c>
    </row>
    <row r="24" spans="1:4" x14ac:dyDescent="0.2">
      <c r="A24" s="446" t="s">
        <v>2938</v>
      </c>
      <c r="B24" s="446" t="s">
        <v>2959</v>
      </c>
      <c r="C24" s="74">
        <v>2</v>
      </c>
      <c r="D24" s="74">
        <v>-147</v>
      </c>
    </row>
    <row r="25" spans="1:4" x14ac:dyDescent="0.2">
      <c r="A25" s="446" t="s">
        <v>115</v>
      </c>
      <c r="C25" s="74">
        <v>289</v>
      </c>
      <c r="D25" s="74">
        <v>12079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workbookViewId="0">
      <selection activeCell="C3" sqref="C3"/>
    </sheetView>
  </sheetViews>
  <sheetFormatPr defaultRowHeight="12" x14ac:dyDescent="0.2"/>
  <cols>
    <col min="1" max="1" width="24" bestFit="1" customWidth="1"/>
    <col min="2" max="3" width="30.28515625" customWidth="1"/>
    <col min="4" max="4" width="18" customWidth="1"/>
    <col min="5" max="5" width="18.42578125" customWidth="1"/>
    <col min="6" max="6" width="17" customWidth="1"/>
    <col min="7" max="7" width="18" customWidth="1"/>
    <col min="8" max="8" width="17.42578125" customWidth="1"/>
    <col min="9" max="9" width="17" bestFit="1" customWidth="1"/>
  </cols>
  <sheetData>
    <row r="1" spans="1:9" x14ac:dyDescent="0.2">
      <c r="A1" s="77" t="s">
        <v>2941</v>
      </c>
      <c r="B1" s="77" t="s">
        <v>2939</v>
      </c>
      <c r="C1" s="77" t="s">
        <v>2940</v>
      </c>
      <c r="D1" s="446" t="s">
        <v>2920</v>
      </c>
      <c r="E1" s="446" t="s">
        <v>2922</v>
      </c>
      <c r="F1" s="446" t="s">
        <v>2923</v>
      </c>
      <c r="G1" s="446" t="s">
        <v>2924</v>
      </c>
      <c r="H1" s="446" t="s">
        <v>2921</v>
      </c>
      <c r="I1" s="446" t="s">
        <v>2925</v>
      </c>
    </row>
    <row r="2" spans="1:9" x14ac:dyDescent="0.2">
      <c r="A2" s="446" t="s">
        <v>2942</v>
      </c>
      <c r="B2" s="446" t="s">
        <v>2936</v>
      </c>
      <c r="C2" s="446" t="s">
        <v>2946</v>
      </c>
      <c r="D2" s="74">
        <v>8</v>
      </c>
      <c r="E2" s="74">
        <v>13</v>
      </c>
      <c r="F2" s="74">
        <v>18</v>
      </c>
      <c r="G2" s="74">
        <v>15325</v>
      </c>
      <c r="H2" s="74">
        <v>22547</v>
      </c>
      <c r="I2" s="74">
        <v>-7222</v>
      </c>
    </row>
    <row r="3" spans="1:9" x14ac:dyDescent="0.2">
      <c r="C3" s="446" t="s">
        <v>2948</v>
      </c>
      <c r="D3" s="74">
        <v>0</v>
      </c>
      <c r="E3" s="74">
        <v>0</v>
      </c>
      <c r="F3" s="74">
        <v>0</v>
      </c>
      <c r="G3" s="74">
        <v>0</v>
      </c>
      <c r="H3" s="74">
        <v>0</v>
      </c>
      <c r="I3" s="74">
        <v>0</v>
      </c>
    </row>
    <row r="4" spans="1:9" x14ac:dyDescent="0.2">
      <c r="C4" s="446" t="s">
        <v>2949</v>
      </c>
      <c r="D4" s="74">
        <v>0</v>
      </c>
      <c r="E4" s="74">
        <v>0</v>
      </c>
      <c r="F4" s="74">
        <v>0</v>
      </c>
      <c r="G4" s="74">
        <v>0</v>
      </c>
      <c r="H4" s="74">
        <v>0</v>
      </c>
      <c r="I4" s="74">
        <v>0</v>
      </c>
    </row>
    <row r="5" spans="1:9" x14ac:dyDescent="0.2">
      <c r="B5" s="446" t="s">
        <v>2953</v>
      </c>
      <c r="C5" s="446"/>
      <c r="D5" s="74">
        <v>8</v>
      </c>
      <c r="E5" s="74">
        <v>13</v>
      </c>
      <c r="F5" s="74">
        <v>18</v>
      </c>
      <c r="G5" s="74">
        <v>15325</v>
      </c>
      <c r="H5" s="74">
        <v>22547</v>
      </c>
      <c r="I5" s="74">
        <v>-7222</v>
      </c>
    </row>
    <row r="6" spans="1:9" x14ac:dyDescent="0.2">
      <c r="A6" s="446" t="s">
        <v>2968</v>
      </c>
      <c r="B6" s="446"/>
      <c r="C6" s="446"/>
      <c r="D6" s="74">
        <v>8</v>
      </c>
      <c r="E6" s="74">
        <v>13</v>
      </c>
      <c r="F6" s="74">
        <v>18</v>
      </c>
      <c r="G6" s="74">
        <v>15325</v>
      </c>
      <c r="H6" s="74">
        <v>22547</v>
      </c>
      <c r="I6" s="74">
        <v>-7222</v>
      </c>
    </row>
    <row r="7" spans="1:9" x14ac:dyDescent="0.2">
      <c r="A7" s="446" t="s">
        <v>2943</v>
      </c>
      <c r="B7" s="446" t="s">
        <v>2936</v>
      </c>
      <c r="C7" s="446" t="s">
        <v>2946</v>
      </c>
      <c r="D7" s="74">
        <v>19</v>
      </c>
      <c r="E7" s="74">
        <v>33</v>
      </c>
      <c r="F7" s="74">
        <v>44</v>
      </c>
      <c r="G7" s="74">
        <v>5922</v>
      </c>
      <c r="H7" s="74">
        <v>42386</v>
      </c>
      <c r="I7" s="74">
        <v>-36264</v>
      </c>
    </row>
    <row r="8" spans="1:9" x14ac:dyDescent="0.2">
      <c r="C8" s="446" t="s">
        <v>2948</v>
      </c>
      <c r="D8" s="74">
        <v>0</v>
      </c>
      <c r="E8" s="74">
        <v>12</v>
      </c>
      <c r="F8" s="74">
        <v>12</v>
      </c>
      <c r="G8" s="74">
        <v>0</v>
      </c>
      <c r="H8" s="74">
        <v>2374</v>
      </c>
      <c r="I8" s="74">
        <v>-2374</v>
      </c>
    </row>
    <row r="9" spans="1:9" x14ac:dyDescent="0.2">
      <c r="C9" s="446" t="s">
        <v>2949</v>
      </c>
      <c r="D9" s="74">
        <v>3</v>
      </c>
      <c r="E9" s="74">
        <v>2</v>
      </c>
      <c r="F9" s="74">
        <v>1</v>
      </c>
      <c r="G9" s="74">
        <v>977</v>
      </c>
      <c r="H9" s="74">
        <v>937</v>
      </c>
      <c r="I9" s="74">
        <v>40</v>
      </c>
    </row>
    <row r="10" spans="1:9" x14ac:dyDescent="0.2">
      <c r="B10" s="446" t="s">
        <v>2953</v>
      </c>
      <c r="C10" s="446"/>
      <c r="D10" s="74">
        <v>22</v>
      </c>
      <c r="E10" s="74">
        <v>47</v>
      </c>
      <c r="F10" s="74">
        <v>57</v>
      </c>
      <c r="G10" s="74">
        <v>6899</v>
      </c>
      <c r="H10" s="74">
        <v>45697</v>
      </c>
      <c r="I10" s="74">
        <v>-38598</v>
      </c>
    </row>
    <row r="11" spans="1:9" x14ac:dyDescent="0.2">
      <c r="A11" s="446" t="s">
        <v>2969</v>
      </c>
      <c r="B11" s="446"/>
      <c r="C11" s="446"/>
      <c r="D11" s="74">
        <v>22</v>
      </c>
      <c r="E11" s="74">
        <v>47</v>
      </c>
      <c r="F11" s="74">
        <v>57</v>
      </c>
      <c r="G11" s="74">
        <v>6899</v>
      </c>
      <c r="H11" s="74">
        <v>45697</v>
      </c>
      <c r="I11" s="74">
        <v>-38598</v>
      </c>
    </row>
    <row r="12" spans="1:9" x14ac:dyDescent="0.2">
      <c r="A12" s="446" t="s">
        <v>153</v>
      </c>
      <c r="B12" s="446" t="s">
        <v>2935</v>
      </c>
      <c r="C12" s="446" t="s">
        <v>2946</v>
      </c>
      <c r="D12" s="74">
        <v>43</v>
      </c>
      <c r="E12" s="74">
        <v>49</v>
      </c>
      <c r="F12" s="74">
        <v>72</v>
      </c>
      <c r="G12" s="74">
        <v>83311</v>
      </c>
      <c r="H12" s="74">
        <v>176541</v>
      </c>
      <c r="I12" s="74">
        <v>-93230</v>
      </c>
    </row>
    <row r="13" spans="1:9" x14ac:dyDescent="0.2">
      <c r="C13" s="446" t="s">
        <v>2948</v>
      </c>
      <c r="D13" s="74">
        <v>0</v>
      </c>
      <c r="E13" s="74">
        <v>12</v>
      </c>
      <c r="F13" s="74">
        <v>12</v>
      </c>
      <c r="G13" s="74">
        <v>0</v>
      </c>
      <c r="H13" s="74">
        <v>5340</v>
      </c>
      <c r="I13" s="74">
        <v>-5340</v>
      </c>
    </row>
    <row r="14" spans="1:9" x14ac:dyDescent="0.2">
      <c r="C14" s="446" t="s">
        <v>2949</v>
      </c>
      <c r="D14" s="74">
        <v>0</v>
      </c>
      <c r="E14" s="74">
        <v>0</v>
      </c>
      <c r="F14" s="74">
        <v>0</v>
      </c>
      <c r="G14" s="74">
        <v>0</v>
      </c>
      <c r="H14" s="74">
        <v>0</v>
      </c>
      <c r="I14" s="74">
        <v>0</v>
      </c>
    </row>
    <row r="15" spans="1:9" x14ac:dyDescent="0.2">
      <c r="B15" s="446" t="s">
        <v>2954</v>
      </c>
      <c r="C15" s="446"/>
      <c r="D15" s="74">
        <v>43</v>
      </c>
      <c r="E15" s="74">
        <v>61</v>
      </c>
      <c r="F15" s="74">
        <v>84</v>
      </c>
      <c r="G15" s="74">
        <v>83311</v>
      </c>
      <c r="H15" s="74">
        <v>181881</v>
      </c>
      <c r="I15" s="74">
        <v>-98570</v>
      </c>
    </row>
    <row r="16" spans="1:9" x14ac:dyDescent="0.2">
      <c r="B16" s="446" t="s">
        <v>2937</v>
      </c>
      <c r="C16" s="446" t="s">
        <v>2946</v>
      </c>
      <c r="D16" s="74">
        <v>48</v>
      </c>
      <c r="E16" s="74">
        <v>61</v>
      </c>
      <c r="F16" s="74">
        <v>88</v>
      </c>
      <c r="G16" s="74">
        <v>46482</v>
      </c>
      <c r="H16" s="74">
        <v>34903</v>
      </c>
      <c r="I16" s="74">
        <v>11579</v>
      </c>
    </row>
    <row r="17" spans="1:9" x14ac:dyDescent="0.2">
      <c r="C17" s="446" t="s">
        <v>2947</v>
      </c>
      <c r="D17" s="74">
        <v>6</v>
      </c>
      <c r="E17" s="74">
        <v>0</v>
      </c>
      <c r="F17" s="74">
        <v>6</v>
      </c>
      <c r="G17" s="74">
        <v>100039</v>
      </c>
      <c r="H17" s="74">
        <v>0</v>
      </c>
      <c r="I17" s="74">
        <v>100039</v>
      </c>
    </row>
    <row r="18" spans="1:9" x14ac:dyDescent="0.2">
      <c r="C18" s="446" t="s">
        <v>2948</v>
      </c>
      <c r="D18" s="74">
        <v>0</v>
      </c>
      <c r="E18" s="74">
        <v>59</v>
      </c>
      <c r="F18" s="74">
        <v>59</v>
      </c>
      <c r="G18" s="74">
        <v>0</v>
      </c>
      <c r="H18" s="74">
        <v>23529</v>
      </c>
      <c r="I18" s="74">
        <v>-23529</v>
      </c>
    </row>
    <row r="19" spans="1:9" x14ac:dyDescent="0.2">
      <c r="C19" s="446" t="s">
        <v>2949</v>
      </c>
      <c r="D19" s="74">
        <v>0</v>
      </c>
      <c r="E19" s="74">
        <v>0</v>
      </c>
      <c r="F19" s="74">
        <v>0</v>
      </c>
      <c r="G19" s="74">
        <v>0</v>
      </c>
      <c r="H19" s="74">
        <v>0</v>
      </c>
      <c r="I19" s="74">
        <v>0</v>
      </c>
    </row>
    <row r="20" spans="1:9" x14ac:dyDescent="0.2">
      <c r="B20" s="446" t="s">
        <v>2956</v>
      </c>
      <c r="C20" s="446"/>
      <c r="D20" s="74">
        <v>54</v>
      </c>
      <c r="E20" s="74">
        <v>120</v>
      </c>
      <c r="F20" s="74">
        <v>153</v>
      </c>
      <c r="G20" s="74">
        <v>146521</v>
      </c>
      <c r="H20" s="74">
        <v>58432</v>
      </c>
      <c r="I20" s="74">
        <v>88089</v>
      </c>
    </row>
    <row r="21" spans="1:9" x14ac:dyDescent="0.2">
      <c r="B21" s="446" t="s">
        <v>2938</v>
      </c>
      <c r="C21" s="446" t="s">
        <v>2945</v>
      </c>
      <c r="D21" s="74">
        <v>11</v>
      </c>
      <c r="E21" s="74">
        <v>7</v>
      </c>
      <c r="F21" s="74">
        <v>12</v>
      </c>
      <c r="G21" s="74">
        <v>38730</v>
      </c>
      <c r="H21" s="74">
        <v>10500</v>
      </c>
      <c r="I21" s="74">
        <v>28230</v>
      </c>
    </row>
    <row r="22" spans="1:9" x14ac:dyDescent="0.2">
      <c r="C22" s="446" t="s">
        <v>2946</v>
      </c>
      <c r="D22" s="74">
        <v>16</v>
      </c>
      <c r="E22" s="74">
        <v>18</v>
      </c>
      <c r="F22" s="74">
        <v>27</v>
      </c>
      <c r="G22" s="74">
        <v>7004</v>
      </c>
      <c r="H22" s="74">
        <v>7521</v>
      </c>
      <c r="I22" s="74">
        <v>-517</v>
      </c>
    </row>
    <row r="23" spans="1:9" x14ac:dyDescent="0.2">
      <c r="C23" s="446" t="s">
        <v>2947</v>
      </c>
      <c r="D23" s="74">
        <v>0</v>
      </c>
      <c r="E23" s="74">
        <v>0</v>
      </c>
      <c r="F23" s="74">
        <v>0</v>
      </c>
      <c r="G23" s="74">
        <v>0</v>
      </c>
      <c r="H23" s="74">
        <v>0</v>
      </c>
      <c r="I23" s="74">
        <v>0</v>
      </c>
    </row>
    <row r="24" spans="1:9" x14ac:dyDescent="0.2">
      <c r="C24" s="446" t="s">
        <v>2948</v>
      </c>
      <c r="D24" s="74">
        <v>0</v>
      </c>
      <c r="E24" s="74">
        <v>11</v>
      </c>
      <c r="F24" s="74">
        <v>11</v>
      </c>
      <c r="G24" s="74">
        <v>0</v>
      </c>
      <c r="H24" s="74">
        <v>5006</v>
      </c>
      <c r="I24" s="74">
        <v>-5006</v>
      </c>
    </row>
    <row r="25" spans="1:9" x14ac:dyDescent="0.2">
      <c r="C25" s="446" t="s">
        <v>2949</v>
      </c>
      <c r="D25" s="74">
        <v>0</v>
      </c>
      <c r="E25" s="74">
        <v>0</v>
      </c>
      <c r="F25" s="74">
        <v>0</v>
      </c>
      <c r="G25" s="74">
        <v>0</v>
      </c>
      <c r="H25" s="74">
        <v>0</v>
      </c>
      <c r="I25" s="74">
        <v>0</v>
      </c>
    </row>
    <row r="26" spans="1:9" x14ac:dyDescent="0.2">
      <c r="C26" s="446" t="s">
        <v>2959</v>
      </c>
      <c r="D26" s="74">
        <v>0</v>
      </c>
      <c r="E26" s="74">
        <v>2</v>
      </c>
      <c r="F26" s="74">
        <v>2</v>
      </c>
      <c r="G26" s="74">
        <v>0</v>
      </c>
      <c r="H26" s="74">
        <v>147</v>
      </c>
      <c r="I26" s="74">
        <v>-147</v>
      </c>
    </row>
    <row r="27" spans="1:9" x14ac:dyDescent="0.2">
      <c r="B27" s="446" t="s">
        <v>2958</v>
      </c>
      <c r="C27" s="446"/>
      <c r="D27" s="74">
        <v>27</v>
      </c>
      <c r="E27" s="74">
        <v>38</v>
      </c>
      <c r="F27" s="74">
        <v>52</v>
      </c>
      <c r="G27" s="74">
        <v>45734</v>
      </c>
      <c r="H27" s="74">
        <v>23174</v>
      </c>
      <c r="I27" s="74">
        <v>22560</v>
      </c>
    </row>
    <row r="28" spans="1:9" x14ac:dyDescent="0.2">
      <c r="A28" s="446" t="s">
        <v>2934</v>
      </c>
      <c r="B28" s="446"/>
      <c r="C28" s="446"/>
      <c r="D28" s="74">
        <v>124</v>
      </c>
      <c r="E28" s="74">
        <v>219</v>
      </c>
      <c r="F28" s="74">
        <v>289</v>
      </c>
      <c r="G28" s="74">
        <v>275566</v>
      </c>
      <c r="H28" s="74">
        <v>263487</v>
      </c>
      <c r="I28" s="74">
        <v>12079</v>
      </c>
    </row>
    <row r="29" spans="1:9" x14ac:dyDescent="0.2">
      <c r="A29" s="446" t="s">
        <v>115</v>
      </c>
      <c r="D29" s="74">
        <v>154</v>
      </c>
      <c r="E29" s="74">
        <v>279</v>
      </c>
      <c r="F29" s="74">
        <v>364</v>
      </c>
      <c r="G29" s="74">
        <v>297790</v>
      </c>
      <c r="H29" s="74">
        <v>331731</v>
      </c>
      <c r="I29" s="74">
        <v>-33741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2"/>
  <dimension ref="A1:EP180"/>
  <sheetViews>
    <sheetView workbookViewId="0">
      <selection sqref="A1:I1"/>
    </sheetView>
  </sheetViews>
  <sheetFormatPr defaultRowHeight="12" x14ac:dyDescent="0.2"/>
  <cols>
    <col min="1" max="1" width="4.7109375" style="404" customWidth="1"/>
    <col min="2" max="2" width="4.7109375" style="1" customWidth="1"/>
    <col min="3" max="3" width="22.85546875" style="1" customWidth="1"/>
    <col min="4" max="9" width="9" style="1" customWidth="1"/>
    <col min="10" max="16384" width="9.140625" style="1"/>
  </cols>
  <sheetData>
    <row r="1" spans="1:146" ht="15.75" x14ac:dyDescent="0.25">
      <c r="A1" s="606" t="s">
        <v>3799</v>
      </c>
      <c r="B1" s="606"/>
      <c r="C1" s="606"/>
      <c r="D1" s="606"/>
      <c r="E1" s="606"/>
      <c r="F1" s="606"/>
      <c r="G1" s="606"/>
      <c r="H1" s="606"/>
      <c r="I1" s="606"/>
      <c r="J1" s="4"/>
      <c r="K1" s="4"/>
      <c r="L1" s="4"/>
      <c r="M1" s="4"/>
      <c r="N1" s="4"/>
      <c r="O1" s="4"/>
      <c r="P1" s="4"/>
      <c r="Q1" s="4"/>
      <c r="R1" s="4"/>
      <c r="S1" s="4"/>
      <c r="T1" s="4"/>
      <c r="U1" s="4"/>
      <c r="V1" s="4"/>
      <c r="W1" s="4"/>
      <c r="X1" s="4"/>
      <c r="Y1" s="4"/>
      <c r="Z1" s="4"/>
      <c r="AA1" s="4"/>
      <c r="AB1" s="4"/>
      <c r="AC1" s="4"/>
      <c r="AD1" s="4"/>
      <c r="AE1" s="4"/>
      <c r="AF1" s="4"/>
      <c r="AG1" s="4"/>
      <c r="AH1" s="4"/>
      <c r="AI1" s="10"/>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row>
    <row r="2" spans="1:146" ht="12.75" x14ac:dyDescent="0.2">
      <c r="A2" s="640" t="s">
        <v>3907</v>
      </c>
      <c r="B2" s="640"/>
      <c r="C2" s="640"/>
      <c r="D2" s="640"/>
      <c r="E2" s="640"/>
      <c r="F2" s="640"/>
      <c r="G2" s="640"/>
      <c r="H2" s="640"/>
      <c r="I2" s="640"/>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row>
    <row r="3" spans="1:146" x14ac:dyDescent="0.2">
      <c r="A3" s="12"/>
      <c r="B3" s="4"/>
      <c r="C3" s="16"/>
      <c r="D3" s="16"/>
      <c r="E3" s="16"/>
      <c r="F3" s="16"/>
      <c r="G3" s="16"/>
      <c r="H3" s="16"/>
      <c r="I3" s="16"/>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row>
    <row r="4" spans="1:146" ht="24" customHeight="1" x14ac:dyDescent="0.2">
      <c r="A4" s="671" t="s">
        <v>88</v>
      </c>
      <c r="B4" s="671"/>
      <c r="C4" s="672"/>
      <c r="D4" s="662" t="s">
        <v>3801</v>
      </c>
      <c r="E4" s="663"/>
      <c r="F4" s="664"/>
      <c r="G4" s="669" t="s">
        <v>3802</v>
      </c>
      <c r="H4" s="670"/>
      <c r="I4" s="670"/>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row>
    <row r="5" spans="1:146" ht="24" x14ac:dyDescent="0.2">
      <c r="A5" s="673"/>
      <c r="B5" s="673"/>
      <c r="C5" s="674"/>
      <c r="D5" s="197" t="s">
        <v>2930</v>
      </c>
      <c r="E5" s="198" t="s">
        <v>2931</v>
      </c>
      <c r="F5" s="199" t="s">
        <v>95</v>
      </c>
      <c r="G5" s="468" t="s">
        <v>90</v>
      </c>
      <c r="H5" s="469" t="s">
        <v>91</v>
      </c>
      <c r="I5" s="469" t="s">
        <v>93</v>
      </c>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row>
    <row r="6" spans="1:146" x14ac:dyDescent="0.2">
      <c r="A6" s="660" t="s">
        <v>2926</v>
      </c>
      <c r="B6" s="660"/>
      <c r="C6" s="661"/>
      <c r="D6" s="202">
        <f>GETPIVOTDATA("Count of A Total Gain",'2.1 Pivot'!$A$1,"Status 1 - Development","01 Completed")</f>
        <v>84</v>
      </c>
      <c r="E6" s="203">
        <f>GETPIVOTDATA("Count of A Total Loss",'2.1 Pivot'!$A$1,"Status 1 - Development","01 Completed")</f>
        <v>83</v>
      </c>
      <c r="F6" s="204">
        <f>GETPIVOTDATA("Count of A Total Net",'2.1 Pivot'!$A$1,"Status 1 - Development","01 Completed")</f>
        <v>85</v>
      </c>
      <c r="G6" s="470">
        <f>GETPIVOTDATA("Sum of A Total Gain2",'2.1 Pivot'!$A$1,"Status 1 - Development","01 Completed")</f>
        <v>22359</v>
      </c>
      <c r="H6" s="471">
        <f>GETPIVOTDATA("Sum of A Total Loss2",'2.1 Pivot'!$A$1,"Status 1 - Development","01 Completed")</f>
        <v>11666</v>
      </c>
      <c r="I6" s="472">
        <f>GETPIVOTDATA("Sum of A Total Net2",'2.1 Pivot'!$A$1,"Status 1 - Development","01 Completed")</f>
        <v>10693</v>
      </c>
      <c r="J6" s="4"/>
      <c r="K6" s="17"/>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row>
    <row r="7" spans="1:146" x14ac:dyDescent="0.2">
      <c r="A7" s="668" t="s">
        <v>2962</v>
      </c>
      <c r="B7" s="665" t="s">
        <v>2964</v>
      </c>
      <c r="C7" s="191" t="s">
        <v>133</v>
      </c>
      <c r="D7" s="194">
        <f>GETPIVOTDATA("Count of A Total Gain",'2.1 Pivot'!$A$1,"Status 1 - Development","02 Under Construction")</f>
        <v>87</v>
      </c>
      <c r="E7" s="195">
        <f>GETPIVOTDATA("Count of A Total Loss",'2.1 Pivot'!$A$1,"Status 1 - Development","02 Under Construction")</f>
        <v>59</v>
      </c>
      <c r="F7" s="196">
        <f>GETPIVOTDATA("Count of A Total Net",'2.1 Pivot'!$A$1,"Status 1 - Development","02 Under Construction")</f>
        <v>94</v>
      </c>
      <c r="G7" s="127">
        <f>GETPIVOTDATA("Sum of A Total Gain2",'2.1 Pivot'!$A$1,"Status 1 - Development","02 Under Construction")</f>
        <v>110475</v>
      </c>
      <c r="H7" s="128">
        <f>GETPIVOTDATA("Sum of A Total Loss2",'2.1 Pivot'!$A$1,"Status 1 - Development","02 Under Construction")</f>
        <v>21457</v>
      </c>
      <c r="I7" s="473">
        <f>GETPIVOTDATA("Sum of A Total Net2",'2.1 Pivot'!$A$1,"Status 1 - Development","02 Under Construction")</f>
        <v>89018</v>
      </c>
      <c r="J7" s="4"/>
      <c r="K7" s="17"/>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row>
    <row r="8" spans="1:146" x14ac:dyDescent="0.2">
      <c r="A8" s="666"/>
      <c r="B8" s="666"/>
      <c r="C8" s="201" t="s">
        <v>2966</v>
      </c>
      <c r="D8" s="194">
        <f>GETPIVOTDATA("Count of A Total Gain",'2.1 Pivot'!$A$1,"Status 1 - Development","03 Planning","Status 2 - Permission Type","02 Full")</f>
        <v>92</v>
      </c>
      <c r="E8" s="195">
        <f>GETPIVOTDATA("Count of A Total Loss",'2.1 Pivot'!$A$1,"Status 1 - Development","03 Planning","Status 2 - Permission Type","02 Full")</f>
        <v>101</v>
      </c>
      <c r="F8" s="196">
        <f>GETPIVOTDATA("Count of A Total Net",'2.1 Pivot'!$A$1,"Status 1 - Development","03 Planning","Status 2 - Permission Type","02 Full")</f>
        <v>111</v>
      </c>
      <c r="G8" s="127">
        <f>GETPIVOTDATA("Sum of A Total Gain2",'2.1 Pivot'!$A$1,"Status 1 - Development","03 Planning","Status 2 - Permission Type","02 Full")</f>
        <v>25890</v>
      </c>
      <c r="H8" s="128">
        <f>GETPIVOTDATA("Sum of A Total Loss2",'2.1 Pivot'!$A$1,"Status 1 - Development","03 Planning","Status 2 - Permission Type","02 Full")</f>
        <v>28848</v>
      </c>
      <c r="I8" s="473">
        <f>GETPIVOTDATA("Sum of A Total Net2",'2.1 Pivot'!$A$1,"Status 1 - Development","03 Planning","Status 2 - Permission Type","02 Full")</f>
        <v>-2958</v>
      </c>
      <c r="J8" s="4"/>
      <c r="K8" s="17"/>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row>
    <row r="9" spans="1:146" x14ac:dyDescent="0.2">
      <c r="A9" s="666"/>
      <c r="B9" s="666"/>
      <c r="C9" s="201" t="s">
        <v>2967</v>
      </c>
      <c r="D9" s="194">
        <f>GETPIVOTDATA("Count of A Total Gain",'2.1 Pivot'!$A$1,"Status 1 - Development","03 Planning","Status 2 - Permission Type","03 Outline")</f>
        <v>13</v>
      </c>
      <c r="E9" s="195">
        <f>GETPIVOTDATA("Count of A Total Loss",'2.1 Pivot'!$A$1,"Status 1 - Development","03 Planning","Status 2 - Permission Type","03 Outline")</f>
        <v>0</v>
      </c>
      <c r="F9" s="196">
        <f>GETPIVOTDATA("Count of A Total Net",'2.1 Pivot'!$A$1,"Status 1 - Development","03 Planning","Status 2 - Permission Type","03 Outline")</f>
        <v>13</v>
      </c>
      <c r="G9" s="127">
        <f>GETPIVOTDATA("Sum of A Total Gain2",'2.1 Pivot'!$A$1,"Status 1 - Development","03 Planning","Status 2 - Permission Type","03 Outline")</f>
        <v>24233</v>
      </c>
      <c r="H9" s="128">
        <f>GETPIVOTDATA("Sum of A Total Loss2",'2.1 Pivot'!$A$1,"Status 1 - Development","03 Planning","Status 2 - Permission Type","03 Outline")</f>
        <v>0</v>
      </c>
      <c r="I9" s="473">
        <f>GETPIVOTDATA("Sum of A Total Net2",'2.1 Pivot'!$A$1,"Status 1 - Development","03 Planning","Status 2 - Permission Type","03 Outline")</f>
        <v>24233</v>
      </c>
      <c r="J9" s="4"/>
      <c r="K9" s="17"/>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row>
    <row r="10" spans="1:146" ht="24" customHeight="1" x14ac:dyDescent="0.2">
      <c r="A10" s="666"/>
      <c r="B10" s="666"/>
      <c r="C10" s="200" t="s">
        <v>3861</v>
      </c>
      <c r="D10" s="194">
        <f>GETPIVOTDATA("Count of A Total Gain",'2.1 Pivot'!$A$1,"Status 1 - Development","03 Planning","Status 2 - Permission Type","04 Prior Approval")+GETPIVOTDATA("Count of A Total Gain",'2.1 Pivot'!$A$1,"Status 1 - Development","03 Planning","Status 2 - Permission Type","05 Certificate of Lawful Development")</f>
        <v>9</v>
      </c>
      <c r="E10" s="195">
        <f>GETPIVOTDATA("Count of A Total Loss",'2.1 Pivot'!$A$1,"Status 1 - Development","03 Planning","Status 2 - Permission Type","04 Prior Approval")+GETPIVOTDATA("Count of A Total Loss",'2.1 Pivot'!$A$1,"Status 1 - Development","03 Planning","Status 2 - Permission Type","05 Certificate of Lawful Development")</f>
        <v>16</v>
      </c>
      <c r="F10" s="196">
        <f>GETPIVOTDATA("Count of A Total Net",'2.1 Pivot'!$A$1,"Status 1 - Development","03 Planning","Status 2 - Permission Type","04 Prior Approval")+GETPIVOTDATA("Count of A Total Net",'2.1 Pivot'!$A$1,"Status 1 - Development","03 Planning","Status 2 - Permission Type","05 Certificate of Lawful Development")</f>
        <v>11</v>
      </c>
      <c r="G10" s="127">
        <f>GETPIVOTDATA("Sum of A Total Gain2",'2.1 Pivot'!$A$1,"Status 1 - Development","03 Planning","Status 2 - Permission Type","04 Prior Approval")+GETPIVOTDATA("Sum of A Total Gain2",'2.1 Pivot'!$A$1,"Status 1 - Development","03 Planning","Status 2 - Permission Type","05 Certificate of Lawful Development")</f>
        <v>735</v>
      </c>
      <c r="H10" s="128">
        <f>GETPIVOTDATA("Sum of A Total Loss2",'2.1 Pivot'!$A$1,"Status 1 - Development","03 Planning","Status 2 - Permission Type","04 Prior Approval")+GETPIVOTDATA("Sum of A Total Loss2",'2.1 Pivot'!$A$1,"Status 1 - Development","03 Planning","Status 2 - Permission Type","05 Certificate of Lawful Development")</f>
        <v>1269</v>
      </c>
      <c r="I10" s="473">
        <f>GETPIVOTDATA("Sum of A Total Net2",'2.1 Pivot'!$A$1,"Status 1 - Development","03 Planning","Status 2 - Permission Type","04 Prior Approval")+GETPIVOTDATA("Sum of A Total Net2",'2.1 Pivot'!$A$1,"Status 1 - Development","03 Planning","Status 2 - Permission Type","05 Certificate of Lawful Development")</f>
        <v>-534</v>
      </c>
      <c r="J10" s="4"/>
      <c r="K10" s="17"/>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row>
    <row r="11" spans="1:146" x14ac:dyDescent="0.2">
      <c r="A11" s="666"/>
      <c r="B11" s="667"/>
      <c r="C11" s="192" t="s">
        <v>95</v>
      </c>
      <c r="D11" s="202">
        <f>SUM(D7:D10)</f>
        <v>201</v>
      </c>
      <c r="E11" s="203">
        <f t="shared" ref="E11:I11" si="0">SUM(E7:E10)</f>
        <v>176</v>
      </c>
      <c r="F11" s="204">
        <f t="shared" si="0"/>
        <v>229</v>
      </c>
      <c r="G11" s="470">
        <f t="shared" si="0"/>
        <v>161333</v>
      </c>
      <c r="H11" s="471">
        <f t="shared" si="0"/>
        <v>51574</v>
      </c>
      <c r="I11" s="472">
        <f t="shared" si="0"/>
        <v>109759</v>
      </c>
      <c r="J11" s="4"/>
      <c r="K11" s="17"/>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row>
    <row r="12" spans="1:146" ht="24" x14ac:dyDescent="0.2">
      <c r="A12" s="666"/>
      <c r="B12" s="665" t="s">
        <v>424</v>
      </c>
      <c r="C12" s="191" t="s">
        <v>134</v>
      </c>
      <c r="D12" s="194">
        <f>GETPIVOTDATA("Count of A Total Gain",'2.1 Pivot'!$A$1,"Status 1 - Development","04 Pending","Status 2 - Permission Type","01 Pending Legal Agreement")</f>
        <v>8</v>
      </c>
      <c r="E12" s="195">
        <f>GETPIVOTDATA("Count of A Total Loss",'2.1 Pivot'!$A$1,"Status 1 - Development","04 Pending","Status 2 - Permission Type","01 Pending Legal Agreement")</f>
        <v>5</v>
      </c>
      <c r="F12" s="196">
        <f>GETPIVOTDATA("Count of A Total Net",'2.1 Pivot'!$A$1,"Status 1 - Development","04 Pending","Status 2 - Permission Type","01 Pending Legal Agreement")</f>
        <v>8</v>
      </c>
      <c r="G12" s="127">
        <f>GETPIVOTDATA("Sum of A Total Gain2",'2.1 Pivot'!$A$1,"Status 1 - Development","04 Pending","Status 2 - Permission Type","01 Pending Legal Agreement")</f>
        <v>18182</v>
      </c>
      <c r="H12" s="128">
        <f>GETPIVOTDATA("Sum of A Total Loss2",'2.1 Pivot'!$A$1,"Status 1 - Development","04 Pending","Status 2 - Permission Type","01 Pending Legal Agreement")</f>
        <v>15178</v>
      </c>
      <c r="I12" s="473">
        <f>GETPIVOTDATA("Sum of A Total Net2",'2.1 Pivot'!$A$1,"Status 1 - Development","04 Pending","Status 2 - Permission Type","01 Pending Legal Agreement")</f>
        <v>3004</v>
      </c>
      <c r="J12" s="4"/>
      <c r="K12" s="17"/>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row>
    <row r="13" spans="1:146" x14ac:dyDescent="0.2">
      <c r="A13" s="666"/>
      <c r="B13" s="666"/>
      <c r="C13" s="201" t="s">
        <v>2933</v>
      </c>
      <c r="D13" s="194">
        <f>GETPIVOTDATA("Count of A Total Gain",'2.1 Pivot'!$A$1,"Status 1 - Development","04 Pending","Status 2 - Permission Type","06 Appeal")</f>
        <v>1</v>
      </c>
      <c r="E13" s="195">
        <f>GETPIVOTDATA("Count of A Total Loss",'2.1 Pivot'!$A$1,"Status 1 - Development","04 Pending","Status 2 - Permission Type","06 Appeal")</f>
        <v>1</v>
      </c>
      <c r="F13" s="196">
        <f>GETPIVOTDATA("Count of A Total Net",'2.1 Pivot'!$A$1,"Status 1 - Development","04 Pending","Status 2 - Permission Type","06 Appeal")</f>
        <v>1</v>
      </c>
      <c r="G13" s="127">
        <f>GETPIVOTDATA("Sum of A Total Gain2",'2.1 Pivot'!$A$1,"Status 1 - Development","04 Pending","Status 2 - Permission Type","06 Appeal")</f>
        <v>134</v>
      </c>
      <c r="H13" s="128">
        <f>GETPIVOTDATA("Sum of A Total Loss2",'2.1 Pivot'!$A$1,"Status 1 - Development","04 Pending","Status 2 - Permission Type","06 Appeal")</f>
        <v>145</v>
      </c>
      <c r="I13" s="473">
        <f>GETPIVOTDATA("Sum of A Total Net2",'2.1 Pivot'!$A$1,"Status 1 - Development","04 Pending","Status 2 - Permission Type","06 Appeal")</f>
        <v>-11</v>
      </c>
      <c r="J13" s="4"/>
      <c r="K13" s="17"/>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row>
    <row r="14" spans="1:146" x14ac:dyDescent="0.2">
      <c r="A14" s="666"/>
      <c r="B14" s="666"/>
      <c r="C14" s="200" t="s">
        <v>3800</v>
      </c>
      <c r="D14" s="194">
        <f>GETPIVOTDATA("Count of A Total Gain",'2.1 Pivot'!$A$1,"Status 1 - Development","04 Pending")-GETPIVOTDATA("Count of A Total Gain",'2.1 Pivot'!$A$1,"Status 1 - Development","04 Pending","Status 2 - Permission Type","06 Appeal")-GETPIVOTDATA("Count of A Total Gain",'2.1 Pivot'!$A$1,"Status 1 - Development","04 Pending","Status 2 - Permission Type","01 Pending Legal Agreement")</f>
        <v>34</v>
      </c>
      <c r="E14" s="195">
        <f>GETPIVOTDATA("Count of A Total Loss",'2.1 Pivot'!$A$1,"Status 1 - Development","04 Pending")-GETPIVOTDATA("Count of A Total Loss",'2.1 Pivot'!$A$1,"Status 1 - Development","04 Pending","Status 2 - Permission Type","06 Appeal")-GETPIVOTDATA("Count of A Total Loss",'2.1 Pivot'!$A$1,"Status 1 - Development","04 Pending","Status 2 - Permission Type","01 Pending Legal Agreement")</f>
        <v>36</v>
      </c>
      <c r="F14" s="196">
        <f>GETPIVOTDATA("Count of A Total Net",'2.1 Pivot'!$A$1,"Status 1 - Development","04 Pending")-GETPIVOTDATA("Count of A Total Net",'2.1 Pivot'!$A$1,"Status 1 - Development","04 Pending","Status 2 - Permission Type","06 Appeal")-GETPIVOTDATA("Count of A Total Net",'2.1 Pivot'!$A$1,"Status 1 - Development","04 Pending","Status 2 - Permission Type","01 Pending Legal Agreement")</f>
        <v>38</v>
      </c>
      <c r="G14" s="127">
        <f>GETPIVOTDATA("Sum of A Total Gain2",'2.1 Pivot'!$A$1,"Status 1 - Development","04 Pending")-GETPIVOTDATA("Sum of A Total Gain2",'2.1 Pivot'!$A$1,"Status 1 - Development","04 Pending","Status 2 - Permission Type","06 Appeal")-GETPIVOTDATA("Sum of A Total Gain2",'2.1 Pivot'!$A$1,"Status 1 - Development","04 Pending","Status 2 - Permission Type","01 Pending Legal Agreement")</f>
        <v>8476</v>
      </c>
      <c r="H14" s="128">
        <f>GETPIVOTDATA("Sum of A Total Loss2",'2.1 Pivot'!$A$1,"Status 1 - Development","04 Pending")-GETPIVOTDATA("Sum of A Total Loss2",'2.1 Pivot'!$A$1,"Status 1 - Development","04 Pending","Status 2 - Permission Type","06 Appeal")-GETPIVOTDATA("Sum of A Total Loss2",'2.1 Pivot'!$A$1,"Status 1 - Development","04 Pending","Status 2 - Permission Type","01 Pending Legal Agreement")</f>
        <v>10467</v>
      </c>
      <c r="I14" s="473">
        <f>GETPIVOTDATA("Sum of A Total Net2",'2.1 Pivot'!$A$1,"Status 1 - Development","04 Pending")-GETPIVOTDATA("Sum of A Total Net2",'2.1 Pivot'!$A$1,"Status 1 - Development","04 Pending","Status 2 - Permission Type","06 Appeal")-GETPIVOTDATA("Sum of A Total Net2",'2.1 Pivot'!$A$1,"Status 1 - Development","04 Pending","Status 2 - Permission Type","01 Pending Legal Agreement")</f>
        <v>-1991</v>
      </c>
      <c r="J14" s="4"/>
      <c r="K14" s="17"/>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row>
    <row r="15" spans="1:146" x14ac:dyDescent="0.2">
      <c r="A15" s="666"/>
      <c r="B15" s="667"/>
      <c r="C15" s="193" t="s">
        <v>95</v>
      </c>
      <c r="D15" s="202">
        <f>SUM(D12:D14)</f>
        <v>43</v>
      </c>
      <c r="E15" s="203">
        <f t="shared" ref="E15:I15" si="1">SUM(E12:E14)</f>
        <v>42</v>
      </c>
      <c r="F15" s="204">
        <f t="shared" si="1"/>
        <v>47</v>
      </c>
      <c r="G15" s="470">
        <f t="shared" si="1"/>
        <v>26792</v>
      </c>
      <c r="H15" s="471">
        <f t="shared" si="1"/>
        <v>25790</v>
      </c>
      <c r="I15" s="472">
        <f t="shared" si="1"/>
        <v>1002</v>
      </c>
      <c r="J15" s="4"/>
      <c r="K15" s="17"/>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row>
    <row r="16" spans="1:146" x14ac:dyDescent="0.2">
      <c r="A16" s="667"/>
      <c r="B16" s="675" t="s">
        <v>95</v>
      </c>
      <c r="C16" s="676"/>
      <c r="D16" s="102">
        <f>SUM(D11,D15)</f>
        <v>244</v>
      </c>
      <c r="E16" s="98">
        <f t="shared" ref="E16:I16" si="2">SUM(E11,E15)</f>
        <v>218</v>
      </c>
      <c r="F16" s="103">
        <f t="shared" si="2"/>
        <v>276</v>
      </c>
      <c r="G16" s="474">
        <f t="shared" si="2"/>
        <v>188125</v>
      </c>
      <c r="H16" s="475">
        <f t="shared" si="2"/>
        <v>77364</v>
      </c>
      <c r="I16" s="475">
        <f t="shared" si="2"/>
        <v>110761</v>
      </c>
      <c r="J16" s="17"/>
      <c r="K16" s="17"/>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row>
    <row r="17" spans="1:146" x14ac:dyDescent="0.2">
      <c r="A17" s="421"/>
      <c r="B17" s="25"/>
      <c r="C17" s="25"/>
      <c r="D17" s="25"/>
      <c r="E17" s="25"/>
      <c r="F17" s="25"/>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row>
    <row r="18" spans="1:146" ht="15" customHeight="1" x14ac:dyDescent="0.2">
      <c r="A18" s="293" t="s">
        <v>3928</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row>
    <row r="19" spans="1:146" x14ac:dyDescent="0.2">
      <c r="A19" s="12"/>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row>
    <row r="20" spans="1:146" x14ac:dyDescent="0.2">
      <c r="A20" s="12"/>
      <c r="B20" s="4"/>
      <c r="C20" s="4"/>
      <c r="D20" s="4"/>
      <c r="E20" s="4"/>
      <c r="F20" s="4"/>
      <c r="G20" s="4"/>
      <c r="H20" s="4"/>
      <c r="I20" s="17"/>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row>
    <row r="21" spans="1:146" x14ac:dyDescent="0.2">
      <c r="A21" s="12"/>
      <c r="B21" s="4"/>
      <c r="C21" s="4"/>
      <c r="D21" s="4"/>
      <c r="E21" s="4"/>
      <c r="F21" s="4"/>
      <c r="G21" s="4"/>
      <c r="H21" s="4"/>
      <c r="I21" s="17"/>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row>
    <row r="22" spans="1:146" x14ac:dyDescent="0.2">
      <c r="A22" s="12"/>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row>
    <row r="23" spans="1:146" x14ac:dyDescent="0.2">
      <c r="A23" s="12"/>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row>
    <row r="24" spans="1:146" x14ac:dyDescent="0.2">
      <c r="A24" s="12"/>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row>
    <row r="25" spans="1:146" x14ac:dyDescent="0.2">
      <c r="A25" s="12"/>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row>
    <row r="26" spans="1:146" x14ac:dyDescent="0.2">
      <c r="A26" s="12"/>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row>
    <row r="27" spans="1:146" x14ac:dyDescent="0.2">
      <c r="A27" s="12"/>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row>
    <row r="28" spans="1:146" x14ac:dyDescent="0.2">
      <c r="A28" s="12"/>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row>
    <row r="29" spans="1:146" x14ac:dyDescent="0.2">
      <c r="A29" s="12"/>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row>
    <row r="30" spans="1:146" x14ac:dyDescent="0.2">
      <c r="A30" s="12"/>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row>
    <row r="31" spans="1:146" x14ac:dyDescent="0.2">
      <c r="A31" s="12"/>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row>
    <row r="32" spans="1:146" x14ac:dyDescent="0.2">
      <c r="A32" s="12"/>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row>
    <row r="33" spans="1:146" x14ac:dyDescent="0.2">
      <c r="A33" s="12"/>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row>
    <row r="34" spans="1:146" x14ac:dyDescent="0.2">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row>
    <row r="35" spans="1:146" x14ac:dyDescent="0.2">
      <c r="A35" s="12"/>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row>
    <row r="36" spans="1:146" x14ac:dyDescent="0.2">
      <c r="A36" s="12"/>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row>
    <row r="37" spans="1:146" x14ac:dyDescent="0.2">
      <c r="A37" s="12"/>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row>
    <row r="38" spans="1:146" x14ac:dyDescent="0.2">
      <c r="A38" s="12"/>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row>
    <row r="39" spans="1:146" x14ac:dyDescent="0.2">
      <c r="A39" s="1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row>
    <row r="40" spans="1:146" x14ac:dyDescent="0.2">
      <c r="A40" s="12"/>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row>
    <row r="41" spans="1:146" x14ac:dyDescent="0.2">
      <c r="A41" s="12"/>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row>
    <row r="42" spans="1:146" x14ac:dyDescent="0.2">
      <c r="A42" s="12"/>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row>
    <row r="43" spans="1:146" x14ac:dyDescent="0.2">
      <c r="A43" s="12"/>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row>
    <row r="44" spans="1:146" x14ac:dyDescent="0.2">
      <c r="A44" s="12"/>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row>
    <row r="45" spans="1:146" x14ac:dyDescent="0.2">
      <c r="A45" s="12"/>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row>
    <row r="46" spans="1:146"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row>
    <row r="47" spans="1:146"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row>
    <row r="48" spans="1:146"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row>
    <row r="49" spans="1:146"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row>
    <row r="50" spans="1:146"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row>
    <row r="51" spans="1:146"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row>
    <row r="52" spans="1:146"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row>
    <row r="53" spans="1:146"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row>
    <row r="54" spans="1:146"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row>
    <row r="55" spans="1:146" x14ac:dyDescent="0.2">
      <c r="A55" s="12"/>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row>
    <row r="56" spans="1:146"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row>
    <row r="57" spans="1:146"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row>
    <row r="58" spans="1:146"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row>
    <row r="59" spans="1:146"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row>
    <row r="60" spans="1:146"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row>
    <row r="61" spans="1:146"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row>
    <row r="62" spans="1:146"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row>
    <row r="63" spans="1:146" x14ac:dyDescent="0.2">
      <c r="A63" s="12"/>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row>
    <row r="64" spans="1:146"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row>
    <row r="65" spans="1:146" x14ac:dyDescent="0.2">
      <c r="A65" s="1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row>
    <row r="66" spans="1:146" x14ac:dyDescent="0.2">
      <c r="A66" s="12"/>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row>
    <row r="67" spans="1:146" x14ac:dyDescent="0.2">
      <c r="A67" s="12"/>
      <c r="B67" s="4"/>
      <c r="C67" s="15"/>
      <c r="D67" s="15"/>
      <c r="E67" s="15"/>
      <c r="F67" s="15"/>
      <c r="G67" s="15"/>
      <c r="H67" s="15"/>
      <c r="I67" s="15"/>
      <c r="J67" s="15"/>
      <c r="K67" s="15"/>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row>
    <row r="68" spans="1:146"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row>
    <row r="69" spans="1:146"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row>
    <row r="70" spans="1:146"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row>
    <row r="71" spans="1:146"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row>
    <row r="72" spans="1:146"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row>
    <row r="73" spans="1:146"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row>
    <row r="74" spans="1:146"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row>
    <row r="75" spans="1:146"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row>
    <row r="76" spans="1:146"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row>
    <row r="77" spans="1:146"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row>
    <row r="78" spans="1:146"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row>
    <row r="79" spans="1:146"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row>
    <row r="80" spans="1:146"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row>
    <row r="81" spans="1:146"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row>
    <row r="82" spans="1:146"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row>
    <row r="83" spans="1:146"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row>
    <row r="84" spans="1:146"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row>
    <row r="85" spans="1:146"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row>
    <row r="86" spans="1:146"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row>
    <row r="87" spans="1:146"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row>
    <row r="88" spans="1:146"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row>
    <row r="89" spans="1:146"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row>
    <row r="90" spans="1:146"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row>
    <row r="91" spans="1:146"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row>
    <row r="92" spans="1:146"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row>
    <row r="93" spans="1:146"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row>
    <row r="94" spans="1:146"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row>
    <row r="95" spans="1:146"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row>
    <row r="96" spans="1:146"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row>
    <row r="97" spans="1:146"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row>
    <row r="98" spans="1:146"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row>
    <row r="99" spans="1:146"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row>
    <row r="100" spans="1:146"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row>
    <row r="101" spans="1:146"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row>
    <row r="102" spans="1:146"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row>
    <row r="103" spans="1:146"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row>
    <row r="104" spans="1:146"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row>
    <row r="105" spans="1:146"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row>
    <row r="106" spans="1:146"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row>
    <row r="107" spans="1:146"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row>
    <row r="108" spans="1:146"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row>
    <row r="109" spans="1:146"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row>
    <row r="110" spans="1:146"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row>
    <row r="111" spans="1:146"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row>
    <row r="112" spans="1:146"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row>
    <row r="113" spans="1:146"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row>
    <row r="114" spans="1:146"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row>
    <row r="115" spans="1:146"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row>
    <row r="116" spans="1:146"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row>
    <row r="117" spans="1:146"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row>
    <row r="118" spans="1:146"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row>
    <row r="119" spans="1:146"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row>
    <row r="120" spans="1:146"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row>
    <row r="121" spans="1:146"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row>
    <row r="122" spans="1:146"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row>
    <row r="123" spans="1:146"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row>
    <row r="124" spans="1:146"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row>
    <row r="125" spans="1:146"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row>
    <row r="126" spans="1:146"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row>
    <row r="127" spans="1:146"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row>
    <row r="128" spans="1:146"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row>
    <row r="129" spans="1:146"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row>
    <row r="130" spans="1:146"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row>
    <row r="131" spans="1:146"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row>
    <row r="132" spans="1:146"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row>
    <row r="133" spans="1:146"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row>
    <row r="134" spans="1:146"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row>
    <row r="135" spans="1:146"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row>
    <row r="136" spans="1:146"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row>
    <row r="137" spans="1:146"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row>
    <row r="138" spans="1:146"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row>
    <row r="139" spans="1:146"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row>
    <row r="140" spans="1:146"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row>
    <row r="141" spans="1:146"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row>
    <row r="142" spans="1:146"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row>
    <row r="143" spans="1:146"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row>
    <row r="144" spans="1:146"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row>
    <row r="145" spans="1:146"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row>
    <row r="146" spans="1:146" x14ac:dyDescent="0.2">
      <c r="A146" s="12"/>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row>
    <row r="147" spans="1:146" x14ac:dyDescent="0.2">
      <c r="A147" s="12"/>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row>
    <row r="148" spans="1:146" x14ac:dyDescent="0.2">
      <c r="A148" s="12"/>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row>
    <row r="149" spans="1:146" x14ac:dyDescent="0.2">
      <c r="A149" s="12"/>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row>
    <row r="150" spans="1:146" x14ac:dyDescent="0.2">
      <c r="A150" s="12"/>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row>
    <row r="151" spans="1:146" x14ac:dyDescent="0.2">
      <c r="A151" s="12"/>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row>
    <row r="152" spans="1:146" x14ac:dyDescent="0.2">
      <c r="A152" s="12"/>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row>
    <row r="153" spans="1:146" x14ac:dyDescent="0.2">
      <c r="A153" s="12"/>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row>
    <row r="154" spans="1:146" x14ac:dyDescent="0.2">
      <c r="A154" s="12"/>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row>
    <row r="155" spans="1:146" x14ac:dyDescent="0.2">
      <c r="A155" s="12"/>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row>
    <row r="156" spans="1:146" x14ac:dyDescent="0.2">
      <c r="A156" s="12"/>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row>
    <row r="157" spans="1:146" x14ac:dyDescent="0.2">
      <c r="A157" s="12"/>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row>
    <row r="158" spans="1:146" x14ac:dyDescent="0.2">
      <c r="A158" s="12"/>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row>
    <row r="159" spans="1:146" x14ac:dyDescent="0.2">
      <c r="A159" s="12"/>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row>
    <row r="160" spans="1:146" x14ac:dyDescent="0.2">
      <c r="A160" s="12"/>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row>
    <row r="161" spans="1:146" x14ac:dyDescent="0.2">
      <c r="A161" s="12"/>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row>
    <row r="162" spans="1:146" x14ac:dyDescent="0.2">
      <c r="A162" s="12"/>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row>
    <row r="163" spans="1:146" x14ac:dyDescent="0.2">
      <c r="A163" s="1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row>
    <row r="164" spans="1:146" x14ac:dyDescent="0.2">
      <c r="A164" s="1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row>
    <row r="165" spans="1:146" x14ac:dyDescent="0.2">
      <c r="A165" s="1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row>
    <row r="166" spans="1:146" x14ac:dyDescent="0.2">
      <c r="A166" s="1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row>
    <row r="167" spans="1:146" x14ac:dyDescent="0.2">
      <c r="A167" s="1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row>
    <row r="168" spans="1:146" x14ac:dyDescent="0.2">
      <c r="A168" s="1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row>
    <row r="169" spans="1:146" x14ac:dyDescent="0.2">
      <c r="A169" s="12"/>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row>
    <row r="170" spans="1:146" x14ac:dyDescent="0.2">
      <c r="A170" s="12"/>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row>
    <row r="171" spans="1:146" x14ac:dyDescent="0.2">
      <c r="A171" s="12"/>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row>
    <row r="172" spans="1:146" x14ac:dyDescent="0.2">
      <c r="A172" s="12"/>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row>
    <row r="173" spans="1:146" x14ac:dyDescent="0.2">
      <c r="A173" s="12"/>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row>
    <row r="174" spans="1:146" x14ac:dyDescent="0.2">
      <c r="A174" s="12"/>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row>
    <row r="175" spans="1:146" x14ac:dyDescent="0.2">
      <c r="A175" s="12"/>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row>
    <row r="176" spans="1:146" x14ac:dyDescent="0.2">
      <c r="A176" s="12"/>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row>
    <row r="177" spans="1:146" x14ac:dyDescent="0.2">
      <c r="A177" s="12"/>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row>
    <row r="178" spans="1:146" x14ac:dyDescent="0.2">
      <c r="A178" s="12"/>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row>
    <row r="179" spans="1:146" x14ac:dyDescent="0.2">
      <c r="A179" s="12"/>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row>
    <row r="180" spans="1:146" x14ac:dyDescent="0.2">
      <c r="A180" s="12"/>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row>
  </sheetData>
  <mergeCells count="10">
    <mergeCell ref="A1:I1"/>
    <mergeCell ref="A2:I2"/>
    <mergeCell ref="A6:C6"/>
    <mergeCell ref="D4:F4"/>
    <mergeCell ref="B7:B11"/>
    <mergeCell ref="A7:A16"/>
    <mergeCell ref="G4:I4"/>
    <mergeCell ref="A4:C5"/>
    <mergeCell ref="B12:B15"/>
    <mergeCell ref="B16:C16"/>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16"/>
  <sheetViews>
    <sheetView workbookViewId="0"/>
  </sheetViews>
  <sheetFormatPr defaultRowHeight="12" x14ac:dyDescent="0.2"/>
  <cols>
    <col min="1" max="1" width="24" bestFit="1" customWidth="1"/>
    <col min="2" max="2" width="30.28515625" customWidth="1"/>
    <col min="3" max="3" width="18" customWidth="1"/>
    <col min="4" max="4" width="18.42578125" customWidth="1"/>
    <col min="5" max="5" width="17" customWidth="1"/>
    <col min="6" max="6" width="18" customWidth="1"/>
    <col min="7" max="7" width="18.42578125" customWidth="1"/>
    <col min="8" max="8" width="17" customWidth="1"/>
    <col min="9" max="9" width="17" bestFit="1" customWidth="1"/>
  </cols>
  <sheetData>
    <row r="1" spans="1:8" x14ac:dyDescent="0.2">
      <c r="A1" s="77" t="s">
        <v>2939</v>
      </c>
      <c r="B1" s="77" t="s">
        <v>2940</v>
      </c>
      <c r="C1" s="446" t="s">
        <v>3805</v>
      </c>
      <c r="D1" s="446" t="s">
        <v>3804</v>
      </c>
      <c r="E1" s="446" t="s">
        <v>3803</v>
      </c>
      <c r="F1" s="446" t="s">
        <v>3806</v>
      </c>
      <c r="G1" s="446" t="s">
        <v>3807</v>
      </c>
      <c r="H1" s="446" t="s">
        <v>3808</v>
      </c>
    </row>
    <row r="2" spans="1:8" x14ac:dyDescent="0.2">
      <c r="A2" s="446" t="s">
        <v>2936</v>
      </c>
      <c r="C2" s="74">
        <v>84</v>
      </c>
      <c r="D2" s="74">
        <v>83</v>
      </c>
      <c r="E2" s="74">
        <v>85</v>
      </c>
      <c r="F2" s="74">
        <v>22359</v>
      </c>
      <c r="G2" s="74">
        <v>11666</v>
      </c>
      <c r="H2" s="74">
        <v>10693</v>
      </c>
    </row>
    <row r="3" spans="1:8" x14ac:dyDescent="0.2">
      <c r="A3" s="446" t="s">
        <v>2935</v>
      </c>
      <c r="C3" s="74">
        <v>87</v>
      </c>
      <c r="D3" s="74">
        <v>59</v>
      </c>
      <c r="E3" s="74">
        <v>94</v>
      </c>
      <c r="F3" s="74">
        <v>110475</v>
      </c>
      <c r="G3" s="74">
        <v>21457</v>
      </c>
      <c r="H3" s="74">
        <v>89018</v>
      </c>
    </row>
    <row r="4" spans="1:8" x14ac:dyDescent="0.2">
      <c r="A4" s="446" t="s">
        <v>2937</v>
      </c>
      <c r="B4" s="446" t="s">
        <v>2946</v>
      </c>
      <c r="C4" s="74">
        <v>92</v>
      </c>
      <c r="D4" s="74">
        <v>101</v>
      </c>
      <c r="E4" s="74">
        <v>111</v>
      </c>
      <c r="F4" s="74">
        <v>25890</v>
      </c>
      <c r="G4" s="74">
        <v>28848</v>
      </c>
      <c r="H4" s="74">
        <v>-2958</v>
      </c>
    </row>
    <row r="5" spans="1:8" x14ac:dyDescent="0.2">
      <c r="B5" s="446" t="s">
        <v>2947</v>
      </c>
      <c r="C5" s="74">
        <v>13</v>
      </c>
      <c r="D5" s="74">
        <v>0</v>
      </c>
      <c r="E5" s="74">
        <v>13</v>
      </c>
      <c r="F5" s="74">
        <v>24233</v>
      </c>
      <c r="G5" s="74">
        <v>0</v>
      </c>
      <c r="H5" s="74">
        <v>24233</v>
      </c>
    </row>
    <row r="6" spans="1:8" x14ac:dyDescent="0.2">
      <c r="B6" s="446" t="s">
        <v>2948</v>
      </c>
      <c r="C6" s="74">
        <v>6</v>
      </c>
      <c r="D6" s="74">
        <v>14</v>
      </c>
      <c r="E6" s="74">
        <v>10</v>
      </c>
      <c r="F6" s="74">
        <v>522</v>
      </c>
      <c r="G6" s="74">
        <v>1151</v>
      </c>
      <c r="H6" s="74">
        <v>-629</v>
      </c>
    </row>
    <row r="7" spans="1:8" x14ac:dyDescent="0.2">
      <c r="B7" s="446" t="s">
        <v>2949</v>
      </c>
      <c r="C7" s="74">
        <v>3</v>
      </c>
      <c r="D7" s="74">
        <v>2</v>
      </c>
      <c r="E7" s="74">
        <v>1</v>
      </c>
      <c r="F7" s="74">
        <v>213</v>
      </c>
      <c r="G7" s="74">
        <v>118</v>
      </c>
      <c r="H7" s="74">
        <v>95</v>
      </c>
    </row>
    <row r="8" spans="1:8" x14ac:dyDescent="0.2">
      <c r="A8" s="446" t="s">
        <v>2956</v>
      </c>
      <c r="B8" s="446"/>
      <c r="C8" s="74">
        <v>114</v>
      </c>
      <c r="D8" s="74">
        <v>117</v>
      </c>
      <c r="E8" s="74">
        <v>135</v>
      </c>
      <c r="F8" s="74">
        <v>50858</v>
      </c>
      <c r="G8" s="74">
        <v>30117</v>
      </c>
      <c r="H8" s="74">
        <v>20741</v>
      </c>
    </row>
    <row r="9" spans="1:8" x14ac:dyDescent="0.2">
      <c r="A9" s="446" t="s">
        <v>2938</v>
      </c>
      <c r="B9" s="446" t="s">
        <v>2945</v>
      </c>
      <c r="C9" s="74">
        <v>8</v>
      </c>
      <c r="D9" s="74">
        <v>5</v>
      </c>
      <c r="E9" s="74">
        <v>8</v>
      </c>
      <c r="F9" s="74">
        <v>18182</v>
      </c>
      <c r="G9" s="74">
        <v>15178</v>
      </c>
      <c r="H9" s="74">
        <v>3004</v>
      </c>
    </row>
    <row r="10" spans="1:8" x14ac:dyDescent="0.2">
      <c r="B10" s="446" t="s">
        <v>2946</v>
      </c>
      <c r="C10" s="74">
        <v>32</v>
      </c>
      <c r="D10" s="74">
        <v>34</v>
      </c>
      <c r="E10" s="74">
        <v>38</v>
      </c>
      <c r="F10" s="74">
        <v>8355</v>
      </c>
      <c r="G10" s="74">
        <v>10346</v>
      </c>
      <c r="H10" s="74">
        <v>-1991</v>
      </c>
    </row>
    <row r="11" spans="1:8" x14ac:dyDescent="0.2">
      <c r="B11" s="446" t="s">
        <v>2947</v>
      </c>
      <c r="C11" s="74">
        <v>0</v>
      </c>
      <c r="D11" s="74">
        <v>0</v>
      </c>
      <c r="E11" s="74">
        <v>0</v>
      </c>
      <c r="F11" s="74">
        <v>0</v>
      </c>
      <c r="G11" s="74">
        <v>0</v>
      </c>
      <c r="H11" s="74">
        <v>0</v>
      </c>
    </row>
    <row r="12" spans="1:8" x14ac:dyDescent="0.2">
      <c r="B12" s="446" t="s">
        <v>2948</v>
      </c>
      <c r="C12" s="74">
        <v>2</v>
      </c>
      <c r="D12" s="74">
        <v>2</v>
      </c>
      <c r="E12" s="74">
        <v>0</v>
      </c>
      <c r="F12" s="74">
        <v>121</v>
      </c>
      <c r="G12" s="74">
        <v>121</v>
      </c>
      <c r="H12" s="74">
        <v>0</v>
      </c>
    </row>
    <row r="13" spans="1:8" x14ac:dyDescent="0.2">
      <c r="B13" s="446" t="s">
        <v>2949</v>
      </c>
      <c r="C13" s="74">
        <v>0</v>
      </c>
      <c r="D13" s="74">
        <v>0</v>
      </c>
      <c r="E13" s="74">
        <v>0</v>
      </c>
      <c r="F13" s="74">
        <v>0</v>
      </c>
      <c r="G13" s="74">
        <v>0</v>
      </c>
      <c r="H13" s="74">
        <v>0</v>
      </c>
    </row>
    <row r="14" spans="1:8" x14ac:dyDescent="0.2">
      <c r="B14" s="446" t="s">
        <v>2959</v>
      </c>
      <c r="C14" s="74">
        <v>1</v>
      </c>
      <c r="D14" s="74">
        <v>1</v>
      </c>
      <c r="E14" s="74">
        <v>1</v>
      </c>
      <c r="F14" s="74">
        <v>134</v>
      </c>
      <c r="G14" s="74">
        <v>145</v>
      </c>
      <c r="H14" s="74">
        <v>-11</v>
      </c>
    </row>
    <row r="15" spans="1:8" x14ac:dyDescent="0.2">
      <c r="A15" s="446" t="s">
        <v>2958</v>
      </c>
      <c r="B15" s="446"/>
      <c r="C15" s="74">
        <v>43</v>
      </c>
      <c r="D15" s="74">
        <v>42</v>
      </c>
      <c r="E15" s="74">
        <v>47</v>
      </c>
      <c r="F15" s="74">
        <v>26792</v>
      </c>
      <c r="G15" s="74">
        <v>25790</v>
      </c>
      <c r="H15" s="74">
        <v>1002</v>
      </c>
    </row>
    <row r="16" spans="1:8" x14ac:dyDescent="0.2">
      <c r="A16" s="446" t="s">
        <v>115</v>
      </c>
      <c r="C16" s="74">
        <v>328</v>
      </c>
      <c r="D16" s="74">
        <v>301</v>
      </c>
      <c r="E16" s="74">
        <v>361</v>
      </c>
      <c r="F16" s="74">
        <v>210484</v>
      </c>
      <c r="G16" s="74">
        <v>89030</v>
      </c>
      <c r="H16" s="74">
        <v>121454</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4"/>
  <dimension ref="A1:DN177"/>
  <sheetViews>
    <sheetView topLeftCell="M1" workbookViewId="0">
      <selection activeCell="R1" sqref="R1:X1048576"/>
    </sheetView>
  </sheetViews>
  <sheetFormatPr defaultRowHeight="12" x14ac:dyDescent="0.2"/>
  <cols>
    <col min="1" max="1" width="4.7109375" style="404" customWidth="1"/>
    <col min="2" max="2" width="4.7109375" style="1" customWidth="1"/>
    <col min="3" max="3" width="15" style="1" customWidth="1"/>
    <col min="4" max="4" width="11" style="1" customWidth="1"/>
    <col min="5" max="5" width="5.7109375" style="1" customWidth="1"/>
    <col min="6" max="6" width="10.7109375" style="1" customWidth="1"/>
    <col min="7" max="7" width="5.140625" style="1" customWidth="1"/>
    <col min="8" max="8" width="10.7109375" style="1" customWidth="1"/>
    <col min="9" max="9" width="5.5703125" style="1" customWidth="1"/>
    <col min="10" max="10" width="10.7109375" style="1" customWidth="1"/>
    <col min="11" max="11" width="5.140625" style="1" customWidth="1"/>
    <col min="12" max="12" width="10.7109375" style="1" customWidth="1"/>
    <col min="13" max="13" width="5.28515625" style="1" customWidth="1"/>
    <col min="14" max="14" width="10.7109375" style="1" customWidth="1"/>
    <col min="15" max="15" width="7" style="1" customWidth="1"/>
    <col min="16" max="16" width="10.7109375" style="1" customWidth="1"/>
    <col min="17" max="16384" width="9.140625" style="1"/>
  </cols>
  <sheetData>
    <row r="1" spans="1:118" ht="15.75" x14ac:dyDescent="0.25">
      <c r="A1" s="606" t="s">
        <v>3799</v>
      </c>
      <c r="B1" s="606"/>
      <c r="C1" s="606"/>
      <c r="D1" s="606"/>
      <c r="E1" s="606"/>
      <c r="F1" s="606"/>
      <c r="G1" s="606"/>
      <c r="H1" s="606"/>
      <c r="I1" s="606"/>
      <c r="J1" s="606"/>
      <c r="K1" s="606"/>
      <c r="L1" s="606"/>
      <c r="M1" s="606"/>
      <c r="N1" s="606"/>
      <c r="O1" s="606"/>
      <c r="P1" s="606"/>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row>
    <row r="2" spans="1:118" ht="15" x14ac:dyDescent="0.2">
      <c r="A2" s="681" t="s">
        <v>3908</v>
      </c>
      <c r="B2" s="681"/>
      <c r="C2" s="681"/>
      <c r="D2" s="681"/>
      <c r="E2" s="681"/>
      <c r="F2" s="681"/>
      <c r="G2" s="681"/>
      <c r="H2" s="681"/>
      <c r="I2" s="681"/>
      <c r="J2" s="681"/>
      <c r="K2" s="681"/>
      <c r="L2" s="681"/>
      <c r="M2" s="681"/>
      <c r="N2" s="681"/>
      <c r="O2" s="681"/>
      <c r="P2" s="68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row>
    <row r="3" spans="1:118" x14ac:dyDescent="0.2">
      <c r="A3" s="27"/>
      <c r="B3" s="27"/>
      <c r="C3" s="27"/>
      <c r="D3" s="27"/>
      <c r="E3" s="27"/>
      <c r="F3" s="27"/>
      <c r="G3" s="27"/>
      <c r="H3" s="27"/>
      <c r="I3" s="27"/>
      <c r="J3" s="27"/>
      <c r="K3" s="27"/>
      <c r="L3" s="27"/>
      <c r="M3" s="27"/>
      <c r="N3" s="27"/>
      <c r="O3" s="27"/>
      <c r="P3" s="27"/>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row>
    <row r="4" spans="1:118" x14ac:dyDescent="0.2">
      <c r="A4" s="688" t="s">
        <v>88</v>
      </c>
      <c r="B4" s="688"/>
      <c r="C4" s="688"/>
      <c r="D4" s="689"/>
      <c r="E4" s="682" t="s">
        <v>135</v>
      </c>
      <c r="F4" s="683"/>
      <c r="G4" s="682" t="s">
        <v>136</v>
      </c>
      <c r="H4" s="683"/>
      <c r="I4" s="682" t="s">
        <v>137</v>
      </c>
      <c r="J4" s="683"/>
      <c r="K4" s="682" t="s">
        <v>138</v>
      </c>
      <c r="L4" s="683"/>
      <c r="M4" s="682" t="s">
        <v>139</v>
      </c>
      <c r="N4" s="683"/>
      <c r="O4" s="684" t="s">
        <v>95</v>
      </c>
      <c r="P4" s="685"/>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row>
    <row r="5" spans="1:118" s="2" customFormat="1" ht="24" customHeight="1" x14ac:dyDescent="0.2">
      <c r="A5" s="690"/>
      <c r="B5" s="690"/>
      <c r="C5" s="690"/>
      <c r="D5" s="691"/>
      <c r="E5" s="694" t="s">
        <v>3809</v>
      </c>
      <c r="F5" s="695"/>
      <c r="G5" s="694" t="s">
        <v>3810</v>
      </c>
      <c r="H5" s="695"/>
      <c r="I5" s="694" t="s">
        <v>3811</v>
      </c>
      <c r="J5" s="695"/>
      <c r="K5" s="694" t="s">
        <v>3812</v>
      </c>
      <c r="L5" s="695"/>
      <c r="M5" s="694" t="s">
        <v>3813</v>
      </c>
      <c r="N5" s="695"/>
      <c r="O5" s="686"/>
      <c r="P5" s="687"/>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row>
    <row r="6" spans="1:118" s="2" customFormat="1" ht="24" x14ac:dyDescent="0.2">
      <c r="A6" s="692"/>
      <c r="B6" s="692"/>
      <c r="C6" s="692"/>
      <c r="D6" s="693"/>
      <c r="E6" s="205" t="s">
        <v>2970</v>
      </c>
      <c r="F6" s="199" t="s">
        <v>168</v>
      </c>
      <c r="G6" s="197" t="s">
        <v>2970</v>
      </c>
      <c r="H6" s="199" t="s">
        <v>168</v>
      </c>
      <c r="I6" s="205" t="s">
        <v>2970</v>
      </c>
      <c r="J6" s="199" t="s">
        <v>168</v>
      </c>
      <c r="K6" s="205" t="s">
        <v>2970</v>
      </c>
      <c r="L6" s="199" t="s">
        <v>168</v>
      </c>
      <c r="M6" s="205" t="s">
        <v>2970</v>
      </c>
      <c r="N6" s="199" t="s">
        <v>168</v>
      </c>
      <c r="O6" s="468" t="s">
        <v>2970</v>
      </c>
      <c r="P6" s="476" t="s">
        <v>168</v>
      </c>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row>
    <row r="7" spans="1:118" x14ac:dyDescent="0.2">
      <c r="A7" s="661" t="s">
        <v>2926</v>
      </c>
      <c r="B7" s="677"/>
      <c r="C7" s="678"/>
      <c r="D7" s="371" t="s">
        <v>111</v>
      </c>
      <c r="E7" s="207">
        <f>GETPIVOTDATA("Count of A1 Net",'2.2 Pivot A'!$A$4,"Status 1 - Development","01 Completed")</f>
        <v>21</v>
      </c>
      <c r="F7" s="108">
        <f>GETPIVOTDATA("Sum of A1 Net2",'2.2 Pivot A'!$A$4,"Status 1 - Development","01 Completed")</f>
        <v>297</v>
      </c>
      <c r="G7" s="207">
        <f>GETPIVOTDATA("Count of A2 Net",'2.2 Pivot A'!$A$4,"Status 1 - Development","01 Completed")</f>
        <v>5</v>
      </c>
      <c r="H7" s="108">
        <f>GETPIVOTDATA("Sum of A2 Net2",'2.2 Pivot A'!$A$4,"Status 1 - Development","01 Completed")</f>
        <v>702</v>
      </c>
      <c r="I7" s="207">
        <f>GETPIVOTDATA("Count of A3 Net",'2.2 Pivot A'!$A$4,"Status 1 - Development","01 Completed")</f>
        <v>16</v>
      </c>
      <c r="J7" s="108">
        <f>GETPIVOTDATA("Sum of A3 Net2",'2.2 Pivot A'!$A$4,"Status 1 - Development","01 Completed")</f>
        <v>1949</v>
      </c>
      <c r="K7" s="207">
        <f>GETPIVOTDATA("Count of A4 Net",'2.2 Pivot A'!$A$4,"Status 1 - Development","01 Completed")</f>
        <v>4</v>
      </c>
      <c r="L7" s="108">
        <f>GETPIVOTDATA("Sum of A4 Net2",'2.2 Pivot A'!$A$4,"Status 1 - Development","01 Completed")</f>
        <v>1367</v>
      </c>
      <c r="M7" s="207">
        <f>GETPIVOTDATA("Count of A5 Net",'2.2 Pivot A'!$A$4,"Status 1 - Development","01 Completed")</f>
        <v>1</v>
      </c>
      <c r="N7" s="108">
        <f>GETPIVOTDATA("Sum of A5 Net2",'2.2 Pivot A'!$A$4,"Status 1 - Development","01 Completed")</f>
        <v>1073</v>
      </c>
      <c r="O7" s="477">
        <f>GETPIVOTDATA("Count of A Total Net",'2.2 Pivot A'!$A$4,"Status 1 - Development","01 Completed")</f>
        <v>17</v>
      </c>
      <c r="P7" s="478">
        <f>GETPIVOTDATA("Sum of A Total Net2",'2.2 Pivot A'!$A$4,"Status 1 - Development","01 Completed")</f>
        <v>5388</v>
      </c>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row>
    <row r="8" spans="1:118" x14ac:dyDescent="0.2">
      <c r="A8" s="679"/>
      <c r="B8" s="677"/>
      <c r="C8" s="678"/>
      <c r="D8" s="206" t="s">
        <v>140</v>
      </c>
      <c r="E8" s="207">
        <f>GETPIVOTDATA("Count of A1 Net",'2.2 Pivot B'!$A$4,"Status 1 - Development","01 Completed")</f>
        <v>9</v>
      </c>
      <c r="F8" s="108">
        <f>GETPIVOTDATA("Sum of A1 Net2",'2.2 Pivot B'!$A$4,"Status 1 - Development","01 Completed")</f>
        <v>-140</v>
      </c>
      <c r="G8" s="207">
        <f>GETPIVOTDATA("Count of A2 Net",'2.2 Pivot B'!$A$4,"Status 1 - Development","01 Completed")</f>
        <v>4</v>
      </c>
      <c r="H8" s="108">
        <f>GETPIVOTDATA("Sum of A2 Net2",'2.2 Pivot B'!$A$4,"Status 1 - Development","01 Completed")</f>
        <v>-185</v>
      </c>
      <c r="I8" s="207">
        <f>GETPIVOTDATA("Count of A3 Net",'2.2 Pivot B'!$A$4,"Status 1 - Development","01 Completed")</f>
        <v>5</v>
      </c>
      <c r="J8" s="108">
        <f>GETPIVOTDATA("Sum of A3 Net2",'2.2 Pivot B'!$A$4,"Status 1 - Development","01 Completed")</f>
        <v>105</v>
      </c>
      <c r="K8" s="207">
        <f>GETPIVOTDATA("Count of A4 Net",'2.2 Pivot B'!$A$4,"Status 1 - Development","01 Completed")</f>
        <v>2</v>
      </c>
      <c r="L8" s="108">
        <f>GETPIVOTDATA("Sum of A4 Net2",'2.2 Pivot B'!$A$4,"Status 1 - Development","01 Completed")</f>
        <v>43</v>
      </c>
      <c r="M8" s="207">
        <f>GETPIVOTDATA("Count of A5 Net",'2.2 Pivot B'!$A$4,"Status 1 - Development","01 Completed")</f>
        <v>0</v>
      </c>
      <c r="N8" s="108">
        <f>GETPIVOTDATA("Sum of A5 Net2",'2.2 Pivot B'!$A$4,"Status 1 - Development","01 Completed")</f>
        <v>0</v>
      </c>
      <c r="O8" s="477">
        <f>GETPIVOTDATA("Count of A Total Net",'2.2 Pivot B'!$A$4,"Status 1 - Development","01 Completed")</f>
        <v>11</v>
      </c>
      <c r="P8" s="478">
        <f>GETPIVOTDATA("Sum of A Total Net2",'2.2 Pivot B'!$A$4,"Status 1 - Development","01 Completed")</f>
        <v>-177</v>
      </c>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row>
    <row r="9" spans="1:118" x14ac:dyDescent="0.2">
      <c r="A9" s="679"/>
      <c r="B9" s="677"/>
      <c r="C9" s="678"/>
      <c r="D9" s="206" t="s">
        <v>49</v>
      </c>
      <c r="E9" s="207">
        <f>GETPIVOTDATA("Count of A1 Net",'2.2 Pivot C'!$A$4,"Status 1 - Development","01 Completed")</f>
        <v>50</v>
      </c>
      <c r="F9" s="108">
        <f>GETPIVOTDATA("Sum of A1 Net2",'2.2 Pivot C'!$A$4,"Status 1 - Development","01 Completed")</f>
        <v>-248</v>
      </c>
      <c r="G9" s="207">
        <f>GETPIVOTDATA("Count of A2 Net",'2.2 Pivot C'!$A$4,"Status 1 - Development","01 Completed")</f>
        <v>17</v>
      </c>
      <c r="H9" s="108">
        <f>GETPIVOTDATA("Sum of A2 Net2",'2.2 Pivot C'!$A$4,"Status 1 - Development","01 Completed")</f>
        <v>1616</v>
      </c>
      <c r="I9" s="207">
        <f>GETPIVOTDATA("Count of A3 Net",'2.2 Pivot C'!$A$4,"Status 1 - Development","01 Completed")</f>
        <v>24</v>
      </c>
      <c r="J9" s="108">
        <f>GETPIVOTDATA("Sum of A3 Net2",'2.2 Pivot C'!$A$4,"Status 1 - Development","01 Completed")</f>
        <v>2255</v>
      </c>
      <c r="K9" s="207">
        <f>GETPIVOTDATA("Count of A4 Net",'2.2 Pivot C'!$A$4,"Status 1 - Development","01 Completed")</f>
        <v>13</v>
      </c>
      <c r="L9" s="108">
        <f>GETPIVOTDATA("Sum of A4 Net2",'2.2 Pivot C'!$A$4,"Status 1 - Development","01 Completed")</f>
        <v>739</v>
      </c>
      <c r="M9" s="207">
        <f>GETPIVOTDATA("Count of A5 Net",'2.2 Pivot C'!$A$4,"Status 1 - Development","01 Completed")</f>
        <v>6</v>
      </c>
      <c r="N9" s="108">
        <f>GETPIVOTDATA("Sum of A5 Net2",'2.2 Pivot C'!$A$4,"Status 1 - Development","01 Completed")</f>
        <v>1120</v>
      </c>
      <c r="O9" s="477">
        <f>GETPIVOTDATA("Count of A Total Net",'2.2 Pivot C'!$A$4,"Status 1 - Development","01 Completed")</f>
        <v>57</v>
      </c>
      <c r="P9" s="478">
        <f>GETPIVOTDATA("Sum of A Total Net2",'2.2 Pivot C'!$A$4,"Status 1 - Development","01 Completed")</f>
        <v>5482</v>
      </c>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row>
    <row r="10" spans="1:118" x14ac:dyDescent="0.2">
      <c r="A10" s="679"/>
      <c r="B10" s="677"/>
      <c r="C10" s="678"/>
      <c r="D10" s="545" t="s">
        <v>95</v>
      </c>
      <c r="E10" s="208">
        <f>SUM(E7:E9)</f>
        <v>80</v>
      </c>
      <c r="F10" s="209">
        <f t="shared" ref="F10:P10" si="0">SUM(F7:F9)</f>
        <v>-91</v>
      </c>
      <c r="G10" s="208">
        <f t="shared" si="0"/>
        <v>26</v>
      </c>
      <c r="H10" s="209">
        <f t="shared" si="0"/>
        <v>2133</v>
      </c>
      <c r="I10" s="208">
        <f t="shared" si="0"/>
        <v>45</v>
      </c>
      <c r="J10" s="209">
        <f t="shared" si="0"/>
        <v>4309</v>
      </c>
      <c r="K10" s="208">
        <f t="shared" si="0"/>
        <v>19</v>
      </c>
      <c r="L10" s="209">
        <f t="shared" si="0"/>
        <v>2149</v>
      </c>
      <c r="M10" s="208">
        <f t="shared" si="0"/>
        <v>7</v>
      </c>
      <c r="N10" s="209">
        <f t="shared" si="0"/>
        <v>2193</v>
      </c>
      <c r="O10" s="479">
        <f t="shared" si="0"/>
        <v>85</v>
      </c>
      <c r="P10" s="480">
        <f t="shared" si="0"/>
        <v>10693</v>
      </c>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row>
    <row r="11" spans="1:118" ht="12" customHeight="1" x14ac:dyDescent="0.2">
      <c r="A11" s="696" t="s">
        <v>2962</v>
      </c>
      <c r="B11" s="710" t="s">
        <v>2964</v>
      </c>
      <c r="C11" s="688" t="s">
        <v>96</v>
      </c>
      <c r="D11" s="206" t="s">
        <v>111</v>
      </c>
      <c r="E11" s="207">
        <f>GETPIVOTDATA("Count of A1 Net",'2.2 Pivot A'!$A$4,"Status 1 - Development","02 Under Construction")</f>
        <v>21</v>
      </c>
      <c r="F11" s="108">
        <f>GETPIVOTDATA("Sum of A1 Net2",'2.2 Pivot A'!$A$4,"Status 1 - Development","02 Under Construction")</f>
        <v>32439</v>
      </c>
      <c r="G11" s="207">
        <f>GETPIVOTDATA("Count of A2 Net",'2.2 Pivot A'!$A$4,"Status 1 - Development","02 Under Construction")</f>
        <v>12</v>
      </c>
      <c r="H11" s="108">
        <f>GETPIVOTDATA("Sum of A2 Net2",'2.2 Pivot A'!$A$4,"Status 1 - Development","02 Under Construction")</f>
        <v>32416</v>
      </c>
      <c r="I11" s="207">
        <f>GETPIVOTDATA("Count of A3 Net",'2.2 Pivot A'!$A$4,"Status 1 - Development","02 Under Construction")</f>
        <v>10</v>
      </c>
      <c r="J11" s="108">
        <f>GETPIVOTDATA("Sum of A3 Net2",'2.2 Pivot A'!$A$4,"Status 1 - Development","02 Under Construction")</f>
        <v>6985</v>
      </c>
      <c r="K11" s="207">
        <f>GETPIVOTDATA("Count of A4 Net",'2.2 Pivot A'!$A$4,"Status 1 - Development","02 Under Construction")</f>
        <v>5</v>
      </c>
      <c r="L11" s="108">
        <f>GETPIVOTDATA("Sum of A4 Net2",'2.2 Pivot A'!$A$4,"Status 1 - Development","02 Under Construction")</f>
        <v>4769</v>
      </c>
      <c r="M11" s="207">
        <f>GETPIVOTDATA("Count of A5 Net",'2.2 Pivot A'!$A$4,"Status 1 - Development","02 Under Construction")</f>
        <v>6</v>
      </c>
      <c r="N11" s="108">
        <f>GETPIVOTDATA("Sum of A5 Net2",'2.2 Pivot A'!$A$4,"Status 1 - Development","02 Under Construction")</f>
        <v>7031</v>
      </c>
      <c r="O11" s="477">
        <f>GETPIVOTDATA("Count of A Total Net",'2.2 Pivot A'!$A$4,"Status 1 - Development","02 Under Construction")</f>
        <v>21</v>
      </c>
      <c r="P11" s="478">
        <f>GETPIVOTDATA("Sum of A Total Net2",'2.2 Pivot A'!$A$4,"Status 1 - Development","02 Under Construction")</f>
        <v>83640</v>
      </c>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row>
    <row r="12" spans="1:118" x14ac:dyDescent="0.2">
      <c r="A12" s="697"/>
      <c r="B12" s="711"/>
      <c r="C12" s="690"/>
      <c r="D12" s="206" t="s">
        <v>140</v>
      </c>
      <c r="E12" s="207">
        <f>GETPIVOTDATA("Count of A1 Net",'2.2 Pivot B'!$A$4,"Status 1 - Development","02 Under Construction")</f>
        <v>9</v>
      </c>
      <c r="F12" s="108">
        <f>GETPIVOTDATA("Sum of A1 Net2",'2.2 Pivot B'!$A$4,"Status 1 - Development","02 Under Construction")</f>
        <v>-287</v>
      </c>
      <c r="G12" s="207">
        <f>GETPIVOTDATA("Count of A2 Net",'2.2 Pivot B'!$A$4,"Status 1 - Development","02 Under Construction")</f>
        <v>1</v>
      </c>
      <c r="H12" s="108">
        <f>GETPIVOTDATA("Sum of A2 Net2",'2.2 Pivot B'!$A$4,"Status 1 - Development","02 Under Construction")</f>
        <v>23</v>
      </c>
      <c r="I12" s="207">
        <f>GETPIVOTDATA("Count of A3 Net",'2.2 Pivot B'!$A$4,"Status 1 - Development","02 Under Construction")</f>
        <v>0</v>
      </c>
      <c r="J12" s="108">
        <f>GETPIVOTDATA("Sum of A3 Net2",'2.2 Pivot B'!$A$4,"Status 1 - Development","02 Under Construction")</f>
        <v>0</v>
      </c>
      <c r="K12" s="207">
        <f>GETPIVOTDATA("Count of A4 Net",'2.2 Pivot B'!$A$4,"Status 1 - Development","02 Under Construction")</f>
        <v>0</v>
      </c>
      <c r="L12" s="108">
        <f>GETPIVOTDATA("Sum of A4 Net2",'2.2 Pivot B'!$A$4,"Status 1 - Development","02 Under Construction")</f>
        <v>0</v>
      </c>
      <c r="M12" s="207">
        <f>GETPIVOTDATA("Count of A5 Net",'2.2 Pivot B'!$A$4,"Status 1 - Development","02 Under Construction")</f>
        <v>0</v>
      </c>
      <c r="N12" s="108">
        <f>GETPIVOTDATA("Sum of A5 Net2",'2.2 Pivot B'!$A$4,"Status 1 - Development","02 Under Construction")</f>
        <v>0</v>
      </c>
      <c r="O12" s="477">
        <f>GETPIVOTDATA("Count of A Total Net",'2.2 Pivot B'!$A$4,"Status 1 - Development","02 Under Construction")</f>
        <v>8</v>
      </c>
      <c r="P12" s="478">
        <f>GETPIVOTDATA("Sum of A Total Net2",'2.2 Pivot B'!$A$4,"Status 1 - Development","02 Under Construction")</f>
        <v>-264</v>
      </c>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row>
    <row r="13" spans="1:118" x14ac:dyDescent="0.2">
      <c r="A13" s="697"/>
      <c r="B13" s="711"/>
      <c r="C13" s="690"/>
      <c r="D13" s="206" t="s">
        <v>49</v>
      </c>
      <c r="E13" s="207">
        <f>GETPIVOTDATA("Count of A1 Net",'2.2 Pivot C'!$A$4,"Status 1 - Development","02 Under Construction")</f>
        <v>53</v>
      </c>
      <c r="F13" s="108">
        <f>GETPIVOTDATA("Sum of A1 Net2",'2.2 Pivot C'!$A$4,"Status 1 - Development","02 Under Construction")</f>
        <v>-808</v>
      </c>
      <c r="G13" s="207">
        <f>GETPIVOTDATA("Count of A2 Net",'2.2 Pivot C'!$A$4,"Status 1 - Development","02 Under Construction")</f>
        <v>22</v>
      </c>
      <c r="H13" s="108">
        <f>GETPIVOTDATA("Sum of A2 Net2",'2.2 Pivot C'!$A$4,"Status 1 - Development","02 Under Construction")</f>
        <v>530</v>
      </c>
      <c r="I13" s="207">
        <f>GETPIVOTDATA("Count of A3 Net",'2.2 Pivot C'!$A$4,"Status 1 - Development","02 Under Construction")</f>
        <v>38</v>
      </c>
      <c r="J13" s="108">
        <f>GETPIVOTDATA("Sum of A3 Net2",'2.2 Pivot C'!$A$4,"Status 1 - Development","02 Under Construction")</f>
        <v>4030</v>
      </c>
      <c r="K13" s="207">
        <f>GETPIVOTDATA("Count of A4 Net",'2.2 Pivot C'!$A$4,"Status 1 - Development","02 Under Construction")</f>
        <v>18</v>
      </c>
      <c r="L13" s="108">
        <f>GETPIVOTDATA("Sum of A4 Net2",'2.2 Pivot C'!$A$4,"Status 1 - Development","02 Under Construction")</f>
        <v>1290</v>
      </c>
      <c r="M13" s="207">
        <f>GETPIVOTDATA("Count of A5 Net",'2.2 Pivot C'!$A$4,"Status 1 - Development","02 Under Construction")</f>
        <v>6</v>
      </c>
      <c r="N13" s="108">
        <f>GETPIVOTDATA("Sum of A5 Net2",'2.2 Pivot C'!$A$4,"Status 1 - Development","02 Under Construction")</f>
        <v>600</v>
      </c>
      <c r="O13" s="477">
        <f>GETPIVOTDATA("Count of A Total Net",'2.2 Pivot C'!$A$4,"Status 1 - Development","02 Under Construction")</f>
        <v>65</v>
      </c>
      <c r="P13" s="478">
        <f>GETPIVOTDATA("Sum of A Total Net2",'2.2 Pivot C'!$A$4,"Status 1 - Development","02 Under Construction")</f>
        <v>5642</v>
      </c>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row>
    <row r="14" spans="1:118" s="7" customFormat="1" x14ac:dyDescent="0.2">
      <c r="A14" s="697"/>
      <c r="B14" s="711"/>
      <c r="C14" s="692"/>
      <c r="D14" s="545" t="s">
        <v>95</v>
      </c>
      <c r="E14" s="208">
        <f>SUM(E11:E13)</f>
        <v>83</v>
      </c>
      <c r="F14" s="209">
        <f t="shared" ref="F14" si="1">SUM(F11:F13)</f>
        <v>31344</v>
      </c>
      <c r="G14" s="208">
        <f t="shared" ref="G14" si="2">SUM(G11:G13)</f>
        <v>35</v>
      </c>
      <c r="H14" s="209">
        <f t="shared" ref="H14" si="3">SUM(H11:H13)</f>
        <v>32969</v>
      </c>
      <c r="I14" s="208">
        <f t="shared" ref="I14" si="4">SUM(I11:I13)</f>
        <v>48</v>
      </c>
      <c r="J14" s="209">
        <f t="shared" ref="J14" si="5">SUM(J11:J13)</f>
        <v>11015</v>
      </c>
      <c r="K14" s="208">
        <f t="shared" ref="K14" si="6">SUM(K11:K13)</f>
        <v>23</v>
      </c>
      <c r="L14" s="209">
        <f t="shared" ref="L14" si="7">SUM(L11:L13)</f>
        <v>6059</v>
      </c>
      <c r="M14" s="208">
        <f t="shared" ref="M14" si="8">SUM(M11:M13)</f>
        <v>12</v>
      </c>
      <c r="N14" s="209">
        <f t="shared" ref="N14" si="9">SUM(N11:N13)</f>
        <v>7631</v>
      </c>
      <c r="O14" s="479">
        <f t="shared" ref="O14" si="10">SUM(O11:O13)</f>
        <v>94</v>
      </c>
      <c r="P14" s="480">
        <f t="shared" ref="P14" si="11">SUM(P11:P13)</f>
        <v>89018</v>
      </c>
    </row>
    <row r="15" spans="1:118" ht="12" customHeight="1" x14ac:dyDescent="0.2">
      <c r="A15" s="697"/>
      <c r="B15" s="711"/>
      <c r="C15" s="660" t="s">
        <v>2966</v>
      </c>
      <c r="D15" s="206" t="s">
        <v>111</v>
      </c>
      <c r="E15" s="207">
        <f>GETPIVOTDATA("Count of A1 Net",'2.2 Pivot A'!$A$4,"Status 1 - Development","03 Planning","Status 2 - Permission Type","02 Full")</f>
        <v>31</v>
      </c>
      <c r="F15" s="108">
        <f>GETPIVOTDATA("Sum of A1 Net2",'2.2 Pivot A'!$A$4,"Status 1 - Development","03 Planning","Status 2 - Permission Type","02 Full")</f>
        <v>-4465</v>
      </c>
      <c r="G15" s="207">
        <f>GETPIVOTDATA("Count of A2 Net",'2.2 Pivot A'!$A$4,"Status 1 - Development","03 Planning","Status 2 - Permission Type","02 Full")</f>
        <v>6</v>
      </c>
      <c r="H15" s="108">
        <f>GETPIVOTDATA("Sum of A2 Net2",'2.2 Pivot A'!$A$4,"Status 1 - Development","03 Planning","Status 2 - Permission Type","02 Full")</f>
        <v>1896</v>
      </c>
      <c r="I15" s="207">
        <f>GETPIVOTDATA("Count of A3 Net",'2.2 Pivot A'!$A$4,"Status 1 - Development","03 Planning","Status 2 - Permission Type","02 Full")</f>
        <v>13</v>
      </c>
      <c r="J15" s="108">
        <f>GETPIVOTDATA("Sum of A3 Net2",'2.2 Pivot A'!$A$4,"Status 1 - Development","03 Planning","Status 2 - Permission Type","02 Full")</f>
        <v>504</v>
      </c>
      <c r="K15" s="207">
        <f>GETPIVOTDATA("Count of A4 Net",'2.2 Pivot A'!$A$4,"Status 1 - Development","03 Planning","Status 2 - Permission Type","02 Full")</f>
        <v>5</v>
      </c>
      <c r="L15" s="108">
        <f>GETPIVOTDATA("Sum of A4 Net2",'2.2 Pivot A'!$A$4,"Status 1 - Development","03 Planning","Status 2 - Permission Type","02 Full")</f>
        <v>-484</v>
      </c>
      <c r="M15" s="207">
        <f>GETPIVOTDATA("Count of A5 Net",'2.2 Pivot A'!$A$4,"Status 1 - Development","03 Planning","Status 2 - Permission Type","02 Full")</f>
        <v>3</v>
      </c>
      <c r="N15" s="108">
        <f>GETPIVOTDATA("Sum of A5 Net2",'2.2 Pivot A'!$A$4,"Status 1 - Development","03 Planning","Status 2 - Permission Type","02 Full")</f>
        <v>94</v>
      </c>
      <c r="O15" s="477">
        <f>GETPIVOTDATA("Count of A Total Net",'2.2 Pivot A'!$A$4,"Status 1 - Development","03 Planning","Status 2 - Permission Type","02 Full")</f>
        <v>38</v>
      </c>
      <c r="P15" s="478">
        <f>GETPIVOTDATA("Sum of A Total Net2",'2.2 Pivot A'!$A$4,"Status 1 - Development","03 Planning","Status 2 - Permission Type","02 Full")</f>
        <v>-2455</v>
      </c>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row>
    <row r="16" spans="1:118" x14ac:dyDescent="0.2">
      <c r="A16" s="697"/>
      <c r="B16" s="711"/>
      <c r="C16" s="699"/>
      <c r="D16" s="206" t="s">
        <v>140</v>
      </c>
      <c r="E16" s="207">
        <f>GETPIVOTDATA("Count of A1 Net",'2.2 Pivot B'!$A$4,"Status 1 - Development","03 Planning","Status 2 - Permission Type","02 Full")</f>
        <v>12</v>
      </c>
      <c r="F16" s="108">
        <f>GETPIVOTDATA("Sum of A1 Net2",'2.2 Pivot B'!$A$4,"Status 1 - Development","03 Planning","Status 2 - Permission Type","02 Full")</f>
        <v>-441</v>
      </c>
      <c r="G16" s="207">
        <f>GETPIVOTDATA("Count of A2 Net",'2.2 Pivot B'!$A$4,"Status 1 - Development","03 Planning","Status 2 - Permission Type","02 Full")</f>
        <v>6</v>
      </c>
      <c r="H16" s="108">
        <f>GETPIVOTDATA("Sum of A2 Net2",'2.2 Pivot B'!$A$4,"Status 1 - Development","03 Planning","Status 2 - Permission Type","02 Full")</f>
        <v>-240</v>
      </c>
      <c r="I16" s="207">
        <f>GETPIVOTDATA("Count of A3 Net",'2.2 Pivot B'!$A$4,"Status 1 - Development","03 Planning","Status 2 - Permission Type","02 Full")</f>
        <v>4</v>
      </c>
      <c r="J16" s="108">
        <f>GETPIVOTDATA("Sum of A3 Net2",'2.2 Pivot B'!$A$4,"Status 1 - Development","03 Planning","Status 2 - Permission Type","02 Full")</f>
        <v>205</v>
      </c>
      <c r="K16" s="207">
        <f>GETPIVOTDATA("Count of A4 Net",'2.2 Pivot B'!$A$4,"Status 1 - Development","03 Planning","Status 2 - Permission Type","02 Full")</f>
        <v>1</v>
      </c>
      <c r="L16" s="108">
        <f>GETPIVOTDATA("Sum of A4 Net2",'2.2 Pivot B'!$A$4,"Status 1 - Development","03 Planning","Status 2 - Permission Type","02 Full")</f>
        <v>-352</v>
      </c>
      <c r="M16" s="207">
        <f>GETPIVOTDATA("Count of A5 Net",'2.2 Pivot B'!$A$4,"Status 1 - Development","03 Planning","Status 2 - Permission Type","02 Full")</f>
        <v>0</v>
      </c>
      <c r="N16" s="108">
        <f>GETPIVOTDATA("Sum of A5 Net2",'2.2 Pivot B'!$A$4,"Status 1 - Development","03 Planning","Status 2 - Permission Type","02 Full")</f>
        <v>0</v>
      </c>
      <c r="O16" s="477">
        <f>GETPIVOTDATA("Count of A Total Net",'2.2 Pivot B'!$A$4,"Status 1 - Development","03 Planning","Status 2 - Permission Type","02 Full")</f>
        <v>15</v>
      </c>
      <c r="P16" s="478">
        <f>GETPIVOTDATA("Sum of A Total Net2",'2.2 Pivot B'!$A$4,"Status 1 - Development","03 Planning","Status 2 - Permission Type","02 Full")</f>
        <v>-828</v>
      </c>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row>
    <row r="17" spans="1:118" x14ac:dyDescent="0.2">
      <c r="A17" s="697"/>
      <c r="B17" s="711"/>
      <c r="C17" s="699"/>
      <c r="D17" s="206" t="s">
        <v>49</v>
      </c>
      <c r="E17" s="207">
        <f>GETPIVOTDATA("Count of A1 Net",'2.2 Pivot C'!$A$4,"Status 1 - Development","03 Planning","Status 2 - Permission Type","02 Full")</f>
        <v>42</v>
      </c>
      <c r="F17" s="108">
        <f>GETPIVOTDATA("Sum of A1 Net2",'2.2 Pivot C'!$A$4,"Status 1 - Development","03 Planning","Status 2 - Permission Type","02 Full")</f>
        <v>-659</v>
      </c>
      <c r="G17" s="207">
        <f>GETPIVOTDATA("Count of A2 Net",'2.2 Pivot C'!$A$4,"Status 1 - Development","03 Planning","Status 2 - Permission Type","02 Full")</f>
        <v>18</v>
      </c>
      <c r="H17" s="108">
        <f>GETPIVOTDATA("Sum of A2 Net2",'2.2 Pivot C'!$A$4,"Status 1 - Development","03 Planning","Status 2 - Permission Type","02 Full")</f>
        <v>79</v>
      </c>
      <c r="I17" s="207">
        <f>GETPIVOTDATA("Count of A3 Net",'2.2 Pivot C'!$A$4,"Status 1 - Development","03 Planning","Status 2 - Permission Type","02 Full")</f>
        <v>21</v>
      </c>
      <c r="J17" s="108">
        <f>GETPIVOTDATA("Sum of A3 Net2",'2.2 Pivot C'!$A$4,"Status 1 - Development","03 Planning","Status 2 - Permission Type","02 Full")</f>
        <v>1875</v>
      </c>
      <c r="K17" s="207">
        <f>GETPIVOTDATA("Count of A4 Net",'2.2 Pivot C'!$A$4,"Status 1 - Development","03 Planning","Status 2 - Permission Type","02 Full")</f>
        <v>8</v>
      </c>
      <c r="L17" s="108">
        <f>GETPIVOTDATA("Sum of A4 Net2",'2.2 Pivot C'!$A$4,"Status 1 - Development","03 Planning","Status 2 - Permission Type","02 Full")</f>
        <v>-956</v>
      </c>
      <c r="M17" s="207">
        <f>GETPIVOTDATA("Count of A5 Net",'2.2 Pivot C'!$A$4,"Status 1 - Development","03 Planning","Status 2 - Permission Type","02 Full")</f>
        <v>1</v>
      </c>
      <c r="N17" s="108">
        <f>GETPIVOTDATA("Sum of A5 Net2",'2.2 Pivot C'!$A$4,"Status 1 - Development","03 Planning","Status 2 - Permission Type","02 Full")</f>
        <v>-14</v>
      </c>
      <c r="O17" s="477">
        <f>GETPIVOTDATA("Count of A Total Net",'2.2 Pivot C'!$A$4,"Status 1 - Development","03 Planning","Status 2 - Permission Type","02 Full")</f>
        <v>58</v>
      </c>
      <c r="P17" s="478">
        <f>GETPIVOTDATA("Sum of A Total Net2",'2.2 Pivot C'!$A$4,"Status 1 - Development","03 Planning","Status 2 - Permission Type","02 Full")</f>
        <v>325</v>
      </c>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row>
    <row r="18" spans="1:118" s="7" customFormat="1" x14ac:dyDescent="0.2">
      <c r="A18" s="697"/>
      <c r="B18" s="711"/>
      <c r="C18" s="699"/>
      <c r="D18" s="545" t="s">
        <v>95</v>
      </c>
      <c r="E18" s="208">
        <f>SUM(E15:E17)</f>
        <v>85</v>
      </c>
      <c r="F18" s="209">
        <f t="shared" ref="F18" si="12">SUM(F15:F17)</f>
        <v>-5565</v>
      </c>
      <c r="G18" s="208">
        <f t="shared" ref="G18" si="13">SUM(G15:G17)</f>
        <v>30</v>
      </c>
      <c r="H18" s="209">
        <f t="shared" ref="H18" si="14">SUM(H15:H17)</f>
        <v>1735</v>
      </c>
      <c r="I18" s="208">
        <f t="shared" ref="I18" si="15">SUM(I15:I17)</f>
        <v>38</v>
      </c>
      <c r="J18" s="209">
        <f t="shared" ref="J18" si="16">SUM(J15:J17)</f>
        <v>2584</v>
      </c>
      <c r="K18" s="208">
        <f t="shared" ref="K18" si="17">SUM(K15:K17)</f>
        <v>14</v>
      </c>
      <c r="L18" s="209">
        <f t="shared" ref="L18" si="18">SUM(L15:L17)</f>
        <v>-1792</v>
      </c>
      <c r="M18" s="208">
        <f t="shared" ref="M18" si="19">SUM(M15:M17)</f>
        <v>4</v>
      </c>
      <c r="N18" s="209">
        <f t="shared" ref="N18" si="20">SUM(N15:N17)</f>
        <v>80</v>
      </c>
      <c r="O18" s="479">
        <f t="shared" ref="O18" si="21">SUM(O15:O17)</f>
        <v>111</v>
      </c>
      <c r="P18" s="480">
        <f t="shared" ref="P18" si="22">SUM(P15:P17)</f>
        <v>-2958</v>
      </c>
    </row>
    <row r="19" spans="1:118" x14ac:dyDescent="0.2">
      <c r="A19" s="697"/>
      <c r="B19" s="711"/>
      <c r="C19" s="660" t="s">
        <v>2967</v>
      </c>
      <c r="D19" s="206" t="s">
        <v>111</v>
      </c>
      <c r="E19" s="207">
        <f>GETPIVOTDATA("Count of A1 Net",'2.2 Pivot A'!$A$4,"Status 1 - Development","03 Planning","Status 2 - Permission Type","03 Outline")</f>
        <v>1</v>
      </c>
      <c r="F19" s="108">
        <f>GETPIVOTDATA("Sum of A1 Net2",'2.2 Pivot A'!$A$4,"Status 1 - Development","03 Planning","Status 2 - Permission Type","03 Outline")</f>
        <v>3341</v>
      </c>
      <c r="G19" s="207">
        <f>GETPIVOTDATA("Count of A2 Net",'2.2 Pivot A'!$A$4,"Status 1 - Development","03 Planning","Status 2 - Permission Type","03 Outline")</f>
        <v>1</v>
      </c>
      <c r="H19" s="108">
        <f>GETPIVOTDATA("Sum of A2 Net2",'2.2 Pivot A'!$A$4,"Status 1 - Development","03 Planning","Status 2 - Permission Type","03 Outline")</f>
        <v>3341</v>
      </c>
      <c r="I19" s="207">
        <f>GETPIVOTDATA("Count of A3 Net",'2.2 Pivot A'!$A$4,"Status 1 - Development","03 Planning","Status 2 - Permission Type","03 Outline")</f>
        <v>3</v>
      </c>
      <c r="J19" s="108">
        <f>GETPIVOTDATA("Sum of A3 Net2",'2.2 Pivot A'!$A$4,"Status 1 - Development","03 Planning","Status 2 - Permission Type","03 Outline")</f>
        <v>1069</v>
      </c>
      <c r="K19" s="207">
        <f>GETPIVOTDATA("Count of A4 Net",'2.2 Pivot A'!$A$4,"Status 1 - Development","03 Planning","Status 2 - Permission Type","03 Outline")</f>
        <v>3</v>
      </c>
      <c r="L19" s="108">
        <f>GETPIVOTDATA("Sum of A4 Net2",'2.2 Pivot A'!$A$4,"Status 1 - Development","03 Planning","Status 2 - Permission Type","03 Outline")</f>
        <v>1069</v>
      </c>
      <c r="M19" s="207">
        <f>GETPIVOTDATA("Count of A5 Net",'2.2 Pivot A'!$A$4,"Status 1 - Development","03 Planning","Status 2 - Permission Type","03 Outline")</f>
        <v>3</v>
      </c>
      <c r="N19" s="108">
        <f>GETPIVOTDATA("Sum of A5 Net2",'2.2 Pivot A'!$A$4,"Status 1 - Development","03 Planning","Status 2 - Permission Type","03 Outline")</f>
        <v>1071</v>
      </c>
      <c r="O19" s="477">
        <f>GETPIVOTDATA("Count of A Total Net",'2.2 Pivot A'!$A$4,"Status 1 - Development","03 Planning","Status 2 - Permission Type","03 Outline")</f>
        <v>3</v>
      </c>
      <c r="P19" s="478">
        <f>GETPIVOTDATA("Sum of A Total Net2",'2.2 Pivot A'!$A$4,"Status 1 - Development","03 Planning","Status 2 - Permission Type","03 Outline")</f>
        <v>9891</v>
      </c>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row>
    <row r="20" spans="1:118" x14ac:dyDescent="0.2">
      <c r="A20" s="697"/>
      <c r="B20" s="711"/>
      <c r="C20" s="660"/>
      <c r="D20" s="206" t="s">
        <v>140</v>
      </c>
      <c r="E20" s="207">
        <f>IFERROR(GETPIVOTDATA("Count of A1 Net",'2.2 Pivot B'!$A$4,"Status 1 - Development","03 Planning","Status 2 - Permission Type","03 Outline"),0)</f>
        <v>0</v>
      </c>
      <c r="F20" s="108">
        <f>IFERROR(GETPIVOTDATA("Sum of A1 Net2",'2.2 Pivot B'!$A$4,"Status 1 - Development","03 Planning","Status 2 - Permission Type","03 Outline"),0)</f>
        <v>0</v>
      </c>
      <c r="G20" s="207">
        <f>IFERROR(GETPIVOTDATA("Count of A2 Net",'2.2 Pivot B'!$A$4,"Status 1 - Development","03 Planning","Status 2 - Permission Type","03 Outline"),0)</f>
        <v>0</v>
      </c>
      <c r="H20" s="108">
        <f>IFERROR(GETPIVOTDATA("Sum of A2 Net2",'2.2 Pivot B'!$A$4,"Status 1 - Development","03 Planning","Status 2 - Permission Type","03 Outline"),0)</f>
        <v>0</v>
      </c>
      <c r="I20" s="207">
        <f>IFERROR(GETPIVOTDATA("Count of A3 Net",'2.2 Pivot B'!$A$4,"Status 1 - Development","03 Planning","Status 2 - Permission Type","03 Outline"),0)</f>
        <v>0</v>
      </c>
      <c r="J20" s="108">
        <f>IFERROR(GETPIVOTDATA("Sum of A3 Net2",'2.2 Pivot B'!$A$4,"Status 1 - Development","03 Planning","Status 2 - Permission Type","03 Outline"),0)</f>
        <v>0</v>
      </c>
      <c r="K20" s="207">
        <f>IFERROR(GETPIVOTDATA("Count of A4 Net",'2.2 Pivot B'!$A$4,"Status 1 - Development","03 Planning","Status 2 - Permission Type","03 Outline"),0)</f>
        <v>0</v>
      </c>
      <c r="L20" s="108">
        <f>IFERROR(GETPIVOTDATA("Sum of A4 Net2",'2.2 Pivot B'!$A$4,"Status 1 - Development","03 Planning","Status 2 - Permission Type","03 Outline"),0)</f>
        <v>0</v>
      </c>
      <c r="M20" s="207">
        <f>IFERROR(GETPIVOTDATA("Count of A5 Net",'2.2 Pivot B'!$A$4,"Status 1 - Development","03 Planning","Status 2 - Permission Type","03 Outline"),0)</f>
        <v>0</v>
      </c>
      <c r="N20" s="108">
        <f>IFERROR(GETPIVOTDATA("Sum of A5 Net2",'2.2 Pivot B'!$A$4,"Status 1 - Development","03 Planning","Status 2 - Permission Type","03 Outline"),0)</f>
        <v>0</v>
      </c>
      <c r="O20" s="477">
        <f>IFERROR(GETPIVOTDATA("Count of A Total Net",'2.2 Pivot B'!$A$4,"Status 1 - Development","03 Planning","Status 2 - Permission Type","03 Outline"),0)</f>
        <v>0</v>
      </c>
      <c r="P20" s="478">
        <f>IFERROR(GETPIVOTDATA("Sum of A Total Net2",'2.2 Pivot B'!$A$4,"Status 1 - Development","03 Planning","Status 2 - Permission Type","03 Outline"),0)</f>
        <v>0</v>
      </c>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row>
    <row r="21" spans="1:118" x14ac:dyDescent="0.2">
      <c r="A21" s="697"/>
      <c r="B21" s="711"/>
      <c r="C21" s="660"/>
      <c r="D21" s="206" t="s">
        <v>49</v>
      </c>
      <c r="E21" s="207">
        <f>GETPIVOTDATA("Count of A1 Net",'2.2 Pivot C'!$A$4,"Status 1 - Development","03 Planning","Status 2 - Permission Type","03 Outline")</f>
        <v>10</v>
      </c>
      <c r="F21" s="108">
        <f>GETPIVOTDATA("Sum of A1 Net2",'2.2 Pivot C'!$A$4,"Status 1 - Development","03 Planning","Status 2 - Permission Type","03 Outline")</f>
        <v>2869</v>
      </c>
      <c r="G21" s="207">
        <f>GETPIVOTDATA("Count of A2 Net",'2.2 Pivot C'!$A$4,"Status 1 - Development","03 Planning","Status 2 - Permission Type","03 Outline")</f>
        <v>10</v>
      </c>
      <c r="H21" s="108">
        <f>GETPIVOTDATA("Sum of A2 Net2",'2.2 Pivot C'!$A$4,"Status 1 - Development","03 Planning","Status 2 - Permission Type","03 Outline")</f>
        <v>2869</v>
      </c>
      <c r="I21" s="207">
        <f>GETPIVOTDATA("Count of A3 Net",'2.2 Pivot C'!$A$4,"Status 1 - Development","03 Planning","Status 2 - Permission Type","03 Outline")</f>
        <v>10</v>
      </c>
      <c r="J21" s="108">
        <f>GETPIVOTDATA("Sum of A3 Net2",'2.2 Pivot C'!$A$4,"Status 1 - Development","03 Planning","Status 2 - Permission Type","03 Outline")</f>
        <v>2869</v>
      </c>
      <c r="K21" s="207">
        <f>GETPIVOTDATA("Count of A4 Net",'2.2 Pivot C'!$A$4,"Status 1 - Development","03 Planning","Status 2 - Permission Type","03 Outline")</f>
        <v>10</v>
      </c>
      <c r="L21" s="108">
        <f>GETPIVOTDATA("Sum of A4 Net2",'2.2 Pivot C'!$A$4,"Status 1 - Development","03 Planning","Status 2 - Permission Type","03 Outline")</f>
        <v>2869</v>
      </c>
      <c r="M21" s="207">
        <f>GETPIVOTDATA("Count of A5 Net",'2.2 Pivot C'!$A$4,"Status 1 - Development","03 Planning","Status 2 - Permission Type","03 Outline")</f>
        <v>10</v>
      </c>
      <c r="N21" s="108">
        <f>GETPIVOTDATA("Sum of A5 Net2",'2.2 Pivot C'!$A$4,"Status 1 - Development","03 Planning","Status 2 - Permission Type","03 Outline")</f>
        <v>2866</v>
      </c>
      <c r="O21" s="477">
        <f>GETPIVOTDATA("Count of A Total Net",'2.2 Pivot C'!$A$4,"Status 1 - Development","03 Planning","Status 2 - Permission Type","03 Outline")</f>
        <v>10</v>
      </c>
      <c r="P21" s="478">
        <f>GETPIVOTDATA("Sum of A Total Net2",'2.2 Pivot C'!$A$4,"Status 1 - Development","03 Planning","Status 2 - Permission Type","03 Outline")</f>
        <v>14342</v>
      </c>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row>
    <row r="22" spans="1:118" s="7" customFormat="1" x14ac:dyDescent="0.2">
      <c r="A22" s="697"/>
      <c r="B22" s="711"/>
      <c r="C22" s="700"/>
      <c r="D22" s="545" t="s">
        <v>95</v>
      </c>
      <c r="E22" s="208">
        <f>SUM(E19:E21)</f>
        <v>11</v>
      </c>
      <c r="F22" s="209">
        <f t="shared" ref="F22" si="23">SUM(F19:F21)</f>
        <v>6210</v>
      </c>
      <c r="G22" s="208">
        <f t="shared" ref="G22" si="24">SUM(G19:G21)</f>
        <v>11</v>
      </c>
      <c r="H22" s="209">
        <f t="shared" ref="H22" si="25">SUM(H19:H21)</f>
        <v>6210</v>
      </c>
      <c r="I22" s="208">
        <f t="shared" ref="I22" si="26">SUM(I19:I21)</f>
        <v>13</v>
      </c>
      <c r="J22" s="209">
        <f t="shared" ref="J22" si="27">SUM(J19:J21)</f>
        <v>3938</v>
      </c>
      <c r="K22" s="208">
        <f t="shared" ref="K22" si="28">SUM(K19:K21)</f>
        <v>13</v>
      </c>
      <c r="L22" s="209">
        <f t="shared" ref="L22" si="29">SUM(L19:L21)</f>
        <v>3938</v>
      </c>
      <c r="M22" s="208">
        <f t="shared" ref="M22" si="30">SUM(M19:M21)</f>
        <v>13</v>
      </c>
      <c r="N22" s="209">
        <f t="shared" ref="N22" si="31">SUM(N19:N21)</f>
        <v>3937</v>
      </c>
      <c r="O22" s="479">
        <f t="shared" ref="O22" si="32">SUM(O19:O21)</f>
        <v>13</v>
      </c>
      <c r="P22" s="480">
        <f t="shared" ref="P22" si="33">SUM(P19:P21)</f>
        <v>24233</v>
      </c>
    </row>
    <row r="23" spans="1:118" s="7" customFormat="1" x14ac:dyDescent="0.2">
      <c r="A23" s="697"/>
      <c r="B23" s="711"/>
      <c r="C23" s="688" t="s">
        <v>4003</v>
      </c>
      <c r="D23" s="206" t="s">
        <v>111</v>
      </c>
      <c r="E23" s="207">
        <f>GETPIVOTDATA("Count of A1 Net",'2.2 Pivot A'!$A$4,"Status 1 - Development","03 Planning","Status 2 - Permission Type","04 Prior Approval")+GETPIVOTDATA("Count of A1 Net",'2.2 Pivot A'!$A$4,"Status 1 - Development","03 Planning","Status 2 - Permission Type","05 Certificate of Lawful Development")</f>
        <v>2</v>
      </c>
      <c r="F23" s="108">
        <f>GETPIVOTDATA("Sum of A1 Net2",'2.2 Pivot A'!$A$4,"Status 1 - Development","03 Planning","Status 2 - Permission Type","04 Prior Approval")+GETPIVOTDATA("Sum of A1 Net2",'2.2 Pivot A'!$A$4,"Status 1 - Development","03 Planning","Status 2 - Permission Type","05 Certificate of Lawful Development")</f>
        <v>-299</v>
      </c>
      <c r="G23" s="207">
        <f>GETPIVOTDATA("Count of A2 Net",'2.2 Pivot A'!$A$4,"Status 1 - Development","03 Planning","Status 2 - Permission Type","04 Prior Approval")+GETPIVOTDATA("Count of A2 Net",'2.2 Pivot A'!$A$4,"Status 1 - Development","03 Planning","Status 2 - Permission Type","05 Certificate of Lawful Development")</f>
        <v>1</v>
      </c>
      <c r="H23" s="108">
        <f>GETPIVOTDATA("Sum of A2 Net2",'2.2 Pivot A'!$A$4,"Status 1 - Development","03 Planning","Status 2 - Permission Type","04 Prior Approval")+GETPIVOTDATA("Sum of A2 Net2",'2.2 Pivot A'!$A$4,"Status 1 - Development","03 Planning","Status 2 - Permission Type","05 Certificate of Lawful Development")</f>
        <v>-79</v>
      </c>
      <c r="I23" s="207">
        <f>GETPIVOTDATA("Count of A3 Net",'2.2 Pivot A'!$A$4,"Status 1 - Development","03 Planning","Status 2 - Permission Type","04 Prior Approval")+GETPIVOTDATA("Count of A3 Net",'2.2 Pivot A'!$A$4,"Status 1 - Development","03 Planning","Status 2 - Permission Type","05 Certificate of Lawful Development")</f>
        <v>2</v>
      </c>
      <c r="J23" s="108">
        <f>GETPIVOTDATA("Sum of A3 Net2",'2.2 Pivot A'!$A$4,"Status 1 - Development","03 Planning","Status 2 - Permission Type","04 Prior Approval")+GETPIVOTDATA("Sum of A3 Net2",'2.2 Pivot A'!$A$4,"Status 1 - Development","03 Planning","Status 2 - Permission Type","05 Certificate of Lawful Development")</f>
        <v>299</v>
      </c>
      <c r="K23" s="207">
        <f>GETPIVOTDATA("Count of A4 Net",'2.2 Pivot A'!$A$4,"Status 1 - Development","03 Planning","Status 2 - Permission Type","04 Prior Approval")+GETPIVOTDATA("Count of A4 Net",'2.2 Pivot A'!$A$4,"Status 1 - Development","03 Planning","Status 2 - Permission Type","05 Certificate of Lawful Development")</f>
        <v>0</v>
      </c>
      <c r="L23" s="108">
        <f>GETPIVOTDATA("Sum of A4 Net2",'2.2 Pivot A'!$A$4,"Status 1 - Development","03 Planning","Status 2 - Permission Type","04 Prior Approval")+GETPIVOTDATA("Sum of A4 Net2",'2.2 Pivot A'!$A$4,"Status 1 - Development","03 Planning","Status 2 - Permission Type","05 Certificate of Lawful Development")</f>
        <v>0</v>
      </c>
      <c r="M23" s="207">
        <f>GETPIVOTDATA("Count of A5 Net",'2.2 Pivot A'!$A$4,"Status 1 - Development","03 Planning","Status 2 - Permission Type","04 Prior Approval")+GETPIVOTDATA("Count of A5 Net",'2.2 Pivot A'!$A$4,"Status 1 - Development","03 Planning","Status 2 - Permission Type","05 Certificate of Lawful Development")</f>
        <v>0</v>
      </c>
      <c r="N23" s="108">
        <f>GETPIVOTDATA("Sum of A5 Net2",'2.2 Pivot A'!$A$4,"Status 1 - Development","03 Planning","Status 2 - Permission Type","04 Prior Approval")+GETPIVOTDATA("Sum of A5 Net2",'2.2 Pivot A'!$A$4,"Status 1 - Development","03 Planning","Status 2 - Permission Type","05 Certificate of Lawful Development")</f>
        <v>0</v>
      </c>
      <c r="O23" s="477">
        <f>GETPIVOTDATA("Count of A Total Net",'2.2 Pivot A'!$A$4,"Status 1 - Development","03 Planning","Status 2 - Permission Type","04 Prior Approval")+GETPIVOTDATA("Count of A Total Net",'2.2 Pivot A'!$A$4,"Status 1 - Development","03 Planning","Status 2 - Permission Type","05 Certificate of Lawful Development")</f>
        <v>1</v>
      </c>
      <c r="P23" s="478">
        <f>GETPIVOTDATA("Sum of A Total Net2",'2.2 Pivot A'!$A$4,"Status 1 - Development","03 Planning","Status 2 - Permission Type","04 Prior Approval")+GETPIVOTDATA("Sum of A Total Net2",'2.2 Pivot A'!$A$4,"Status 1 - Development","03 Planning","Status 2 - Permission Type","05 Certificate of Lawful Development")</f>
        <v>-79</v>
      </c>
    </row>
    <row r="24" spans="1:118" s="7" customFormat="1" x14ac:dyDescent="0.2">
      <c r="A24" s="697"/>
      <c r="B24" s="711"/>
      <c r="C24" s="690"/>
      <c r="D24" s="206" t="s">
        <v>140</v>
      </c>
      <c r="E24" s="207">
        <f>GETPIVOTDATA("Count of A1 Net",'2.2 Pivot B'!$A$4,"Status 1 - Development","03 Planning","Status 2 - Permission Type","04 Prior Approval")+GETPIVOTDATA("Count of A1 Net",'2.2 Pivot B'!$A$4,"Status 1 - Development","03 Planning","Status 2 - Permission Type","05 Certificate of Lawful Development")</f>
        <v>1</v>
      </c>
      <c r="F24" s="108">
        <f>GETPIVOTDATA("Sum of A1 Net2",'2.2 Pivot B'!$A$4,"Status 1 - Development","03 Planning","Status 2 - Permission Type","04 Prior Approval")+GETPIVOTDATA("Sum of A1 Net2",'2.2 Pivot B'!$A$4,"Status 1 - Development","03 Planning","Status 2 - Permission Type","05 Certificate of Lawful Development")</f>
        <v>95</v>
      </c>
      <c r="G24" s="207">
        <f>GETPIVOTDATA("Count of A2 Net",'2.2 Pivot B'!$A$4,"Status 1 - Development","03 Planning","Status 2 - Permission Type","04 Prior Approval")+GETPIVOTDATA("Count of A2 Net",'2.2 Pivot B'!$A$4,"Status 1 - Development","03 Planning","Status 2 - Permission Type","05 Certificate of Lawful Development")</f>
        <v>1</v>
      </c>
      <c r="H24" s="108">
        <f>GETPIVOTDATA("Sum of A2 Net2",'2.2 Pivot B'!$A$4,"Status 1 - Development","03 Planning","Status 2 - Permission Type","04 Prior Approval")+GETPIVOTDATA("Sum of A2 Net2",'2.2 Pivot B'!$A$4,"Status 1 - Development","03 Planning","Status 2 - Permission Type","05 Certificate of Lawful Development")</f>
        <v>-48</v>
      </c>
      <c r="I24" s="207">
        <f>GETPIVOTDATA("Count of A3 Net",'2.2 Pivot B'!$A$4,"Status 1 - Development","03 Planning","Status 2 - Permission Type","04 Prior Approval")+GETPIVOTDATA("Count of A3 Net",'2.2 Pivot B'!$A$4,"Status 1 - Development","03 Planning","Status 2 - Permission Type","05 Certificate of Lawful Development")</f>
        <v>0</v>
      </c>
      <c r="J24" s="108">
        <f>GETPIVOTDATA("Sum of A3 Net2",'2.2 Pivot B'!$A$4,"Status 1 - Development","03 Planning","Status 2 - Permission Type","04 Prior Approval")+GETPIVOTDATA("Sum of A3 Net2",'2.2 Pivot B'!$A$4,"Status 1 - Development","03 Planning","Status 2 - Permission Type","05 Certificate of Lawful Development")</f>
        <v>0</v>
      </c>
      <c r="K24" s="207">
        <f>GETPIVOTDATA("Count of A4 Net",'2.2 Pivot B'!$A$4,"Status 1 - Development","03 Planning","Status 2 - Permission Type","04 Prior Approval")+GETPIVOTDATA("Count of A4 Net",'2.2 Pivot B'!$A$4,"Status 1 - Development","03 Planning","Status 2 - Permission Type","05 Certificate of Lawful Development")</f>
        <v>0</v>
      </c>
      <c r="L24" s="108">
        <f>GETPIVOTDATA("Sum of A4 Net2",'2.2 Pivot B'!$A$4,"Status 1 - Development","03 Planning","Status 2 - Permission Type","04 Prior Approval")+GETPIVOTDATA("Sum of A4 Net2",'2.2 Pivot B'!$A$4,"Status 1 - Development","03 Planning","Status 2 - Permission Type","05 Certificate of Lawful Development")</f>
        <v>0</v>
      </c>
      <c r="M24" s="207">
        <f>GETPIVOTDATA("Count of A5 Net",'2.2 Pivot B'!$A$4,"Status 1 - Development","03 Planning","Status 2 - Permission Type","04 Prior Approval")+GETPIVOTDATA("Count of A5 Net",'2.2 Pivot B'!$A$4,"Status 1 - Development","03 Planning","Status 2 - Permission Type","05 Certificate of Lawful Development")</f>
        <v>0</v>
      </c>
      <c r="N24" s="108">
        <f>GETPIVOTDATA("Sum of A5 Net2",'2.2 Pivot B'!$A$4,"Status 1 - Development","03 Planning","Status 2 - Permission Type","04 Prior Approval")+GETPIVOTDATA("Sum of A5 Net2",'2.2 Pivot B'!$A$4,"Status 1 - Development","03 Planning","Status 2 - Permission Type","05 Certificate of Lawful Development")</f>
        <v>0</v>
      </c>
      <c r="O24" s="477">
        <f>GETPIVOTDATA("Count of A Total Net",'2.2 Pivot B'!$A$4,"Status 1 - Development","03 Planning","Status 2 - Permission Type","04 Prior Approval")+GETPIVOTDATA("Count of A Total Net",'2.2 Pivot B'!$A$4,"Status 1 - Development","03 Planning","Status 2 - Permission Type","05 Certificate of Lawful Development")</f>
        <v>2</v>
      </c>
      <c r="P24" s="478">
        <f>GETPIVOTDATA("Sum of A Total Net2",'2.2 Pivot B'!$A$4,"Status 1 - Development","03 Planning","Status 2 - Permission Type","04 Prior Approval")+GETPIVOTDATA("Sum of A Total Net2",'2.2 Pivot B'!$A$4,"Status 1 - Development","03 Planning","Status 2 - Permission Type","05 Certificate of Lawful Development")</f>
        <v>47</v>
      </c>
    </row>
    <row r="25" spans="1:118" s="7" customFormat="1" x14ac:dyDescent="0.2">
      <c r="A25" s="697"/>
      <c r="B25" s="711"/>
      <c r="C25" s="690"/>
      <c r="D25" s="206" t="s">
        <v>49</v>
      </c>
      <c r="E25" s="207">
        <f>GETPIVOTDATA("Count of A1 Net",'2.2 Pivot C'!$A$4,"Status 1 - Development","03 Planning","Status 2 - Permission Type","04 Prior Approval")+GETPIVOTDATA("Count of A1 Net",'2.2 Pivot C'!$A$4,"Status 1 - Development","03 Planning","Status 2 - Permission Type","05 Certificate of Lawful Development")</f>
        <v>10</v>
      </c>
      <c r="F25" s="108">
        <f>GETPIVOTDATA("Sum of A1 Net2",'2.2 Pivot C'!$A$4,"Status 1 - Development","03 Planning","Status 2 - Permission Type","04 Prior Approval")+GETPIVOTDATA("Sum of A1 Net2",'2.2 Pivot C'!$A$4,"Status 1 - Development","03 Planning","Status 2 - Permission Type","05 Certificate of Lawful Development")</f>
        <v>-540</v>
      </c>
      <c r="G25" s="207">
        <f>GETPIVOTDATA("Count of A2 Net",'2.2 Pivot C'!$A$4,"Status 1 - Development","03 Planning","Status 2 - Permission Type","04 Prior Approval")+GETPIVOTDATA("Count of A2 Net",'2.2 Pivot C'!$A$4,"Status 1 - Development","03 Planning","Status 2 - Permission Type","05 Certificate of Lawful Development")</f>
        <v>1</v>
      </c>
      <c r="H25" s="108">
        <f>GETPIVOTDATA("Sum of A2 Net2",'2.2 Pivot C'!$A$4,"Status 1 - Development","03 Planning","Status 2 - Permission Type","04 Prior Approval")+GETPIVOTDATA("Sum of A2 Net2",'2.2 Pivot C'!$A$4,"Status 1 - Development","03 Planning","Status 2 - Permission Type","05 Certificate of Lawful Development")</f>
        <v>-19</v>
      </c>
      <c r="I25" s="207">
        <f>GETPIVOTDATA("Count of A3 Net",'2.2 Pivot C'!$A$4,"Status 1 - Development","03 Planning","Status 2 - Permission Type","04 Prior Approval")+GETPIVOTDATA("Count of A3 Net",'2.2 Pivot C'!$A$4,"Status 1 - Development","03 Planning","Status 2 - Permission Type","05 Certificate of Lawful Development")</f>
        <v>3</v>
      </c>
      <c r="J25" s="108">
        <f>GETPIVOTDATA("Sum of A3 Net2",'2.2 Pivot C'!$A$4,"Status 1 - Development","03 Planning","Status 2 - Permission Type","04 Prior Approval")+GETPIVOTDATA("Sum of A3 Net2",'2.2 Pivot C'!$A$4,"Status 1 - Development","03 Planning","Status 2 - Permission Type","05 Certificate of Lawful Development")</f>
        <v>57</v>
      </c>
      <c r="K25" s="207">
        <f>GETPIVOTDATA("Count of A4 Net",'2.2 Pivot C'!$A$4,"Status 1 - Development","03 Planning","Status 2 - Permission Type","04 Prior Approval")+GETPIVOTDATA("Count of A4 Net",'2.2 Pivot C'!$A$4,"Status 1 - Development","03 Planning","Status 2 - Permission Type","05 Certificate of Lawful Development")</f>
        <v>0</v>
      </c>
      <c r="L25" s="108">
        <f>GETPIVOTDATA("Sum of A4 Net2",'2.2 Pivot C'!$A$4,"Status 1 - Development","03 Planning","Status 2 - Permission Type","04 Prior Approval")+GETPIVOTDATA("Sum of A4 Net2",'2.2 Pivot C'!$A$4,"Status 1 - Development","03 Planning","Status 2 - Permission Type","05 Certificate of Lawful Development")</f>
        <v>0</v>
      </c>
      <c r="M25" s="207">
        <f>GETPIVOTDATA("Count of A5 Net",'2.2 Pivot C'!$A$4,"Status 1 - Development","03 Planning","Status 2 - Permission Type","04 Prior Approval")+GETPIVOTDATA("Count of A5 Net",'2.2 Pivot C'!$A$4,"Status 1 - Development","03 Planning","Status 2 - Permission Type","05 Certificate of Lawful Development")</f>
        <v>0</v>
      </c>
      <c r="N25" s="108">
        <f>GETPIVOTDATA("Sum of A5 Net2",'2.2 Pivot C'!$A$4,"Status 1 - Development","03 Planning","Status 2 - Permission Type","04 Prior Approval")+GETPIVOTDATA("Sum of A5 Net2",'2.2 Pivot C'!$A$4,"Status 1 - Development","03 Planning","Status 2 - Permission Type","05 Certificate of Lawful Development")</f>
        <v>0</v>
      </c>
      <c r="O25" s="477">
        <f>GETPIVOTDATA("Count of A Total Net",'2.2 Pivot C'!$A$4,"Status 1 - Development","03 Planning","Status 2 - Permission Type","04 Prior Approval")+GETPIVOTDATA("Count of A Total Net",'2.2 Pivot C'!$A$4,"Status 1 - Development","03 Planning","Status 2 - Permission Type","05 Certificate of Lawful Development")</f>
        <v>8</v>
      </c>
      <c r="P25" s="478">
        <f>GETPIVOTDATA("Sum of A Total Net2",'2.2 Pivot C'!$A$4,"Status 1 - Development","03 Planning","Status 2 - Permission Type","04 Prior Approval")+GETPIVOTDATA("Sum of A Total Net2",'2.2 Pivot C'!$A$4,"Status 1 - Development","03 Planning","Status 2 - Permission Type","05 Certificate of Lawful Development")</f>
        <v>-502</v>
      </c>
    </row>
    <row r="26" spans="1:118" s="7" customFormat="1" x14ac:dyDescent="0.2">
      <c r="A26" s="697"/>
      <c r="B26" s="711"/>
      <c r="C26" s="692"/>
      <c r="D26" s="545" t="s">
        <v>95</v>
      </c>
      <c r="E26" s="208">
        <f>SUM(E23:E25)</f>
        <v>13</v>
      </c>
      <c r="F26" s="209">
        <f t="shared" ref="F26" si="34">SUM(F23:F25)</f>
        <v>-744</v>
      </c>
      <c r="G26" s="208">
        <f t="shared" ref="G26" si="35">SUM(G23:G25)</f>
        <v>3</v>
      </c>
      <c r="H26" s="209">
        <f t="shared" ref="H26" si="36">SUM(H23:H25)</f>
        <v>-146</v>
      </c>
      <c r="I26" s="208">
        <f t="shared" ref="I26" si="37">SUM(I23:I25)</f>
        <v>5</v>
      </c>
      <c r="J26" s="209">
        <f t="shared" ref="J26" si="38">SUM(J23:J25)</f>
        <v>356</v>
      </c>
      <c r="K26" s="208">
        <f t="shared" ref="K26" si="39">SUM(K23:K25)</f>
        <v>0</v>
      </c>
      <c r="L26" s="209">
        <f t="shared" ref="L26" si="40">SUM(L23:L25)</f>
        <v>0</v>
      </c>
      <c r="M26" s="208">
        <f t="shared" ref="M26" si="41">SUM(M23:M25)</f>
        <v>0</v>
      </c>
      <c r="N26" s="209">
        <f t="shared" ref="N26" si="42">SUM(N23:N25)</f>
        <v>0</v>
      </c>
      <c r="O26" s="479">
        <f t="shared" ref="O26" si="43">SUM(O23:O25)</f>
        <v>11</v>
      </c>
      <c r="P26" s="480">
        <f t="shared" ref="P26" si="44">SUM(P23:P25)</f>
        <v>-534</v>
      </c>
    </row>
    <row r="27" spans="1:118" x14ac:dyDescent="0.2">
      <c r="A27" s="697"/>
      <c r="B27" s="712"/>
      <c r="C27" s="660" t="s">
        <v>95</v>
      </c>
      <c r="D27" s="701"/>
      <c r="E27" s="208">
        <f>SUM(E14,E18,E22,E26)</f>
        <v>192</v>
      </c>
      <c r="F27" s="209">
        <f t="shared" ref="F27:P27" si="45">SUM(F14,F18,F22,F26)</f>
        <v>31245</v>
      </c>
      <c r="G27" s="208">
        <f t="shared" si="45"/>
        <v>79</v>
      </c>
      <c r="H27" s="209">
        <f t="shared" si="45"/>
        <v>40768</v>
      </c>
      <c r="I27" s="208">
        <f t="shared" si="45"/>
        <v>104</v>
      </c>
      <c r="J27" s="209">
        <f t="shared" si="45"/>
        <v>17893</v>
      </c>
      <c r="K27" s="208">
        <f t="shared" si="45"/>
        <v>50</v>
      </c>
      <c r="L27" s="209">
        <f t="shared" si="45"/>
        <v>8205</v>
      </c>
      <c r="M27" s="208">
        <f t="shared" si="45"/>
        <v>29</v>
      </c>
      <c r="N27" s="209">
        <f t="shared" si="45"/>
        <v>11648</v>
      </c>
      <c r="O27" s="479">
        <f t="shared" si="45"/>
        <v>229</v>
      </c>
      <c r="P27" s="480">
        <f t="shared" si="45"/>
        <v>109759</v>
      </c>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row>
    <row r="28" spans="1:118" x14ac:dyDescent="0.2">
      <c r="A28" s="697"/>
      <c r="B28" s="702" t="s">
        <v>424</v>
      </c>
      <c r="C28" s="704" t="s">
        <v>2932</v>
      </c>
      <c r="D28" s="371" t="s">
        <v>111</v>
      </c>
      <c r="E28" s="207">
        <f>GETPIVOTDATA("Count of A1 Net",'2.2 Pivot A'!$A$4,"Status 1 - Development","04 Pending","Status 2 - Permission Type","01 Pending Legal Agreement")</f>
        <v>1</v>
      </c>
      <c r="F28" s="108">
        <f>GETPIVOTDATA("Sum of A1 Net2",'2.2 Pivot A'!$A$4,"Status 1 - Development","04 Pending","Status 2 - Permission Type","01 Pending Legal Agreement")</f>
        <v>5944</v>
      </c>
      <c r="G28" s="207">
        <f>GETPIVOTDATA("Count of A2 Net",'2.2 Pivot A'!$A$4,"Status 1 - Development","04 Pending","Status 2 - Permission Type","01 Pending Legal Agreement")</f>
        <v>0</v>
      </c>
      <c r="H28" s="108">
        <f>GETPIVOTDATA("Sum of A2 Net2",'2.2 Pivot A'!$A$4,"Status 1 - Development","04 Pending","Status 2 - Permission Type","01 Pending Legal Agreement")</f>
        <v>0</v>
      </c>
      <c r="I28" s="207">
        <f>GETPIVOTDATA("Count of A3 Net",'2.2 Pivot A'!$A$4,"Status 1 - Development","04 Pending","Status 2 - Permission Type","01 Pending Legal Agreement")</f>
        <v>0</v>
      </c>
      <c r="J28" s="108">
        <f>GETPIVOTDATA("Sum of A3 Net2",'2.2 Pivot A'!$A$4,"Status 1 - Development","04 Pending","Status 2 - Permission Type","01 Pending Legal Agreement")</f>
        <v>0</v>
      </c>
      <c r="K28" s="207">
        <f>GETPIVOTDATA("Count of A4 Net",'2.2 Pivot A'!$A$4,"Status 1 - Development","04 Pending","Status 2 - Permission Type","01 Pending Legal Agreement")</f>
        <v>0</v>
      </c>
      <c r="L28" s="108">
        <f>GETPIVOTDATA("Sum of A4 Net2",'2.2 Pivot A'!$A$4,"Status 1 - Development","04 Pending","Status 2 - Permission Type","01 Pending Legal Agreement")</f>
        <v>0</v>
      </c>
      <c r="M28" s="207">
        <f>GETPIVOTDATA("Count of A5 Net",'2.2 Pivot A'!$A$4,"Status 1 - Development","04 Pending","Status 2 - Permission Type","01 Pending Legal Agreement")</f>
        <v>0</v>
      </c>
      <c r="N28" s="108">
        <f>GETPIVOTDATA("Sum of A5 Net2",'2.2 Pivot A'!$A$4,"Status 1 - Development","04 Pending","Status 2 - Permission Type","01 Pending Legal Agreement")</f>
        <v>0</v>
      </c>
      <c r="O28" s="477">
        <f>GETPIVOTDATA("Count of A Total Net",'2.2 Pivot A'!$A$4,"Status 1 - Development","04 Pending","Status 2 - Permission Type","01 Pending Legal Agreement")</f>
        <v>1</v>
      </c>
      <c r="P28" s="478">
        <f>GETPIVOTDATA("Sum of A Total Net2",'2.2 Pivot A'!$A$4,"Status 1 - Development","04 Pending","Status 2 - Permission Type","01 Pending Legal Agreement")</f>
        <v>5944</v>
      </c>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row>
    <row r="29" spans="1:118" x14ac:dyDescent="0.2">
      <c r="A29" s="697"/>
      <c r="B29" s="703"/>
      <c r="C29" s="705"/>
      <c r="D29" s="206" t="s">
        <v>140</v>
      </c>
      <c r="E29" s="207">
        <f>IFERROR(GETPIVOTDATA("Count of A1 Net",'2.2 Pivot B'!$A$4,"Status 1 - Development","04 Pending","Status 2 - Permission Type","01 Pending Legal Agreement"),0)</f>
        <v>0</v>
      </c>
      <c r="F29" s="108">
        <f>IFERROR(GETPIVOTDATA("Sum of A1 Net2",'2.2 Pivot B'!$A$4,"Status 1 - Development","04 Pending","Status 2 - Permission Type","01 Pending Legal Agreement"),0)</f>
        <v>0</v>
      </c>
      <c r="G29" s="207">
        <f>IFERROR(GETPIVOTDATA("Count of A2 Net",'2.2 Pivot B'!$A$4,"Status 1 - Development","04 Pending","Status 2 - Permission Type","01 Pending Legal Agreement"),0)</f>
        <v>0</v>
      </c>
      <c r="H29" s="108">
        <f>IFERROR(GETPIVOTDATA("Sum of A2 Net2",'2.2 Pivot B'!$A$4,"Status 1 - Development","04 Pending","Status 2 - Permission Type","01 Pending Legal Agreement"),0)</f>
        <v>0</v>
      </c>
      <c r="I29" s="207">
        <f>IFERROR(GETPIVOTDATA("Count of A3 Net",'2.2 Pivot B'!$A$4,"Status 1 - Development","04 Pending","Status 2 - Permission Type","01 Pending Legal Agreement"),0)</f>
        <v>0</v>
      </c>
      <c r="J29" s="108">
        <f>IFERROR(GETPIVOTDATA("Sum of A3 Net2",'2.2 Pivot B'!$A$4,"Status 1 - Development","04 Pending","Status 2 - Permission Type","01 Pending Legal Agreement"),0)</f>
        <v>0</v>
      </c>
      <c r="K29" s="207">
        <f>IFERROR(GETPIVOTDATA("Count of A4 Net",'2.2 Pivot B'!$A$4,"Status 1 - Development","04 Pending","Status 2 - Permission Type","01 Pending Legal Agreement"),0)</f>
        <v>0</v>
      </c>
      <c r="L29" s="108">
        <f>IFERROR(GETPIVOTDATA("Sum of A4 Net2",'2.2 Pivot B'!$A$4,"Status 1 - Development","04 Pending","Status 2 - Permission Type","01 Pending Legal Agreement"),0)</f>
        <v>0</v>
      </c>
      <c r="M29" s="207">
        <f>IFERROR(GETPIVOTDATA("Count of A5 Net",'2.2 Pivot B'!$A$4,"Status 1 - Development","04 Pending","Status 2 - Permission Type","01 Pending Legal Agreement"),0)</f>
        <v>0</v>
      </c>
      <c r="N29" s="108">
        <f>IFERROR(GETPIVOTDATA("Sum of A5 Net2",'2.2 Pivot B'!$A$4,"Status 1 - Development","04 Pending","Status 2 - Permission Type","01 Pending Legal Agreement"),0)</f>
        <v>0</v>
      </c>
      <c r="O29" s="477">
        <f>IFERROR(GETPIVOTDATA("Count of A Total Net",'2.2 Pivot B'!$A$4,"Status 1 - Development","04 Pending","Status 2 - Permission Type","01 Pending Legal Agreement"),0)</f>
        <v>0</v>
      </c>
      <c r="P29" s="478">
        <f>IFERROR(GETPIVOTDATA("Sum of A Total Net2",'2.2 Pivot B'!$A$4,"Status 1 - Development","04 Pending","Status 2 - Permission Type","01 Pending Legal Agreement"),0)</f>
        <v>0</v>
      </c>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row>
    <row r="30" spans="1:118" x14ac:dyDescent="0.2">
      <c r="A30" s="697"/>
      <c r="B30" s="703"/>
      <c r="C30" s="705"/>
      <c r="D30" s="206" t="s">
        <v>49</v>
      </c>
      <c r="E30" s="207">
        <f>GETPIVOTDATA("Count of A1 Net",'2.2 Pivot C'!$A$4,"Status 1 - Development","04 Pending","Status 2 - Permission Type","01 Pending Legal Agreement")</f>
        <v>5</v>
      </c>
      <c r="F30" s="108">
        <f>GETPIVOTDATA("Sum of A1 Net2",'2.2 Pivot C'!$A$4,"Status 1 - Development","04 Pending","Status 2 - Permission Type","01 Pending Legal Agreement")</f>
        <v>-7708</v>
      </c>
      <c r="G30" s="207">
        <f>GETPIVOTDATA("Count of A2 Net",'2.2 Pivot C'!$A$4,"Status 1 - Development","04 Pending","Status 2 - Permission Type","01 Pending Legal Agreement")</f>
        <v>5</v>
      </c>
      <c r="H30" s="108">
        <f>GETPIVOTDATA("Sum of A2 Net2",'2.2 Pivot C'!$A$4,"Status 1 - Development","04 Pending","Status 2 - Permission Type","01 Pending Legal Agreement")</f>
        <v>1725</v>
      </c>
      <c r="I30" s="207">
        <f>GETPIVOTDATA("Count of A3 Net",'2.2 Pivot C'!$A$4,"Status 1 - Development","04 Pending","Status 2 - Permission Type","01 Pending Legal Agreement")</f>
        <v>6</v>
      </c>
      <c r="J30" s="108">
        <f>GETPIVOTDATA("Sum of A3 Net2",'2.2 Pivot C'!$A$4,"Status 1 - Development","04 Pending","Status 2 - Permission Type","01 Pending Legal Agreement")</f>
        <v>1852</v>
      </c>
      <c r="K30" s="207">
        <f>GETPIVOTDATA("Count of A4 Net",'2.2 Pivot C'!$A$4,"Status 1 - Development","04 Pending","Status 2 - Permission Type","01 Pending Legal Agreement")</f>
        <v>4</v>
      </c>
      <c r="L30" s="108">
        <f>GETPIVOTDATA("Sum of A4 Net2",'2.2 Pivot C'!$A$4,"Status 1 - Development","04 Pending","Status 2 - Permission Type","01 Pending Legal Agreement")</f>
        <v>992</v>
      </c>
      <c r="M30" s="207">
        <f>GETPIVOTDATA("Count of A5 Net",'2.2 Pivot C'!$A$4,"Status 1 - Development","04 Pending","Status 2 - Permission Type","01 Pending Legal Agreement")</f>
        <v>1</v>
      </c>
      <c r="N30" s="108">
        <f>GETPIVOTDATA("Sum of A5 Net2",'2.2 Pivot C'!$A$4,"Status 1 - Development","04 Pending","Status 2 - Permission Type","01 Pending Legal Agreement")</f>
        <v>199</v>
      </c>
      <c r="O30" s="477">
        <f>GETPIVOTDATA("Count of A Total Net",'2.2 Pivot C'!$A$4,"Status 1 - Development","04 Pending","Status 2 - Permission Type","01 Pending Legal Agreement")</f>
        <v>7</v>
      </c>
      <c r="P30" s="478">
        <f>GETPIVOTDATA("Sum of A Total Net2",'2.2 Pivot C'!$A$4,"Status 1 - Development","04 Pending","Status 2 - Permission Type","01 Pending Legal Agreement")</f>
        <v>-2940</v>
      </c>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row>
    <row r="31" spans="1:118" x14ac:dyDescent="0.2">
      <c r="A31" s="697"/>
      <c r="B31" s="703"/>
      <c r="C31" s="705"/>
      <c r="D31" s="545" t="s">
        <v>95</v>
      </c>
      <c r="E31" s="208">
        <f>SUM(E28:E30)</f>
        <v>6</v>
      </c>
      <c r="F31" s="209">
        <f t="shared" ref="F31" si="46">SUM(F28:F30)</f>
        <v>-1764</v>
      </c>
      <c r="G31" s="208">
        <f t="shared" ref="G31" si="47">SUM(G28:G30)</f>
        <v>5</v>
      </c>
      <c r="H31" s="209">
        <f t="shared" ref="H31" si="48">SUM(H28:H30)</f>
        <v>1725</v>
      </c>
      <c r="I31" s="208">
        <f t="shared" ref="I31" si="49">SUM(I28:I30)</f>
        <v>6</v>
      </c>
      <c r="J31" s="209">
        <f t="shared" ref="J31" si="50">SUM(J28:J30)</f>
        <v>1852</v>
      </c>
      <c r="K31" s="208">
        <f t="shared" ref="K31" si="51">SUM(K28:K30)</f>
        <v>4</v>
      </c>
      <c r="L31" s="209">
        <f t="shared" ref="L31" si="52">SUM(L28:L30)</f>
        <v>992</v>
      </c>
      <c r="M31" s="208">
        <f t="shared" ref="M31" si="53">SUM(M28:M30)</f>
        <v>1</v>
      </c>
      <c r="N31" s="209">
        <f t="shared" ref="N31" si="54">SUM(N28:N30)</f>
        <v>199</v>
      </c>
      <c r="O31" s="479">
        <f t="shared" ref="O31" si="55">SUM(O28:O30)</f>
        <v>8</v>
      </c>
      <c r="P31" s="480">
        <f t="shared" ref="P31" si="56">SUM(P28:P30)</f>
        <v>3004</v>
      </c>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row>
    <row r="32" spans="1:118" x14ac:dyDescent="0.2">
      <c r="A32" s="697"/>
      <c r="B32" s="703"/>
      <c r="C32" s="704" t="s">
        <v>3800</v>
      </c>
      <c r="D32" s="206" t="s">
        <v>111</v>
      </c>
      <c r="E32" s="207">
        <f>GETPIVOTDATA("Count of A1 Net",'2.2 Pivot A'!$A$4,"Status 1 - Development","04 Pending","Status 2 - Permission Type","02 Full")+GETPIVOTDATA("Count of A1 Net",'2.2 Pivot A'!$A$4,"Status 1 - Development","04 Pending","Status 2 - Permission Type","04 Prior Approval")</f>
        <v>12</v>
      </c>
      <c r="F32" s="108">
        <f>GETPIVOTDATA("Sum of A1 Net2",'2.2 Pivot A'!$A$4,"Status 1 - Development","04 Pending","Status 2 - Permission Type","02 Full")+GETPIVOTDATA("Sum of A1 Net2",'2.2 Pivot A'!$A$4,"Status 1 - Development","04 Pending","Status 2 - Permission Type","04 Prior Approval")</f>
        <v>-4485</v>
      </c>
      <c r="G32" s="207">
        <f>GETPIVOTDATA("Count of A2 Net",'2.2 Pivot A'!$A$4,"Status 1 - Development","04 Pending","Status 2 - Permission Type","02 Full")+GETPIVOTDATA("Count of A2 Net",'2.2 Pivot A'!$A$4,"Status 1 - Development","04 Pending","Status 2 - Permission Type","04 Prior Approval")</f>
        <v>4</v>
      </c>
      <c r="H32" s="108">
        <f>GETPIVOTDATA("Sum of A2 Net2",'2.2 Pivot A'!$A$4,"Status 1 - Development","04 Pending","Status 2 - Permission Type","02 Full")+GETPIVOTDATA("Sum of A2 Net2",'2.2 Pivot A'!$A$4,"Status 1 - Development","04 Pending","Status 2 - Permission Type","04 Prior Approval")</f>
        <v>396</v>
      </c>
      <c r="I32" s="207">
        <f>GETPIVOTDATA("Count of A3 Net",'2.2 Pivot A'!$A$4,"Status 1 - Development","04 Pending","Status 2 - Permission Type","02 Full")+GETPIVOTDATA("Count of A3 Net",'2.2 Pivot A'!$A$4,"Status 1 - Development","04 Pending","Status 2 - Permission Type","04 Prior Approval")</f>
        <v>5</v>
      </c>
      <c r="J32" s="108">
        <f>GETPIVOTDATA("Sum of A3 Net2",'2.2 Pivot A'!$A$4,"Status 1 - Development","04 Pending","Status 2 - Permission Type","02 Full")+GETPIVOTDATA("Sum of A3 Net2",'2.2 Pivot A'!$A$4,"Status 1 - Development","04 Pending","Status 2 - Permission Type","04 Prior Approval")</f>
        <v>1380</v>
      </c>
      <c r="K32" s="207">
        <f>GETPIVOTDATA("Count of A4 Net",'2.2 Pivot A'!$A$4,"Status 1 - Development","04 Pending","Status 2 - Permission Type","02 Full")+GETPIVOTDATA("Count of A4 Net",'2.2 Pivot A'!$A$4,"Status 1 - Development","04 Pending","Status 2 - Permission Type","04 Prior Approval")</f>
        <v>2</v>
      </c>
      <c r="L32" s="108">
        <f>GETPIVOTDATA("Sum of A4 Net2",'2.2 Pivot A'!$A$4,"Status 1 - Development","04 Pending","Status 2 - Permission Type","02 Full")+GETPIVOTDATA("Sum of A4 Net2",'2.2 Pivot A'!$A$4,"Status 1 - Development","04 Pending","Status 2 - Permission Type","04 Prior Approval")</f>
        <v>2027</v>
      </c>
      <c r="M32" s="207">
        <f>GETPIVOTDATA("Count of A5 Net",'2.2 Pivot A'!$A$4,"Status 1 - Development","04 Pending","Status 2 - Permission Type","02 Full")+GETPIVOTDATA("Count of A5 Net",'2.2 Pivot A'!$A$4,"Status 1 - Development","04 Pending","Status 2 - Permission Type","04 Prior Approval")</f>
        <v>1</v>
      </c>
      <c r="N32" s="108">
        <f>GETPIVOTDATA("Sum of A5 Net2",'2.2 Pivot A'!$A$4,"Status 1 - Development","04 Pending","Status 2 - Permission Type","02 Full")+GETPIVOTDATA("Sum of A5 Net2",'2.2 Pivot A'!$A$4,"Status 1 - Development","04 Pending","Status 2 - Permission Type","04 Prior Approval")</f>
        <v>79</v>
      </c>
      <c r="O32" s="477">
        <f>GETPIVOTDATA("Count of A Total Net",'2.2 Pivot A'!$A$4,"Status 1 - Development","04 Pending","Status 2 - Permission Type","02 Full")+GETPIVOTDATA("Count of A Total Net",'2.2 Pivot A'!$A$4,"Status 1 - Development","04 Pending","Status 2 - Permission Type","04 Prior Approval")</f>
        <v>14</v>
      </c>
      <c r="P32" s="478">
        <f>GETPIVOTDATA("Sum of A Total Net2",'2.2 Pivot A'!$A$4,"Status 1 - Development","04 Pending","Status 2 - Permission Type","02 Full")+GETPIVOTDATA("Sum of A Total Net2",'2.2 Pivot A'!$A$4,"Status 1 - Development","04 Pending","Status 2 - Permission Type","04 Prior Approval")</f>
        <v>-603</v>
      </c>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row>
    <row r="33" spans="1:118" x14ac:dyDescent="0.2">
      <c r="A33" s="697"/>
      <c r="B33" s="703"/>
      <c r="C33" s="705"/>
      <c r="D33" s="206" t="s">
        <v>140</v>
      </c>
      <c r="E33" s="207">
        <f>GETPIVOTDATA("Count of A1 Net",'2.2 Pivot B'!$A$4,"Status 1 - Development","04 Pending","Status 2 - Permission Type","02 Full")+GETPIVOTDATA("Count of A1 Net",'2.2 Pivot B'!$A$4,"Status 1 - Development","04 Pending","Status 2 - Permission Type","04 Prior Approval")</f>
        <v>3</v>
      </c>
      <c r="F33" s="108">
        <f>GETPIVOTDATA("Sum of A1 Net2",'2.2 Pivot B'!$A$4,"Status 1 - Development","04 Pending","Status 2 - Permission Type","02 Full")+GETPIVOTDATA("Sum of A1 Net2",'2.2 Pivot B'!$A$4,"Status 1 - Development","04 Pending","Status 2 - Permission Type","04 Prior Approval")</f>
        <v>-288</v>
      </c>
      <c r="G33" s="207">
        <f>GETPIVOTDATA("Count of A2 Net",'2.2 Pivot B'!$A$4,"Status 1 - Development","04 Pending","Status 2 - Permission Type","02 Full")+GETPIVOTDATA("Count of A2 Net",'2.2 Pivot B'!$A$4,"Status 1 - Development","04 Pending","Status 2 - Permission Type","04 Prior Approval")</f>
        <v>1</v>
      </c>
      <c r="H33" s="108">
        <f>GETPIVOTDATA("Sum of A2 Net2",'2.2 Pivot B'!$A$4,"Status 1 - Development","04 Pending","Status 2 - Permission Type","02 Full")+GETPIVOTDATA("Sum of A2 Net2",'2.2 Pivot B'!$A$4,"Status 1 - Development","04 Pending","Status 2 - Permission Type","04 Prior Approval")</f>
        <v>5</v>
      </c>
      <c r="I33" s="207">
        <f>GETPIVOTDATA("Count of A3 Net",'2.2 Pivot B'!$A$4,"Status 1 - Development","04 Pending","Status 2 - Permission Type","02 Full")+GETPIVOTDATA("Count of A3 Net",'2.2 Pivot B'!$A$4,"Status 1 - Development","04 Pending","Status 2 - Permission Type","04 Prior Approval")</f>
        <v>1</v>
      </c>
      <c r="J33" s="108">
        <f>GETPIVOTDATA("Sum of A3 Net2",'2.2 Pivot B'!$A$4,"Status 1 - Development","04 Pending","Status 2 - Permission Type","02 Full")+GETPIVOTDATA("Sum of A3 Net2",'2.2 Pivot B'!$A$4,"Status 1 - Development","04 Pending","Status 2 - Permission Type","04 Prior Approval")</f>
        <v>91</v>
      </c>
      <c r="K33" s="207">
        <f>GETPIVOTDATA("Count of A4 Net",'2.2 Pivot B'!$A$4,"Status 1 - Development","04 Pending","Status 2 - Permission Type","02 Full")+GETPIVOTDATA("Count of A4 Net",'2.2 Pivot B'!$A$4,"Status 1 - Development","04 Pending","Status 2 - Permission Type","04 Prior Approval")</f>
        <v>0</v>
      </c>
      <c r="L33" s="108">
        <f>GETPIVOTDATA("Sum of A4 Net2",'2.2 Pivot B'!$A$4,"Status 1 - Development","04 Pending","Status 2 - Permission Type","02 Full")+GETPIVOTDATA("Sum of A4 Net2",'2.2 Pivot B'!$A$4,"Status 1 - Development","04 Pending","Status 2 - Permission Type","04 Prior Approval")</f>
        <v>0</v>
      </c>
      <c r="M33" s="207">
        <f>GETPIVOTDATA("Count of A5 Net",'2.2 Pivot B'!$A$4,"Status 1 - Development","04 Pending","Status 2 - Permission Type","02 Full")+GETPIVOTDATA("Count of A5 Net",'2.2 Pivot B'!$A$4,"Status 1 - Development","04 Pending","Status 2 - Permission Type","04 Prior Approval")</f>
        <v>0</v>
      </c>
      <c r="N33" s="108">
        <f>GETPIVOTDATA("Sum of A5 Net2",'2.2 Pivot B'!$A$4,"Status 1 - Development","04 Pending","Status 2 - Permission Type","02 Full")+GETPIVOTDATA("Sum of A5 Net2",'2.2 Pivot B'!$A$4,"Status 1 - Development","04 Pending","Status 2 - Permission Type","04 Prior Approval")</f>
        <v>0</v>
      </c>
      <c r="O33" s="477">
        <f>GETPIVOTDATA("Count of A Total Net",'2.2 Pivot B'!$A$4,"Status 1 - Development","04 Pending","Status 2 - Permission Type","02 Full")+GETPIVOTDATA("Count of A Total Net",'2.2 Pivot B'!$A$4,"Status 1 - Development","04 Pending","Status 2 - Permission Type","04 Prior Approval")</f>
        <v>3</v>
      </c>
      <c r="P33" s="478">
        <f>GETPIVOTDATA("Sum of A Total Net2",'2.2 Pivot B'!$A$4,"Status 1 - Development","04 Pending","Status 2 - Permission Type","02 Full")+GETPIVOTDATA("Sum of A Total Net2",'2.2 Pivot B'!$A$4,"Status 1 - Development","04 Pending","Status 2 - Permission Type","04 Prior Approval")</f>
        <v>-192</v>
      </c>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row>
    <row r="34" spans="1:118" x14ac:dyDescent="0.2">
      <c r="A34" s="697"/>
      <c r="B34" s="703"/>
      <c r="C34" s="705"/>
      <c r="D34" s="206" t="s">
        <v>49</v>
      </c>
      <c r="E34" s="207">
        <f>GETPIVOTDATA("Count of A1 Net",'2.2 Pivot C'!$A$4,"Status 1 - Development","04 Pending","Status 2 - Permission Type","02 Full")+GETPIVOTDATA("Count of A1 Net",'2.2 Pivot C'!$A$4,"Status 1 - Development","04 Pending","Status 2 - Permission Type","04 Prior Approval")</f>
        <v>21</v>
      </c>
      <c r="F34" s="108">
        <f>GETPIVOTDATA("Sum of A1 Net2",'2.2 Pivot C'!$A$4,"Status 1 - Development","04 Pending","Status 2 - Permission Type","02 Full")+GETPIVOTDATA("Sum of A1 Net2",'2.2 Pivot C'!$A$4,"Status 1 - Development","04 Pending","Status 2 - Permission Type","04 Prior Approval")</f>
        <v>-846</v>
      </c>
      <c r="G34" s="207">
        <f>GETPIVOTDATA("Count of A2 Net",'2.2 Pivot C'!$A$4,"Status 1 - Development","04 Pending","Status 2 - Permission Type","02 Full")+GETPIVOTDATA("Count of A2 Net",'2.2 Pivot C'!$A$4,"Status 1 - Development","04 Pending","Status 2 - Permission Type","04 Prior Approval")</f>
        <v>10</v>
      </c>
      <c r="H34" s="108">
        <f>GETPIVOTDATA("Sum of A2 Net2",'2.2 Pivot C'!$A$4,"Status 1 - Development","04 Pending","Status 2 - Permission Type","02 Full")+GETPIVOTDATA("Sum of A2 Net2",'2.2 Pivot C'!$A$4,"Status 1 - Development","04 Pending","Status 2 - Permission Type","04 Prior Approval")</f>
        <v>209</v>
      </c>
      <c r="I34" s="207">
        <f>GETPIVOTDATA("Count of A3 Net",'2.2 Pivot C'!$A$4,"Status 1 - Development","04 Pending","Status 2 - Permission Type","02 Full")+GETPIVOTDATA("Count of A3 Net",'2.2 Pivot C'!$A$4,"Status 1 - Development","04 Pending","Status 2 - Permission Type","04 Prior Approval")</f>
        <v>12</v>
      </c>
      <c r="J34" s="108">
        <f>GETPIVOTDATA("Sum of A3 Net2",'2.2 Pivot C'!$A$4,"Status 1 - Development","04 Pending","Status 2 - Permission Type","02 Full")+GETPIVOTDATA("Sum of A3 Net2",'2.2 Pivot C'!$A$4,"Status 1 - Development","04 Pending","Status 2 - Permission Type","04 Prior Approval")</f>
        <v>398</v>
      </c>
      <c r="K34" s="207">
        <f>GETPIVOTDATA("Count of A4 Net",'2.2 Pivot C'!$A$4,"Status 1 - Development","04 Pending","Status 2 - Permission Type","02 Full")+GETPIVOTDATA("Count of A4 Net",'2.2 Pivot C'!$A$4,"Status 1 - Development","04 Pending","Status 2 - Permission Type","04 Prior Approval")</f>
        <v>4</v>
      </c>
      <c r="L34" s="108">
        <f>GETPIVOTDATA("Sum of A4 Net2",'2.2 Pivot C'!$A$4,"Status 1 - Development","04 Pending","Status 2 - Permission Type","02 Full")+GETPIVOTDATA("Sum of A4 Net2",'2.2 Pivot C'!$A$4,"Status 1 - Development","04 Pending","Status 2 - Permission Type","04 Prior Approval")</f>
        <v>-832</v>
      </c>
      <c r="M34" s="207">
        <f>GETPIVOTDATA("Count of A5 Net",'2.2 Pivot C'!$A$4,"Status 1 - Development","04 Pending","Status 2 - Permission Type","02 Full")+GETPIVOTDATA("Count of A5 Net",'2.2 Pivot C'!$A$4,"Status 1 - Development","04 Pending","Status 2 - Permission Type","04 Prior Approval")</f>
        <v>2</v>
      </c>
      <c r="N34" s="108">
        <f>GETPIVOTDATA("Sum of A5 Net2",'2.2 Pivot C'!$A$4,"Status 1 - Development","04 Pending","Status 2 - Permission Type","02 Full")+GETPIVOTDATA("Sum of A5 Net2",'2.2 Pivot C'!$A$4,"Status 1 - Development","04 Pending","Status 2 - Permission Type","04 Prior Approval")</f>
        <v>-125</v>
      </c>
      <c r="O34" s="477">
        <f>GETPIVOTDATA("Count of A Total Net",'2.2 Pivot C'!$A$4,"Status 1 - Development","04 Pending","Status 2 - Permission Type","02 Full")+GETPIVOTDATA("Count of A Total Net",'2.2 Pivot C'!$A$4,"Status 1 - Development","04 Pending","Status 2 - Permission Type","04 Prior Approval")</f>
        <v>21</v>
      </c>
      <c r="P34" s="478">
        <f>GETPIVOTDATA("Sum of A Total Net2",'2.2 Pivot C'!$A$4,"Status 1 - Development","04 Pending","Status 2 - Permission Type","02 Full")+GETPIVOTDATA("Sum of A Total Net2",'2.2 Pivot C'!$A$4,"Status 1 - Development","04 Pending","Status 2 - Permission Type","04 Prior Approval")</f>
        <v>-1196</v>
      </c>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row>
    <row r="35" spans="1:118" x14ac:dyDescent="0.2">
      <c r="A35" s="697"/>
      <c r="B35" s="703"/>
      <c r="C35" s="705"/>
      <c r="D35" s="545" t="s">
        <v>95</v>
      </c>
      <c r="E35" s="208">
        <f>SUM(E32:E34)</f>
        <v>36</v>
      </c>
      <c r="F35" s="209">
        <f t="shared" ref="F35" si="57">SUM(F32:F34)</f>
        <v>-5619</v>
      </c>
      <c r="G35" s="208">
        <f t="shared" ref="G35" si="58">SUM(G32:G34)</f>
        <v>15</v>
      </c>
      <c r="H35" s="209">
        <f t="shared" ref="H35" si="59">SUM(H32:H34)</f>
        <v>610</v>
      </c>
      <c r="I35" s="208">
        <f t="shared" ref="I35" si="60">SUM(I32:I34)</f>
        <v>18</v>
      </c>
      <c r="J35" s="209">
        <f t="shared" ref="J35" si="61">SUM(J32:J34)</f>
        <v>1869</v>
      </c>
      <c r="K35" s="208">
        <f t="shared" ref="K35" si="62">SUM(K32:K34)</f>
        <v>6</v>
      </c>
      <c r="L35" s="209">
        <f t="shared" ref="L35" si="63">SUM(L32:L34)</f>
        <v>1195</v>
      </c>
      <c r="M35" s="208">
        <f t="shared" ref="M35" si="64">SUM(M32:M34)</f>
        <v>3</v>
      </c>
      <c r="N35" s="209">
        <f t="shared" ref="N35" si="65">SUM(N32:N34)</f>
        <v>-46</v>
      </c>
      <c r="O35" s="479">
        <f t="shared" ref="O35" si="66">SUM(O32:O34)</f>
        <v>38</v>
      </c>
      <c r="P35" s="480">
        <f t="shared" ref="P35" si="67">SUM(P32:P34)</f>
        <v>-1991</v>
      </c>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row>
    <row r="36" spans="1:118" x14ac:dyDescent="0.2">
      <c r="A36" s="697"/>
      <c r="B36" s="703"/>
      <c r="C36" s="704" t="s">
        <v>2933</v>
      </c>
      <c r="D36" s="206" t="s">
        <v>111</v>
      </c>
      <c r="E36" s="207">
        <f>GETPIVOTDATA("Count of A1 Net",'2.2 Pivot A'!$A$4,"Status 1 - Development","04 Pending","Status 2 - Permission Type","06 Appeal")</f>
        <v>1</v>
      </c>
      <c r="F36" s="108">
        <f>GETPIVOTDATA("Sum of A1 Net2",'2.2 Pivot A'!$A$4,"Status 1 - Development","04 Pending","Status 2 - Permission Type","06 Appeal")</f>
        <v>-145</v>
      </c>
      <c r="G36" s="207">
        <f>GETPIVOTDATA("Count of A2 Net",'2.2 Pivot A'!$A$4,"Status 1 - Development","04 Pending","Status 2 - Permission Type","06 Appeal")</f>
        <v>0</v>
      </c>
      <c r="H36" s="108">
        <f>GETPIVOTDATA("Sum of A2 Net2",'2.2 Pivot A'!$A$4,"Status 1 - Development","04 Pending","Status 2 - Permission Type","06 Appeal")</f>
        <v>0</v>
      </c>
      <c r="I36" s="207">
        <f>GETPIVOTDATA("Count of A3 Net",'2.2 Pivot A'!$A$4,"Status 1 - Development","04 Pending","Status 2 - Permission Type","06 Appeal")</f>
        <v>1</v>
      </c>
      <c r="J36" s="108">
        <f>GETPIVOTDATA("Sum of A3 Net2",'2.2 Pivot A'!$A$4,"Status 1 - Development","04 Pending","Status 2 - Permission Type","06 Appeal")</f>
        <v>134</v>
      </c>
      <c r="K36" s="207">
        <f>GETPIVOTDATA("Count of A4 Net",'2.2 Pivot A'!$A$4,"Status 1 - Development","04 Pending","Status 2 - Permission Type","06 Appeal")</f>
        <v>0</v>
      </c>
      <c r="L36" s="108">
        <f>GETPIVOTDATA("Sum of A4 Net2",'2.2 Pivot A'!$A$4,"Status 1 - Development","04 Pending","Status 2 - Permission Type","06 Appeal")</f>
        <v>0</v>
      </c>
      <c r="M36" s="207">
        <f>GETPIVOTDATA("Count of A5 Net",'2.2 Pivot A'!$A$4,"Status 1 - Development","04 Pending","Status 2 - Permission Type","06 Appeal")</f>
        <v>0</v>
      </c>
      <c r="N36" s="108">
        <f>GETPIVOTDATA("Sum of A5 Net2",'2.2 Pivot A'!$A$4,"Status 1 - Development","04 Pending","Status 2 - Permission Type","06 Appeal")</f>
        <v>0</v>
      </c>
      <c r="O36" s="477">
        <f>GETPIVOTDATA("Count of A Total Net",'2.2 Pivot A'!$A$4,"Status 1 - Development","04 Pending","Status 2 - Permission Type","06 Appeal")</f>
        <v>1</v>
      </c>
      <c r="P36" s="478">
        <f>GETPIVOTDATA("Sum of A Total Net2",'2.2 Pivot A'!$A$4,"Status 1 - Development","04 Pending","Status 2 - Permission Type","06 Appeal")</f>
        <v>-11</v>
      </c>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row>
    <row r="37" spans="1:118" x14ac:dyDescent="0.2">
      <c r="A37" s="697"/>
      <c r="B37" s="703"/>
      <c r="C37" s="705"/>
      <c r="D37" s="206" t="s">
        <v>140</v>
      </c>
      <c r="E37" s="207">
        <f>IFERROR(GETPIVOTDATA("Count of A1 Net",'2.2 Pivot B'!$A$4,"Status 1 - Development","04 Pending","Status 2 - Permission Type","06 Appeal"),0)</f>
        <v>0</v>
      </c>
      <c r="F37" s="108">
        <f>IFERROR(GETPIVOTDATA("Sum of A1 Net2",'2.2 Pivot B'!$A$4,"Status 1 - Development","04 Pending","Status 2 - Permission Type","06 Appeal"),0)</f>
        <v>0</v>
      </c>
      <c r="G37" s="207">
        <f>IFERROR(GETPIVOTDATA("Count of A2 Net",'2.2 Pivot B'!$A$4,"Status 1 - Development","04 Pending","Status 2 - Permission Type","06 Appeal"),0)</f>
        <v>0</v>
      </c>
      <c r="H37" s="108">
        <f>IFERROR(GETPIVOTDATA("Sum of A2 Net2",'2.2 Pivot B'!$A$4,"Status 1 - Development","04 Pending","Status 2 - Permission Type","06 Appeal"),0)</f>
        <v>0</v>
      </c>
      <c r="I37" s="207">
        <f>IFERROR(GETPIVOTDATA("Count of A3 Net",'2.2 Pivot B'!$A$4,"Status 1 - Development","04 Pending","Status 2 - Permission Type","06 Appeal"),0)</f>
        <v>0</v>
      </c>
      <c r="J37" s="108">
        <f>IFERROR(GETPIVOTDATA("Sum of A3 Net2",'2.2 Pivot B'!$A$4,"Status 1 - Development","04 Pending","Status 2 - Permission Type","06 Appeal"),0)</f>
        <v>0</v>
      </c>
      <c r="K37" s="207">
        <f>IFERROR(GETPIVOTDATA("Count of A4 Net",'2.2 Pivot B'!$A$4,"Status 1 - Development","04 Pending","Status 2 - Permission Type","06 Appeal"),0)</f>
        <v>0</v>
      </c>
      <c r="L37" s="108">
        <f>IFERROR(GETPIVOTDATA("Sum of A4 Net2",'2.2 Pivot B'!$A$4,"Status 1 - Development","04 Pending","Status 2 - Permission Type","06 Appeal"),0)</f>
        <v>0</v>
      </c>
      <c r="M37" s="207">
        <f>IFERROR(GETPIVOTDATA("Count of A5 Net",'2.2 Pivot B'!$A$4,"Status 1 - Development","04 Pending","Status 2 - Permission Type","06 Appeal"),0)</f>
        <v>0</v>
      </c>
      <c r="N37" s="108">
        <f>IFERROR(GETPIVOTDATA("Sum of A5 Net2",'2.2 Pivot B'!$A$4,"Status 1 - Development","04 Pending","Status 2 - Permission Type","06 Appeal"),0)</f>
        <v>0</v>
      </c>
      <c r="O37" s="477">
        <f>IFERROR(GETPIVOTDATA("Count of A Total Net",'2.2 Pivot B'!$A$4,"Status 1 - Development","04 Pending","Status 2 - Permission Type","06 Appeal"),0)</f>
        <v>0</v>
      </c>
      <c r="P37" s="478">
        <f>IFERROR(GETPIVOTDATA("Sum of A Total Net2",'2.2 Pivot B'!$A$4,"Status 1 - Development","04 Pending","Status 2 - Permission Type","06 Appeal"),0)</f>
        <v>0</v>
      </c>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row>
    <row r="38" spans="1:118" x14ac:dyDescent="0.2">
      <c r="A38" s="697"/>
      <c r="B38" s="703"/>
      <c r="C38" s="705"/>
      <c r="D38" s="206" t="s">
        <v>49</v>
      </c>
      <c r="E38" s="207">
        <f>GETPIVOTDATA("Count of A1 Net",'2.2 Pivot C'!$A$4,"Status 1 - Development","04 Pending","Status 2 - Permission Type","06 Appeal")</f>
        <v>0</v>
      </c>
      <c r="F38" s="108">
        <f>GETPIVOTDATA("Sum of A1 Net2",'2.2 Pivot C'!$A$4,"Status 1 - Development","04 Pending","Status 2 - Permission Type","06 Appeal")</f>
        <v>0</v>
      </c>
      <c r="G38" s="207">
        <f>GETPIVOTDATA("Count of A2 Net",'2.2 Pivot C'!$A$4,"Status 1 - Development","04 Pending","Status 2 - Permission Type","06 Appeal")</f>
        <v>0</v>
      </c>
      <c r="H38" s="108">
        <f>GETPIVOTDATA("Sum of A2 Net2",'2.2 Pivot C'!$A$4,"Status 1 - Development","04 Pending","Status 2 - Permission Type","06 Appeal")</f>
        <v>0</v>
      </c>
      <c r="I38" s="207">
        <f>GETPIVOTDATA("Count of A3 Net",'2.2 Pivot C'!$A$4,"Status 1 - Development","04 Pending","Status 2 - Permission Type","06 Appeal")</f>
        <v>0</v>
      </c>
      <c r="J38" s="108">
        <f>GETPIVOTDATA("Sum of A3 Net2",'2.2 Pivot C'!$A$4,"Status 1 - Development","04 Pending","Status 2 - Permission Type","06 Appeal")</f>
        <v>0</v>
      </c>
      <c r="K38" s="207">
        <f>GETPIVOTDATA("Count of A4 Net",'2.2 Pivot C'!$A$4,"Status 1 - Development","04 Pending","Status 2 - Permission Type","06 Appeal")</f>
        <v>0</v>
      </c>
      <c r="L38" s="108">
        <f>GETPIVOTDATA("Sum of A4 Net2",'2.2 Pivot C'!$A$4,"Status 1 - Development","04 Pending","Status 2 - Permission Type","06 Appeal")</f>
        <v>0</v>
      </c>
      <c r="M38" s="207">
        <f>GETPIVOTDATA("Count of A5 Net",'2.2 Pivot C'!$A$4,"Status 1 - Development","04 Pending","Status 2 - Permission Type","06 Appeal")</f>
        <v>0</v>
      </c>
      <c r="N38" s="108">
        <f>GETPIVOTDATA("Sum of A5 Net2",'2.2 Pivot C'!$A$4,"Status 1 - Development","04 Pending","Status 2 - Permission Type","06 Appeal")</f>
        <v>0</v>
      </c>
      <c r="O38" s="477">
        <f>GETPIVOTDATA("Count of A Total Net",'2.2 Pivot C'!$A$4,"Status 1 - Development","04 Pending","Status 2 - Permission Type","06 Appeal")</f>
        <v>0</v>
      </c>
      <c r="P38" s="478">
        <f>GETPIVOTDATA("Sum of A Total Net2",'2.2 Pivot C'!$A$4,"Status 1 - Development","04 Pending","Status 2 - Permission Type","06 Appeal")</f>
        <v>0</v>
      </c>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row>
    <row r="39" spans="1:118" x14ac:dyDescent="0.2">
      <c r="A39" s="697"/>
      <c r="B39" s="703"/>
      <c r="C39" s="705"/>
      <c r="D39" s="545" t="s">
        <v>95</v>
      </c>
      <c r="E39" s="208">
        <f>SUM(E36:E38)</f>
        <v>1</v>
      </c>
      <c r="F39" s="209">
        <f t="shared" ref="F39" si="68">SUM(F36:F38)</f>
        <v>-145</v>
      </c>
      <c r="G39" s="208">
        <f t="shared" ref="G39" si="69">SUM(G36:G38)</f>
        <v>0</v>
      </c>
      <c r="H39" s="209">
        <f t="shared" ref="H39" si="70">SUM(H36:H38)</f>
        <v>0</v>
      </c>
      <c r="I39" s="208">
        <f t="shared" ref="I39" si="71">SUM(I36:I38)</f>
        <v>1</v>
      </c>
      <c r="J39" s="209">
        <f t="shared" ref="J39" si="72">SUM(J36:J38)</f>
        <v>134</v>
      </c>
      <c r="K39" s="208">
        <f t="shared" ref="K39" si="73">SUM(K36:K38)</f>
        <v>0</v>
      </c>
      <c r="L39" s="209">
        <f t="shared" ref="L39" si="74">SUM(L36:L38)</f>
        <v>0</v>
      </c>
      <c r="M39" s="208">
        <f t="shared" ref="M39" si="75">SUM(M36:M38)</f>
        <v>0</v>
      </c>
      <c r="N39" s="209">
        <f t="shared" ref="N39" si="76">SUM(N36:N38)</f>
        <v>0</v>
      </c>
      <c r="O39" s="479">
        <f t="shared" ref="O39" si="77">SUM(O36:O38)</f>
        <v>1</v>
      </c>
      <c r="P39" s="480">
        <f t="shared" ref="P39" si="78">SUM(P36:P38)</f>
        <v>-11</v>
      </c>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row>
    <row r="40" spans="1:118" x14ac:dyDescent="0.2">
      <c r="A40" s="697"/>
      <c r="B40" s="703"/>
      <c r="C40" s="706" t="s">
        <v>95</v>
      </c>
      <c r="D40" s="707"/>
      <c r="E40" s="208">
        <f>SUM(E31,E35,E39)</f>
        <v>43</v>
      </c>
      <c r="F40" s="209">
        <f t="shared" ref="F40:P40" si="79">SUM(F31,F35,F39)</f>
        <v>-7528</v>
      </c>
      <c r="G40" s="208">
        <f t="shared" si="79"/>
        <v>20</v>
      </c>
      <c r="H40" s="209">
        <f t="shared" si="79"/>
        <v>2335</v>
      </c>
      <c r="I40" s="208">
        <f t="shared" si="79"/>
        <v>25</v>
      </c>
      <c r="J40" s="209">
        <f t="shared" si="79"/>
        <v>3855</v>
      </c>
      <c r="K40" s="208">
        <f t="shared" si="79"/>
        <v>10</v>
      </c>
      <c r="L40" s="209">
        <f t="shared" si="79"/>
        <v>2187</v>
      </c>
      <c r="M40" s="208">
        <f t="shared" si="79"/>
        <v>4</v>
      </c>
      <c r="N40" s="209">
        <f t="shared" si="79"/>
        <v>153</v>
      </c>
      <c r="O40" s="479">
        <f t="shared" si="79"/>
        <v>47</v>
      </c>
      <c r="P40" s="480">
        <f t="shared" si="79"/>
        <v>1002</v>
      </c>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row>
    <row r="41" spans="1:118" x14ac:dyDescent="0.2">
      <c r="A41" s="698"/>
      <c r="B41" s="708" t="s">
        <v>95</v>
      </c>
      <c r="C41" s="709"/>
      <c r="D41" s="709"/>
      <c r="E41" s="208">
        <f>E40+E27</f>
        <v>235</v>
      </c>
      <c r="F41" s="209">
        <f t="shared" ref="F41:P41" si="80">F40+F27</f>
        <v>23717</v>
      </c>
      <c r="G41" s="208">
        <f t="shared" si="80"/>
        <v>99</v>
      </c>
      <c r="H41" s="209">
        <f t="shared" si="80"/>
        <v>43103</v>
      </c>
      <c r="I41" s="208">
        <f t="shared" si="80"/>
        <v>129</v>
      </c>
      <c r="J41" s="209">
        <f t="shared" si="80"/>
        <v>21748</v>
      </c>
      <c r="K41" s="208">
        <f t="shared" si="80"/>
        <v>60</v>
      </c>
      <c r="L41" s="209">
        <f t="shared" si="80"/>
        <v>10392</v>
      </c>
      <c r="M41" s="208">
        <f t="shared" si="80"/>
        <v>33</v>
      </c>
      <c r="N41" s="209">
        <f t="shared" si="80"/>
        <v>11801</v>
      </c>
      <c r="O41" s="479">
        <f t="shared" si="80"/>
        <v>276</v>
      </c>
      <c r="P41" s="480">
        <f t="shared" si="80"/>
        <v>110761</v>
      </c>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row>
    <row r="42" spans="1:118" x14ac:dyDescent="0.2">
      <c r="A42" s="294"/>
      <c r="B42" s="22"/>
      <c r="C42" s="22"/>
      <c r="D42" s="22"/>
      <c r="E42" s="22"/>
      <c r="F42" s="22"/>
      <c r="G42" s="22"/>
      <c r="H42" s="22"/>
      <c r="I42" s="22"/>
      <c r="J42" s="22"/>
      <c r="K42" s="22"/>
      <c r="L42" s="22"/>
      <c r="M42" s="22"/>
      <c r="N42" s="22"/>
      <c r="O42" s="22"/>
      <c r="P42" s="22"/>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row>
    <row r="43" spans="1:118" ht="24" customHeight="1" x14ac:dyDescent="0.2">
      <c r="A43" s="680" t="s">
        <v>4004</v>
      </c>
      <c r="B43" s="680"/>
      <c r="C43" s="680"/>
      <c r="D43" s="680"/>
      <c r="E43" s="680"/>
      <c r="F43" s="680"/>
      <c r="G43" s="680"/>
      <c r="H43" s="680"/>
      <c r="I43" s="680"/>
      <c r="J43" s="680"/>
      <c r="K43" s="680"/>
      <c r="L43" s="680"/>
      <c r="M43" s="680"/>
      <c r="N43" s="680"/>
      <c r="O43" s="680"/>
      <c r="P43" s="680"/>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row>
    <row r="44" spans="1:118" x14ac:dyDescent="0.2">
      <c r="A44" s="420"/>
      <c r="B44" s="4"/>
      <c r="C44" s="4"/>
      <c r="D44" s="4"/>
      <c r="E44" s="4"/>
      <c r="F44" s="4"/>
      <c r="G44" s="4"/>
      <c r="H44" s="22"/>
      <c r="I44" s="22"/>
      <c r="J44" s="22"/>
      <c r="K44" s="22"/>
      <c r="L44" s="22"/>
      <c r="M44" s="22"/>
      <c r="N44" s="22"/>
      <c r="O44" s="22"/>
      <c r="P44" s="22"/>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row>
    <row r="45" spans="1:118" ht="12.75" x14ac:dyDescent="0.2">
      <c r="A45" s="293" t="s">
        <v>3929</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row>
    <row r="46" spans="1:118"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row>
    <row r="47" spans="1:118"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row>
    <row r="49" spans="1:118"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row>
    <row r="50" spans="1:118"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row>
    <row r="51" spans="1:118"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row>
    <row r="52" spans="1:118"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row>
    <row r="53" spans="1:118"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row>
    <row r="54" spans="1:118"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row>
    <row r="55" spans="1:118" x14ac:dyDescent="0.2">
      <c r="A55" s="12"/>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row>
    <row r="56" spans="1:118"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row>
    <row r="57" spans="1:118"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row>
    <row r="58" spans="1:118"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row>
    <row r="59" spans="1:118"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row>
    <row r="60" spans="1:118"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row>
    <row r="61" spans="1:118"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row>
    <row r="62" spans="1:118"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row>
    <row r="63" spans="1:118" x14ac:dyDescent="0.2">
      <c r="A63" s="12"/>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row>
    <row r="64" spans="1:118"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row>
    <row r="65" spans="1:118" x14ac:dyDescent="0.2">
      <c r="A65" s="1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row>
    <row r="66" spans="1:118" x14ac:dyDescent="0.2">
      <c r="A66" s="403"/>
      <c r="B66" s="15"/>
      <c r="C66" s="15"/>
      <c r="D66" s="15"/>
      <c r="E66" s="15"/>
      <c r="F66" s="15"/>
      <c r="G66" s="15"/>
      <c r="H66" s="15"/>
      <c r="I66" s="15"/>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row>
    <row r="67" spans="1:118" x14ac:dyDescent="0.2">
      <c r="A67" s="12"/>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row>
    <row r="68" spans="1:118"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row>
    <row r="69" spans="1:118"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row>
    <row r="70" spans="1:118"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row>
    <row r="71" spans="1:118"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row>
    <row r="72" spans="1:118"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row>
    <row r="73" spans="1:118"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row>
    <row r="74" spans="1:118"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row>
    <row r="75" spans="1:118"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row>
    <row r="76" spans="1:118"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row>
    <row r="77" spans="1:118"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row>
    <row r="78" spans="1:118"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row>
    <row r="79" spans="1:118"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row>
    <row r="80" spans="1:118"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row>
    <row r="81" spans="1:118"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row>
    <row r="82" spans="1:118"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row>
    <row r="83" spans="1:118"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row>
    <row r="84" spans="1:118"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row>
    <row r="85" spans="1:118"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row>
    <row r="86" spans="1:118"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row>
    <row r="87" spans="1:118"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row>
    <row r="88" spans="1:118"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row>
    <row r="89" spans="1:118"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row>
    <row r="90" spans="1:118"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row>
    <row r="91" spans="1:118"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row>
    <row r="92" spans="1:118"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row>
    <row r="93" spans="1:118"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row>
    <row r="94" spans="1:118"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row>
    <row r="95" spans="1:118"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row>
    <row r="96" spans="1:118"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row>
    <row r="97" spans="1:118"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row>
    <row r="101" spans="1:118"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row>
    <row r="102" spans="1:118"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row>
    <row r="103" spans="1:118"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row>
    <row r="104" spans="1:118"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row>
    <row r="105" spans="1:118"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row>
    <row r="106" spans="1:118"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row>
    <row r="107" spans="1:118"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row>
    <row r="108" spans="1:118"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row>
    <row r="109" spans="1:118"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row>
    <row r="110" spans="1:118"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row>
    <row r="111" spans="1:118"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row>
    <row r="112" spans="1:118"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row>
    <row r="113" spans="1:118"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row>
    <row r="114" spans="1:118"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row>
    <row r="115" spans="1:118"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row>
    <row r="116" spans="1:118"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row>
    <row r="117" spans="1:118"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row>
    <row r="118" spans="1:118"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row>
    <row r="119" spans="1:118"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row>
    <row r="120" spans="1:118"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row>
    <row r="121" spans="1:118"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row>
    <row r="122" spans="1:118"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row>
    <row r="123" spans="1:118"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row>
    <row r="124" spans="1:118"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row>
    <row r="126" spans="1:118"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row>
    <row r="127" spans="1:118"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row>
    <row r="128" spans="1:118"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row>
    <row r="129" spans="1:118"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row>
    <row r="130" spans="1:118"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row>
    <row r="131" spans="1:118"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row>
    <row r="132" spans="1:118"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row>
    <row r="133" spans="1:118"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row>
    <row r="134" spans="1:118"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row>
    <row r="135" spans="1:118"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row>
    <row r="136" spans="1:118"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row>
    <row r="137" spans="1:118"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row>
    <row r="138" spans="1:118"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row>
    <row r="139" spans="1:118"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row>
    <row r="140" spans="1:118"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row>
    <row r="141" spans="1:118"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row>
    <row r="142" spans="1:118"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row>
    <row r="143" spans="1:118"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row>
    <row r="144" spans="1:118"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row>
    <row r="145" spans="1:118"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row>
    <row r="146" spans="1:118" x14ac:dyDescent="0.2">
      <c r="A146" s="12"/>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row>
    <row r="147" spans="1:118" x14ac:dyDescent="0.2">
      <c r="A147" s="12"/>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row>
    <row r="148" spans="1:118" x14ac:dyDescent="0.2">
      <c r="A148" s="12"/>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row>
    <row r="149" spans="1:118" x14ac:dyDescent="0.2">
      <c r="A149" s="12"/>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row>
    <row r="150" spans="1:118" x14ac:dyDescent="0.2">
      <c r="A150" s="12"/>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row>
    <row r="151" spans="1:118" x14ac:dyDescent="0.2">
      <c r="A151" s="12"/>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row>
    <row r="152" spans="1:118" x14ac:dyDescent="0.2">
      <c r="A152" s="12"/>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row>
    <row r="153" spans="1:118" x14ac:dyDescent="0.2">
      <c r="A153" s="12"/>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row>
    <row r="154" spans="1:118" x14ac:dyDescent="0.2">
      <c r="A154" s="12"/>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row>
    <row r="155" spans="1:118" x14ac:dyDescent="0.2">
      <c r="A155" s="12"/>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row>
    <row r="156" spans="1:118" x14ac:dyDescent="0.2">
      <c r="A156" s="12"/>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row>
    <row r="157" spans="1:118" x14ac:dyDescent="0.2">
      <c r="A157" s="12"/>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row>
    <row r="158" spans="1:118" x14ac:dyDescent="0.2">
      <c r="A158" s="12"/>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row>
    <row r="159" spans="1:118" x14ac:dyDescent="0.2">
      <c r="A159" s="12"/>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row>
    <row r="160" spans="1:118" x14ac:dyDescent="0.2">
      <c r="A160" s="12"/>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row>
    <row r="161" spans="1:118" x14ac:dyDescent="0.2">
      <c r="A161" s="12"/>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row>
    <row r="162" spans="1:118" x14ac:dyDescent="0.2">
      <c r="A162" s="12"/>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row>
    <row r="163" spans="1:118" x14ac:dyDescent="0.2">
      <c r="A163" s="1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row>
    <row r="164" spans="1:118" x14ac:dyDescent="0.2">
      <c r="A164" s="1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row>
    <row r="165" spans="1:118" x14ac:dyDescent="0.2">
      <c r="A165" s="1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row>
    <row r="166" spans="1:118" x14ac:dyDescent="0.2">
      <c r="A166" s="1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row>
    <row r="167" spans="1:118" x14ac:dyDescent="0.2">
      <c r="A167" s="1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row>
    <row r="168" spans="1:118" x14ac:dyDescent="0.2">
      <c r="A168" s="1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row>
    <row r="169" spans="1:118" x14ac:dyDescent="0.2">
      <c r="A169" s="12"/>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row>
    <row r="170" spans="1:118" x14ac:dyDescent="0.2">
      <c r="A170" s="12"/>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row>
    <row r="171" spans="1:118" x14ac:dyDescent="0.2">
      <c r="A171" s="12"/>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row>
    <row r="172" spans="1:118" x14ac:dyDescent="0.2">
      <c r="A172" s="12"/>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row>
    <row r="173" spans="1:118" x14ac:dyDescent="0.2">
      <c r="A173" s="12"/>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row>
    <row r="174" spans="1:118" x14ac:dyDescent="0.2">
      <c r="A174" s="12"/>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row>
    <row r="175" spans="1:118" x14ac:dyDescent="0.2">
      <c r="A175" s="12"/>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row>
    <row r="176" spans="1:118" x14ac:dyDescent="0.2">
      <c r="A176" s="12"/>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row>
    <row r="177" spans="1:118" x14ac:dyDescent="0.2">
      <c r="A177" s="12"/>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row>
  </sheetData>
  <mergeCells count="29">
    <mergeCell ref="A11:A41"/>
    <mergeCell ref="C15:C18"/>
    <mergeCell ref="C19:C22"/>
    <mergeCell ref="C27:D27"/>
    <mergeCell ref="B28:B40"/>
    <mergeCell ref="C28:C31"/>
    <mergeCell ref="C23:C26"/>
    <mergeCell ref="C32:C35"/>
    <mergeCell ref="C36:C39"/>
    <mergeCell ref="C40:D40"/>
    <mergeCell ref="B41:D41"/>
    <mergeCell ref="C11:C14"/>
    <mergeCell ref="B11:B27"/>
    <mergeCell ref="A7:C10"/>
    <mergeCell ref="A43:P43"/>
    <mergeCell ref="A1:P1"/>
    <mergeCell ref="A2:P2"/>
    <mergeCell ref="E4:F4"/>
    <mergeCell ref="G4:H4"/>
    <mergeCell ref="I4:J4"/>
    <mergeCell ref="K4:L4"/>
    <mergeCell ref="M4:N4"/>
    <mergeCell ref="O4:P5"/>
    <mergeCell ref="A4:D6"/>
    <mergeCell ref="E5:F5"/>
    <mergeCell ref="M5:N5"/>
    <mergeCell ref="K5:L5"/>
    <mergeCell ref="I5:J5"/>
    <mergeCell ref="G5:H5"/>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rowBreaks count="1" manualBreakCount="1">
    <brk id="77"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17"/>
  <sheetViews>
    <sheetView workbookViewId="0"/>
  </sheetViews>
  <sheetFormatPr defaultRowHeight="12" x14ac:dyDescent="0.2"/>
  <cols>
    <col min="1" max="1" width="24" bestFit="1" customWidth="1"/>
    <col min="2" max="2" width="30.28515625" customWidth="1"/>
    <col min="3" max="3" width="13.5703125" bestFit="1" customWidth="1"/>
    <col min="4" max="4" width="13.5703125" customWidth="1"/>
    <col min="5" max="5" width="13.5703125" bestFit="1" customWidth="1"/>
    <col min="6" max="12" width="13.5703125" customWidth="1"/>
    <col min="13" max="14" width="17" bestFit="1" customWidth="1"/>
  </cols>
  <sheetData>
    <row r="1" spans="1:14" x14ac:dyDescent="0.2">
      <c r="A1" s="77" t="s">
        <v>111</v>
      </c>
      <c r="B1" s="446" t="s">
        <v>126</v>
      </c>
    </row>
    <row r="2" spans="1:14" x14ac:dyDescent="0.2">
      <c r="A2" s="77" t="s">
        <v>140</v>
      </c>
      <c r="B2" s="446" t="s">
        <v>429</v>
      </c>
    </row>
    <row r="4" spans="1:14" x14ac:dyDescent="0.2">
      <c r="A4" s="77" t="s">
        <v>2939</v>
      </c>
      <c r="B4" s="77" t="s">
        <v>2940</v>
      </c>
      <c r="C4" s="446" t="s">
        <v>154</v>
      </c>
      <c r="D4" s="446" t="s">
        <v>158</v>
      </c>
      <c r="E4" s="446" t="s">
        <v>155</v>
      </c>
      <c r="F4" s="446" t="s">
        <v>159</v>
      </c>
      <c r="G4" s="446" t="s">
        <v>156</v>
      </c>
      <c r="H4" s="446" t="s">
        <v>160</v>
      </c>
      <c r="I4" s="446" t="s">
        <v>157</v>
      </c>
      <c r="J4" s="446" t="s">
        <v>161</v>
      </c>
      <c r="K4" s="446" t="s">
        <v>162</v>
      </c>
      <c r="L4" s="446" t="s">
        <v>163</v>
      </c>
      <c r="M4" s="446" t="s">
        <v>3803</v>
      </c>
      <c r="N4" s="446" t="s">
        <v>3808</v>
      </c>
    </row>
    <row r="5" spans="1:14" x14ac:dyDescent="0.2">
      <c r="A5" s="446" t="s">
        <v>2936</v>
      </c>
      <c r="C5" s="74">
        <v>21</v>
      </c>
      <c r="D5" s="74">
        <v>297</v>
      </c>
      <c r="E5" s="74">
        <v>5</v>
      </c>
      <c r="F5" s="74">
        <v>702</v>
      </c>
      <c r="G5" s="74">
        <v>16</v>
      </c>
      <c r="H5" s="74">
        <v>1949</v>
      </c>
      <c r="I5" s="74">
        <v>4</v>
      </c>
      <c r="J5" s="74">
        <v>1367</v>
      </c>
      <c r="K5" s="74">
        <v>1</v>
      </c>
      <c r="L5" s="74">
        <v>1073</v>
      </c>
      <c r="M5" s="74">
        <v>17</v>
      </c>
      <c r="N5" s="74">
        <v>5388</v>
      </c>
    </row>
    <row r="6" spans="1:14" x14ac:dyDescent="0.2">
      <c r="A6" s="446" t="s">
        <v>2935</v>
      </c>
      <c r="C6" s="74">
        <v>21</v>
      </c>
      <c r="D6" s="74">
        <v>32439</v>
      </c>
      <c r="E6" s="74">
        <v>12</v>
      </c>
      <c r="F6" s="74">
        <v>32416</v>
      </c>
      <c r="G6" s="74">
        <v>10</v>
      </c>
      <c r="H6" s="74">
        <v>6985</v>
      </c>
      <c r="I6" s="74">
        <v>5</v>
      </c>
      <c r="J6" s="74">
        <v>4769</v>
      </c>
      <c r="K6" s="74">
        <v>6</v>
      </c>
      <c r="L6" s="74">
        <v>7031</v>
      </c>
      <c r="M6" s="74">
        <v>21</v>
      </c>
      <c r="N6" s="74">
        <v>83640</v>
      </c>
    </row>
    <row r="7" spans="1:14" x14ac:dyDescent="0.2">
      <c r="A7" s="446" t="s">
        <v>2937</v>
      </c>
      <c r="B7" s="446" t="s">
        <v>2946</v>
      </c>
      <c r="C7" s="74">
        <v>31</v>
      </c>
      <c r="D7" s="74">
        <v>-4465</v>
      </c>
      <c r="E7" s="74">
        <v>6</v>
      </c>
      <c r="F7" s="74">
        <v>1896</v>
      </c>
      <c r="G7" s="74">
        <v>13</v>
      </c>
      <c r="H7" s="74">
        <v>504</v>
      </c>
      <c r="I7" s="74">
        <v>5</v>
      </c>
      <c r="J7" s="74">
        <v>-484</v>
      </c>
      <c r="K7" s="74">
        <v>3</v>
      </c>
      <c r="L7" s="74">
        <v>94</v>
      </c>
      <c r="M7" s="74">
        <v>38</v>
      </c>
      <c r="N7" s="74">
        <v>-2455</v>
      </c>
    </row>
    <row r="8" spans="1:14" x14ac:dyDescent="0.2">
      <c r="B8" s="446" t="s">
        <v>2947</v>
      </c>
      <c r="C8" s="74">
        <v>1</v>
      </c>
      <c r="D8" s="74">
        <v>3341</v>
      </c>
      <c r="E8" s="74">
        <v>1</v>
      </c>
      <c r="F8" s="74">
        <v>3341</v>
      </c>
      <c r="G8" s="74">
        <v>3</v>
      </c>
      <c r="H8" s="74">
        <v>1069</v>
      </c>
      <c r="I8" s="74">
        <v>3</v>
      </c>
      <c r="J8" s="74">
        <v>1069</v>
      </c>
      <c r="K8" s="74">
        <v>3</v>
      </c>
      <c r="L8" s="74">
        <v>1071</v>
      </c>
      <c r="M8" s="74">
        <v>3</v>
      </c>
      <c r="N8" s="74">
        <v>9891</v>
      </c>
    </row>
    <row r="9" spans="1:14" x14ac:dyDescent="0.2">
      <c r="B9" s="446" t="s">
        <v>2948</v>
      </c>
      <c r="C9" s="74">
        <v>2</v>
      </c>
      <c r="D9" s="74">
        <v>-299</v>
      </c>
      <c r="E9" s="74">
        <v>1</v>
      </c>
      <c r="F9" s="74">
        <v>-79</v>
      </c>
      <c r="G9" s="74">
        <v>2</v>
      </c>
      <c r="H9" s="74">
        <v>299</v>
      </c>
      <c r="I9" s="74">
        <v>0</v>
      </c>
      <c r="J9" s="74">
        <v>0</v>
      </c>
      <c r="K9" s="74">
        <v>0</v>
      </c>
      <c r="L9" s="74">
        <v>0</v>
      </c>
      <c r="M9" s="74">
        <v>1</v>
      </c>
      <c r="N9" s="74">
        <v>-79</v>
      </c>
    </row>
    <row r="10" spans="1:14" x14ac:dyDescent="0.2">
      <c r="B10" s="446" t="s">
        <v>2949</v>
      </c>
      <c r="C10" s="74">
        <v>0</v>
      </c>
      <c r="D10" s="74">
        <v>0</v>
      </c>
      <c r="E10" s="74">
        <v>0</v>
      </c>
      <c r="F10" s="74">
        <v>0</v>
      </c>
      <c r="G10" s="74">
        <v>0</v>
      </c>
      <c r="H10" s="74">
        <v>0</v>
      </c>
      <c r="I10" s="74">
        <v>0</v>
      </c>
      <c r="J10" s="74">
        <v>0</v>
      </c>
      <c r="K10" s="74">
        <v>0</v>
      </c>
      <c r="L10" s="74">
        <v>0</v>
      </c>
      <c r="M10" s="74">
        <v>0</v>
      </c>
      <c r="N10" s="74">
        <v>0</v>
      </c>
    </row>
    <row r="11" spans="1:14" x14ac:dyDescent="0.2">
      <c r="A11" s="446" t="s">
        <v>2956</v>
      </c>
      <c r="B11" s="446"/>
      <c r="C11" s="74">
        <v>34</v>
      </c>
      <c r="D11" s="74">
        <v>-1423</v>
      </c>
      <c r="E11" s="74">
        <v>8</v>
      </c>
      <c r="F11" s="74">
        <v>5158</v>
      </c>
      <c r="G11" s="74">
        <v>18</v>
      </c>
      <c r="H11" s="74">
        <v>1872</v>
      </c>
      <c r="I11" s="74">
        <v>8</v>
      </c>
      <c r="J11" s="74">
        <v>585</v>
      </c>
      <c r="K11" s="74">
        <v>6</v>
      </c>
      <c r="L11" s="74">
        <v>1165</v>
      </c>
      <c r="M11" s="74">
        <v>42</v>
      </c>
      <c r="N11" s="74">
        <v>7357</v>
      </c>
    </row>
    <row r="12" spans="1:14" x14ac:dyDescent="0.2">
      <c r="A12" s="446" t="s">
        <v>2938</v>
      </c>
      <c r="B12" s="446" t="s">
        <v>2945</v>
      </c>
      <c r="C12" s="74">
        <v>1</v>
      </c>
      <c r="D12" s="74">
        <v>5944</v>
      </c>
      <c r="E12" s="74">
        <v>0</v>
      </c>
      <c r="F12" s="74">
        <v>0</v>
      </c>
      <c r="G12" s="74">
        <v>0</v>
      </c>
      <c r="H12" s="74">
        <v>0</v>
      </c>
      <c r="I12" s="74">
        <v>0</v>
      </c>
      <c r="J12" s="74">
        <v>0</v>
      </c>
      <c r="K12" s="74">
        <v>0</v>
      </c>
      <c r="L12" s="74">
        <v>0</v>
      </c>
      <c r="M12" s="74">
        <v>1</v>
      </c>
      <c r="N12" s="74">
        <v>5944</v>
      </c>
    </row>
    <row r="13" spans="1:14" x14ac:dyDescent="0.2">
      <c r="B13" s="446" t="s">
        <v>2946</v>
      </c>
      <c r="C13" s="74">
        <v>12</v>
      </c>
      <c r="D13" s="74">
        <v>-4485</v>
      </c>
      <c r="E13" s="74">
        <v>4</v>
      </c>
      <c r="F13" s="74">
        <v>396</v>
      </c>
      <c r="G13" s="74">
        <v>5</v>
      </c>
      <c r="H13" s="74">
        <v>1380</v>
      </c>
      <c r="I13" s="74">
        <v>2</v>
      </c>
      <c r="J13" s="74">
        <v>2027</v>
      </c>
      <c r="K13" s="74">
        <v>1</v>
      </c>
      <c r="L13" s="74">
        <v>79</v>
      </c>
      <c r="M13" s="74">
        <v>14</v>
      </c>
      <c r="N13" s="74">
        <v>-603</v>
      </c>
    </row>
    <row r="14" spans="1:14" x14ac:dyDescent="0.2">
      <c r="B14" s="446" t="s">
        <v>2948</v>
      </c>
      <c r="C14" s="74">
        <v>0</v>
      </c>
      <c r="D14" s="74">
        <v>0</v>
      </c>
      <c r="E14" s="74">
        <v>0</v>
      </c>
      <c r="F14" s="74">
        <v>0</v>
      </c>
      <c r="G14" s="74">
        <v>0</v>
      </c>
      <c r="H14" s="74">
        <v>0</v>
      </c>
      <c r="I14" s="74">
        <v>0</v>
      </c>
      <c r="J14" s="74">
        <v>0</v>
      </c>
      <c r="K14" s="74">
        <v>0</v>
      </c>
      <c r="L14" s="74">
        <v>0</v>
      </c>
      <c r="M14" s="74">
        <v>0</v>
      </c>
      <c r="N14" s="74">
        <v>0</v>
      </c>
    </row>
    <row r="15" spans="1:14" x14ac:dyDescent="0.2">
      <c r="B15" s="446" t="s">
        <v>2959</v>
      </c>
      <c r="C15" s="74">
        <v>1</v>
      </c>
      <c r="D15" s="74">
        <v>-145</v>
      </c>
      <c r="E15" s="74">
        <v>0</v>
      </c>
      <c r="F15" s="74">
        <v>0</v>
      </c>
      <c r="G15" s="74">
        <v>1</v>
      </c>
      <c r="H15" s="74">
        <v>134</v>
      </c>
      <c r="I15" s="74">
        <v>0</v>
      </c>
      <c r="J15" s="74">
        <v>0</v>
      </c>
      <c r="K15" s="74">
        <v>0</v>
      </c>
      <c r="L15" s="74">
        <v>0</v>
      </c>
      <c r="M15" s="74">
        <v>1</v>
      </c>
      <c r="N15" s="74">
        <v>-11</v>
      </c>
    </row>
    <row r="16" spans="1:14" x14ac:dyDescent="0.2">
      <c r="A16" s="446" t="s">
        <v>2958</v>
      </c>
      <c r="B16" s="446"/>
      <c r="C16" s="74">
        <v>14</v>
      </c>
      <c r="D16" s="74">
        <v>1314</v>
      </c>
      <c r="E16" s="74">
        <v>4</v>
      </c>
      <c r="F16" s="74">
        <v>396</v>
      </c>
      <c r="G16" s="74">
        <v>6</v>
      </c>
      <c r="H16" s="74">
        <v>1514</v>
      </c>
      <c r="I16" s="74">
        <v>2</v>
      </c>
      <c r="J16" s="74">
        <v>2027</v>
      </c>
      <c r="K16" s="74">
        <v>1</v>
      </c>
      <c r="L16" s="74">
        <v>79</v>
      </c>
      <c r="M16" s="74">
        <v>16</v>
      </c>
      <c r="N16" s="74">
        <v>5330</v>
      </c>
    </row>
    <row r="17" spans="1:14" x14ac:dyDescent="0.2">
      <c r="A17" s="446" t="s">
        <v>115</v>
      </c>
      <c r="C17" s="74">
        <v>90</v>
      </c>
      <c r="D17" s="74">
        <v>32627</v>
      </c>
      <c r="E17" s="74">
        <v>29</v>
      </c>
      <c r="F17" s="74">
        <v>38672</v>
      </c>
      <c r="G17" s="74">
        <v>50</v>
      </c>
      <c r="H17" s="74">
        <v>12320</v>
      </c>
      <c r="I17" s="74">
        <v>19</v>
      </c>
      <c r="J17" s="74">
        <v>8748</v>
      </c>
      <c r="K17" s="74">
        <v>14</v>
      </c>
      <c r="L17" s="74">
        <v>9348</v>
      </c>
      <c r="M17" s="74">
        <v>96</v>
      </c>
      <c r="N17" s="74">
        <v>101715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14"/>
  <sheetViews>
    <sheetView workbookViewId="0"/>
  </sheetViews>
  <sheetFormatPr defaultRowHeight="12" x14ac:dyDescent="0.2"/>
  <cols>
    <col min="1" max="1" width="24" bestFit="1" customWidth="1"/>
    <col min="2" max="2" width="30.28515625" customWidth="1"/>
    <col min="3" max="3" width="13.5703125" bestFit="1" customWidth="1"/>
    <col min="4" max="4" width="13.5703125" customWidth="1"/>
    <col min="5" max="5" width="13.5703125" bestFit="1" customWidth="1"/>
    <col min="6" max="12" width="13.5703125" customWidth="1"/>
    <col min="13" max="14" width="17" bestFit="1" customWidth="1"/>
  </cols>
  <sheetData>
    <row r="1" spans="1:14" x14ac:dyDescent="0.2">
      <c r="A1" s="77" t="s">
        <v>111</v>
      </c>
      <c r="B1" s="446" t="s">
        <v>429</v>
      </c>
    </row>
    <row r="2" spans="1:14" x14ac:dyDescent="0.2">
      <c r="A2" s="77" t="s">
        <v>140</v>
      </c>
      <c r="B2" s="446" t="s">
        <v>126</v>
      </c>
    </row>
    <row r="4" spans="1:14" x14ac:dyDescent="0.2">
      <c r="A4" s="77" t="s">
        <v>2939</v>
      </c>
      <c r="B4" s="77" t="s">
        <v>2940</v>
      </c>
      <c r="C4" s="446" t="s">
        <v>154</v>
      </c>
      <c r="D4" s="446" t="s">
        <v>158</v>
      </c>
      <c r="E4" s="446" t="s">
        <v>155</v>
      </c>
      <c r="F4" s="446" t="s">
        <v>159</v>
      </c>
      <c r="G4" s="446" t="s">
        <v>156</v>
      </c>
      <c r="H4" s="446" t="s">
        <v>160</v>
      </c>
      <c r="I4" s="446" t="s">
        <v>157</v>
      </c>
      <c r="J4" s="446" t="s">
        <v>161</v>
      </c>
      <c r="K4" s="446" t="s">
        <v>162</v>
      </c>
      <c r="L4" s="446" t="s">
        <v>163</v>
      </c>
      <c r="M4" s="446" t="s">
        <v>3803</v>
      </c>
      <c r="N4" s="446" t="s">
        <v>3808</v>
      </c>
    </row>
    <row r="5" spans="1:14" x14ac:dyDescent="0.2">
      <c r="A5" s="446" t="s">
        <v>2936</v>
      </c>
      <c r="C5" s="74">
        <v>9</v>
      </c>
      <c r="D5" s="74">
        <v>-140</v>
      </c>
      <c r="E5" s="74">
        <v>4</v>
      </c>
      <c r="F5" s="74">
        <v>-185</v>
      </c>
      <c r="G5" s="74">
        <v>5</v>
      </c>
      <c r="H5" s="74">
        <v>105</v>
      </c>
      <c r="I5" s="74">
        <v>2</v>
      </c>
      <c r="J5" s="74">
        <v>43</v>
      </c>
      <c r="K5" s="74">
        <v>0</v>
      </c>
      <c r="L5" s="74">
        <v>0</v>
      </c>
      <c r="M5" s="74">
        <v>11</v>
      </c>
      <c r="N5" s="74">
        <v>-177</v>
      </c>
    </row>
    <row r="6" spans="1:14" x14ac:dyDescent="0.2">
      <c r="A6" s="446" t="s">
        <v>2935</v>
      </c>
      <c r="C6" s="74">
        <v>9</v>
      </c>
      <c r="D6" s="74">
        <v>-287</v>
      </c>
      <c r="E6" s="74">
        <v>1</v>
      </c>
      <c r="F6" s="74">
        <v>23</v>
      </c>
      <c r="G6" s="74">
        <v>0</v>
      </c>
      <c r="H6" s="74">
        <v>0</v>
      </c>
      <c r="I6" s="74">
        <v>0</v>
      </c>
      <c r="J6" s="74">
        <v>0</v>
      </c>
      <c r="K6" s="74">
        <v>0</v>
      </c>
      <c r="L6" s="74">
        <v>0</v>
      </c>
      <c r="M6" s="74">
        <v>8</v>
      </c>
      <c r="N6" s="74">
        <v>-264</v>
      </c>
    </row>
    <row r="7" spans="1:14" x14ac:dyDescent="0.2">
      <c r="A7" s="446" t="s">
        <v>2937</v>
      </c>
      <c r="B7" s="446" t="s">
        <v>2946</v>
      </c>
      <c r="C7" s="74">
        <v>12</v>
      </c>
      <c r="D7" s="74">
        <v>-441</v>
      </c>
      <c r="E7" s="74">
        <v>6</v>
      </c>
      <c r="F7" s="74">
        <v>-240</v>
      </c>
      <c r="G7" s="74">
        <v>4</v>
      </c>
      <c r="H7" s="74">
        <v>205</v>
      </c>
      <c r="I7" s="74">
        <v>1</v>
      </c>
      <c r="J7" s="74">
        <v>-352</v>
      </c>
      <c r="K7" s="74">
        <v>0</v>
      </c>
      <c r="L7" s="74">
        <v>0</v>
      </c>
      <c r="M7" s="74">
        <v>15</v>
      </c>
      <c r="N7" s="74">
        <v>-828</v>
      </c>
    </row>
    <row r="8" spans="1:14" x14ac:dyDescent="0.2">
      <c r="B8" s="446" t="s">
        <v>2948</v>
      </c>
      <c r="C8" s="74">
        <v>0</v>
      </c>
      <c r="D8" s="74">
        <v>0</v>
      </c>
      <c r="E8" s="74">
        <v>1</v>
      </c>
      <c r="F8" s="74">
        <v>-48</v>
      </c>
      <c r="G8" s="74">
        <v>0</v>
      </c>
      <c r="H8" s="74">
        <v>0</v>
      </c>
      <c r="I8" s="74">
        <v>0</v>
      </c>
      <c r="J8" s="74">
        <v>0</v>
      </c>
      <c r="K8" s="74">
        <v>0</v>
      </c>
      <c r="L8" s="74">
        <v>0</v>
      </c>
      <c r="M8" s="74">
        <v>1</v>
      </c>
      <c r="N8" s="74">
        <v>-48</v>
      </c>
    </row>
    <row r="9" spans="1:14" x14ac:dyDescent="0.2">
      <c r="B9" s="446" t="s">
        <v>2949</v>
      </c>
      <c r="C9" s="74">
        <v>1</v>
      </c>
      <c r="D9" s="74">
        <v>95</v>
      </c>
      <c r="E9" s="74">
        <v>0</v>
      </c>
      <c r="F9" s="74">
        <v>0</v>
      </c>
      <c r="G9" s="74">
        <v>0</v>
      </c>
      <c r="H9" s="74">
        <v>0</v>
      </c>
      <c r="I9" s="74">
        <v>0</v>
      </c>
      <c r="J9" s="74">
        <v>0</v>
      </c>
      <c r="K9" s="74">
        <v>0</v>
      </c>
      <c r="L9" s="74">
        <v>0</v>
      </c>
      <c r="M9" s="74">
        <v>1</v>
      </c>
      <c r="N9" s="74">
        <v>95</v>
      </c>
    </row>
    <row r="10" spans="1:14" x14ac:dyDescent="0.2">
      <c r="A10" s="446" t="s">
        <v>2956</v>
      </c>
      <c r="B10" s="446"/>
      <c r="C10" s="74">
        <v>13</v>
      </c>
      <c r="D10" s="74">
        <v>-346</v>
      </c>
      <c r="E10" s="74">
        <v>7</v>
      </c>
      <c r="F10" s="74">
        <v>-288</v>
      </c>
      <c r="G10" s="74">
        <v>4</v>
      </c>
      <c r="H10" s="74">
        <v>205</v>
      </c>
      <c r="I10" s="74">
        <v>1</v>
      </c>
      <c r="J10" s="74">
        <v>-352</v>
      </c>
      <c r="K10" s="74">
        <v>0</v>
      </c>
      <c r="L10" s="74">
        <v>0</v>
      </c>
      <c r="M10" s="74">
        <v>17</v>
      </c>
      <c r="N10" s="74">
        <v>-781</v>
      </c>
    </row>
    <row r="11" spans="1:14" x14ac:dyDescent="0.2">
      <c r="A11" s="446" t="s">
        <v>2938</v>
      </c>
      <c r="B11" s="446" t="s">
        <v>2946</v>
      </c>
      <c r="C11" s="74">
        <v>2</v>
      </c>
      <c r="D11" s="74">
        <v>-197</v>
      </c>
      <c r="E11" s="74">
        <v>1</v>
      </c>
      <c r="F11" s="74">
        <v>5</v>
      </c>
      <c r="G11" s="74">
        <v>0</v>
      </c>
      <c r="H11" s="74">
        <v>0</v>
      </c>
      <c r="I11" s="74">
        <v>0</v>
      </c>
      <c r="J11" s="74">
        <v>0</v>
      </c>
      <c r="K11" s="74">
        <v>0</v>
      </c>
      <c r="L11" s="74">
        <v>0</v>
      </c>
      <c r="M11" s="74">
        <v>3</v>
      </c>
      <c r="N11" s="74">
        <v>-192</v>
      </c>
    </row>
    <row r="12" spans="1:14" x14ac:dyDescent="0.2">
      <c r="B12" s="446" t="s">
        <v>2948</v>
      </c>
      <c r="C12" s="74">
        <v>1</v>
      </c>
      <c r="D12" s="74">
        <v>-91</v>
      </c>
      <c r="E12" s="74">
        <v>0</v>
      </c>
      <c r="F12" s="74">
        <v>0</v>
      </c>
      <c r="G12" s="74">
        <v>1</v>
      </c>
      <c r="H12" s="74">
        <v>91</v>
      </c>
      <c r="I12" s="74">
        <v>0</v>
      </c>
      <c r="J12" s="74">
        <v>0</v>
      </c>
      <c r="K12" s="74">
        <v>0</v>
      </c>
      <c r="L12" s="74">
        <v>0</v>
      </c>
      <c r="M12" s="74">
        <v>0</v>
      </c>
      <c r="N12" s="74">
        <v>0</v>
      </c>
    </row>
    <row r="13" spans="1:14" x14ac:dyDescent="0.2">
      <c r="A13" s="446" t="s">
        <v>2958</v>
      </c>
      <c r="B13" s="446"/>
      <c r="C13" s="74">
        <v>3</v>
      </c>
      <c r="D13" s="74">
        <v>-288</v>
      </c>
      <c r="E13" s="74">
        <v>1</v>
      </c>
      <c r="F13" s="74">
        <v>5</v>
      </c>
      <c r="G13" s="74">
        <v>1</v>
      </c>
      <c r="H13" s="74">
        <v>91</v>
      </c>
      <c r="I13" s="74">
        <v>0</v>
      </c>
      <c r="J13" s="74">
        <v>0</v>
      </c>
      <c r="K13" s="74">
        <v>0</v>
      </c>
      <c r="L13" s="74">
        <v>0</v>
      </c>
      <c r="M13" s="74">
        <v>3</v>
      </c>
      <c r="N13" s="74">
        <v>-192</v>
      </c>
    </row>
    <row r="14" spans="1:14" x14ac:dyDescent="0.2">
      <c r="A14" s="446" t="s">
        <v>115</v>
      </c>
      <c r="C14" s="74">
        <v>34</v>
      </c>
      <c r="D14" s="74">
        <v>-1061</v>
      </c>
      <c r="E14" s="74">
        <v>13</v>
      </c>
      <c r="F14" s="74">
        <v>-445</v>
      </c>
      <c r="G14" s="74">
        <v>10</v>
      </c>
      <c r="H14" s="74">
        <v>401</v>
      </c>
      <c r="I14" s="74">
        <v>3</v>
      </c>
      <c r="J14" s="74">
        <v>-309</v>
      </c>
      <c r="K14" s="74">
        <v>0</v>
      </c>
      <c r="L14" s="74">
        <v>0</v>
      </c>
      <c r="M14" s="74">
        <v>39</v>
      </c>
      <c r="N14" s="74">
        <v>-1414</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19"/>
  <sheetViews>
    <sheetView workbookViewId="0"/>
  </sheetViews>
  <sheetFormatPr defaultRowHeight="12" x14ac:dyDescent="0.2"/>
  <cols>
    <col min="1" max="1" width="24" bestFit="1" customWidth="1"/>
    <col min="2" max="2" width="30.28515625" customWidth="1"/>
    <col min="3" max="3" width="13.5703125" bestFit="1" customWidth="1"/>
    <col min="4" max="4" width="13.5703125" customWidth="1"/>
    <col min="5" max="5" width="13.5703125" bestFit="1" customWidth="1"/>
    <col min="6" max="12" width="13.5703125" customWidth="1"/>
    <col min="13" max="14" width="17" bestFit="1" customWidth="1"/>
  </cols>
  <sheetData>
    <row r="1" spans="1:14" x14ac:dyDescent="0.2">
      <c r="A1" s="77" t="s">
        <v>111</v>
      </c>
      <c r="B1" s="446" t="s">
        <v>153</v>
      </c>
    </row>
    <row r="2" spans="1:14" x14ac:dyDescent="0.2">
      <c r="A2" s="77" t="s">
        <v>140</v>
      </c>
      <c r="B2" s="446" t="s">
        <v>153</v>
      </c>
    </row>
    <row r="4" spans="1:14" x14ac:dyDescent="0.2">
      <c r="A4" s="77" t="s">
        <v>2939</v>
      </c>
      <c r="B4" s="77" t="s">
        <v>2940</v>
      </c>
      <c r="C4" s="446" t="s">
        <v>154</v>
      </c>
      <c r="D4" s="446" t="s">
        <v>158</v>
      </c>
      <c r="E4" s="446" t="s">
        <v>155</v>
      </c>
      <c r="F4" s="446" t="s">
        <v>159</v>
      </c>
      <c r="G4" s="446" t="s">
        <v>156</v>
      </c>
      <c r="H4" s="446" t="s">
        <v>160</v>
      </c>
      <c r="I4" s="446" t="s">
        <v>157</v>
      </c>
      <c r="J4" s="446" t="s">
        <v>161</v>
      </c>
      <c r="K4" s="446" t="s">
        <v>162</v>
      </c>
      <c r="L4" s="446" t="s">
        <v>163</v>
      </c>
      <c r="M4" s="446" t="s">
        <v>3803</v>
      </c>
      <c r="N4" s="446" t="s">
        <v>3808</v>
      </c>
    </row>
    <row r="5" spans="1:14" x14ac:dyDescent="0.2">
      <c r="A5" s="446" t="s">
        <v>2936</v>
      </c>
      <c r="C5" s="74">
        <v>50</v>
      </c>
      <c r="D5" s="74">
        <v>-248</v>
      </c>
      <c r="E5" s="74">
        <v>17</v>
      </c>
      <c r="F5" s="74">
        <v>1616</v>
      </c>
      <c r="G5" s="74">
        <v>24</v>
      </c>
      <c r="H5" s="74">
        <v>2255</v>
      </c>
      <c r="I5" s="74">
        <v>13</v>
      </c>
      <c r="J5" s="74">
        <v>739</v>
      </c>
      <c r="K5" s="74">
        <v>6</v>
      </c>
      <c r="L5" s="74">
        <v>1120</v>
      </c>
      <c r="M5" s="74">
        <v>57</v>
      </c>
      <c r="N5" s="74">
        <v>5482</v>
      </c>
    </row>
    <row r="6" spans="1:14" x14ac:dyDescent="0.2">
      <c r="A6" s="446" t="s">
        <v>2935</v>
      </c>
      <c r="C6" s="74">
        <v>53</v>
      </c>
      <c r="D6" s="74">
        <v>-808</v>
      </c>
      <c r="E6" s="74">
        <v>22</v>
      </c>
      <c r="F6" s="74">
        <v>530</v>
      </c>
      <c r="G6" s="74">
        <v>38</v>
      </c>
      <c r="H6" s="74">
        <v>4030</v>
      </c>
      <c r="I6" s="74">
        <v>18</v>
      </c>
      <c r="J6" s="74">
        <v>1290</v>
      </c>
      <c r="K6" s="74">
        <v>6</v>
      </c>
      <c r="L6" s="74">
        <v>600</v>
      </c>
      <c r="M6" s="74">
        <v>65</v>
      </c>
      <c r="N6" s="74">
        <v>5642</v>
      </c>
    </row>
    <row r="7" spans="1:14" x14ac:dyDescent="0.2">
      <c r="A7" s="446" t="s">
        <v>2937</v>
      </c>
      <c r="B7" s="446" t="s">
        <v>2946</v>
      </c>
      <c r="C7" s="74">
        <v>42</v>
      </c>
      <c r="D7" s="74">
        <v>-659</v>
      </c>
      <c r="E7" s="74">
        <v>18</v>
      </c>
      <c r="F7" s="74">
        <v>79</v>
      </c>
      <c r="G7" s="74">
        <v>21</v>
      </c>
      <c r="H7" s="74">
        <v>1875</v>
      </c>
      <c r="I7" s="74">
        <v>8</v>
      </c>
      <c r="J7" s="74">
        <v>-956</v>
      </c>
      <c r="K7" s="74">
        <v>1</v>
      </c>
      <c r="L7" s="74">
        <v>-14</v>
      </c>
      <c r="M7" s="74">
        <v>58</v>
      </c>
      <c r="N7" s="74">
        <v>325</v>
      </c>
    </row>
    <row r="8" spans="1:14" x14ac:dyDescent="0.2">
      <c r="B8" s="446" t="s">
        <v>2947</v>
      </c>
      <c r="C8" s="74">
        <v>10</v>
      </c>
      <c r="D8" s="74">
        <v>2869</v>
      </c>
      <c r="E8" s="74">
        <v>10</v>
      </c>
      <c r="F8" s="74">
        <v>2869</v>
      </c>
      <c r="G8" s="74">
        <v>10</v>
      </c>
      <c r="H8" s="74">
        <v>2869</v>
      </c>
      <c r="I8" s="74">
        <v>10</v>
      </c>
      <c r="J8" s="74">
        <v>2869</v>
      </c>
      <c r="K8" s="74">
        <v>10</v>
      </c>
      <c r="L8" s="74">
        <v>2866</v>
      </c>
      <c r="M8" s="74">
        <v>10</v>
      </c>
      <c r="N8" s="74">
        <v>14342</v>
      </c>
    </row>
    <row r="9" spans="1:14" x14ac:dyDescent="0.2">
      <c r="B9" s="446" t="s">
        <v>2948</v>
      </c>
      <c r="C9" s="74">
        <v>9</v>
      </c>
      <c r="D9" s="74">
        <v>-613</v>
      </c>
      <c r="E9" s="74">
        <v>1</v>
      </c>
      <c r="F9" s="74">
        <v>-19</v>
      </c>
      <c r="G9" s="74">
        <v>2</v>
      </c>
      <c r="H9" s="74">
        <v>130</v>
      </c>
      <c r="I9" s="74">
        <v>0</v>
      </c>
      <c r="J9" s="74">
        <v>0</v>
      </c>
      <c r="K9" s="74">
        <v>0</v>
      </c>
      <c r="L9" s="74">
        <v>0</v>
      </c>
      <c r="M9" s="74">
        <v>8</v>
      </c>
      <c r="N9" s="74">
        <v>-502</v>
      </c>
    </row>
    <row r="10" spans="1:14" x14ac:dyDescent="0.2">
      <c r="B10" s="446" t="s">
        <v>2949</v>
      </c>
      <c r="C10" s="74">
        <v>1</v>
      </c>
      <c r="D10" s="74">
        <v>73</v>
      </c>
      <c r="E10" s="74">
        <v>0</v>
      </c>
      <c r="F10" s="74">
        <v>0</v>
      </c>
      <c r="G10" s="74">
        <v>1</v>
      </c>
      <c r="H10" s="74">
        <v>-73</v>
      </c>
      <c r="I10" s="74">
        <v>0</v>
      </c>
      <c r="J10" s="74">
        <v>0</v>
      </c>
      <c r="K10" s="74">
        <v>0</v>
      </c>
      <c r="L10" s="74">
        <v>0</v>
      </c>
      <c r="M10" s="74">
        <v>0</v>
      </c>
      <c r="N10" s="74">
        <v>0</v>
      </c>
    </row>
    <row r="11" spans="1:14" x14ac:dyDescent="0.2">
      <c r="A11" s="446" t="s">
        <v>2956</v>
      </c>
      <c r="B11" s="446"/>
      <c r="C11" s="74">
        <v>62</v>
      </c>
      <c r="D11" s="74">
        <v>1670</v>
      </c>
      <c r="E11" s="74">
        <v>29</v>
      </c>
      <c r="F11" s="74">
        <v>2929</v>
      </c>
      <c r="G11" s="74">
        <v>34</v>
      </c>
      <c r="H11" s="74">
        <v>4801</v>
      </c>
      <c r="I11" s="74">
        <v>18</v>
      </c>
      <c r="J11" s="74">
        <v>1913</v>
      </c>
      <c r="K11" s="74">
        <v>11</v>
      </c>
      <c r="L11" s="74">
        <v>2852</v>
      </c>
      <c r="M11" s="74">
        <v>76</v>
      </c>
      <c r="N11" s="74">
        <v>14165</v>
      </c>
    </row>
    <row r="12" spans="1:14" x14ac:dyDescent="0.2">
      <c r="A12" s="446" t="s">
        <v>2938</v>
      </c>
      <c r="B12" s="446" t="s">
        <v>2945</v>
      </c>
      <c r="C12" s="74">
        <v>5</v>
      </c>
      <c r="D12" s="74">
        <v>-7708</v>
      </c>
      <c r="E12" s="74">
        <v>5</v>
      </c>
      <c r="F12" s="74">
        <v>1725</v>
      </c>
      <c r="G12" s="74">
        <v>6</v>
      </c>
      <c r="H12" s="74">
        <v>1852</v>
      </c>
      <c r="I12" s="74">
        <v>4</v>
      </c>
      <c r="J12" s="74">
        <v>992</v>
      </c>
      <c r="K12" s="74">
        <v>1</v>
      </c>
      <c r="L12" s="74">
        <v>199</v>
      </c>
      <c r="M12" s="74">
        <v>7</v>
      </c>
      <c r="N12" s="74">
        <v>-2940</v>
      </c>
    </row>
    <row r="13" spans="1:14" x14ac:dyDescent="0.2">
      <c r="B13" s="446" t="s">
        <v>2946</v>
      </c>
      <c r="C13" s="74">
        <v>20</v>
      </c>
      <c r="D13" s="74">
        <v>-816</v>
      </c>
      <c r="E13" s="74">
        <v>10</v>
      </c>
      <c r="F13" s="74">
        <v>209</v>
      </c>
      <c r="G13" s="74">
        <v>11</v>
      </c>
      <c r="H13" s="74">
        <v>368</v>
      </c>
      <c r="I13" s="74">
        <v>4</v>
      </c>
      <c r="J13" s="74">
        <v>-832</v>
      </c>
      <c r="K13" s="74">
        <v>2</v>
      </c>
      <c r="L13" s="74">
        <v>-125</v>
      </c>
      <c r="M13" s="74">
        <v>21</v>
      </c>
      <c r="N13" s="74">
        <v>-1196</v>
      </c>
    </row>
    <row r="14" spans="1:14" x14ac:dyDescent="0.2">
      <c r="B14" s="446" t="s">
        <v>2947</v>
      </c>
      <c r="C14" s="74">
        <v>0</v>
      </c>
      <c r="D14" s="74">
        <v>0</v>
      </c>
      <c r="E14" s="74">
        <v>0</v>
      </c>
      <c r="F14" s="74">
        <v>0</v>
      </c>
      <c r="G14" s="74">
        <v>0</v>
      </c>
      <c r="H14" s="74">
        <v>0</v>
      </c>
      <c r="I14" s="74">
        <v>0</v>
      </c>
      <c r="J14" s="74">
        <v>0</v>
      </c>
      <c r="K14" s="74">
        <v>0</v>
      </c>
      <c r="L14" s="74">
        <v>0</v>
      </c>
      <c r="M14" s="74">
        <v>0</v>
      </c>
      <c r="N14" s="74">
        <v>0</v>
      </c>
    </row>
    <row r="15" spans="1:14" x14ac:dyDescent="0.2">
      <c r="B15" s="446" t="s">
        <v>2948</v>
      </c>
      <c r="C15" s="74">
        <v>1</v>
      </c>
      <c r="D15" s="74">
        <v>-30</v>
      </c>
      <c r="E15" s="74">
        <v>0</v>
      </c>
      <c r="F15" s="74">
        <v>0</v>
      </c>
      <c r="G15" s="74">
        <v>1</v>
      </c>
      <c r="H15" s="74">
        <v>30</v>
      </c>
      <c r="I15" s="74">
        <v>0</v>
      </c>
      <c r="J15" s="74">
        <v>0</v>
      </c>
      <c r="K15" s="74">
        <v>0</v>
      </c>
      <c r="L15" s="74">
        <v>0</v>
      </c>
      <c r="M15" s="74">
        <v>0</v>
      </c>
      <c r="N15" s="74">
        <v>0</v>
      </c>
    </row>
    <row r="16" spans="1:14" x14ac:dyDescent="0.2">
      <c r="B16" s="446" t="s">
        <v>2949</v>
      </c>
      <c r="C16" s="74">
        <v>0</v>
      </c>
      <c r="D16" s="74">
        <v>0</v>
      </c>
      <c r="E16" s="74">
        <v>0</v>
      </c>
      <c r="F16" s="74">
        <v>0</v>
      </c>
      <c r="G16" s="74">
        <v>0</v>
      </c>
      <c r="H16" s="74">
        <v>0</v>
      </c>
      <c r="I16" s="74">
        <v>0</v>
      </c>
      <c r="J16" s="74">
        <v>0</v>
      </c>
      <c r="K16" s="74">
        <v>0</v>
      </c>
      <c r="L16" s="74">
        <v>0</v>
      </c>
      <c r="M16" s="74">
        <v>0</v>
      </c>
      <c r="N16" s="74">
        <v>0</v>
      </c>
    </row>
    <row r="17" spans="1:14" x14ac:dyDescent="0.2">
      <c r="B17" s="446" t="s">
        <v>2959</v>
      </c>
      <c r="C17" s="74">
        <v>0</v>
      </c>
      <c r="D17" s="74">
        <v>0</v>
      </c>
      <c r="E17" s="74">
        <v>0</v>
      </c>
      <c r="F17" s="74">
        <v>0</v>
      </c>
      <c r="G17" s="74">
        <v>0</v>
      </c>
      <c r="H17" s="74">
        <v>0</v>
      </c>
      <c r="I17" s="74">
        <v>0</v>
      </c>
      <c r="J17" s="74">
        <v>0</v>
      </c>
      <c r="K17" s="74">
        <v>0</v>
      </c>
      <c r="L17" s="74">
        <v>0</v>
      </c>
      <c r="M17" s="74">
        <v>0</v>
      </c>
      <c r="N17" s="74">
        <v>0</v>
      </c>
    </row>
    <row r="18" spans="1:14" x14ac:dyDescent="0.2">
      <c r="A18" s="446" t="s">
        <v>2958</v>
      </c>
      <c r="B18" s="446"/>
      <c r="C18" s="74">
        <v>26</v>
      </c>
      <c r="D18" s="74">
        <v>-8554</v>
      </c>
      <c r="E18" s="74">
        <v>15</v>
      </c>
      <c r="F18" s="74">
        <v>1934</v>
      </c>
      <c r="G18" s="74">
        <v>18</v>
      </c>
      <c r="H18" s="74">
        <v>2250</v>
      </c>
      <c r="I18" s="74">
        <v>8</v>
      </c>
      <c r="J18" s="74">
        <v>160</v>
      </c>
      <c r="K18" s="74">
        <v>3</v>
      </c>
      <c r="L18" s="74">
        <v>74</v>
      </c>
      <c r="M18" s="74">
        <v>28</v>
      </c>
      <c r="N18" s="74">
        <v>-4136</v>
      </c>
    </row>
    <row r="19" spans="1:14" x14ac:dyDescent="0.2">
      <c r="A19" s="446" t="s">
        <v>115</v>
      </c>
      <c r="C19" s="74">
        <v>191</v>
      </c>
      <c r="D19" s="74">
        <v>-7940</v>
      </c>
      <c r="E19" s="74">
        <v>83</v>
      </c>
      <c r="F19" s="74">
        <v>7009</v>
      </c>
      <c r="G19" s="74">
        <v>114</v>
      </c>
      <c r="H19" s="74">
        <v>13336</v>
      </c>
      <c r="I19" s="74">
        <v>57</v>
      </c>
      <c r="J19" s="74">
        <v>4102</v>
      </c>
      <c r="K19" s="74">
        <v>26</v>
      </c>
      <c r="L19" s="74">
        <v>4646</v>
      </c>
      <c r="M19" s="74">
        <v>226</v>
      </c>
      <c r="N19" s="74">
        <v>21153</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6"/>
  <dimension ref="A1:EQ145"/>
  <sheetViews>
    <sheetView workbookViewId="0">
      <selection sqref="A1:I1"/>
    </sheetView>
  </sheetViews>
  <sheetFormatPr defaultRowHeight="12" x14ac:dyDescent="0.2"/>
  <cols>
    <col min="1" max="1" width="7.42578125" style="404" customWidth="1"/>
    <col min="2" max="2" width="11.7109375" style="1" customWidth="1"/>
    <col min="3" max="3" width="13.42578125" style="1" customWidth="1"/>
    <col min="4" max="9" width="13.7109375" style="1" customWidth="1"/>
    <col min="10" max="16384" width="9.140625" style="1"/>
  </cols>
  <sheetData>
    <row r="1" spans="1:147" ht="15.75" x14ac:dyDescent="0.25">
      <c r="A1" s="606" t="s">
        <v>3799</v>
      </c>
      <c r="B1" s="606"/>
      <c r="C1" s="606"/>
      <c r="D1" s="606"/>
      <c r="E1" s="606"/>
      <c r="F1" s="606"/>
      <c r="G1" s="606"/>
      <c r="H1" s="606"/>
      <c r="I1" s="606"/>
      <c r="J1" s="4"/>
      <c r="K1" s="4"/>
      <c r="L1" s="4"/>
      <c r="M1" s="4"/>
      <c r="N1" s="4"/>
      <c r="O1" s="4"/>
      <c r="P1" s="4"/>
      <c r="Q1" s="4"/>
      <c r="R1" s="4"/>
      <c r="S1" s="4"/>
      <c r="T1" s="4"/>
      <c r="U1" s="4"/>
      <c r="V1" s="4"/>
      <c r="W1" s="4"/>
      <c r="X1" s="4"/>
      <c r="Y1" s="4"/>
      <c r="Z1" s="4"/>
      <c r="AA1" s="4"/>
      <c r="AB1" s="4"/>
      <c r="AC1" s="4"/>
      <c r="AD1" s="4"/>
      <c r="AE1" s="4"/>
      <c r="AF1" s="4"/>
      <c r="AG1" s="4"/>
      <c r="AH1" s="4"/>
      <c r="AI1" s="4"/>
      <c r="AJ1" s="10"/>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row>
    <row r="2" spans="1:147" ht="12.75" x14ac:dyDescent="0.2">
      <c r="A2" s="640" t="s">
        <v>3909</v>
      </c>
      <c r="B2" s="640"/>
      <c r="C2" s="640"/>
      <c r="D2" s="640"/>
      <c r="E2" s="640"/>
      <c r="F2" s="640"/>
      <c r="G2" s="640"/>
      <c r="H2" s="640"/>
      <c r="I2" s="640"/>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row>
    <row r="3" spans="1:147" x14ac:dyDescent="0.2">
      <c r="A3" s="419"/>
      <c r="B3" s="19"/>
      <c r="C3" s="16"/>
      <c r="D3" s="16"/>
      <c r="E3" s="16"/>
      <c r="F3" s="16"/>
      <c r="G3" s="16"/>
      <c r="H3" s="1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row>
    <row r="4" spans="1:147" x14ac:dyDescent="0.2">
      <c r="A4" s="671" t="s">
        <v>105</v>
      </c>
      <c r="B4" s="372"/>
      <c r="C4" s="214"/>
      <c r="D4" s="211" t="s">
        <v>135</v>
      </c>
      <c r="E4" s="218" t="s">
        <v>136</v>
      </c>
      <c r="F4" s="211" t="s">
        <v>137</v>
      </c>
      <c r="G4" s="218" t="s">
        <v>138</v>
      </c>
      <c r="H4" s="211" t="s">
        <v>139</v>
      </c>
      <c r="I4" s="713" t="s">
        <v>95</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row>
    <row r="5" spans="1:147" ht="24" x14ac:dyDescent="0.2">
      <c r="A5" s="673"/>
      <c r="B5" s="292"/>
      <c r="C5" s="215"/>
      <c r="D5" s="219" t="s">
        <v>3809</v>
      </c>
      <c r="E5" s="219" t="s">
        <v>3810</v>
      </c>
      <c r="F5" s="219" t="s">
        <v>3811</v>
      </c>
      <c r="G5" s="219" t="s">
        <v>3812</v>
      </c>
      <c r="H5" s="219" t="s">
        <v>3813</v>
      </c>
      <c r="I5" s="71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row>
    <row r="6" spans="1:147" ht="12" customHeight="1" x14ac:dyDescent="0.2">
      <c r="A6" s="688" t="s">
        <v>2991</v>
      </c>
      <c r="B6" s="688" t="s">
        <v>149</v>
      </c>
      <c r="C6" s="210" t="s">
        <v>2970</v>
      </c>
      <c r="D6" s="167">
        <f>GETPIVOTDATA("Count of A1 Net",'2.3 Pivot A'!$A$3,"Town Centre Name","Balham")</f>
        <v>4</v>
      </c>
      <c r="E6" s="167">
        <f>GETPIVOTDATA("Count of A2 Net",'2.3 Pivot A'!$A$3,"Town Centre Name","Balham")</f>
        <v>1</v>
      </c>
      <c r="F6" s="167">
        <f>GETPIVOTDATA("Count of A3 Net",'2.3 Pivot A'!$A$3,"Town Centre Name","Balham")</f>
        <v>3</v>
      </c>
      <c r="G6" s="167">
        <f>GETPIVOTDATA("Count of A4 Net",'2.3 Pivot A'!$A$3,"Town Centre Name","Balham")</f>
        <v>0</v>
      </c>
      <c r="H6" s="167">
        <f>GETPIVOTDATA("Count of A5 Net",'2.3 Pivot A'!$A$3,"Town Centre Name","Balham")</f>
        <v>0</v>
      </c>
      <c r="I6" s="462">
        <f>GETPIVOTDATA("Count of A Total Net",'2.3 Pivot A'!$A$3,"Town Centre Name","Balham")</f>
        <v>3</v>
      </c>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row>
    <row r="7" spans="1:147" ht="12" customHeight="1" x14ac:dyDescent="0.2">
      <c r="A7" s="690"/>
      <c r="B7" s="692"/>
      <c r="C7" s="212" t="s">
        <v>168</v>
      </c>
      <c r="D7" s="168">
        <f>GETPIVOTDATA("Sum of A1 Net2",'2.3 Pivot A'!$A$3,"Town Centre Name","Balham")</f>
        <v>-64</v>
      </c>
      <c r="E7" s="168">
        <f>GETPIVOTDATA("Sum of A2 Net2",'2.3 Pivot A'!$A$3,"Town Centre Name","Balham")</f>
        <v>-55</v>
      </c>
      <c r="F7" s="168">
        <f>GETPIVOTDATA("Sum of A3 Net2",'2.3 Pivot A'!$A$3,"Town Centre Name","Balham")</f>
        <v>329</v>
      </c>
      <c r="G7" s="168">
        <f>GETPIVOTDATA("Sum of A4 Net2",'2.3 Pivot A'!$A$3,"Town Centre Name","Balham")</f>
        <v>0</v>
      </c>
      <c r="H7" s="168">
        <f>GETPIVOTDATA("Sum of A5 Net2",'2.3 Pivot A'!$A$3,"Town Centre Name","Balham")</f>
        <v>0</v>
      </c>
      <c r="I7" s="464">
        <f>GETPIVOTDATA("Sum of A Total Net2",'2.3 Pivot A'!$A$3,"Town Centre Name","Balham")</f>
        <v>210</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row>
    <row r="8" spans="1:147" ht="12" customHeight="1" x14ac:dyDescent="0.2">
      <c r="A8" s="690"/>
      <c r="B8" s="690" t="s">
        <v>427</v>
      </c>
      <c r="C8" s="216" t="s">
        <v>2970</v>
      </c>
      <c r="D8" s="167">
        <f>GETPIVOTDATA("Count of A1 Net",'2.3 Pivot A'!$A$3,"Town Centre Name","Battersea Power Station")</f>
        <v>1</v>
      </c>
      <c r="E8" s="167">
        <f>GETPIVOTDATA("Count of A2 Net",'2.3 Pivot A'!$A$3,"Town Centre Name","Battersea Power Station")</f>
        <v>1</v>
      </c>
      <c r="F8" s="167">
        <f>GETPIVOTDATA("Count of A3 Net",'2.3 Pivot A'!$A$3,"Town Centre Name","Battersea Power Station")</f>
        <v>1</v>
      </c>
      <c r="G8" s="167">
        <f>GETPIVOTDATA("Count of A4 Net",'2.3 Pivot A'!$A$3,"Town Centre Name","Battersea Power Station")</f>
        <v>1</v>
      </c>
      <c r="H8" s="167">
        <f>GETPIVOTDATA("Count of A5 Net",'2.3 Pivot A'!$A$3,"Town Centre Name","Battersea Power Station")</f>
        <v>1</v>
      </c>
      <c r="I8" s="462">
        <f>GETPIVOTDATA("Count of A Total Net",'2.3 Pivot A'!$A$3,"Town Centre Name","Battersea Power Station")</f>
        <v>1</v>
      </c>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row>
    <row r="9" spans="1:147" ht="12" customHeight="1" x14ac:dyDescent="0.2">
      <c r="A9" s="690"/>
      <c r="B9" s="692"/>
      <c r="C9" s="217" t="s">
        <v>168</v>
      </c>
      <c r="D9" s="168">
        <f>GETPIVOTDATA("Sum of A1 Net2",'2.3 Pivot A'!$A$3,"Town Centre Name","Battersea Power Station")</f>
        <v>1112</v>
      </c>
      <c r="E9" s="168">
        <f>GETPIVOTDATA("Sum of A2 Net2",'2.3 Pivot A'!$A$3,"Town Centre Name","Battersea Power Station")</f>
        <v>781</v>
      </c>
      <c r="F9" s="168">
        <f>GETPIVOTDATA("Sum of A3 Net2",'2.3 Pivot A'!$A$3,"Town Centre Name","Battersea Power Station")</f>
        <v>1073</v>
      </c>
      <c r="G9" s="168">
        <f>GETPIVOTDATA("Sum of A4 Net2",'2.3 Pivot A'!$A$3,"Town Centre Name","Battersea Power Station")</f>
        <v>1073</v>
      </c>
      <c r="H9" s="168">
        <f>GETPIVOTDATA("Sum of A5 Net2",'2.3 Pivot A'!$A$3,"Town Centre Name","Battersea Power Station")</f>
        <v>1073</v>
      </c>
      <c r="I9" s="464">
        <f>GETPIVOTDATA("Sum of A Total Net2",'2.3 Pivot A'!$A$3,"Town Centre Name","Battersea Power Station")</f>
        <v>5112</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row>
    <row r="10" spans="1:147" ht="12" customHeight="1" x14ac:dyDescent="0.2">
      <c r="A10" s="690"/>
      <c r="B10" s="688" t="s">
        <v>132</v>
      </c>
      <c r="C10" s="210" t="s">
        <v>2970</v>
      </c>
      <c r="D10" s="167">
        <f>GETPIVOTDATA("Count of A1 Net",'2.3 Pivot A'!$A$3,"Town Centre Name","Clapham Junction")</f>
        <v>5</v>
      </c>
      <c r="E10" s="167">
        <f>GETPIVOTDATA("Count of A2 Net",'2.3 Pivot A'!$A$3,"Town Centre Name","Clapham Junction")</f>
        <v>2</v>
      </c>
      <c r="F10" s="167">
        <f>GETPIVOTDATA("Count of A3 Net",'2.3 Pivot A'!$A$3,"Town Centre Name","Clapham Junction")</f>
        <v>3</v>
      </c>
      <c r="G10" s="167">
        <f>GETPIVOTDATA("Count of A4 Net",'2.3 Pivot A'!$A$3,"Town Centre Name","Clapham Junction")</f>
        <v>2</v>
      </c>
      <c r="H10" s="167">
        <f>GETPIVOTDATA("Count of A5 Net",'2.3 Pivot A'!$A$3,"Town Centre Name","Clapham Junction")</f>
        <v>0</v>
      </c>
      <c r="I10" s="462">
        <f>GETPIVOTDATA("Count of A Total Net",'2.3 Pivot A'!$A$3,"Town Centre Name","Clapham Junction")</f>
        <v>4</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row>
    <row r="11" spans="1:147" ht="12" customHeight="1" x14ac:dyDescent="0.2">
      <c r="A11" s="690"/>
      <c r="B11" s="690"/>
      <c r="C11" s="217" t="s">
        <v>168</v>
      </c>
      <c r="D11" s="168">
        <f>GETPIVOTDATA("Sum of A1 Net2",'2.3 Pivot A'!$A$3,"Town Centre Name","Clapham Junction")</f>
        <v>-361</v>
      </c>
      <c r="E11" s="168">
        <f>GETPIVOTDATA("Sum of A2 Net2",'2.3 Pivot A'!$A$3,"Town Centre Name","Clapham Junction")</f>
        <v>-157</v>
      </c>
      <c r="F11" s="168">
        <f>GETPIVOTDATA("Sum of A3 Net2",'2.3 Pivot A'!$A$3,"Town Centre Name","Clapham Junction")</f>
        <v>309</v>
      </c>
      <c r="G11" s="168">
        <f>GETPIVOTDATA("Sum of A4 Net2",'2.3 Pivot A'!$A$3,"Town Centre Name","Clapham Junction")</f>
        <v>162</v>
      </c>
      <c r="H11" s="168">
        <f>GETPIVOTDATA("Sum of A5 Net2",'2.3 Pivot A'!$A$3,"Town Centre Name","Clapham Junction")</f>
        <v>0</v>
      </c>
      <c r="I11" s="464">
        <f>GETPIVOTDATA("Sum of A Total Net2",'2.3 Pivot A'!$A$3,"Town Centre Name","Clapham Junction")</f>
        <v>-47</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row>
    <row r="12" spans="1:147" ht="12" customHeight="1" x14ac:dyDescent="0.2">
      <c r="A12" s="690"/>
      <c r="B12" s="688" t="s">
        <v>131</v>
      </c>
      <c r="C12" s="210" t="s">
        <v>2970</v>
      </c>
      <c r="D12" s="167">
        <f>GETPIVOTDATA("Count of A1 Net",'2.3 Pivot A'!$A$3,"Town Centre Name","Putney")</f>
        <v>4</v>
      </c>
      <c r="E12" s="167">
        <f>GETPIVOTDATA("Count of A2 Net",'2.3 Pivot A'!$A$3,"Town Centre Name","Putney")</f>
        <v>0</v>
      </c>
      <c r="F12" s="167">
        <f>GETPIVOTDATA("Count of A3 Net",'2.3 Pivot A'!$A$3,"Town Centre Name","Putney")</f>
        <v>3</v>
      </c>
      <c r="G12" s="167">
        <f>GETPIVOTDATA("Count of A4 Net",'2.3 Pivot A'!$A$3,"Town Centre Name","Putney")</f>
        <v>0</v>
      </c>
      <c r="H12" s="167">
        <f>GETPIVOTDATA("Count of A5 Net",'2.3 Pivot A'!$A$3,"Town Centre Name","Putney")</f>
        <v>0</v>
      </c>
      <c r="I12" s="462">
        <f>GETPIVOTDATA("Count of A Total Net",'2.3 Pivot A'!$A$3,"Town Centre Name","Putney")</f>
        <v>2</v>
      </c>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row>
    <row r="13" spans="1:147" ht="12" customHeight="1" x14ac:dyDescent="0.2">
      <c r="A13" s="690"/>
      <c r="B13" s="690"/>
      <c r="C13" s="217" t="s">
        <v>168</v>
      </c>
      <c r="D13" s="168">
        <f>GETPIVOTDATA("Sum of A1 Net2",'2.3 Pivot A'!$A$3,"Town Centre Name","Putney")</f>
        <v>-496</v>
      </c>
      <c r="E13" s="168">
        <f>GETPIVOTDATA("Sum of A2 Net2",'2.3 Pivot A'!$A$3,"Town Centre Name","Putney")</f>
        <v>0</v>
      </c>
      <c r="F13" s="168">
        <f>GETPIVOTDATA("Sum of A3 Net2",'2.3 Pivot A'!$A$3,"Town Centre Name","Putney")</f>
        <v>297</v>
      </c>
      <c r="G13" s="168">
        <f>GETPIVOTDATA("Sum of A4 Net2",'2.3 Pivot A'!$A$3,"Town Centre Name","Putney")</f>
        <v>0</v>
      </c>
      <c r="H13" s="168">
        <f>GETPIVOTDATA("Sum of A5 Net2",'2.3 Pivot A'!$A$3,"Town Centre Name","Putney")</f>
        <v>0</v>
      </c>
      <c r="I13" s="464">
        <f>GETPIVOTDATA("Sum of A Total Net2",'2.3 Pivot A'!$A$3,"Town Centre Name","Putney")</f>
        <v>-199</v>
      </c>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row>
    <row r="14" spans="1:147" ht="12" customHeight="1" x14ac:dyDescent="0.2">
      <c r="A14" s="690"/>
      <c r="B14" s="688" t="s">
        <v>150</v>
      </c>
      <c r="C14" s="210" t="s">
        <v>2970</v>
      </c>
      <c r="D14" s="167">
        <f>GETPIVOTDATA("Count of A1 Net",'2.3 Pivot A'!$A$3,"Town Centre Name","Tooting")</f>
        <v>7</v>
      </c>
      <c r="E14" s="167">
        <f>GETPIVOTDATA("Count of A2 Net",'2.3 Pivot A'!$A$3,"Town Centre Name","Tooting")</f>
        <v>1</v>
      </c>
      <c r="F14" s="167">
        <f>GETPIVOTDATA("Count of A3 Net",'2.3 Pivot A'!$A$3,"Town Centre Name","Tooting")</f>
        <v>4</v>
      </c>
      <c r="G14" s="167">
        <f>GETPIVOTDATA("Count of A4 Net",'2.3 Pivot A'!$A$3,"Town Centre Name","Tooting")</f>
        <v>1</v>
      </c>
      <c r="H14" s="167">
        <f>GETPIVOTDATA("Count of A5 Net",'2.3 Pivot A'!$A$3,"Town Centre Name","Tooting")</f>
        <v>0</v>
      </c>
      <c r="I14" s="462">
        <f>GETPIVOTDATA("Count of A Total Net",'2.3 Pivot A'!$A$3,"Town Centre Name","Tooting")</f>
        <v>5</v>
      </c>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row>
    <row r="15" spans="1:147" ht="12" customHeight="1" x14ac:dyDescent="0.2">
      <c r="A15" s="690"/>
      <c r="B15" s="690"/>
      <c r="C15" s="217" t="s">
        <v>168</v>
      </c>
      <c r="D15" s="168">
        <f>GETPIVOTDATA("Sum of A1 Net2",'2.3 Pivot A'!$A$3,"Town Centre Name","Tooting")</f>
        <v>106</v>
      </c>
      <c r="E15" s="168">
        <f>GETPIVOTDATA("Sum of A2 Net2",'2.3 Pivot A'!$A$3,"Town Centre Name","Tooting")</f>
        <v>133</v>
      </c>
      <c r="F15" s="168">
        <f>GETPIVOTDATA("Sum of A3 Net2",'2.3 Pivot A'!$A$3,"Town Centre Name","Tooting")</f>
        <v>48</v>
      </c>
      <c r="G15" s="168">
        <f>GETPIVOTDATA("Sum of A4 Net2",'2.3 Pivot A'!$A$3,"Town Centre Name","Tooting")</f>
        <v>132</v>
      </c>
      <c r="H15" s="168">
        <f>GETPIVOTDATA("Sum of A5 Net2",'2.3 Pivot A'!$A$3,"Town Centre Name","Tooting")</f>
        <v>0</v>
      </c>
      <c r="I15" s="464">
        <f>GETPIVOTDATA("Sum of A Total Net2",'2.3 Pivot A'!$A$3,"Town Centre Name","Tooting")</f>
        <v>419</v>
      </c>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row>
    <row r="16" spans="1:147" ht="12" customHeight="1" x14ac:dyDescent="0.2">
      <c r="A16" s="690"/>
      <c r="B16" s="688" t="s">
        <v>151</v>
      </c>
      <c r="C16" s="210" t="s">
        <v>2970</v>
      </c>
      <c r="D16" s="167">
        <f>GETPIVOTDATA("Count of A1 Net",'2.3 Pivot A'!$A$3,"Town Centre Name","Wandsworth")</f>
        <v>0</v>
      </c>
      <c r="E16" s="167">
        <f>GETPIVOTDATA("Count of A2 Net",'2.3 Pivot A'!$A$3,"Town Centre Name","Wandsworth")</f>
        <v>0</v>
      </c>
      <c r="F16" s="167">
        <f>GETPIVOTDATA("Count of A3 Net",'2.3 Pivot A'!$A$3,"Town Centre Name","Wandsworth")</f>
        <v>2</v>
      </c>
      <c r="G16" s="167">
        <f>GETPIVOTDATA("Count of A4 Net",'2.3 Pivot A'!$A$3,"Town Centre Name","Wandsworth")</f>
        <v>0</v>
      </c>
      <c r="H16" s="167">
        <f>GETPIVOTDATA("Count of A5 Net",'2.3 Pivot A'!$A$3,"Town Centre Name","Wandsworth")</f>
        <v>0</v>
      </c>
      <c r="I16" s="462">
        <f>GETPIVOTDATA("Count of A Total Net",'2.3 Pivot A'!$A$3,"Town Centre Name","Wandsworth")</f>
        <v>2</v>
      </c>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row>
    <row r="17" spans="1:147" ht="12" customHeight="1" x14ac:dyDescent="0.2">
      <c r="A17" s="690"/>
      <c r="B17" s="690"/>
      <c r="C17" s="217" t="s">
        <v>168</v>
      </c>
      <c r="D17" s="168">
        <f>GETPIVOTDATA("Sum of A1 Net2",'2.3 Pivot A'!$A$3,"Town Centre Name","Wandsworth")</f>
        <v>0</v>
      </c>
      <c r="E17" s="168">
        <f>GETPIVOTDATA("Sum of A2 Net2",'2.3 Pivot A'!$A$3,"Town Centre Name","Wandsworth")</f>
        <v>0</v>
      </c>
      <c r="F17" s="168">
        <f>GETPIVOTDATA("Sum of A3 Net2",'2.3 Pivot A'!$A$3,"Town Centre Name","Wandsworth")</f>
        <v>-107</v>
      </c>
      <c r="G17" s="168">
        <f>GETPIVOTDATA("Sum of A4 Net2",'2.3 Pivot A'!$A$3,"Town Centre Name","Wandsworth")</f>
        <v>0</v>
      </c>
      <c r="H17" s="168">
        <f>GETPIVOTDATA("Sum of A5 Net2",'2.3 Pivot A'!$A$3,"Town Centre Name","Wandsworth")</f>
        <v>0</v>
      </c>
      <c r="I17" s="464">
        <f>GETPIVOTDATA("Sum of A Total Net2",'2.3 Pivot A'!$A$3,"Town Centre Name","Wandsworth")</f>
        <v>-107</v>
      </c>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row>
    <row r="18" spans="1:147" ht="12" customHeight="1" x14ac:dyDescent="0.2">
      <c r="A18" s="690"/>
      <c r="B18" s="688" t="s">
        <v>95</v>
      </c>
      <c r="C18" s="210" t="s">
        <v>2970</v>
      </c>
      <c r="D18" s="167">
        <f>SUM(D6,D8,D10,D12,D14,D16)</f>
        <v>21</v>
      </c>
      <c r="E18" s="167">
        <f t="shared" ref="E18:I19" si="0">SUM(E6,E8,E10,E12,E14,E16)</f>
        <v>5</v>
      </c>
      <c r="F18" s="167">
        <f t="shared" si="0"/>
        <v>16</v>
      </c>
      <c r="G18" s="167">
        <f t="shared" si="0"/>
        <v>4</v>
      </c>
      <c r="H18" s="167">
        <f t="shared" si="0"/>
        <v>1</v>
      </c>
      <c r="I18" s="546">
        <f t="shared" si="0"/>
        <v>17</v>
      </c>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row>
    <row r="19" spans="1:147" ht="12" customHeight="1" x14ac:dyDescent="0.2">
      <c r="A19" s="692"/>
      <c r="B19" s="692"/>
      <c r="C19" s="217" t="s">
        <v>168</v>
      </c>
      <c r="D19" s="172">
        <f>SUM(D7,D9,D11,D13,D15,D17)</f>
        <v>297</v>
      </c>
      <c r="E19" s="172">
        <f t="shared" si="0"/>
        <v>702</v>
      </c>
      <c r="F19" s="172">
        <f t="shared" si="0"/>
        <v>1949</v>
      </c>
      <c r="G19" s="172">
        <f t="shared" si="0"/>
        <v>1367</v>
      </c>
      <c r="H19" s="172">
        <f t="shared" si="0"/>
        <v>1073</v>
      </c>
      <c r="I19" s="463">
        <f t="shared" si="0"/>
        <v>5388</v>
      </c>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row>
    <row r="20" spans="1:147" ht="12" customHeight="1" x14ac:dyDescent="0.2">
      <c r="A20" s="688" t="s">
        <v>3814</v>
      </c>
      <c r="B20" s="688"/>
      <c r="C20" s="210" t="s">
        <v>2970</v>
      </c>
      <c r="D20" s="167">
        <f>GETPIVOTDATA("Count of A1 Net",'2.3 Pivot B'!$A$4)</f>
        <v>9</v>
      </c>
      <c r="E20" s="167">
        <f>GETPIVOTDATA("Count of A2 Net",'2.3 Pivot B'!$A$4)</f>
        <v>4</v>
      </c>
      <c r="F20" s="167">
        <f>GETPIVOTDATA("Count of A3 Net",'2.3 Pivot B'!$A$4)</f>
        <v>5</v>
      </c>
      <c r="G20" s="167">
        <f>GETPIVOTDATA("Count of A4 Net",'2.3 Pivot B'!$A$4)</f>
        <v>2</v>
      </c>
      <c r="H20" s="167">
        <f>GETPIVOTDATA("Count of A5 Net",'2.3 Pivot B'!$A$4)</f>
        <v>0</v>
      </c>
      <c r="I20" s="462">
        <f>GETPIVOTDATA("Count of A Total Net",'2.3 Pivot B'!$A$4)</f>
        <v>11</v>
      </c>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row>
    <row r="21" spans="1:147" ht="12" customHeight="1" x14ac:dyDescent="0.2">
      <c r="A21" s="692"/>
      <c r="B21" s="692"/>
      <c r="C21" s="212" t="s">
        <v>168</v>
      </c>
      <c r="D21" s="168">
        <f>GETPIVOTDATA("Sum of A1 Net2",'2.3 Pivot B'!$A$4)</f>
        <v>-140</v>
      </c>
      <c r="E21" s="168">
        <f>GETPIVOTDATA("Sum of A2 Net2",'2.3 Pivot B'!$A$4)</f>
        <v>-185</v>
      </c>
      <c r="F21" s="168">
        <f>GETPIVOTDATA("Sum of A3 Net2",'2.3 Pivot B'!$A$4)</f>
        <v>105</v>
      </c>
      <c r="G21" s="168">
        <f>GETPIVOTDATA("Sum of A4 Net2",'2.3 Pivot B'!$A$4)</f>
        <v>43</v>
      </c>
      <c r="H21" s="168">
        <f>GETPIVOTDATA("Sum of A5 Net2",'2.3 Pivot B'!$A$4)</f>
        <v>0</v>
      </c>
      <c r="I21" s="464">
        <f>GETPIVOTDATA("Sum of A Total Net2",'2.3 Pivot B'!$A$4)</f>
        <v>-177</v>
      </c>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row>
    <row r="22" spans="1:147" ht="12" customHeight="1" x14ac:dyDescent="0.2">
      <c r="A22" s="671" t="s">
        <v>95</v>
      </c>
      <c r="B22" s="671"/>
      <c r="C22" s="210" t="s">
        <v>2970</v>
      </c>
      <c r="D22" s="211">
        <f>D18+D20</f>
        <v>30</v>
      </c>
      <c r="E22" s="211">
        <f t="shared" ref="E22:I23" si="1">E18+E20</f>
        <v>9</v>
      </c>
      <c r="F22" s="211">
        <f t="shared" si="1"/>
        <v>21</v>
      </c>
      <c r="G22" s="211">
        <f t="shared" si="1"/>
        <v>6</v>
      </c>
      <c r="H22" s="211">
        <f t="shared" si="1"/>
        <v>1</v>
      </c>
      <c r="I22" s="547">
        <f t="shared" si="1"/>
        <v>28</v>
      </c>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row>
    <row r="23" spans="1:147" ht="12" customHeight="1" x14ac:dyDescent="0.2">
      <c r="A23" s="673"/>
      <c r="B23" s="673"/>
      <c r="C23" s="212" t="s">
        <v>168</v>
      </c>
      <c r="D23" s="213">
        <f>D19+D21</f>
        <v>157</v>
      </c>
      <c r="E23" s="213">
        <f t="shared" si="1"/>
        <v>517</v>
      </c>
      <c r="F23" s="213">
        <f t="shared" si="1"/>
        <v>2054</v>
      </c>
      <c r="G23" s="213">
        <f t="shared" si="1"/>
        <v>1410</v>
      </c>
      <c r="H23" s="213">
        <f t="shared" si="1"/>
        <v>1073</v>
      </c>
      <c r="I23" s="213">
        <f t="shared" si="1"/>
        <v>5211</v>
      </c>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row>
    <row r="24" spans="1:147" x14ac:dyDescent="0.2">
      <c r="A24" s="12"/>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row>
    <row r="25" spans="1:147" x14ac:dyDescent="0.2">
      <c r="A25" s="12"/>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row>
    <row r="26" spans="1:147" x14ac:dyDescent="0.2">
      <c r="A26" s="12"/>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row>
    <row r="27" spans="1:147" x14ac:dyDescent="0.2">
      <c r="A27" s="12"/>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row>
    <row r="28" spans="1:147" x14ac:dyDescent="0.2">
      <c r="A28" s="12"/>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row>
    <row r="29" spans="1:147" x14ac:dyDescent="0.2">
      <c r="A29" s="12"/>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row>
    <row r="30" spans="1:147" x14ac:dyDescent="0.2">
      <c r="A30" s="12"/>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row>
    <row r="31" spans="1:147" x14ac:dyDescent="0.2">
      <c r="A31" s="12"/>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row>
    <row r="32" spans="1:147" x14ac:dyDescent="0.2">
      <c r="A32" s="403"/>
      <c r="B32" s="15"/>
      <c r="C32" s="15"/>
      <c r="D32" s="15"/>
      <c r="E32" s="15"/>
      <c r="F32" s="15"/>
      <c r="G32" s="15"/>
      <c r="H32" s="15"/>
      <c r="I32" s="15"/>
      <c r="J32" s="15"/>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row>
    <row r="33" spans="1:147" x14ac:dyDescent="0.2">
      <c r="A33" s="12"/>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row>
    <row r="34" spans="1:147" x14ac:dyDescent="0.2">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row>
    <row r="35" spans="1:147" x14ac:dyDescent="0.2">
      <c r="A35" s="12"/>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row>
    <row r="36" spans="1:147" x14ac:dyDescent="0.2">
      <c r="A36" s="12"/>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row>
    <row r="37" spans="1:147" x14ac:dyDescent="0.2">
      <c r="A37" s="12"/>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row>
    <row r="38" spans="1:147" x14ac:dyDescent="0.2">
      <c r="A38" s="12"/>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row>
    <row r="39" spans="1:147" x14ac:dyDescent="0.2">
      <c r="A39" s="1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row>
    <row r="40" spans="1:147" x14ac:dyDescent="0.2">
      <c r="A40" s="12"/>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row>
    <row r="41" spans="1:147" x14ac:dyDescent="0.2">
      <c r="A41" s="12"/>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row>
    <row r="42" spans="1:147" x14ac:dyDescent="0.2">
      <c r="A42" s="12"/>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row>
    <row r="43" spans="1:147" x14ac:dyDescent="0.2">
      <c r="A43" s="12"/>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row>
    <row r="44" spans="1:147" x14ac:dyDescent="0.2">
      <c r="A44" s="12"/>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row>
    <row r="45" spans="1:147" x14ac:dyDescent="0.2">
      <c r="A45" s="12"/>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row>
    <row r="46" spans="1:147"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row>
    <row r="47" spans="1:147"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row>
    <row r="48" spans="1:147"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row>
    <row r="49" spans="1:147"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row>
    <row r="50" spans="1:147"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row>
    <row r="51" spans="1:147"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row>
    <row r="52" spans="1:147"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row>
    <row r="53" spans="1:147"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row>
    <row r="54" spans="1:147"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row>
    <row r="55" spans="1:147" x14ac:dyDescent="0.2">
      <c r="A55" s="12"/>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row>
    <row r="56" spans="1:147"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row>
    <row r="57" spans="1:147"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row>
    <row r="58" spans="1:147"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row>
    <row r="59" spans="1:147"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row>
    <row r="60" spans="1:147"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row>
    <row r="61" spans="1:147"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row>
    <row r="62" spans="1:147"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row>
    <row r="63" spans="1:147" x14ac:dyDescent="0.2">
      <c r="A63" s="12"/>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row>
    <row r="64" spans="1:147"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row>
    <row r="65" spans="1:147" x14ac:dyDescent="0.2">
      <c r="A65" s="1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row>
    <row r="66" spans="1:147" x14ac:dyDescent="0.2">
      <c r="A66" s="12"/>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row>
    <row r="67" spans="1:147" x14ac:dyDescent="0.2">
      <c r="A67" s="12"/>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row>
    <row r="68" spans="1:147"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row>
    <row r="69" spans="1:147"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row>
    <row r="70" spans="1:147"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row>
    <row r="71" spans="1:147"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row>
    <row r="72" spans="1:147"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row>
    <row r="73" spans="1:147"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row>
    <row r="74" spans="1:147"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row>
    <row r="75" spans="1:147"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row>
    <row r="76" spans="1:147"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row>
    <row r="77" spans="1:147"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row>
    <row r="78" spans="1:147"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row>
    <row r="79" spans="1:147"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row>
    <row r="80" spans="1:147"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row>
    <row r="81" spans="1:147"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row>
    <row r="82" spans="1:147"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row>
    <row r="83" spans="1:147"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row>
    <row r="84" spans="1:147"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row>
    <row r="85" spans="1:147"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row>
    <row r="86" spans="1:147"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row>
    <row r="87" spans="1:147"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row>
    <row r="88" spans="1:147"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row>
    <row r="89" spans="1:147"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row>
    <row r="90" spans="1:147"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row>
    <row r="91" spans="1:147"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row>
    <row r="92" spans="1:147"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row>
    <row r="93" spans="1:147"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row>
    <row r="94" spans="1:147"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row>
    <row r="95" spans="1:147"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row>
    <row r="96" spans="1:147"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row>
    <row r="97" spans="1:147"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row>
    <row r="98" spans="1:147"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row>
    <row r="99" spans="1:147"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row>
    <row r="100" spans="1:147"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row>
    <row r="101" spans="1:147"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row>
    <row r="102" spans="1:147"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row>
    <row r="103" spans="1:147"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row>
    <row r="104" spans="1:147"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row>
    <row r="105" spans="1:147"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row>
    <row r="106" spans="1:147"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row>
    <row r="107" spans="1:147"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row>
    <row r="108" spans="1:147"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row>
    <row r="109" spans="1:147"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row>
    <row r="110" spans="1:147"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row>
    <row r="111" spans="1:147"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row>
    <row r="112" spans="1:147"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row>
    <row r="113" spans="1:147"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row>
    <row r="114" spans="1:147"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row>
    <row r="115" spans="1:147"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row>
    <row r="116" spans="1:147"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row>
    <row r="117" spans="1:147"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row>
    <row r="118" spans="1:147"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row>
    <row r="119" spans="1:147"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row>
    <row r="120" spans="1:147"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row>
    <row r="121" spans="1:147"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row>
    <row r="122" spans="1:147"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row>
    <row r="123" spans="1:147"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row>
    <row r="124" spans="1:147"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row>
    <row r="125" spans="1:147"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row>
    <row r="126" spans="1:147"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row>
    <row r="127" spans="1:147"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row>
    <row r="128" spans="1:147"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row>
    <row r="129" spans="1:147"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row>
    <row r="130" spans="1:147"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row>
    <row r="131" spans="1:147"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row>
    <row r="132" spans="1:147"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row>
    <row r="133" spans="1:147"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row>
    <row r="134" spans="1:147"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row>
    <row r="135" spans="1:147"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row>
    <row r="136" spans="1:147"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row>
    <row r="137" spans="1:147"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row>
    <row r="138" spans="1:147"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row>
    <row r="139" spans="1:147"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row>
    <row r="140" spans="1:147"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row>
    <row r="141" spans="1:147"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row>
    <row r="142" spans="1:147"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row>
    <row r="143" spans="1:147"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row>
    <row r="144" spans="1:147"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row>
    <row r="145" spans="1:147"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row>
  </sheetData>
  <mergeCells count="14">
    <mergeCell ref="A20:B21"/>
    <mergeCell ref="A22:B23"/>
    <mergeCell ref="A4:A5"/>
    <mergeCell ref="I4:I5"/>
    <mergeCell ref="B6:B7"/>
    <mergeCell ref="B12:B13"/>
    <mergeCell ref="B10:B11"/>
    <mergeCell ref="B8:B9"/>
    <mergeCell ref="A1:I1"/>
    <mergeCell ref="A2:I2"/>
    <mergeCell ref="B14:B15"/>
    <mergeCell ref="B16:B17"/>
    <mergeCell ref="A6:A19"/>
    <mergeCell ref="B18:B19"/>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0"/>
  <sheetViews>
    <sheetView workbookViewId="0"/>
  </sheetViews>
  <sheetFormatPr defaultRowHeight="12" x14ac:dyDescent="0.2"/>
  <cols>
    <col min="1" max="1" width="20.140625" customWidth="1"/>
    <col min="2" max="2" width="14.42578125" customWidth="1"/>
    <col min="3" max="3" width="13.5703125" bestFit="1" customWidth="1"/>
    <col min="4" max="4" width="13.5703125" customWidth="1"/>
    <col min="5" max="5" width="13.5703125" bestFit="1" customWidth="1"/>
    <col min="6" max="11" width="13.5703125" customWidth="1"/>
    <col min="12" max="12" width="17" customWidth="1"/>
    <col min="13" max="14" width="17" bestFit="1" customWidth="1"/>
  </cols>
  <sheetData>
    <row r="1" spans="1:13" x14ac:dyDescent="0.2">
      <c r="A1" s="77" t="s">
        <v>2939</v>
      </c>
      <c r="B1" s="446" t="s">
        <v>2936</v>
      </c>
    </row>
    <row r="3" spans="1:13" x14ac:dyDescent="0.2">
      <c r="A3" s="77" t="s">
        <v>164</v>
      </c>
      <c r="B3" s="446" t="s">
        <v>154</v>
      </c>
      <c r="C3" s="446" t="s">
        <v>158</v>
      </c>
      <c r="D3" s="446" t="s">
        <v>155</v>
      </c>
      <c r="E3" s="446" t="s">
        <v>159</v>
      </c>
      <c r="F3" s="446" t="s">
        <v>156</v>
      </c>
      <c r="G3" s="446" t="s">
        <v>160</v>
      </c>
      <c r="H3" s="446" t="s">
        <v>157</v>
      </c>
      <c r="I3" s="446" t="s">
        <v>161</v>
      </c>
      <c r="J3" s="446" t="s">
        <v>162</v>
      </c>
      <c r="K3" s="446" t="s">
        <v>163</v>
      </c>
      <c r="L3" s="446" t="s">
        <v>3803</v>
      </c>
      <c r="M3" s="446" t="s">
        <v>3808</v>
      </c>
    </row>
    <row r="4" spans="1:13" x14ac:dyDescent="0.2">
      <c r="A4" s="446" t="s">
        <v>149</v>
      </c>
      <c r="B4" s="74">
        <v>4</v>
      </c>
      <c r="C4" s="74">
        <v>-64</v>
      </c>
      <c r="D4" s="74">
        <v>1</v>
      </c>
      <c r="E4" s="74">
        <v>-55</v>
      </c>
      <c r="F4" s="74">
        <v>3</v>
      </c>
      <c r="G4" s="74">
        <v>329</v>
      </c>
      <c r="H4" s="74">
        <v>0</v>
      </c>
      <c r="I4" s="74">
        <v>0</v>
      </c>
      <c r="J4" s="74">
        <v>0</v>
      </c>
      <c r="K4" s="74">
        <v>0</v>
      </c>
      <c r="L4" s="74">
        <v>3</v>
      </c>
      <c r="M4" s="74">
        <v>210</v>
      </c>
    </row>
    <row r="5" spans="1:13" x14ac:dyDescent="0.2">
      <c r="A5" s="446" t="s">
        <v>427</v>
      </c>
      <c r="B5" s="74">
        <v>1</v>
      </c>
      <c r="C5" s="74">
        <v>1112</v>
      </c>
      <c r="D5" s="74">
        <v>1</v>
      </c>
      <c r="E5" s="74">
        <v>781</v>
      </c>
      <c r="F5" s="74">
        <v>1</v>
      </c>
      <c r="G5" s="74">
        <v>1073</v>
      </c>
      <c r="H5" s="74">
        <v>1</v>
      </c>
      <c r="I5" s="74">
        <v>1073</v>
      </c>
      <c r="J5" s="74">
        <v>1</v>
      </c>
      <c r="K5" s="74">
        <v>1073</v>
      </c>
      <c r="L5" s="74">
        <v>1</v>
      </c>
      <c r="M5" s="74">
        <v>5112</v>
      </c>
    </row>
    <row r="6" spans="1:13" x14ac:dyDescent="0.2">
      <c r="A6" s="446" t="s">
        <v>132</v>
      </c>
      <c r="B6" s="74">
        <v>5</v>
      </c>
      <c r="C6" s="74">
        <v>-361</v>
      </c>
      <c r="D6" s="74">
        <v>2</v>
      </c>
      <c r="E6" s="74">
        <v>-157</v>
      </c>
      <c r="F6" s="74">
        <v>3</v>
      </c>
      <c r="G6" s="74">
        <v>309</v>
      </c>
      <c r="H6" s="74">
        <v>2</v>
      </c>
      <c r="I6" s="74">
        <v>162</v>
      </c>
      <c r="J6" s="74">
        <v>0</v>
      </c>
      <c r="K6" s="74">
        <v>0</v>
      </c>
      <c r="L6" s="74">
        <v>4</v>
      </c>
      <c r="M6" s="74">
        <v>-47</v>
      </c>
    </row>
    <row r="7" spans="1:13" x14ac:dyDescent="0.2">
      <c r="A7" s="446" t="s">
        <v>131</v>
      </c>
      <c r="B7" s="74">
        <v>4</v>
      </c>
      <c r="C7" s="74">
        <v>-496</v>
      </c>
      <c r="D7" s="74">
        <v>0</v>
      </c>
      <c r="E7" s="74">
        <v>0</v>
      </c>
      <c r="F7" s="74">
        <v>3</v>
      </c>
      <c r="G7" s="74">
        <v>297</v>
      </c>
      <c r="H7" s="74">
        <v>0</v>
      </c>
      <c r="I7" s="74">
        <v>0</v>
      </c>
      <c r="J7" s="74">
        <v>0</v>
      </c>
      <c r="K7" s="74">
        <v>0</v>
      </c>
      <c r="L7" s="74">
        <v>2</v>
      </c>
      <c r="M7" s="74">
        <v>-199</v>
      </c>
    </row>
    <row r="8" spans="1:13" x14ac:dyDescent="0.2">
      <c r="A8" s="446" t="s">
        <v>150</v>
      </c>
      <c r="B8" s="74">
        <v>7</v>
      </c>
      <c r="C8" s="74">
        <v>106</v>
      </c>
      <c r="D8" s="74">
        <v>1</v>
      </c>
      <c r="E8" s="74">
        <v>133</v>
      </c>
      <c r="F8" s="74">
        <v>4</v>
      </c>
      <c r="G8" s="74">
        <v>48</v>
      </c>
      <c r="H8" s="74">
        <v>1</v>
      </c>
      <c r="I8" s="74">
        <v>132</v>
      </c>
      <c r="J8" s="74">
        <v>0</v>
      </c>
      <c r="K8" s="74">
        <v>0</v>
      </c>
      <c r="L8" s="74">
        <v>5</v>
      </c>
      <c r="M8" s="74">
        <v>419</v>
      </c>
    </row>
    <row r="9" spans="1:13" x14ac:dyDescent="0.2">
      <c r="A9" s="446" t="s">
        <v>151</v>
      </c>
      <c r="B9" s="74">
        <v>0</v>
      </c>
      <c r="C9" s="74">
        <v>0</v>
      </c>
      <c r="D9" s="74">
        <v>0</v>
      </c>
      <c r="E9" s="74">
        <v>0</v>
      </c>
      <c r="F9" s="74">
        <v>2</v>
      </c>
      <c r="G9" s="74">
        <v>-107</v>
      </c>
      <c r="H9" s="74">
        <v>0</v>
      </c>
      <c r="I9" s="74">
        <v>0</v>
      </c>
      <c r="J9" s="74">
        <v>0</v>
      </c>
      <c r="K9" s="74">
        <v>0</v>
      </c>
      <c r="L9" s="74">
        <v>2</v>
      </c>
      <c r="M9" s="74">
        <v>-107</v>
      </c>
    </row>
    <row r="10" spans="1:13" x14ac:dyDescent="0.2">
      <c r="A10" s="446" t="s">
        <v>115</v>
      </c>
      <c r="B10" s="74">
        <v>21</v>
      </c>
      <c r="C10" s="74">
        <v>297</v>
      </c>
      <c r="D10" s="74">
        <v>5</v>
      </c>
      <c r="E10" s="74">
        <v>702</v>
      </c>
      <c r="F10" s="74">
        <v>16</v>
      </c>
      <c r="G10" s="74">
        <v>1949</v>
      </c>
      <c r="H10" s="74">
        <v>4</v>
      </c>
      <c r="I10" s="74">
        <v>1367</v>
      </c>
      <c r="J10" s="74">
        <v>1</v>
      </c>
      <c r="K10" s="74">
        <v>1073</v>
      </c>
      <c r="L10" s="74">
        <v>17</v>
      </c>
      <c r="M10" s="74">
        <v>5388</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5"/>
  <sheetViews>
    <sheetView workbookViewId="0"/>
  </sheetViews>
  <sheetFormatPr defaultRowHeight="12" x14ac:dyDescent="0.2"/>
  <cols>
    <col min="1" max="1" width="19.5703125" customWidth="1"/>
    <col min="2" max="2" width="14.42578125" customWidth="1"/>
    <col min="3" max="3" width="13.5703125" bestFit="1" customWidth="1"/>
    <col min="4" max="4" width="13.5703125" customWidth="1"/>
    <col min="5" max="5" width="13.5703125" bestFit="1" customWidth="1"/>
    <col min="6" max="10" width="13.5703125" customWidth="1"/>
    <col min="11" max="12" width="17" customWidth="1"/>
    <col min="13" max="14" width="17" bestFit="1" customWidth="1"/>
  </cols>
  <sheetData>
    <row r="1" spans="1:12" x14ac:dyDescent="0.2">
      <c r="A1" s="77" t="s">
        <v>2939</v>
      </c>
      <c r="B1" s="446" t="s">
        <v>2936</v>
      </c>
    </row>
    <row r="2" spans="1:12" x14ac:dyDescent="0.2">
      <c r="A2" s="77" t="s">
        <v>140</v>
      </c>
      <c r="B2" s="446" t="s">
        <v>126</v>
      </c>
    </row>
    <row r="4" spans="1:12" x14ac:dyDescent="0.2">
      <c r="A4" s="446" t="s">
        <v>154</v>
      </c>
      <c r="B4" s="446" t="s">
        <v>158</v>
      </c>
      <c r="C4" s="446" t="s">
        <v>155</v>
      </c>
      <c r="D4" s="446" t="s">
        <v>159</v>
      </c>
      <c r="E4" s="446" t="s">
        <v>156</v>
      </c>
      <c r="F4" s="446" t="s">
        <v>160</v>
      </c>
      <c r="G4" s="446" t="s">
        <v>157</v>
      </c>
      <c r="H4" s="446" t="s">
        <v>161</v>
      </c>
      <c r="I4" s="446" t="s">
        <v>162</v>
      </c>
      <c r="J4" s="446" t="s">
        <v>163</v>
      </c>
      <c r="K4" s="446" t="s">
        <v>3803</v>
      </c>
      <c r="L4" s="446" t="s">
        <v>3808</v>
      </c>
    </row>
    <row r="5" spans="1:12" x14ac:dyDescent="0.2">
      <c r="A5" s="74">
        <v>9</v>
      </c>
      <c r="B5" s="74">
        <v>-140</v>
      </c>
      <c r="C5" s="74">
        <v>4</v>
      </c>
      <c r="D5" s="74">
        <v>-185</v>
      </c>
      <c r="E5" s="74">
        <v>5</v>
      </c>
      <c r="F5" s="74">
        <v>105</v>
      </c>
      <c r="G5" s="74">
        <v>2</v>
      </c>
      <c r="H5" s="74">
        <v>43</v>
      </c>
      <c r="I5" s="74">
        <v>0</v>
      </c>
      <c r="J5" s="74">
        <v>0</v>
      </c>
      <c r="K5" s="74">
        <v>11</v>
      </c>
      <c r="L5" s="74">
        <v>-177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8"/>
  <dimension ref="A1:EB162"/>
  <sheetViews>
    <sheetView topLeftCell="A10" workbookViewId="0">
      <selection activeCell="AD24" sqref="AD24"/>
    </sheetView>
  </sheetViews>
  <sheetFormatPr defaultRowHeight="12" x14ac:dyDescent="0.2"/>
  <cols>
    <col min="1" max="1" width="10.5703125" style="294" customWidth="1"/>
    <col min="2" max="19" width="7.7109375" style="16" customWidth="1"/>
    <col min="20" max="20" width="9.140625" style="16"/>
    <col min="21" max="16384" width="9.140625" style="1"/>
  </cols>
  <sheetData>
    <row r="1" spans="1:132" ht="15.75" x14ac:dyDescent="0.25">
      <c r="A1" s="606" t="s">
        <v>3799</v>
      </c>
      <c r="B1" s="606"/>
      <c r="C1" s="606"/>
      <c r="D1" s="606"/>
      <c r="E1" s="606"/>
      <c r="F1" s="606"/>
      <c r="G1" s="606"/>
      <c r="H1" s="606"/>
      <c r="I1" s="606"/>
      <c r="J1" s="606"/>
      <c r="K1" s="606"/>
      <c r="L1" s="606"/>
      <c r="M1" s="606"/>
      <c r="N1" s="606"/>
      <c r="O1" s="606"/>
      <c r="P1" s="606"/>
      <c r="Q1" s="606"/>
      <c r="R1" s="606"/>
      <c r="S1" s="606"/>
      <c r="U1" s="10"/>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row>
    <row r="2" spans="1:132" ht="12.75" x14ac:dyDescent="0.2">
      <c r="A2" s="640" t="s">
        <v>3910</v>
      </c>
      <c r="B2" s="640"/>
      <c r="C2" s="640"/>
      <c r="D2" s="640"/>
      <c r="E2" s="640"/>
      <c r="F2" s="640"/>
      <c r="G2" s="640"/>
      <c r="H2" s="640"/>
      <c r="I2" s="640"/>
      <c r="J2" s="640"/>
      <c r="K2" s="640"/>
      <c r="L2" s="640"/>
      <c r="M2" s="640"/>
      <c r="N2" s="640"/>
      <c r="O2" s="640"/>
      <c r="P2" s="640"/>
      <c r="Q2" s="640"/>
      <c r="R2" s="640"/>
      <c r="S2" s="640"/>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row>
    <row r="3" spans="1:132" x14ac:dyDescent="0.2">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row>
    <row r="4" spans="1:132" ht="12" customHeight="1" x14ac:dyDescent="0.2">
      <c r="A4" s="718" t="s">
        <v>106</v>
      </c>
      <c r="B4" s="719" t="s">
        <v>135</v>
      </c>
      <c r="C4" s="720"/>
      <c r="D4" s="721"/>
      <c r="E4" s="719" t="s">
        <v>136</v>
      </c>
      <c r="F4" s="720"/>
      <c r="G4" s="722"/>
      <c r="H4" s="719" t="s">
        <v>137</v>
      </c>
      <c r="I4" s="720"/>
      <c r="J4" s="721"/>
      <c r="K4" s="719" t="s">
        <v>138</v>
      </c>
      <c r="L4" s="720"/>
      <c r="M4" s="721"/>
      <c r="N4" s="719" t="s">
        <v>139</v>
      </c>
      <c r="O4" s="720"/>
      <c r="P4" s="722"/>
      <c r="Q4" s="716" t="s">
        <v>95</v>
      </c>
      <c r="R4" s="717"/>
      <c r="S4" s="717"/>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row>
    <row r="5" spans="1:132" ht="12" customHeight="1" x14ac:dyDescent="0.2">
      <c r="A5" s="718"/>
      <c r="B5" s="694" t="s">
        <v>3809</v>
      </c>
      <c r="C5" s="715"/>
      <c r="D5" s="695"/>
      <c r="E5" s="694" t="s">
        <v>3810</v>
      </c>
      <c r="F5" s="715"/>
      <c r="G5" s="695"/>
      <c r="H5" s="694" t="s">
        <v>3811</v>
      </c>
      <c r="I5" s="715"/>
      <c r="J5" s="695"/>
      <c r="K5" s="694" t="s">
        <v>3812</v>
      </c>
      <c r="L5" s="715"/>
      <c r="M5" s="695"/>
      <c r="N5" s="694" t="s">
        <v>3813</v>
      </c>
      <c r="O5" s="715"/>
      <c r="P5" s="695"/>
      <c r="Q5" s="694"/>
      <c r="R5" s="715"/>
      <c r="S5" s="715"/>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row>
    <row r="6" spans="1:132" ht="36" customHeight="1" x14ac:dyDescent="0.2">
      <c r="A6" s="540" t="s">
        <v>3828</v>
      </c>
      <c r="B6" s="197" t="s">
        <v>95</v>
      </c>
      <c r="C6" s="198" t="s">
        <v>3821</v>
      </c>
      <c r="D6" s="199" t="s">
        <v>152</v>
      </c>
      <c r="E6" s="197" t="s">
        <v>95</v>
      </c>
      <c r="F6" s="198" t="s">
        <v>3821</v>
      </c>
      <c r="G6" s="199" t="s">
        <v>152</v>
      </c>
      <c r="H6" s="197" t="s">
        <v>95</v>
      </c>
      <c r="I6" s="198" t="s">
        <v>3821</v>
      </c>
      <c r="J6" s="199" t="s">
        <v>152</v>
      </c>
      <c r="K6" s="197" t="s">
        <v>95</v>
      </c>
      <c r="L6" s="198" t="s">
        <v>3821</v>
      </c>
      <c r="M6" s="199" t="s">
        <v>152</v>
      </c>
      <c r="N6" s="197" t="s">
        <v>95</v>
      </c>
      <c r="O6" s="198" t="s">
        <v>3821</v>
      </c>
      <c r="P6" s="199" t="s">
        <v>152</v>
      </c>
      <c r="Q6" s="481" t="s">
        <v>95</v>
      </c>
      <c r="R6" s="476" t="s">
        <v>3821</v>
      </c>
      <c r="S6" s="476" t="s">
        <v>152</v>
      </c>
      <c r="T6" s="2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row>
    <row r="7" spans="1:132" ht="12" customHeight="1" x14ac:dyDescent="0.2">
      <c r="A7" s="415" t="s">
        <v>141</v>
      </c>
      <c r="B7" s="220">
        <v>2669</v>
      </c>
      <c r="C7" s="221">
        <v>1352</v>
      </c>
      <c r="D7" s="222">
        <v>0.50655676283252149</v>
      </c>
      <c r="E7" s="220">
        <v>1315</v>
      </c>
      <c r="F7" s="167">
        <v>0</v>
      </c>
      <c r="G7" s="222">
        <v>0</v>
      </c>
      <c r="H7" s="220">
        <v>3583</v>
      </c>
      <c r="I7" s="221">
        <v>2187</v>
      </c>
      <c r="J7" s="222">
        <v>0.61038236114987443</v>
      </c>
      <c r="K7" s="223">
        <v>35</v>
      </c>
      <c r="L7" s="167">
        <v>0</v>
      </c>
      <c r="M7" s="224">
        <v>0</v>
      </c>
      <c r="N7" s="223">
        <v>0</v>
      </c>
      <c r="O7" s="167">
        <v>0</v>
      </c>
      <c r="P7" s="224">
        <v>0</v>
      </c>
      <c r="Q7" s="482">
        <v>7602</v>
      </c>
      <c r="R7" s="483">
        <v>3539</v>
      </c>
      <c r="S7" s="484">
        <v>0.4655353854248882</v>
      </c>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row>
    <row r="8" spans="1:132" ht="12" customHeight="1" x14ac:dyDescent="0.2">
      <c r="A8" s="416" t="s">
        <v>142</v>
      </c>
      <c r="B8" s="225">
        <v>4647</v>
      </c>
      <c r="C8" s="173">
        <v>475</v>
      </c>
      <c r="D8" s="226">
        <v>0.1022164837529589</v>
      </c>
      <c r="E8" s="225">
        <v>3559</v>
      </c>
      <c r="F8" s="172">
        <v>1220</v>
      </c>
      <c r="G8" s="226">
        <v>0.34279291935937062</v>
      </c>
      <c r="H8" s="225">
        <v>4195</v>
      </c>
      <c r="I8" s="173">
        <v>957</v>
      </c>
      <c r="J8" s="226">
        <v>0.22812872467222883</v>
      </c>
      <c r="K8" s="227">
        <v>286</v>
      </c>
      <c r="L8" s="173">
        <v>146</v>
      </c>
      <c r="M8" s="226">
        <v>0.51048951048951052</v>
      </c>
      <c r="N8" s="227">
        <v>383</v>
      </c>
      <c r="O8" s="173">
        <v>132</v>
      </c>
      <c r="P8" s="226">
        <v>0.34464751958224543</v>
      </c>
      <c r="Q8" s="225">
        <v>13070</v>
      </c>
      <c r="R8" s="172">
        <v>2930</v>
      </c>
      <c r="S8" s="485">
        <v>0.22417750573833206</v>
      </c>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row>
    <row r="9" spans="1:132" ht="12" customHeight="1" x14ac:dyDescent="0.2">
      <c r="A9" s="416" t="s">
        <v>143</v>
      </c>
      <c r="B9" s="225">
        <v>1828</v>
      </c>
      <c r="C9" s="173">
        <v>454</v>
      </c>
      <c r="D9" s="226">
        <v>0.24835886214442013</v>
      </c>
      <c r="E9" s="225">
        <v>3144</v>
      </c>
      <c r="F9" s="173">
        <v>331</v>
      </c>
      <c r="G9" s="226">
        <v>0.10527989821882952</v>
      </c>
      <c r="H9" s="225">
        <v>2700</v>
      </c>
      <c r="I9" s="173">
        <v>505</v>
      </c>
      <c r="J9" s="226">
        <v>0.18703703703703703</v>
      </c>
      <c r="K9" s="227">
        <v>554</v>
      </c>
      <c r="L9" s="173">
        <v>93</v>
      </c>
      <c r="M9" s="226">
        <v>0.16787003610108303</v>
      </c>
      <c r="N9" s="227">
        <v>184</v>
      </c>
      <c r="O9" s="173">
        <v>0</v>
      </c>
      <c r="P9" s="226">
        <v>0</v>
      </c>
      <c r="Q9" s="225">
        <v>8410</v>
      </c>
      <c r="R9" s="172">
        <v>1383</v>
      </c>
      <c r="S9" s="485">
        <v>0.16444708680142686</v>
      </c>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row>
    <row r="10" spans="1:132" ht="12" customHeight="1" x14ac:dyDescent="0.2">
      <c r="A10" s="416" t="s">
        <v>144</v>
      </c>
      <c r="B10" s="225">
        <v>3628</v>
      </c>
      <c r="C10" s="172">
        <v>1746</v>
      </c>
      <c r="D10" s="226">
        <v>0.48125689084895257</v>
      </c>
      <c r="E10" s="225">
        <v>1671</v>
      </c>
      <c r="F10" s="173">
        <v>403</v>
      </c>
      <c r="G10" s="226">
        <v>0.24117295032914424</v>
      </c>
      <c r="H10" s="225">
        <v>2021</v>
      </c>
      <c r="I10" s="172">
        <v>1140</v>
      </c>
      <c r="J10" s="226">
        <v>0.56407718951014352</v>
      </c>
      <c r="K10" s="227">
        <v>255</v>
      </c>
      <c r="L10" s="173">
        <v>0</v>
      </c>
      <c r="M10" s="226">
        <v>0</v>
      </c>
      <c r="N10" s="227">
        <v>215</v>
      </c>
      <c r="O10" s="173">
        <v>151</v>
      </c>
      <c r="P10" s="226">
        <v>0.70232558139534884</v>
      </c>
      <c r="Q10" s="225">
        <v>7790</v>
      </c>
      <c r="R10" s="172">
        <v>3440</v>
      </c>
      <c r="S10" s="485">
        <v>0.44159178433889601</v>
      </c>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row>
    <row r="11" spans="1:132" ht="12" customHeight="1" x14ac:dyDescent="0.2">
      <c r="A11" s="416" t="s">
        <v>145</v>
      </c>
      <c r="B11" s="225">
        <v>1413</v>
      </c>
      <c r="C11" s="172">
        <v>247</v>
      </c>
      <c r="D11" s="226">
        <v>0.17480537862703469</v>
      </c>
      <c r="E11" s="225">
        <v>776</v>
      </c>
      <c r="F11" s="172">
        <v>96</v>
      </c>
      <c r="G11" s="226">
        <v>0.12371134020618557</v>
      </c>
      <c r="H11" s="225">
        <v>570</v>
      </c>
      <c r="I11" s="172">
        <v>370</v>
      </c>
      <c r="J11" s="226">
        <v>0.64912280701754388</v>
      </c>
      <c r="K11" s="225">
        <v>124</v>
      </c>
      <c r="L11" s="172">
        <v>124</v>
      </c>
      <c r="M11" s="226">
        <v>1</v>
      </c>
      <c r="N11" s="225">
        <v>324</v>
      </c>
      <c r="O11" s="172">
        <v>118</v>
      </c>
      <c r="P11" s="226">
        <v>0.36419753086419754</v>
      </c>
      <c r="Q11" s="225">
        <v>3207</v>
      </c>
      <c r="R11" s="172">
        <v>955</v>
      </c>
      <c r="S11" s="485">
        <v>0.29778609292173369</v>
      </c>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row>
    <row r="12" spans="1:132" ht="12" customHeight="1" x14ac:dyDescent="0.2">
      <c r="A12" s="416" t="s">
        <v>146</v>
      </c>
      <c r="B12" s="225">
        <v>5624</v>
      </c>
      <c r="C12" s="172">
        <v>3020</v>
      </c>
      <c r="D12" s="226">
        <v>0.5369843527738265</v>
      </c>
      <c r="E12" s="225">
        <v>1121</v>
      </c>
      <c r="F12" s="172">
        <v>101</v>
      </c>
      <c r="G12" s="226">
        <v>9.0098126672613743E-2</v>
      </c>
      <c r="H12" s="225">
        <v>1266</v>
      </c>
      <c r="I12" s="172">
        <v>247</v>
      </c>
      <c r="J12" s="226">
        <v>0.19510268562401265</v>
      </c>
      <c r="K12" s="225">
        <v>468</v>
      </c>
      <c r="L12" s="172">
        <v>241</v>
      </c>
      <c r="M12" s="226">
        <v>0.5149572649572649</v>
      </c>
      <c r="N12" s="225">
        <v>295</v>
      </c>
      <c r="O12" s="172">
        <v>120</v>
      </c>
      <c r="P12" s="226">
        <v>0.40677966101694918</v>
      </c>
      <c r="Q12" s="225">
        <v>8774</v>
      </c>
      <c r="R12" s="172">
        <v>3729</v>
      </c>
      <c r="S12" s="485">
        <v>0.42500569865511739</v>
      </c>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row>
    <row r="13" spans="1:132" ht="12" customHeight="1" x14ac:dyDescent="0.2">
      <c r="A13" s="416" t="s">
        <v>147</v>
      </c>
      <c r="B13" s="228">
        <v>2929</v>
      </c>
      <c r="C13" s="183">
        <v>503</v>
      </c>
      <c r="D13" s="226">
        <v>0.17173096620006828</v>
      </c>
      <c r="E13" s="228">
        <v>1676</v>
      </c>
      <c r="F13" s="183">
        <v>629</v>
      </c>
      <c r="G13" s="226">
        <v>0.37529832935560858</v>
      </c>
      <c r="H13" s="228">
        <v>1677</v>
      </c>
      <c r="I13" s="183">
        <v>247</v>
      </c>
      <c r="J13" s="226">
        <v>0.14728682170542637</v>
      </c>
      <c r="K13" s="228">
        <v>866</v>
      </c>
      <c r="L13" s="183">
        <v>20</v>
      </c>
      <c r="M13" s="226">
        <v>2.3094688221709007E-2</v>
      </c>
      <c r="N13" s="228">
        <v>323</v>
      </c>
      <c r="O13" s="183">
        <v>117</v>
      </c>
      <c r="P13" s="226">
        <v>0.36222910216718268</v>
      </c>
      <c r="Q13" s="228">
        <v>7471</v>
      </c>
      <c r="R13" s="183">
        <v>1516</v>
      </c>
      <c r="S13" s="485">
        <v>0.20291794940436353</v>
      </c>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row>
    <row r="14" spans="1:132" ht="12" customHeight="1" x14ac:dyDescent="0.2">
      <c r="A14" s="416" t="s">
        <v>148</v>
      </c>
      <c r="B14" s="228">
        <v>6063</v>
      </c>
      <c r="C14" s="183">
        <v>3487</v>
      </c>
      <c r="D14" s="226">
        <v>0.57512782450931876</v>
      </c>
      <c r="E14" s="228">
        <v>3378</v>
      </c>
      <c r="F14" s="183">
        <v>1195</v>
      </c>
      <c r="G14" s="226">
        <v>0.3537596210775607</v>
      </c>
      <c r="H14" s="228">
        <v>2604</v>
      </c>
      <c r="I14" s="183">
        <v>1659</v>
      </c>
      <c r="J14" s="226">
        <v>0.63709677419354838</v>
      </c>
      <c r="K14" s="228">
        <v>74</v>
      </c>
      <c r="L14" s="183">
        <v>0</v>
      </c>
      <c r="M14" s="226">
        <v>0</v>
      </c>
      <c r="N14" s="228">
        <v>447</v>
      </c>
      <c r="O14" s="183">
        <v>404</v>
      </c>
      <c r="P14" s="226">
        <v>0.90380313199105144</v>
      </c>
      <c r="Q14" s="228">
        <v>12566</v>
      </c>
      <c r="R14" s="183">
        <v>6745</v>
      </c>
      <c r="S14" s="485">
        <v>0.53676587617380234</v>
      </c>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row>
    <row r="15" spans="1:132" ht="12" customHeight="1" x14ac:dyDescent="0.2">
      <c r="A15" s="416" t="s">
        <v>165</v>
      </c>
      <c r="B15" s="228">
        <v>9909</v>
      </c>
      <c r="C15" s="183">
        <v>1938</v>
      </c>
      <c r="D15" s="226">
        <v>0.19557977596124734</v>
      </c>
      <c r="E15" s="228">
        <v>1811</v>
      </c>
      <c r="F15" s="183">
        <v>713</v>
      </c>
      <c r="G15" s="226">
        <v>0.39370513528437329</v>
      </c>
      <c r="H15" s="228">
        <v>1579</v>
      </c>
      <c r="I15" s="183">
        <v>435</v>
      </c>
      <c r="J15" s="226">
        <v>0.27549081697276756</v>
      </c>
      <c r="K15" s="228">
        <v>960</v>
      </c>
      <c r="L15" s="183">
        <v>89</v>
      </c>
      <c r="M15" s="226">
        <v>9.2708333333333337E-2</v>
      </c>
      <c r="N15" s="228">
        <v>323</v>
      </c>
      <c r="O15" s="183">
        <v>72</v>
      </c>
      <c r="P15" s="226">
        <v>0.22291021671826625</v>
      </c>
      <c r="Q15" s="228">
        <v>14582</v>
      </c>
      <c r="R15" s="183">
        <v>3247</v>
      </c>
      <c r="S15" s="485">
        <v>0.22267178713482375</v>
      </c>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row>
    <row r="16" spans="1:132" ht="12" customHeight="1" x14ac:dyDescent="0.2">
      <c r="A16" s="416" t="s">
        <v>417</v>
      </c>
      <c r="B16" s="228">
        <v>6786</v>
      </c>
      <c r="C16" s="183">
        <v>2003</v>
      </c>
      <c r="D16" s="226">
        <v>0.29516651930445031</v>
      </c>
      <c r="E16" s="228">
        <v>1379</v>
      </c>
      <c r="F16" s="183">
        <v>168</v>
      </c>
      <c r="G16" s="226">
        <v>0.12182741116751269</v>
      </c>
      <c r="H16" s="228">
        <v>3136</v>
      </c>
      <c r="I16" s="183">
        <v>378</v>
      </c>
      <c r="J16" s="226">
        <v>0.12053571428571429</v>
      </c>
      <c r="K16" s="228">
        <v>2443</v>
      </c>
      <c r="L16" s="183">
        <v>168</v>
      </c>
      <c r="M16" s="226">
        <v>6.8767908309455589E-2</v>
      </c>
      <c r="N16" s="228">
        <v>25</v>
      </c>
      <c r="O16" s="183">
        <v>15</v>
      </c>
      <c r="P16" s="226">
        <v>0.6</v>
      </c>
      <c r="Q16" s="228">
        <v>13769</v>
      </c>
      <c r="R16" s="183">
        <v>2732</v>
      </c>
      <c r="S16" s="485">
        <v>0.19841673324133924</v>
      </c>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row>
    <row r="17" spans="1:132" ht="12" customHeight="1" x14ac:dyDescent="0.2">
      <c r="A17" s="416" t="s">
        <v>636</v>
      </c>
      <c r="B17" s="228">
        <v>25408</v>
      </c>
      <c r="C17" s="183">
        <v>22389</v>
      </c>
      <c r="D17" s="226">
        <v>0.88117915617128462</v>
      </c>
      <c r="E17" s="228">
        <v>2366</v>
      </c>
      <c r="F17" s="183">
        <v>1052</v>
      </c>
      <c r="G17" s="226">
        <v>0.44463229078613692</v>
      </c>
      <c r="H17" s="228">
        <v>4851</v>
      </c>
      <c r="I17" s="183">
        <v>2956</v>
      </c>
      <c r="J17" s="226">
        <v>0.60935889507318075</v>
      </c>
      <c r="K17" s="228">
        <v>2448</v>
      </c>
      <c r="L17" s="183">
        <v>1851</v>
      </c>
      <c r="M17" s="226">
        <v>0.75612745098039214</v>
      </c>
      <c r="N17" s="228">
        <v>358</v>
      </c>
      <c r="O17" s="183">
        <v>0</v>
      </c>
      <c r="P17" s="226">
        <v>0</v>
      </c>
      <c r="Q17" s="228">
        <v>35431</v>
      </c>
      <c r="R17" s="183">
        <v>28248</v>
      </c>
      <c r="S17" s="485">
        <v>0.7972679292145296</v>
      </c>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row>
    <row r="18" spans="1:132" ht="12" customHeight="1" x14ac:dyDescent="0.2">
      <c r="A18" s="416" t="s">
        <v>1300</v>
      </c>
      <c r="B18" s="228">
        <v>4277</v>
      </c>
      <c r="C18" s="183">
        <v>1167</v>
      </c>
      <c r="D18" s="226">
        <v>0.27285480476969837</v>
      </c>
      <c r="E18" s="228">
        <v>1844</v>
      </c>
      <c r="F18" s="183">
        <v>575</v>
      </c>
      <c r="G18" s="226">
        <v>0.31182212581344904</v>
      </c>
      <c r="H18" s="228">
        <v>3006</v>
      </c>
      <c r="I18" s="183">
        <v>1526</v>
      </c>
      <c r="J18" s="226">
        <v>0.50765136393878907</v>
      </c>
      <c r="K18" s="228">
        <v>833</v>
      </c>
      <c r="L18" s="183">
        <v>248</v>
      </c>
      <c r="M18" s="226">
        <v>0.297719087635054</v>
      </c>
      <c r="N18" s="228">
        <v>205</v>
      </c>
      <c r="O18" s="183">
        <v>100</v>
      </c>
      <c r="P18" s="226">
        <v>0.48780487804878048</v>
      </c>
      <c r="Q18" s="228">
        <v>10165</v>
      </c>
      <c r="R18" s="183">
        <v>3616</v>
      </c>
      <c r="S18" s="485">
        <v>0.35573044761436301</v>
      </c>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row>
    <row r="19" spans="1:132" ht="12" customHeight="1" x14ac:dyDescent="0.2">
      <c r="A19" s="418" t="s">
        <v>2974</v>
      </c>
      <c r="B19" s="231">
        <f>GETPIVOTDATA("Sum of A1 Gain",'2.4 Pivot'!$A$4)</f>
        <v>5791</v>
      </c>
      <c r="C19" s="229">
        <f>GETPIVOTDATA("Sum of A1 Gain",'2.4 Pivot'!$A$4,"Town Centre","Y")</f>
        <v>2079</v>
      </c>
      <c r="D19" s="230">
        <f>C19/B19</f>
        <v>0.3590053531341737</v>
      </c>
      <c r="E19" s="231">
        <f>GETPIVOTDATA("Sum of A2 Gain",'2.4 Pivot'!$A$4)</f>
        <v>3528</v>
      </c>
      <c r="F19" s="229">
        <f>GETPIVOTDATA("Sum of A2 Gain",'2.4 Pivot'!$A$4,"Town Centre","Y")</f>
        <v>1058</v>
      </c>
      <c r="G19" s="230">
        <f>F19/E19</f>
        <v>0.29988662131519273</v>
      </c>
      <c r="H19" s="231">
        <f>GETPIVOTDATA("Sum of A3 Gain",'2.4 Pivot'!$A$4)</f>
        <v>6635</v>
      </c>
      <c r="I19" s="229">
        <f>GETPIVOTDATA("Sum of A3 Gain",'2.4 Pivot'!$A$4,"Town Centre","Y")</f>
        <v>2882</v>
      </c>
      <c r="J19" s="230">
        <f>I19/H19</f>
        <v>0.43436322532027127</v>
      </c>
      <c r="K19" s="231">
        <f>GETPIVOTDATA("Sum of A4 Gain",'2.4 Pivot'!$A$4)</f>
        <v>4212</v>
      </c>
      <c r="L19" s="229">
        <f>GETPIVOTDATA("Sum of A4 Gain",'2.4 Pivot'!$A$4,"Town Centre","Y")</f>
        <v>1367</v>
      </c>
      <c r="M19" s="230">
        <f>L19/K19</f>
        <v>0.32454890788224122</v>
      </c>
      <c r="N19" s="231">
        <f>GETPIVOTDATA("Sum of A5 Gain",'2.4 Pivot'!$A$4)</f>
        <v>2193</v>
      </c>
      <c r="O19" s="229">
        <f>GETPIVOTDATA("Sum of A5 Gain",'2.4 Pivot'!$A$4,"Town Centre","Y")</f>
        <v>1073</v>
      </c>
      <c r="P19" s="230">
        <f>O19/N19</f>
        <v>0.48928408572731419</v>
      </c>
      <c r="Q19" s="231">
        <f>GETPIVOTDATA("Sum of A Total Gain",'2.4 Pivot'!$A$4)</f>
        <v>22359</v>
      </c>
      <c r="R19" s="229">
        <f>GETPIVOTDATA("Sum of A Total Gain",'2.4 Pivot'!$A$4,"Town Centre","Y")</f>
        <v>8459</v>
      </c>
      <c r="S19" s="486">
        <f>R19/Q19</f>
        <v>0.37832640100183373</v>
      </c>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row>
    <row r="20" spans="1:132" x14ac:dyDescent="0.2">
      <c r="A20" s="26"/>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row>
    <row r="21" spans="1:132" ht="12.75" x14ac:dyDescent="0.2">
      <c r="A21" s="293" t="s">
        <v>4013</v>
      </c>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row>
    <row r="22" spans="1:132" x14ac:dyDescent="0.2">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row>
    <row r="23" spans="1:132" x14ac:dyDescent="0.2">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row>
    <row r="24" spans="1:132" x14ac:dyDescent="0.2">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row>
    <row r="25" spans="1:132" x14ac:dyDescent="0.2">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row>
    <row r="26" spans="1:132" x14ac:dyDescent="0.2">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row>
    <row r="27" spans="1:132" x14ac:dyDescent="0.2">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row>
    <row r="28" spans="1:132" x14ac:dyDescent="0.2">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row>
    <row r="29" spans="1:132" x14ac:dyDescent="0.2">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row>
    <row r="30" spans="1:132" x14ac:dyDescent="0.2">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row>
    <row r="31" spans="1:132" x14ac:dyDescent="0.2">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row>
    <row r="32" spans="1:132" x14ac:dyDescent="0.2">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row>
    <row r="33" spans="21:132" x14ac:dyDescent="0.2">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row>
    <row r="34" spans="21:132" x14ac:dyDescent="0.2">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row>
    <row r="35" spans="21:132" x14ac:dyDescent="0.2">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row>
    <row r="36" spans="21:132" x14ac:dyDescent="0.2">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row>
    <row r="37" spans="21:132" x14ac:dyDescent="0.2">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row>
    <row r="38" spans="21:132" x14ac:dyDescent="0.2">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row>
    <row r="39" spans="21:132" x14ac:dyDescent="0.2">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row>
    <row r="40" spans="21:132" x14ac:dyDescent="0.2">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row>
    <row r="41" spans="21:132" x14ac:dyDescent="0.2">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row>
    <row r="42" spans="21:132" x14ac:dyDescent="0.2">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row>
    <row r="43" spans="21:132" x14ac:dyDescent="0.2">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row>
    <row r="44" spans="21:132" x14ac:dyDescent="0.2">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row>
    <row r="45" spans="21:132" x14ac:dyDescent="0.2">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row>
    <row r="46" spans="21:132" x14ac:dyDescent="0.2">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row>
    <row r="47" spans="21:132" x14ac:dyDescent="0.2">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row>
    <row r="48" spans="21:132" x14ac:dyDescent="0.2">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row>
    <row r="49" spans="21:132" x14ac:dyDescent="0.2">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row>
    <row r="50" spans="21:132" x14ac:dyDescent="0.2">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row>
    <row r="51" spans="21:132" x14ac:dyDescent="0.2">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row>
    <row r="52" spans="21:132" x14ac:dyDescent="0.2">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row>
    <row r="53" spans="21:132" x14ac:dyDescent="0.2">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row>
    <row r="54" spans="21:132" x14ac:dyDescent="0.2">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row>
    <row r="55" spans="21:132" x14ac:dyDescent="0.2">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row>
    <row r="56" spans="21:132" x14ac:dyDescent="0.2">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row>
    <row r="57" spans="21:132" x14ac:dyDescent="0.2">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row>
    <row r="58" spans="21:132" x14ac:dyDescent="0.2">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row>
    <row r="59" spans="21:132" x14ac:dyDescent="0.2">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row>
    <row r="60" spans="21:132" x14ac:dyDescent="0.2">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row>
    <row r="61" spans="21:132" x14ac:dyDescent="0.2">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row>
    <row r="62" spans="21:132" x14ac:dyDescent="0.2">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row>
    <row r="63" spans="21:132" x14ac:dyDescent="0.2">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row>
    <row r="64" spans="21:132" x14ac:dyDescent="0.2">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row>
    <row r="65" spans="21:132" x14ac:dyDescent="0.2">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row>
    <row r="66" spans="21:132" x14ac:dyDescent="0.2">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row>
    <row r="67" spans="21:132" x14ac:dyDescent="0.2">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row>
    <row r="68" spans="21:132" x14ac:dyDescent="0.2">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row>
    <row r="69" spans="21:132" x14ac:dyDescent="0.2">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row>
    <row r="70" spans="21:132" x14ac:dyDescent="0.2">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row>
    <row r="71" spans="21:132" x14ac:dyDescent="0.2">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row>
    <row r="72" spans="21:132" x14ac:dyDescent="0.2">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row>
    <row r="73" spans="21:132" x14ac:dyDescent="0.2">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row>
    <row r="74" spans="21:132" x14ac:dyDescent="0.2">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row>
    <row r="75" spans="21:132" x14ac:dyDescent="0.2">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row>
    <row r="76" spans="21:132" x14ac:dyDescent="0.2">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row>
    <row r="77" spans="21:132" x14ac:dyDescent="0.2">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row>
    <row r="78" spans="21:132" x14ac:dyDescent="0.2">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row>
    <row r="79" spans="21:132" x14ac:dyDescent="0.2">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row>
    <row r="80" spans="21:132" x14ac:dyDescent="0.2">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row>
    <row r="81" spans="21:132" x14ac:dyDescent="0.2">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row>
    <row r="82" spans="21:132" x14ac:dyDescent="0.2">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row>
    <row r="83" spans="21:132" x14ac:dyDescent="0.2">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row>
    <row r="84" spans="21:132" x14ac:dyDescent="0.2">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row>
    <row r="85" spans="21:132" x14ac:dyDescent="0.2">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row>
    <row r="86" spans="21:132" x14ac:dyDescent="0.2">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row>
    <row r="87" spans="21:132" x14ac:dyDescent="0.2">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row>
    <row r="88" spans="21:132" x14ac:dyDescent="0.2">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row>
    <row r="89" spans="21:132" x14ac:dyDescent="0.2">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row>
    <row r="90" spans="21:132" x14ac:dyDescent="0.2">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row>
    <row r="91" spans="21:132" x14ac:dyDescent="0.2">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row>
    <row r="92" spans="21:132" x14ac:dyDescent="0.2">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row>
    <row r="93" spans="21:132" x14ac:dyDescent="0.2">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row>
    <row r="94" spans="21:132" x14ac:dyDescent="0.2">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row>
    <row r="95" spans="21:132" x14ac:dyDescent="0.2">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row>
    <row r="96" spans="21:132" x14ac:dyDescent="0.2">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row>
    <row r="97" spans="20:132" x14ac:dyDescent="0.2">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row>
    <row r="98" spans="20:132" x14ac:dyDescent="0.2">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row>
    <row r="99" spans="20:132" x14ac:dyDescent="0.2">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row>
    <row r="100" spans="20:132" x14ac:dyDescent="0.2">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row>
    <row r="101" spans="20:132" x14ac:dyDescent="0.2">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row>
    <row r="102" spans="20:132" x14ac:dyDescent="0.2">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row>
    <row r="103" spans="20:132" x14ac:dyDescent="0.2">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row>
    <row r="104" spans="20:132" x14ac:dyDescent="0.2">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row>
    <row r="105" spans="20:132" x14ac:dyDescent="0.2">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row>
    <row r="106" spans="20:132" x14ac:dyDescent="0.2">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row>
    <row r="107" spans="20:132" x14ac:dyDescent="0.2">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row>
    <row r="108" spans="20:132" x14ac:dyDescent="0.2">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row>
    <row r="109" spans="20:132" x14ac:dyDescent="0.2">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row>
    <row r="110" spans="20:132" x14ac:dyDescent="0.2">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row>
    <row r="111" spans="20:132" x14ac:dyDescent="0.2">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row>
    <row r="112" spans="20:132" x14ac:dyDescent="0.2">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row>
    <row r="113" spans="21:132" x14ac:dyDescent="0.2">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row>
    <row r="114" spans="21:132" x14ac:dyDescent="0.2">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row>
    <row r="115" spans="21:132" x14ac:dyDescent="0.2">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row>
    <row r="116" spans="21:132" x14ac:dyDescent="0.2">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row>
    <row r="117" spans="21:132" x14ac:dyDescent="0.2">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row>
    <row r="118" spans="21:132" x14ac:dyDescent="0.2">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row>
    <row r="119" spans="21:132" x14ac:dyDescent="0.2">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row>
    <row r="120" spans="21:132" x14ac:dyDescent="0.2">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row>
    <row r="121" spans="21:132" x14ac:dyDescent="0.2">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row>
    <row r="122" spans="21:132" x14ac:dyDescent="0.2">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row>
    <row r="123" spans="21:132" x14ac:dyDescent="0.2">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row>
    <row r="124" spans="21:132" x14ac:dyDescent="0.2">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row>
    <row r="125" spans="21:132" x14ac:dyDescent="0.2">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row>
    <row r="126" spans="21:132" x14ac:dyDescent="0.2">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row>
    <row r="127" spans="21:132" x14ac:dyDescent="0.2">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row>
    <row r="128" spans="21:132" x14ac:dyDescent="0.2">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row>
    <row r="129" spans="21:132" x14ac:dyDescent="0.2">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row>
    <row r="130" spans="21:132" x14ac:dyDescent="0.2">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row>
    <row r="131" spans="21:132" x14ac:dyDescent="0.2">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row>
    <row r="132" spans="21:132" x14ac:dyDescent="0.2">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row>
    <row r="133" spans="21:132" x14ac:dyDescent="0.2">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row>
    <row r="134" spans="21:132" x14ac:dyDescent="0.2">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row>
    <row r="135" spans="21:132" x14ac:dyDescent="0.2">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row>
    <row r="136" spans="21:132" x14ac:dyDescent="0.2">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row>
    <row r="137" spans="21:132" x14ac:dyDescent="0.2">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row>
    <row r="138" spans="21:132" x14ac:dyDescent="0.2">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row>
    <row r="139" spans="21:132" x14ac:dyDescent="0.2">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row>
    <row r="140" spans="21:132" x14ac:dyDescent="0.2">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row>
    <row r="141" spans="21:132" x14ac:dyDescent="0.2">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row>
    <row r="142" spans="21:132" x14ac:dyDescent="0.2">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row>
    <row r="143" spans="21:132" x14ac:dyDescent="0.2">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row>
    <row r="144" spans="21:132" x14ac:dyDescent="0.2">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row>
    <row r="145" spans="21:132" x14ac:dyDescent="0.2">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row>
    <row r="146" spans="21:132" x14ac:dyDescent="0.2">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row>
    <row r="147" spans="21:132" x14ac:dyDescent="0.2">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row>
    <row r="148" spans="21:132" x14ac:dyDescent="0.2">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row>
    <row r="149" spans="21:132" x14ac:dyDescent="0.2">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row>
    <row r="150" spans="21:132" x14ac:dyDescent="0.2">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row>
    <row r="151" spans="21:132" x14ac:dyDescent="0.2">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row>
    <row r="152" spans="21:132" x14ac:dyDescent="0.2">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row>
    <row r="153" spans="21:132" x14ac:dyDescent="0.2">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row>
    <row r="154" spans="21:132" x14ac:dyDescent="0.2">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row>
    <row r="155" spans="21:132" x14ac:dyDescent="0.2">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row>
    <row r="156" spans="21:132" x14ac:dyDescent="0.2">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row>
    <row r="157" spans="21:132" x14ac:dyDescent="0.2">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row>
    <row r="158" spans="21:132" x14ac:dyDescent="0.2">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row>
    <row r="159" spans="21:132" x14ac:dyDescent="0.2">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row>
    <row r="160" spans="21:132" x14ac:dyDescent="0.2">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row>
    <row r="161" spans="21:132" x14ac:dyDescent="0.2">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row>
    <row r="162" spans="21:132" x14ac:dyDescent="0.2">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row>
  </sheetData>
  <mergeCells count="14">
    <mergeCell ref="A1:S1"/>
    <mergeCell ref="A2:S2"/>
    <mergeCell ref="B5:D5"/>
    <mergeCell ref="E5:G5"/>
    <mergeCell ref="H5:J5"/>
    <mergeCell ref="K5:M5"/>
    <mergeCell ref="N5:P5"/>
    <mergeCell ref="Q4:S5"/>
    <mergeCell ref="A4:A5"/>
    <mergeCell ref="B4:D4"/>
    <mergeCell ref="E4:G4"/>
    <mergeCell ref="H4:J4"/>
    <mergeCell ref="K4:M4"/>
    <mergeCell ref="N4:P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autoPageBreaks="0"/>
  </sheetPr>
  <dimension ref="A1:AH129"/>
  <sheetViews>
    <sheetView workbookViewId="0">
      <selection sqref="A1:L1"/>
    </sheetView>
  </sheetViews>
  <sheetFormatPr defaultRowHeight="12" x14ac:dyDescent="0.2"/>
  <cols>
    <col min="1" max="1" width="4.7109375" style="294" customWidth="1"/>
    <col min="2" max="2" width="4.7109375" style="16" customWidth="1"/>
    <col min="3" max="3" width="14.85546875" style="16" customWidth="1"/>
    <col min="4" max="4" width="12.85546875" style="56" bestFit="1" customWidth="1"/>
    <col min="5" max="11" width="9" style="52" customWidth="1"/>
    <col min="12" max="12" width="9" style="431" customWidth="1"/>
    <col min="13" max="16384" width="9.140625" style="16"/>
  </cols>
  <sheetData>
    <row r="1" spans="1:34" ht="15.75" x14ac:dyDescent="0.25">
      <c r="A1" s="606" t="s">
        <v>423</v>
      </c>
      <c r="B1" s="606"/>
      <c r="C1" s="606"/>
      <c r="D1" s="606"/>
      <c r="E1" s="606"/>
      <c r="F1" s="606"/>
      <c r="G1" s="606"/>
      <c r="H1" s="606"/>
      <c r="I1" s="606"/>
      <c r="J1" s="606"/>
      <c r="K1" s="606"/>
      <c r="L1" s="606"/>
      <c r="AH1" s="10"/>
    </row>
    <row r="2" spans="1:34" ht="12.75" x14ac:dyDescent="0.2">
      <c r="A2" s="293" t="s">
        <v>3884</v>
      </c>
      <c r="B2" s="239"/>
      <c r="C2" s="239"/>
      <c r="D2" s="239"/>
      <c r="E2" s="239"/>
      <c r="F2" s="239"/>
      <c r="G2" s="239"/>
      <c r="H2" s="239"/>
      <c r="I2" s="239"/>
      <c r="J2" s="239"/>
      <c r="K2" s="239"/>
      <c r="L2" s="289"/>
    </row>
    <row r="3" spans="1:34" x14ac:dyDescent="0.2">
      <c r="A3" s="26"/>
    </row>
    <row r="4" spans="1:34" ht="26.25" customHeight="1" x14ac:dyDescent="0.2">
      <c r="A4" s="611" t="s">
        <v>88</v>
      </c>
      <c r="B4" s="612"/>
      <c r="C4" s="612"/>
      <c r="D4" s="615" t="s">
        <v>193</v>
      </c>
      <c r="E4" s="598" t="s">
        <v>3869</v>
      </c>
      <c r="F4" s="599"/>
      <c r="G4" s="600"/>
      <c r="H4" s="598" t="s">
        <v>2929</v>
      </c>
      <c r="I4" s="599"/>
      <c r="J4" s="610"/>
      <c r="K4" s="610"/>
      <c r="L4" s="610"/>
    </row>
    <row r="5" spans="1:34" ht="24" x14ac:dyDescent="0.2">
      <c r="A5" s="613"/>
      <c r="B5" s="613"/>
      <c r="C5" s="614"/>
      <c r="D5" s="616"/>
      <c r="E5" s="89" t="s">
        <v>2930</v>
      </c>
      <c r="F5" s="85" t="s">
        <v>2931</v>
      </c>
      <c r="G5" s="86" t="s">
        <v>95</v>
      </c>
      <c r="H5" s="85" t="s">
        <v>90</v>
      </c>
      <c r="I5" s="86" t="s">
        <v>92</v>
      </c>
      <c r="J5" s="85" t="s">
        <v>91</v>
      </c>
      <c r="K5" s="86" t="s">
        <v>92</v>
      </c>
      <c r="L5" s="85" t="s">
        <v>93</v>
      </c>
    </row>
    <row r="6" spans="1:34" ht="12.95" customHeight="1" x14ac:dyDescent="0.2">
      <c r="A6" s="611" t="s">
        <v>2926</v>
      </c>
      <c r="B6" s="611"/>
      <c r="C6" s="611"/>
      <c r="D6" s="91" t="s">
        <v>94</v>
      </c>
      <c r="E6" s="80">
        <f>GETPIVOTDATA("Count of B Total Gain",'1.2 Pivot'!$A$1,"Status 1 - Development","01 Completed","Status 2 - Permission Type","02 Full","Development Type 2","NB")+GETPIVOTDATA("Count of B Total Gain",'1.2 Pivot'!$A$1,"Status 1 - Development","01 Completed","Status 2 - Permission Type","04 Prior Approval","Development Type 2","NB")+GETPIVOTDATA("Count of B Total Gain",'1.2 Pivot'!$A$1,"Status 1 - Development","01 Completed","Status 2 - Permission Type","05 Certificate of Lawful Development","Development Type 2","NB")</f>
        <v>12</v>
      </c>
      <c r="F6" s="92">
        <f>GETPIVOTDATA("Count of B Total Loss",'1.2 Pivot'!$A$1,"Status 1 - Development","01 Completed","Status 2 - Permission Type","02 Full","Development Type 2","NB")+GETPIVOTDATA("Count of B Total Loss",'1.2 Pivot'!$A$1,"Status 1 - Development","01 Completed","Status 2 - Permission Type","04 Prior Approval","Development Type 2","NB")+GETPIVOTDATA("Count of B Total Loss",'1.2 Pivot'!$A$1,"Status 1 - Development","01 Completed","Status 2 - Permission Type","05 Certificate of Lawful Development","Development Type 2","NB")</f>
        <v>29</v>
      </c>
      <c r="G6" s="81">
        <f>GETPIVOTDATA("Count of B Total Net",'1.2 Pivot'!$A$1,"Status 1 - Development","01 Completed","Status 2 - Permission Type","02 Full","Development Type 2","NB")+GETPIVOTDATA("Count of B Total Net",'1.2 Pivot'!$A$1,"Status 1 - Development","01 Completed","Status 2 - Permission Type","04 Prior Approval","Development Type 2","NB")+GETPIVOTDATA("Count of B Total Net",'1.2 Pivot'!$A$1,"Status 1 - Development","01 Completed","Status 2 - Permission Type","05 Certificate of Lawful Development","Development Type 2","NB")</f>
        <v>35</v>
      </c>
      <c r="H6" s="92">
        <f>GETPIVOTDATA("Sum of B Total Gain2",'1.2 Pivot'!$A$1,"Status 1 - Development","01 Completed","Status 2 - Permission Type","02 Full","Development Type 2","NB")+GETPIVOTDATA("Sum of B Total Gain2",'1.2 Pivot'!$A$1,"Status 1 - Development","01 Completed","Status 2 - Permission Type","04 Prior Approval","Development Type 2","NB")+GETPIVOTDATA("Sum of B Total Gain2",'1.2 Pivot'!$A$1,"Status 1 - Development","01 Completed","Status 2 - Permission Type","05 Certificate of Lawful Development","Development Type 2","NB")</f>
        <v>15924</v>
      </c>
      <c r="I6" s="93">
        <f>IFERROR(H6/H$9,"-")</f>
        <v>0.71652267818574511</v>
      </c>
      <c r="J6" s="92">
        <f>GETPIVOTDATA("Sum of B Total Loss",'1.2 Pivot'!$A$1,"Status 1 - Development","01 Completed","Status 2 - Permission Type","02 Full","Development Type 2","NB")+GETPIVOTDATA("Sum of B Total Loss",'1.2 Pivot'!$A$1,"Status 1 - Development","01 Completed","Status 2 - Permission Type","04 Prior Approval","Development Type 2","NB")+GETPIVOTDATA("Sum of B Total Loss",'1.2 Pivot'!$A$1,"Status 1 - Development","01 Completed","Status 2 - Permission Type","05 Certificate of Lawful Development","Development Type 2","NB")</f>
        <v>44972</v>
      </c>
      <c r="K6" s="93">
        <f>IFERROR(J6/J$9,"-")</f>
        <v>0.65898833597092787</v>
      </c>
      <c r="L6" s="433">
        <f>GETPIVOTDATA("Sum of B Total Net2",'1.2 Pivot'!$A$1,"Status 1 - Development","01 Completed","Status 2 - Permission Type","02 Full","Development Type 2","NB")+GETPIVOTDATA("Sum of B Total Net2",'1.2 Pivot'!$A$1,"Status 1 - Development","01 Completed","Status 2 - Permission Type","04 Prior Approval","Development Type 2","NB")+GETPIVOTDATA("Sum of B Total Net2",'1.2 Pivot'!$A$1,"Status 1 - Development","01 Completed","Status 2 - Permission Type","05 Certificate of Lawful Development","Development Type 2","NB")</f>
        <v>-29048</v>
      </c>
      <c r="M6" s="21"/>
    </row>
    <row r="7" spans="1:34" ht="12.95" customHeight="1" x14ac:dyDescent="0.2">
      <c r="A7" s="617"/>
      <c r="B7" s="617"/>
      <c r="C7" s="617"/>
      <c r="D7" s="83" t="s">
        <v>2928</v>
      </c>
      <c r="E7" s="90">
        <f>GETPIVOTDATA("Count of B Total Gain",'1.2 Pivot'!$A$1,"Status 1 - Development","01 Completed","Status 2 - Permission Type","02 Full","Development Type 2","EXT")+GETPIVOTDATA("Count of B Total Gain",'1.2 Pivot'!$A$1,"Status 1 - Development","01 Completed","Status 2 - Permission Type","04 Prior Approval","Development Type 2","EXT")+GETPIVOTDATA("Count of B Total Gain",'1.2 Pivot'!$A$1,"Status 1 - Development","01 Completed","Status 2 - Permission Type","05 Certificate of Lawful Development","Development Type 2","EXT")</f>
        <v>4</v>
      </c>
      <c r="F7" s="84">
        <f>GETPIVOTDATA("Count of B Total Loss",'1.2 Pivot'!$A$1,"Status 1 - Development","01 Completed","Status 2 - Permission Type","02 Full","Development Type 2","EXT")+GETPIVOTDATA("Count of B Total Loss",'1.2 Pivot'!$A$1,"Status 1 - Development","01 Completed","Status 2 - Permission Type","04 Prior Approval","Development Type 2","EXT")+GETPIVOTDATA("Count of B Total Loss",'1.2 Pivot'!$A$1,"Status 1 - Development","01 Completed","Status 2 - Permission Type","05 Certificate of Lawful Development","Development Type 2","EXT")</f>
        <v>0</v>
      </c>
      <c r="G7" s="87">
        <f>GETPIVOTDATA("Count of B Total Net",'1.2 Pivot'!$A$1,"Status 1 - Development","01 Completed","Status 2 - Permission Type","02 Full","Development Type 2","EXT")+GETPIVOTDATA("Count of B Total Net",'1.2 Pivot'!$A$1,"Status 1 - Development","01 Completed","Status 2 - Permission Type","04 Prior Approval","Development Type 2","EXT")+GETPIVOTDATA("Count of B Total Net",'1.2 Pivot'!$A$1,"Status 1 - Development","01 Completed","Status 2 - Permission Type","05 Certificate of Lawful Development","Development Type 2","EXT")</f>
        <v>4</v>
      </c>
      <c r="H7" s="84">
        <f>GETPIVOTDATA("Sum of B Total Gain2",'1.2 Pivot'!$A$1,"Status 1 - Development","01 Completed","Status 2 - Permission Type","02 Full","Development Type 2","EXT")+GETPIVOTDATA("Sum of B Total Gain2",'1.2 Pivot'!$A$1,"Status 1 - Development","01 Completed","Status 2 - Permission Type","04 Prior Approval","Development Type 2","EXT")+GETPIVOTDATA("Sum of B Total Gain2",'1.2 Pivot'!$A$1,"Status 1 - Development","01 Completed","Status 2 - Permission Type","05 Certificate of Lawful Development","Development Type 2","EXT")</f>
        <v>1131</v>
      </c>
      <c r="I7" s="88">
        <f t="shared" ref="I7:I9" si="0">IFERROR(H7/H$9,"-")</f>
        <v>5.0890928725701945E-2</v>
      </c>
      <c r="J7" s="84">
        <f>GETPIVOTDATA("Sum of B Total Loss",'1.2 Pivot'!$A$1,"Status 1 - Development","01 Completed","Status 2 - Permission Type","02 Full","Development Type 2","EXT")+GETPIVOTDATA("Sum of B Total Loss",'1.2 Pivot'!$A$1,"Status 1 - Development","01 Completed","Status 2 - Permission Type","04 Prior Approval","Development Type 2","EXT")+GETPIVOTDATA("Sum of B Total Loss",'1.2 Pivot'!$A$1,"Status 1 - Development","01 Completed","Status 2 - Permission Type","05 Certificate of Lawful Development","Development Type 2","EXT")</f>
        <v>0</v>
      </c>
      <c r="K7" s="88">
        <f t="shared" ref="K7:K9" si="1">IFERROR(J7/J$9,"-")</f>
        <v>0</v>
      </c>
      <c r="L7" s="434">
        <f>GETPIVOTDATA("Sum of B Total Net2",'1.2 Pivot'!$A$1,"Status 1 - Development","01 Completed","Status 2 - Permission Type","02 Full","Development Type 2","EXT")+GETPIVOTDATA("Sum of B Total Net2",'1.2 Pivot'!$A$1,"Status 1 - Development","01 Completed","Status 2 - Permission Type","04 Prior Approval","Development Type 2","EXT")+GETPIVOTDATA("Sum of B Total Net2",'1.2 Pivot'!$A$1,"Status 1 - Development","01 Completed","Status 2 - Permission Type","05 Certificate of Lawful Development","Development Type 2","EXT")</f>
        <v>1131</v>
      </c>
    </row>
    <row r="8" spans="1:34" ht="12.95" customHeight="1" x14ac:dyDescent="0.2">
      <c r="A8" s="617"/>
      <c r="B8" s="617"/>
      <c r="C8" s="617"/>
      <c r="D8" s="83" t="s">
        <v>2927</v>
      </c>
      <c r="E8" s="90">
        <f>GETPIVOTDATA("Count of B Total Gain",'1.2 Pivot'!$A$1,"Status 1 - Development","01 Completed","Status 2 - Permission Type","02 Full","Development Type 2","COU")+GETPIVOTDATA("Count of B Total Gain",'1.2 Pivot'!$A$1,"Status 1 - Development","01 Completed","Status 2 - Permission Type","04 Prior Approval","Development Type 2","COU")+GETPIVOTDATA("Count of B Total Gain",'1.2 Pivot'!$A$1,"Status 1 - Development","01 Completed","Status 2 - Permission Type","05 Certificate of Lawful Development","Development Type 2","COU")</f>
        <v>14</v>
      </c>
      <c r="F8" s="84">
        <f>GETPIVOTDATA("Count of B Total Loss",'1.2 Pivot'!$A$1,"Status 1 - Development","01 Completed","Status 2 - Permission Type","02 Full","Development Type 2","COU")+GETPIVOTDATA("Count of B Total Loss",'1.2 Pivot'!$A$1,"Status 1 - Development","01 Completed","Status 2 - Permission Type","04 Prior Approval","Development Type 2","COU")+GETPIVOTDATA("Count of B Total Loss",'1.2 Pivot'!$A$1,"Status 1 - Development","01 Completed","Status 2 - Permission Type","05 Certificate of Lawful Development","Development Type 2","COU")</f>
        <v>31</v>
      </c>
      <c r="G8" s="87">
        <f>GETPIVOTDATA("Count of B Total Net",'1.2 Pivot'!$A$1,"Status 1 - Development","01 Completed","Status 2 - Permission Type","02 Full","Development Type 2","COU")+GETPIVOTDATA("Count of B Total Net",'1.2 Pivot'!$A$1,"Status 1 - Development","01 Completed","Status 2 - Permission Type","04 Prior Approval","Development Type 2","COU")+GETPIVOTDATA("Count of B Total Net",'1.2 Pivot'!$A$1,"Status 1 - Development","01 Completed","Status 2 - Permission Type","05 Certificate of Lawful Development","Development Type 2","COU")</f>
        <v>36</v>
      </c>
      <c r="H8" s="84">
        <f>GETPIVOTDATA("Sum of B Total Gain2",'1.2 Pivot'!$A$1,"Status 1 - Development","01 Completed","Status 2 - Permission Type","02 Full","Development Type 2","COU")+GETPIVOTDATA("Sum of B Total Gain2",'1.2 Pivot'!$A$1,"Status 1 - Development","01 Completed","Status 2 - Permission Type","04 Prior Approval","Development Type 2","COU")+GETPIVOTDATA("Sum of B Total Gain2",'1.2 Pivot'!$A$1,"Status 1 - Development","01 Completed","Status 2 - Permission Type","05 Certificate of Lawful Development","Development Type 2","COU")</f>
        <v>5169</v>
      </c>
      <c r="I8" s="88">
        <f t="shared" si="0"/>
        <v>0.23258639308855292</v>
      </c>
      <c r="J8" s="84">
        <f>GETPIVOTDATA("Sum of B Total Loss",'1.2 Pivot'!$A$1,"Status 1 - Development","01 Completed","Status 2 - Permission Type","02 Full","Development Type 2","COU")+GETPIVOTDATA("Sum of B Total Loss",'1.2 Pivot'!$A$1,"Status 1 - Development","01 Completed","Status 2 - Permission Type","04 Prior Approval","Development Type 2","COU")+GETPIVOTDATA("Sum of B Total Loss",'1.2 Pivot'!$A$1,"Status 1 - Development","01 Completed","Status 2 - Permission Type","05 Certificate of Lawful Development","Development Type 2","COU")</f>
        <v>23272</v>
      </c>
      <c r="K8" s="88">
        <f t="shared" si="1"/>
        <v>0.34101166402907213</v>
      </c>
      <c r="L8" s="434">
        <f>GETPIVOTDATA("Sum of B Total Net2",'1.2 Pivot'!$A$1,"Status 1 - Development","01 Completed","Status 2 - Permission Type","02 Full","Development Type 2","COU")+GETPIVOTDATA("Sum of B Total Net2",'1.2 Pivot'!$A$1,"Status 1 - Development","01 Completed","Status 2 - Permission Type","04 Prior Approval","Development Type 2","COU")+GETPIVOTDATA("Sum of B Total Net2",'1.2 Pivot'!$A$1,"Status 1 - Development","01 Completed","Status 2 - Permission Type","05 Certificate of Lawful Development","Development Type 2","COU")</f>
        <v>-17903</v>
      </c>
    </row>
    <row r="9" spans="1:34" ht="12.95" customHeight="1" x14ac:dyDescent="0.2">
      <c r="A9" s="614"/>
      <c r="B9" s="614"/>
      <c r="C9" s="614"/>
      <c r="D9" s="79" t="s">
        <v>95</v>
      </c>
      <c r="E9" s="102">
        <f>SUM(E6:E8)</f>
        <v>30</v>
      </c>
      <c r="F9" s="98">
        <f t="shared" ref="F9:L9" si="2">SUM(F6:F8)</f>
        <v>60</v>
      </c>
      <c r="G9" s="103">
        <f t="shared" si="2"/>
        <v>75</v>
      </c>
      <c r="H9" s="98">
        <f t="shared" si="2"/>
        <v>22224</v>
      </c>
      <c r="I9" s="99">
        <f t="shared" si="0"/>
        <v>1</v>
      </c>
      <c r="J9" s="98">
        <f t="shared" si="2"/>
        <v>68244</v>
      </c>
      <c r="K9" s="99">
        <f t="shared" si="1"/>
        <v>1</v>
      </c>
      <c r="L9" s="435">
        <f t="shared" si="2"/>
        <v>-45820</v>
      </c>
    </row>
    <row r="10" spans="1:34" ht="12.95" customHeight="1" x14ac:dyDescent="0.2">
      <c r="A10" s="607" t="s">
        <v>2962</v>
      </c>
      <c r="B10" s="619" t="s">
        <v>2964</v>
      </c>
      <c r="C10" s="618" t="s">
        <v>96</v>
      </c>
      <c r="D10" s="91" t="s">
        <v>94</v>
      </c>
      <c r="E10" s="104">
        <f>GETPIVOTDATA("Count of B Total Gain",'1.2 Pivot'!$A$1,"Status 1 - Development","02 Under Construction","Status 2 - Permission Type","02 Full","Development Type 2","NB")+GETPIVOTDATA("Count of B Total Gain",'1.2 Pivot'!$A$1,"Status 1 - Development","02 Under Construction","Status 2 - Permission Type","04 Prior Approval","Development Type 2","NB")+GETPIVOTDATA("Count of B Total Gain",'1.2 Pivot'!$A$1,"Status 1 - Development","02 Under Construction","Status 2 - Permission Type","05 Certificate of Lawful Development","Development Type 2","NB")</f>
        <v>33</v>
      </c>
      <c r="F10" s="100">
        <f>GETPIVOTDATA("Count of B Total Loss",'1.2 Pivot'!$A$1,"Status 1 - Development","02 Under Construction","Status 2 - Permission Type","02 Full","Development Type 2","NB")+GETPIVOTDATA("Count of B Total Loss",'1.2 Pivot'!$A$1,"Status 1 - Development","02 Under Construction","Status 2 - Permission Type","04 Prior Approval","Development Type 2","NB")+GETPIVOTDATA("Count of B Total Loss",'1.2 Pivot'!$A$1,"Status 1 - Development","02 Under Construction","Status 2 - Permission Type","05 Certificate of Lawful Development","Development Type 2","NB")</f>
        <v>45</v>
      </c>
      <c r="G10" s="105">
        <f>GETPIVOTDATA("Count of B Total Net",'1.2 Pivot'!$A$1,"Status 1 - Development","02 Under Construction","Status 2 - Permission Type","02 Full","Development Type 2","NB")+GETPIVOTDATA("Count of B Total Net",'1.2 Pivot'!$A$1,"Status 1 - Development","02 Under Construction","Status 2 - Permission Type","04 Prior Approval","Development Type 2","NB")+GETPIVOTDATA("Count of B Total Net",'1.2 Pivot'!$A$1,"Status 1 - Development","02 Under Construction","Status 2 - Permission Type","05 Certificate of Lawful Development","Development Type 2","NB")</f>
        <v>60</v>
      </c>
      <c r="H10" s="100">
        <f>GETPIVOTDATA("Sum of B Total Gain2",'1.2 Pivot'!$A$1,"Status 1 - Development","02 Under Construction","Status 2 - Permission Type","02 Full","Development Type 2","NB")+GETPIVOTDATA("Sum of B Total Gain2",'1.2 Pivot'!$A$1,"Status 1 - Development","02 Under Construction","Status 2 - Permission Type","04 Prior Approval","Development Type 2","NB")+GETPIVOTDATA("Sum of B Total Gain2",'1.2 Pivot'!$A$1,"Status 1 - Development","02 Under Construction","Status 2 - Permission Type","05 Certificate of Lawful Development","Development Type 2","NB")</f>
        <v>80757</v>
      </c>
      <c r="I10" s="106">
        <f>H10/H$13</f>
        <v>0.9693437841341479</v>
      </c>
      <c r="J10" s="100">
        <f>GETPIVOTDATA("Sum of B Total Loss",'1.2 Pivot'!$A$1,"Status 1 - Development","02 Under Construction","Status 2 - Permission Type","02 Full","Development Type 2","NB")+GETPIVOTDATA("Sum of B Total Loss",'1.2 Pivot'!$A$1,"Status 1 - Development","02 Under Construction","Status 2 - Permission Type","04 Prior Approval","Development Type 2","NB")+GETPIVOTDATA("Sum of B Total Loss",'1.2 Pivot'!$A$1,"Status 1 - Development","02 Under Construction","Status 2 - Permission Type","05 Certificate of Lawful Development","Development Type 2","NB")</f>
        <v>172466</v>
      </c>
      <c r="K10" s="106">
        <f>J10/J$13</f>
        <v>0.94823538467459489</v>
      </c>
      <c r="L10" s="433">
        <f>GETPIVOTDATA("Sum of B Total Net2",'1.2 Pivot'!$A$1,"Status 1 - Development","02 Under Construction","Status 2 - Permission Type","02 Full","Development Type 2","NB")+GETPIVOTDATA("Sum of B Total Net2",'1.2 Pivot'!$A$1,"Status 1 - Development","02 Under Construction","Status 2 - Permission Type","04 Prior Approval","Development Type 2","NB")+GETPIVOTDATA("Sum of B Total Net2",'1.2 Pivot'!$A$1,"Status 1 - Development","02 Under Construction","Status 2 - Permission Type","05 Certificate of Lawful Development","Development Type 2","NB")</f>
        <v>-91709</v>
      </c>
    </row>
    <row r="11" spans="1:34" ht="12.95" customHeight="1" x14ac:dyDescent="0.2">
      <c r="A11" s="608"/>
      <c r="B11" s="619"/>
      <c r="C11" s="617"/>
      <c r="D11" s="83" t="s">
        <v>2928</v>
      </c>
      <c r="E11" s="107">
        <f>GETPIVOTDATA("Count of B Total Gain",'1.2 Pivot'!$A$1,"Status 1 - Development","02 Under Construction","Status 2 - Permission Type","02 Full","Development Type 2","EXT")+GETPIVOTDATA("Count of B Total Gain",'1.2 Pivot'!$A$1,"Status 1 - Development","02 Under Construction","Status 2 - Permission Type","04 Prior Approval","Development Type 2","EXT")+GETPIVOTDATA("Count of B Total Gain",'1.2 Pivot'!$A$1,"Status 1 - Development","02 Under Construction","Status 2 - Permission Type","05 Certificate of Lawful Development","Development Type 2","EXT")</f>
        <v>5</v>
      </c>
      <c r="F11" s="101">
        <f>GETPIVOTDATA("Count of B Total Loss",'1.2 Pivot'!$A$1,"Status 1 - Development","02 Under Construction","Status 2 - Permission Type","02 Full","Development Type 2","EXT")+GETPIVOTDATA("Count of B Total Loss",'1.2 Pivot'!$A$1,"Status 1 - Development","02 Under Construction","Status 2 - Permission Type","04 Prior Approval","Development Type 2","EXT")+GETPIVOTDATA("Count of B Total Loss",'1.2 Pivot'!$A$1,"Status 1 - Development","02 Under Construction","Status 2 - Permission Type","05 Certificate of Lawful Development","Development Type 2","EXT")</f>
        <v>1</v>
      </c>
      <c r="G11" s="108">
        <f>GETPIVOTDATA("Count of B Total Net",'1.2 Pivot'!$A$1,"Status 1 - Development","02 Under Construction","Status 2 - Permission Type","02 Full","Development Type 2","EXT")+GETPIVOTDATA("Count of B Total Net",'1.2 Pivot'!$A$1,"Status 1 - Development","02 Under Construction","Status 2 - Permission Type","04 Prior Approval","Development Type 2","EXT")+GETPIVOTDATA("Count of B Total Net",'1.2 Pivot'!$A$1,"Status 1 - Development","02 Under Construction","Status 2 - Permission Type","05 Certificate of Lawful Development","Development Type 2","EXT")</f>
        <v>6</v>
      </c>
      <c r="H11" s="101">
        <f>GETPIVOTDATA("Sum of B Total Gain2",'1.2 Pivot'!$A$1,"Status 1 - Development","02 Under Construction","Status 2 - Permission Type","02 Full","Development Type 2","EXT")+GETPIVOTDATA("Sum of B Total Gain2",'1.2 Pivot'!$A$1,"Status 1 - Development","02 Under Construction","Status 2 - Permission Type","04 Prior Approval","Development Type 2","EXT")+GETPIVOTDATA("Sum of B Total Gain2",'1.2 Pivot'!$A$1,"Status 1 - Development","02 Under Construction","Status 2 - Permission Type","05 Certificate of Lawful Development","Development Type 2","EXT")</f>
        <v>1671</v>
      </c>
      <c r="I11" s="109">
        <f t="shared" ref="I11:I12" si="3">H11/H$13</f>
        <v>2.005737537660093E-2</v>
      </c>
      <c r="J11" s="101">
        <f>GETPIVOTDATA("Sum of B Total Loss",'1.2 Pivot'!$A$1,"Status 1 - Development","02 Under Construction","Status 2 - Permission Type","02 Full","Development Type 2","EXT")+GETPIVOTDATA("Sum of B Total Loss",'1.2 Pivot'!$A$1,"Status 1 - Development","02 Under Construction","Status 2 - Permission Type","04 Prior Approval","Development Type 2","EXT")+GETPIVOTDATA("Sum of B Total Loss",'1.2 Pivot'!$A$1,"Status 1 - Development","02 Under Construction","Status 2 - Permission Type","05 Certificate of Lawful Development","Development Type 2","EXT")</f>
        <v>34</v>
      </c>
      <c r="K11" s="109">
        <f t="shared" ref="K11:K12" si="4">J11/J$13</f>
        <v>1.8693541381452708E-4</v>
      </c>
      <c r="L11" s="434">
        <f>GETPIVOTDATA("Sum of B Total Net2",'1.2 Pivot'!$A$1,"Status 1 - Development","02 Under Construction","Status 2 - Permission Type","02 Full","Development Type 2","EXT")+GETPIVOTDATA("Sum of B Total Net2",'1.2 Pivot'!$A$1,"Status 1 - Development","02 Under Construction","Status 2 - Permission Type","04 Prior Approval","Development Type 2","EXT")+GETPIVOTDATA("Sum of B Total Net2",'1.2 Pivot'!$A$1,"Status 1 - Development","02 Under Construction","Status 2 - Permission Type","05 Certificate of Lawful Development","Development Type 2","EXT")</f>
        <v>1637</v>
      </c>
    </row>
    <row r="12" spans="1:34" ht="12.95" customHeight="1" x14ac:dyDescent="0.2">
      <c r="A12" s="608"/>
      <c r="B12" s="619"/>
      <c r="C12" s="617"/>
      <c r="D12" s="83" t="s">
        <v>2927</v>
      </c>
      <c r="E12" s="107">
        <f>GETPIVOTDATA("Count of B Total Gain",'1.2 Pivot'!$A$1,"Status 1 - Development","02 Under Construction","Status 2 - Permission Type","02 Full","Development Type 2","COU")+GETPIVOTDATA("Count of B Total Gain",'1.2 Pivot'!$A$1,"Status 1 - Development","02 Under Construction","Status 2 - Permission Type","04 Prior Approval","Development Type 2","COU")+GETPIVOTDATA("Count of B Total Gain",'1.2 Pivot'!$A$1,"Status 1 - Development","02 Under Construction","Status 2 - Permission Type","05 Certificate of Lawful Development","Development Type 2","COU")</f>
        <v>5</v>
      </c>
      <c r="F12" s="101">
        <f>GETPIVOTDATA("Count of B Total Loss",'1.2 Pivot'!$A$1,"Status 1 - Development","02 Under Construction","Status 2 - Permission Type","02 Full","Development Type 2","COU")+GETPIVOTDATA("Count of B Total Loss",'1.2 Pivot'!$A$1,"Status 1 - Development","02 Under Construction","Status 2 - Permission Type","04 Prior Approval","Development Type 2","COU")+GETPIVOTDATA("Count of B Total Loss",'1.2 Pivot'!$A$1,"Status 1 - Development","02 Under Construction","Status 2 - Permission Type","05 Certificate of Lawful Development","Development Type 2","COU")</f>
        <v>15</v>
      </c>
      <c r="G12" s="108">
        <f>GETPIVOTDATA("Count of B Total Net",'1.2 Pivot'!$A$1,"Status 1 - Development","02 Under Construction","Status 2 - Permission Type","02 Full","Development Type 2","COU")+GETPIVOTDATA("Count of B Total Net",'1.2 Pivot'!$A$1,"Status 1 - Development","02 Under Construction","Status 2 - Permission Type","04 Prior Approval","Development Type 2","COU")+GETPIVOTDATA("Count of B Total Net",'1.2 Pivot'!$A$1,"Status 1 - Development","02 Under Construction","Status 2 - Permission Type","05 Certificate of Lawful Development","Development Type 2","COU")</f>
        <v>18</v>
      </c>
      <c r="H12" s="101">
        <f>GETPIVOTDATA("Sum of B Total Gain2",'1.2 Pivot'!$A$1,"Status 1 - Development","02 Under Construction","Status 2 - Permission Type","02 Full","Development Type 2","COU")+GETPIVOTDATA("Sum of B Total Gain2",'1.2 Pivot'!$A$1,"Status 1 - Development","02 Under Construction","Status 2 - Permission Type","04 Prior Approval","Development Type 2","COU")+GETPIVOTDATA("Sum of B Total Gain2",'1.2 Pivot'!$A$1,"Status 1 - Development","02 Under Construction","Status 2 - Permission Type","05 Certificate of Lawful Development","Development Type 2","COU")</f>
        <v>883</v>
      </c>
      <c r="I12" s="109">
        <f t="shared" si="3"/>
        <v>1.0598840489251119E-2</v>
      </c>
      <c r="J12" s="101">
        <f>GETPIVOTDATA("Sum of B Total Loss",'1.2 Pivot'!$A$1,"Status 1 - Development","02 Under Construction","Status 2 - Permission Type","02 Full","Development Type 2","COU")+GETPIVOTDATA("Sum of B Total Loss",'1.2 Pivot'!$A$1,"Status 1 - Development","02 Under Construction","Status 2 - Permission Type","04 Prior Approval","Development Type 2","COU")+GETPIVOTDATA("Sum of B Total Loss",'1.2 Pivot'!$A$1,"Status 1 - Development","02 Under Construction","Status 2 - Permission Type","05 Certificate of Lawful Development","Development Type 2","COU")</f>
        <v>9381</v>
      </c>
      <c r="K12" s="109">
        <f t="shared" si="4"/>
        <v>5.1577679911590547E-2</v>
      </c>
      <c r="L12" s="434">
        <f>GETPIVOTDATA("Sum of B Total Net2",'1.2 Pivot'!$A$1,"Status 1 - Development","02 Under Construction","Status 2 - Permission Type","02 Full","Development Type 2","COU")+GETPIVOTDATA("Sum of B Total Net2",'1.2 Pivot'!$A$1,"Status 1 - Development","02 Under Construction","Status 2 - Permission Type","04 Prior Approval","Development Type 2","COU")+GETPIVOTDATA("Sum of B Total Net2",'1.2 Pivot'!$A$1,"Status 1 - Development","02 Under Construction","Status 2 - Permission Type","05 Certificate of Lawful Development","Development Type 2","COU")</f>
        <v>-8498</v>
      </c>
    </row>
    <row r="13" spans="1:34" ht="12.95" customHeight="1" x14ac:dyDescent="0.2">
      <c r="A13" s="608"/>
      <c r="B13" s="619"/>
      <c r="C13" s="614"/>
      <c r="D13" s="79" t="s">
        <v>95</v>
      </c>
      <c r="E13" s="102">
        <f>SUM(E10:E12)</f>
        <v>43</v>
      </c>
      <c r="F13" s="98">
        <f t="shared" ref="F13:L13" si="5">SUM(F10:F12)</f>
        <v>61</v>
      </c>
      <c r="G13" s="103">
        <f t="shared" si="5"/>
        <v>84</v>
      </c>
      <c r="H13" s="98">
        <f t="shared" si="5"/>
        <v>83311</v>
      </c>
      <c r="I13" s="99">
        <f t="shared" ref="I13" si="6">H13/H$13</f>
        <v>1</v>
      </c>
      <c r="J13" s="98">
        <f t="shared" si="5"/>
        <v>181881</v>
      </c>
      <c r="K13" s="99">
        <f t="shared" ref="K13" si="7">J13/J$13</f>
        <v>1</v>
      </c>
      <c r="L13" s="435">
        <f t="shared" si="5"/>
        <v>-98570</v>
      </c>
    </row>
    <row r="14" spans="1:34" ht="12.95" customHeight="1" x14ac:dyDescent="0.2">
      <c r="A14" s="608"/>
      <c r="B14" s="619"/>
      <c r="C14" s="618" t="s">
        <v>2966</v>
      </c>
      <c r="D14" s="91" t="s">
        <v>94</v>
      </c>
      <c r="E14" s="104">
        <f>GETPIVOTDATA("Count of B Total Gain",'1.2 Pivot'!$A$1,"Status 1 - Development","03 Planning","Status 2 - Permission Type","02 Full","Development Type 2","NB")</f>
        <v>30</v>
      </c>
      <c r="F14" s="100">
        <f>GETPIVOTDATA("Count of B Total Loss",'1.2 Pivot'!$A$1,"Status 1 - Development","03 Planning","Status 2 - Permission Type","02 Full","Development Type 2","NB")</f>
        <v>35</v>
      </c>
      <c r="G14" s="105">
        <f>GETPIVOTDATA("Count of B Total Net",'1.2 Pivot'!$A$1,"Status 1 - Development","03 Planning","Status 2 - Permission Type","02 Full","Development Type 2","NB")</f>
        <v>50</v>
      </c>
      <c r="H14" s="100">
        <f>GETPIVOTDATA("Sum of B Total Gain2",'1.2 Pivot'!$A$1,"Status 1 - Development","03 Planning","Status 2 - Permission Type","02 Full","Development Type 2","NB")</f>
        <v>38774</v>
      </c>
      <c r="I14" s="106">
        <f>H14/H$17</f>
        <v>0.83417236779828752</v>
      </c>
      <c r="J14" s="100">
        <f>GETPIVOTDATA("Sum of B Total Loss",'1.2 Pivot'!$A$1,"Status 1 - Development","03 Planning","Status 2 - Permission Type","02 Full","Development Type 2","NB")</f>
        <v>26070</v>
      </c>
      <c r="K14" s="106">
        <f>J14/J$17</f>
        <v>0.74692719823510878</v>
      </c>
      <c r="L14" s="433">
        <f>GETPIVOTDATA("Sum of B Total Net2",'1.2 Pivot'!$A$1,"Status 1 - Development","03 Planning","Status 2 - Permission Type","02 Full","Development Type 2","NB")</f>
        <v>12704</v>
      </c>
    </row>
    <row r="15" spans="1:34" ht="12.95" customHeight="1" x14ac:dyDescent="0.2">
      <c r="A15" s="608"/>
      <c r="B15" s="619"/>
      <c r="C15" s="617"/>
      <c r="D15" s="83" t="s">
        <v>2928</v>
      </c>
      <c r="E15" s="107">
        <f>GETPIVOTDATA("Count of B Total Gain",'1.2 Pivot'!$A$1,"Status 1 - Development","03 Planning","Status 2 - Permission Type","02 Full","Development Type 2","EXT")</f>
        <v>5</v>
      </c>
      <c r="F15" s="101">
        <f>GETPIVOTDATA("Count of B Total Loss",'1.2 Pivot'!$A$1,"Status 1 - Development","03 Planning","Status 2 - Permission Type","02 Full","Development Type 2","EXT")</f>
        <v>1</v>
      </c>
      <c r="G15" s="108">
        <f>GETPIVOTDATA("Count of B Total Net",'1.2 Pivot'!$A$1,"Status 1 - Development","03 Planning","Status 2 - Permission Type","02 Full","Development Type 2","EXT")</f>
        <v>6</v>
      </c>
      <c r="H15" s="101">
        <f>GETPIVOTDATA("Sum of B Total Gain2",'1.2 Pivot'!$A$1,"Status 1 - Development","03 Planning","Status 2 - Permission Type","02 Full","Development Type 2","EXT")</f>
        <v>897</v>
      </c>
      <c r="I15" s="109">
        <f t="shared" ref="I15:I16" si="8">H15/H$17</f>
        <v>1.9297792693946044E-2</v>
      </c>
      <c r="J15" s="101">
        <f>GETPIVOTDATA("Sum of B Total Loss",'1.2 Pivot'!$A$1,"Status 1 - Development","03 Planning","Status 2 - Permission Type","02 Full","Development Type 2","EXT")</f>
        <v>354</v>
      </c>
      <c r="K15" s="109">
        <f t="shared" ref="K15:K16" si="9">J15/J$17</f>
        <v>1.0142394636564193E-2</v>
      </c>
      <c r="L15" s="434">
        <f>GETPIVOTDATA("Sum of B Total Net2",'1.2 Pivot'!$A$1,"Status 1 - Development","03 Planning","Status 2 - Permission Type","02 Full","Development Type 2","EXT")</f>
        <v>543</v>
      </c>
    </row>
    <row r="16" spans="1:34" ht="12.95" customHeight="1" x14ac:dyDescent="0.2">
      <c r="A16" s="608"/>
      <c r="B16" s="619"/>
      <c r="C16" s="617"/>
      <c r="D16" s="83" t="s">
        <v>2927</v>
      </c>
      <c r="E16" s="107">
        <f>GETPIVOTDATA("Count of B Total Gain",'1.2 Pivot'!$A$1,"Status 1 - Development","03 Planning","Status 2 - Permission Type","02 Full","Development Type 2","COU")</f>
        <v>13</v>
      </c>
      <c r="F16" s="101">
        <f>GETPIVOTDATA("Count of B Total Loss",'1.2 Pivot'!$A$1,"Status 1 - Development","03 Planning","Status 2 - Permission Type","02 Full","Development Type 2","COU")</f>
        <v>25</v>
      </c>
      <c r="G16" s="108">
        <f>GETPIVOTDATA("Count of B Total Net",'1.2 Pivot'!$A$1,"Status 1 - Development","03 Planning","Status 2 - Permission Type","02 Full","Development Type 2","COU")</f>
        <v>32</v>
      </c>
      <c r="H16" s="101">
        <f>GETPIVOTDATA("Sum of B Total Gain2",'1.2 Pivot'!$A$1,"Status 1 - Development","03 Planning","Status 2 - Permission Type","02 Full","Development Type 2","COU")</f>
        <v>6811</v>
      </c>
      <c r="I16" s="109">
        <f t="shared" si="8"/>
        <v>0.14652983950776644</v>
      </c>
      <c r="J16" s="101">
        <f>GETPIVOTDATA("Sum of B Total Loss",'1.2 Pivot'!$A$1,"Status 1 - Development","03 Planning","Status 2 - Permission Type","02 Full","Development Type 2","COU")</f>
        <v>8479</v>
      </c>
      <c r="K16" s="109">
        <f t="shared" si="9"/>
        <v>0.24293040712832709</v>
      </c>
      <c r="L16" s="434">
        <f>GETPIVOTDATA("Sum of B Total Net2",'1.2 Pivot'!$A$1,"Status 1 - Development","03 Planning","Status 2 - Permission Type","02 Full","Development Type 2","COU")</f>
        <v>-1668</v>
      </c>
    </row>
    <row r="17" spans="1:12" ht="12.95" customHeight="1" x14ac:dyDescent="0.2">
      <c r="A17" s="608"/>
      <c r="B17" s="619"/>
      <c r="C17" s="614"/>
      <c r="D17" s="79" t="s">
        <v>95</v>
      </c>
      <c r="E17" s="102">
        <f t="shared" ref="E17:L17" si="10">SUM(E14:E16)</f>
        <v>48</v>
      </c>
      <c r="F17" s="98">
        <f t="shared" si="10"/>
        <v>61</v>
      </c>
      <c r="G17" s="103">
        <f t="shared" si="10"/>
        <v>88</v>
      </c>
      <c r="H17" s="98">
        <f t="shared" si="10"/>
        <v>46482</v>
      </c>
      <c r="I17" s="99">
        <f t="shared" ref="I17" si="11">H17/H$17</f>
        <v>1</v>
      </c>
      <c r="J17" s="98">
        <f t="shared" si="10"/>
        <v>34903</v>
      </c>
      <c r="K17" s="99">
        <f t="shared" ref="K17" si="12">J17/J$17</f>
        <v>1</v>
      </c>
      <c r="L17" s="435">
        <f t="shared" si="10"/>
        <v>11579</v>
      </c>
    </row>
    <row r="18" spans="1:12" ht="12.95" customHeight="1" x14ac:dyDescent="0.2">
      <c r="A18" s="608"/>
      <c r="B18" s="619"/>
      <c r="C18" s="618" t="s">
        <v>2967</v>
      </c>
      <c r="D18" s="91" t="s">
        <v>94</v>
      </c>
      <c r="E18" s="104">
        <f>GETPIVOTDATA("Count of B Total Gain",'1.2 Pivot'!$A$1,"Status 1 - Development","03 Planning","Status 2 - Permission Type","03 Outline","Development Type 2","NB")</f>
        <v>6</v>
      </c>
      <c r="F18" s="100">
        <f>GETPIVOTDATA("Count of B Total Loss",'1.2 Pivot'!$A$1,"Status 1 - Development","03 Planning","Status 2 - Permission Type","03 Outline","Development Type 2","NB")</f>
        <v>0</v>
      </c>
      <c r="G18" s="105">
        <f>GETPIVOTDATA("Count of B Total Net",'1.2 Pivot'!$A$1,"Status 1 - Development","03 Planning","Status 2 - Permission Type","03 Outline","Development Type 2","NB")</f>
        <v>6</v>
      </c>
      <c r="H18" s="100">
        <f>GETPIVOTDATA("Sum of B Total Gain2",'1.2 Pivot'!$A$1,"Status 1 - Development","03 Planning","Status 2 - Permission Type","03 Outline","Development Type 2","NB")</f>
        <v>100039</v>
      </c>
      <c r="I18" s="106">
        <f>IFERROR(H18/H$21,0)</f>
        <v>1</v>
      </c>
      <c r="J18" s="100">
        <f>GETPIVOTDATA("Sum of B Total Loss",'1.2 Pivot'!$A$1,"Status 1 - Development","03 Planning","Status 2 - Permission Type","03 Outline","Development Type 2","NB")</f>
        <v>0</v>
      </c>
      <c r="K18" s="106" t="str">
        <f>IFERROR(J18/J$21,"-")</f>
        <v>-</v>
      </c>
      <c r="L18" s="433">
        <f>GETPIVOTDATA("Sum of B Total Net2",'1.2 Pivot'!$A$1,"Status 1 - Development","03 Planning","Status 2 - Permission Type","03 Outline","Development Type 2","NB")</f>
        <v>100039</v>
      </c>
    </row>
    <row r="19" spans="1:12" ht="12.95" customHeight="1" x14ac:dyDescent="0.2">
      <c r="A19" s="608"/>
      <c r="B19" s="619"/>
      <c r="C19" s="617"/>
      <c r="D19" s="83" t="s">
        <v>2928</v>
      </c>
      <c r="E19" s="107">
        <f>GETPIVOTDATA("Count of B Total Gain",'1.2 Pivot'!$A$1,"Status 1 - Development","03 Planning","Status 2 - Permission Type","03 Outline","Development Type 2","EXT")</f>
        <v>0</v>
      </c>
      <c r="F19" s="101">
        <f>GETPIVOTDATA("Count of B Total Loss",'1.2 Pivot'!$A$1,"Status 1 - Development","03 Planning","Status 2 - Permission Type","03 Outline","Development Type 2","EXT")</f>
        <v>0</v>
      </c>
      <c r="G19" s="108">
        <f>GETPIVOTDATA("Count of B Total Net",'1.2 Pivot'!$A$1,"Status 1 - Development","03 Planning","Status 2 - Permission Type","03 Outline","Development Type 2","EXT")</f>
        <v>0</v>
      </c>
      <c r="H19" s="101">
        <f>GETPIVOTDATA("Sum of B Total Gain2",'1.2 Pivot'!$A$1,"Status 1 - Development","03 Planning","Status 2 - Permission Type","03 Outline","Development Type 2","EXT")</f>
        <v>0</v>
      </c>
      <c r="I19" s="109">
        <f t="shared" ref="I19:I20" si="13">IFERROR(H19/H$21,0)</f>
        <v>0</v>
      </c>
      <c r="J19" s="101">
        <f>GETPIVOTDATA("Sum of B Total Loss",'1.2 Pivot'!$A$1,"Status 1 - Development","03 Planning","Status 2 - Permission Type","03 Outline","Development Type 2","EXT")</f>
        <v>0</v>
      </c>
      <c r="K19" s="109" t="str">
        <f t="shared" ref="K19:K20" si="14">IFERROR(J19/J$21,"-")</f>
        <v>-</v>
      </c>
      <c r="L19" s="434">
        <f>GETPIVOTDATA("Sum of B Total Net2",'1.2 Pivot'!$A$1,"Status 1 - Development","03 Planning","Status 2 - Permission Type","03 Outline","Development Type 2","EXT")</f>
        <v>0</v>
      </c>
    </row>
    <row r="20" spans="1:12" ht="12.95" customHeight="1" x14ac:dyDescent="0.2">
      <c r="A20" s="608"/>
      <c r="B20" s="619"/>
      <c r="C20" s="617"/>
      <c r="D20" s="83" t="s">
        <v>2927</v>
      </c>
      <c r="E20" s="107">
        <f>GETPIVOTDATA("Count of B Total Gain",'1.2 Pivot'!$A$1,"Status 1 - Development","03 Planning","Status 2 - Permission Type","03 Outline","Development Type 2","COU")</f>
        <v>0</v>
      </c>
      <c r="F20" s="101">
        <f>GETPIVOTDATA("Count of B Total Loss",'1.2 Pivot'!$A$1,"Status 1 - Development","03 Planning","Status 2 - Permission Type","03 Outline","Development Type 2","COU")</f>
        <v>0</v>
      </c>
      <c r="G20" s="108">
        <f>GETPIVOTDATA("Count of B Total Net",'1.2 Pivot'!$A$1,"Status 1 - Development","03 Planning","Status 2 - Permission Type","03 Outline","Development Type 2","COU")</f>
        <v>0</v>
      </c>
      <c r="H20" s="101">
        <f>GETPIVOTDATA("Sum of B Total Gain2",'1.2 Pivot'!$A$1,"Status 1 - Development","03 Planning","Status 2 - Permission Type","03 Outline","Development Type 2","COU")</f>
        <v>0</v>
      </c>
      <c r="I20" s="109">
        <f t="shared" si="13"/>
        <v>0</v>
      </c>
      <c r="J20" s="101">
        <f>GETPIVOTDATA("Sum of B Total Loss",'1.2 Pivot'!$A$1,"Status 1 - Development","03 Planning","Status 2 - Permission Type","03 Outline","Development Type 2","COU")</f>
        <v>0</v>
      </c>
      <c r="K20" s="109" t="str">
        <f t="shared" si="14"/>
        <v>-</v>
      </c>
      <c r="L20" s="434">
        <f>GETPIVOTDATA("Sum of B Total Net2",'1.2 Pivot'!$A$1,"Status 1 - Development","03 Planning","Status 2 - Permission Type","03 Outline","Development Type 2","COU")</f>
        <v>0</v>
      </c>
    </row>
    <row r="21" spans="1:12" ht="12.95" customHeight="1" x14ac:dyDescent="0.2">
      <c r="A21" s="608"/>
      <c r="B21" s="619"/>
      <c r="C21" s="614"/>
      <c r="D21" s="79" t="s">
        <v>95</v>
      </c>
      <c r="E21" s="102">
        <f t="shared" ref="E21:J21" si="15">SUM(E18:E20)</f>
        <v>6</v>
      </c>
      <c r="F21" s="98">
        <f t="shared" si="15"/>
        <v>0</v>
      </c>
      <c r="G21" s="103">
        <f t="shared" si="15"/>
        <v>6</v>
      </c>
      <c r="H21" s="98">
        <f t="shared" si="15"/>
        <v>100039</v>
      </c>
      <c r="I21" s="99">
        <f t="shared" ref="I21" si="16">IFERROR(H21/H$21,0)</f>
        <v>1</v>
      </c>
      <c r="J21" s="98">
        <f t="shared" si="15"/>
        <v>0</v>
      </c>
      <c r="K21" s="99" t="str">
        <f t="shared" ref="K21" si="17">IFERROR(J21/J$21,"-")</f>
        <v>-</v>
      </c>
      <c r="L21" s="435">
        <f>SUM(L18:L20)</f>
        <v>100039</v>
      </c>
    </row>
    <row r="22" spans="1:12" ht="12.95" customHeight="1" x14ac:dyDescent="0.2">
      <c r="A22" s="608"/>
      <c r="B22" s="619"/>
      <c r="C22" s="618" t="s">
        <v>4003</v>
      </c>
      <c r="D22" s="91" t="s">
        <v>94</v>
      </c>
      <c r="E22" s="104">
        <f>GETPIVOTDATA("Count of B Total Gain",'1.2 Pivot'!$A$1,"Status 1 - Development","03 Planning","Status 2 - Permission Type","04 Prior Approval","Development Type 2","NB")+GETPIVOTDATA("Count of B Total Gain",'1.2 Pivot'!$A$1,"Status 1 - Development","03 Planning","Status 2 - Permission Type","05 Certificate of Lawful Development","Development Type 2","NB")</f>
        <v>0</v>
      </c>
      <c r="F22" s="100">
        <f>GETPIVOTDATA("Count of B Total Loss",'1.2 Pivot'!$A$1,"Status 1 - Development","03 Planning","Status 2 - Permission Type","04 Prior Approval","Development Type 2","NB")+GETPIVOTDATA("Count of B Total Loss",'1.2 Pivot'!$A$1,"Status 1 - Development","03 Planning","Status 2 - Permission Type","05 Certificate of Lawful Development","Development Type 2","NB")</f>
        <v>1</v>
      </c>
      <c r="G22" s="105">
        <f>GETPIVOTDATA("Count of B Total Net",'1.2 Pivot'!$A$1,"Status 1 - Development","03 Planning","Status 2 - Permission Type","04 Prior Approval","Development Type 2","NB")+GETPIVOTDATA("Count of B Total Net",'1.2 Pivot'!$A$1,"Status 1 - Development","03 Planning","Status 2 - Permission Type","05 Certificate of Lawful Development","Development Type 2","NB")</f>
        <v>1</v>
      </c>
      <c r="H22" s="100">
        <f>GETPIVOTDATA("Sum of B Total Gain2",'1.2 Pivot'!$A$1,"Status 1 - Development","03 Planning","Status 2 - Permission Type","04 Prior Approval","Development Type 2","NB")+GETPIVOTDATA("Sum of B Total Gain2",'1.2 Pivot'!$A$1,"Status 1 - Development","03 Planning","Status 2 - Permission Type","05 Certificate of Lawful Development","Development Type 2","NB")</f>
        <v>0</v>
      </c>
      <c r="I22" s="106" t="str">
        <f>IFERROR(H22/H$25,"-")</f>
        <v>-</v>
      </c>
      <c r="J22" s="100">
        <f>GETPIVOTDATA("Sum of B Total Loss",'1.2 Pivot'!$A$1,"Status 1 - Development","03 Planning","Status 2 - Permission Type","04 Prior Approval","Development Type 2","NB")+GETPIVOTDATA("Sum of B Total Loss",'1.2 Pivot'!$A$1,"Status 1 - Development","03 Planning","Status 2 - Permission Type","05 Certificate of Lawful Development","Development Type 2","NB")</f>
        <v>3783</v>
      </c>
      <c r="K22" s="106">
        <f>IFERROR(J22/J$25,"-")</f>
        <v>0.16078031365548898</v>
      </c>
      <c r="L22" s="433">
        <f>GETPIVOTDATA("Sum of B Total Net2",'1.2 Pivot'!$A$1,"Status 1 - Development","03 Planning","Status 2 - Permission Type","04 Prior Approval","Development Type 2","NB")+GETPIVOTDATA("Sum of B Total Net2",'1.2 Pivot'!$A$1,"Status 1 - Development","03 Planning","Status 2 - Permission Type","05 Certificate of Lawful Development","Development Type 2","NB")</f>
        <v>-3783</v>
      </c>
    </row>
    <row r="23" spans="1:12" ht="12.95" customHeight="1" x14ac:dyDescent="0.2">
      <c r="A23" s="608"/>
      <c r="B23" s="619"/>
      <c r="C23" s="617"/>
      <c r="D23" s="83" t="s">
        <v>2928</v>
      </c>
      <c r="E23" s="107">
        <f>GETPIVOTDATA("Count of B Total Gain",'1.2 Pivot'!$A$1,"Status 1 - Development","03 Planning","Status 2 - Permission Type","04 Prior Approval","Development Type 2","EXT")+GETPIVOTDATA("Count of B Total Gain",'1.2 Pivot'!$A$1,"Status 1 - Development","03 Planning","Status 2 - Permission Type","05 Certificate of Lawful Development","Development Type 2","EXT")</f>
        <v>0</v>
      </c>
      <c r="F23" s="101">
        <f>GETPIVOTDATA("Count of B Total Loss",'1.2 Pivot'!$A$1,"Status 1 - Development","03 Planning","Status 2 - Permission Type","04 Prior Approval","Development Type 2","EXT")+GETPIVOTDATA("Count of B Total Loss",'1.2 Pivot'!$A$1,"Status 1 - Development","03 Planning","Status 2 - Permission Type","05 Certificate of Lawful Development","Development Type 2","EXT")</f>
        <v>0</v>
      </c>
      <c r="G23" s="108">
        <f>GETPIVOTDATA("Count of B Total Net",'1.2 Pivot'!$A$1,"Status 1 - Development","03 Planning","Status 2 - Permission Type","04 Prior Approval","Development Type 2","EXT")+GETPIVOTDATA("Count of B Total Net",'1.2 Pivot'!$A$1,"Status 1 - Development","03 Planning","Status 2 - Permission Type","05 Certificate of Lawful Development","Development Type 2","EXT")</f>
        <v>0</v>
      </c>
      <c r="H23" s="101">
        <f>GETPIVOTDATA("Sum of B Total Gain2",'1.2 Pivot'!$A$1,"Status 1 - Development","03 Planning","Status 2 - Permission Type","04 Prior Approval","Development Type 2","EXT")+GETPIVOTDATA("Sum of B Total Gain2",'1.2 Pivot'!$A$1,"Status 1 - Development","03 Planning","Status 2 - Permission Type","05 Certificate of Lawful Development","Development Type 2","EXT")</f>
        <v>0</v>
      </c>
      <c r="I23" s="109" t="str">
        <f t="shared" ref="I23:I24" si="18">IFERROR(H23/H$25,"-")</f>
        <v>-</v>
      </c>
      <c r="J23" s="101">
        <f>GETPIVOTDATA("Sum of B Total Loss",'1.2 Pivot'!$A$1,"Status 1 - Development","03 Planning","Status 2 - Permission Type","04 Prior Approval","Development Type 2","EXT")+GETPIVOTDATA("Sum of B Total Loss",'1.2 Pivot'!$A$1,"Status 1 - Development","03 Planning","Status 2 - Permission Type","05 Certificate of Lawful Development","Development Type 2","EXT")</f>
        <v>0</v>
      </c>
      <c r="K23" s="109">
        <f t="shared" ref="K23:K25" si="19">IFERROR(J23/J$25,"-")</f>
        <v>0</v>
      </c>
      <c r="L23" s="434">
        <f>GETPIVOTDATA("Sum of B Total Net2",'1.2 Pivot'!$A$1,"Status 1 - Development","03 Planning","Status 2 - Permission Type","04 Prior Approval","Development Type 2","EXT")+GETPIVOTDATA("Sum of B Total Net2",'1.2 Pivot'!$A$1,"Status 1 - Development","03 Planning","Status 2 - Permission Type","05 Certificate of Lawful Development","Development Type 2","EXT")</f>
        <v>0</v>
      </c>
    </row>
    <row r="24" spans="1:12" ht="12.95" customHeight="1" x14ac:dyDescent="0.2">
      <c r="A24" s="608"/>
      <c r="B24" s="619"/>
      <c r="C24" s="617"/>
      <c r="D24" s="83" t="s">
        <v>2927</v>
      </c>
      <c r="E24" s="107">
        <f>GETPIVOTDATA("Count of B Total Gain",'1.2 Pivot'!$A$1,"Status 1 - Development","03 Planning","Status 2 - Permission Type","04 Prior Approval","Development Type 2","COU")+GETPIVOTDATA("Count of B Total Gain",'1.2 Pivot'!$A$1,"Status 1 - Development","03 Planning","Status 2 - Permission Type","05 Certificate of Lawful Development","Development Type 2","COU")</f>
        <v>0</v>
      </c>
      <c r="F24" s="101">
        <f>GETPIVOTDATA("Count of B Total Loss",'1.2 Pivot'!$A$1,"Status 1 - Development","03 Planning","Status 2 - Permission Type","04 Prior Approval","Development Type 2","COU")+GETPIVOTDATA("Count of B Total Loss",'1.2 Pivot'!$A$1,"Status 1 - Development","03 Planning","Status 2 - Permission Type","05 Certificate of Lawful Development","Development Type 2","COU")</f>
        <v>58</v>
      </c>
      <c r="G24" s="108">
        <f>GETPIVOTDATA("Count of B Total Net",'1.2 Pivot'!$A$1,"Status 1 - Development","03 Planning","Status 2 - Permission Type","04 Prior Approval","Development Type 2","COU")+GETPIVOTDATA("Count of B Total Net",'1.2 Pivot'!$A$1,"Status 1 - Development","03 Planning","Status 2 - Permission Type","05 Certificate of Lawful Development","Development Type 2","COU")</f>
        <v>58</v>
      </c>
      <c r="H24" s="101">
        <f>GETPIVOTDATA("Sum of B Total Gain2",'1.2 Pivot'!$A$1,"Status 1 - Development","03 Planning","Status 2 - Permission Type","04 Prior Approval","Development Type 2","COU")+GETPIVOTDATA("Sum of B Total Gain2",'1.2 Pivot'!$A$1,"Status 1 - Development","03 Planning","Status 2 - Permission Type","05 Certificate of Lawful Development","Development Type 2","COU")</f>
        <v>0</v>
      </c>
      <c r="I24" s="109" t="str">
        <f t="shared" si="18"/>
        <v>-</v>
      </c>
      <c r="J24" s="101">
        <f>GETPIVOTDATA("Sum of B Total Loss",'1.2 Pivot'!$A$1,"Status 1 - Development","03 Planning","Status 2 - Permission Type","04 Prior Approval","Development Type 2","COU")+GETPIVOTDATA("Sum of B Total Loss",'1.2 Pivot'!$A$1,"Status 1 - Development","03 Planning","Status 2 - Permission Type","05 Certificate of Lawful Development","Development Type 2","COU")</f>
        <v>19746</v>
      </c>
      <c r="K24" s="109">
        <f t="shared" si="19"/>
        <v>0.83921968634451105</v>
      </c>
      <c r="L24" s="434">
        <f>GETPIVOTDATA("Sum of B Total Net2",'1.2 Pivot'!$A$1,"Status 1 - Development","03 Planning","Status 2 - Permission Type","04 Prior Approval","Development Type 2","COU")+GETPIVOTDATA("Sum of B Total Net2",'1.2 Pivot'!$A$1,"Status 1 - Development","03 Planning","Status 2 - Permission Type","05 Certificate of Lawful Development","Development Type 2","COU")</f>
        <v>-19746</v>
      </c>
    </row>
    <row r="25" spans="1:12" ht="12.95" customHeight="1" x14ac:dyDescent="0.2">
      <c r="A25" s="608"/>
      <c r="B25" s="619"/>
      <c r="C25" s="614"/>
      <c r="D25" s="79" t="s">
        <v>95</v>
      </c>
      <c r="E25" s="102">
        <f t="shared" ref="E25:J25" si="20">SUM(E22:E24)</f>
        <v>0</v>
      </c>
      <c r="F25" s="98">
        <f t="shared" si="20"/>
        <v>59</v>
      </c>
      <c r="G25" s="103">
        <f t="shared" si="20"/>
        <v>59</v>
      </c>
      <c r="H25" s="98">
        <f t="shared" si="20"/>
        <v>0</v>
      </c>
      <c r="I25" s="99" t="str">
        <f t="shared" ref="I25" si="21">IFERROR(H25/H$25,"-")</f>
        <v>-</v>
      </c>
      <c r="J25" s="98">
        <f t="shared" si="20"/>
        <v>23529</v>
      </c>
      <c r="K25" s="99">
        <f t="shared" si="19"/>
        <v>1</v>
      </c>
      <c r="L25" s="435">
        <f>SUM(L22:L24)</f>
        <v>-23529</v>
      </c>
    </row>
    <row r="26" spans="1:12" ht="12.95" customHeight="1" x14ac:dyDescent="0.2">
      <c r="A26" s="608"/>
      <c r="B26" s="619"/>
      <c r="C26" s="591" t="s">
        <v>95</v>
      </c>
      <c r="D26" s="589"/>
      <c r="E26" s="94">
        <f>E13+E17+E21+E25</f>
        <v>97</v>
      </c>
      <c r="F26" s="95">
        <f t="shared" ref="F26:L26" si="22">F13+F17+F21+F25</f>
        <v>181</v>
      </c>
      <c r="G26" s="96">
        <f t="shared" si="22"/>
        <v>237</v>
      </c>
      <c r="H26" s="95">
        <f t="shared" si="22"/>
        <v>229832</v>
      </c>
      <c r="I26" s="97">
        <f>H26/H40</f>
        <v>0.83403612927574522</v>
      </c>
      <c r="J26" s="95">
        <f t="shared" si="22"/>
        <v>240313</v>
      </c>
      <c r="K26" s="97">
        <f>J26/J40</f>
        <v>0.91204879178099874</v>
      </c>
      <c r="L26" s="436">
        <f t="shared" si="22"/>
        <v>-10481</v>
      </c>
    </row>
    <row r="27" spans="1:12" ht="12.95" customHeight="1" x14ac:dyDescent="0.2">
      <c r="A27" s="608"/>
      <c r="B27" s="619" t="s">
        <v>424</v>
      </c>
      <c r="C27" s="618" t="s">
        <v>2932</v>
      </c>
      <c r="D27" s="91" t="s">
        <v>94</v>
      </c>
      <c r="E27" s="104">
        <f>GETPIVOTDATA("Count of B Total Gain",'1.2 Pivot'!$A$1,"Status 1 - Development","04 Pending","Status 2 - Permission Type","01 Pending Legal Agreement","Development Type 2","NB")</f>
        <v>11</v>
      </c>
      <c r="F27" s="100">
        <f>GETPIVOTDATA("Count of B Total Loss",'1.2 Pivot'!$A$1,"Status 1 - Development","04 Pending","Status 2 - Permission Type","01 Pending Legal Agreement","Development Type 2","NB")</f>
        <v>7</v>
      </c>
      <c r="G27" s="105">
        <f>GETPIVOTDATA("Count of B Total Net",'1.2 Pivot'!$A$1,"Status 1 - Development","04 Pending","Status 2 - Permission Type","01 Pending Legal Agreement","Development Type 2","NB")</f>
        <v>12</v>
      </c>
      <c r="H27" s="100">
        <f>GETPIVOTDATA("Sum of B Total Gain2",'1.2 Pivot'!$A$1,"Status 1 - Development","04 Pending","Status 2 - Permission Type","01 Pending Legal Agreement","Development Type 2","NB")</f>
        <v>38730</v>
      </c>
      <c r="I27" s="106">
        <f>IFERROR(H27/H$30,"-")</f>
        <v>1</v>
      </c>
      <c r="J27" s="100">
        <f>GETPIVOTDATA("Sum of B Total Loss",'1.2 Pivot'!$A$1,"Status 1 - Development","04 Pending","Status 2 - Permission Type","01 Pending Legal Agreement","Development Type 2","NB")</f>
        <v>10500</v>
      </c>
      <c r="K27" s="106">
        <f>IFERROR(J27/J$30,"-")</f>
        <v>1</v>
      </c>
      <c r="L27" s="433">
        <f>GETPIVOTDATA("Sum of B Total Net2",'1.2 Pivot'!$A$1,"Status 1 - Development","04 Pending","Status 2 - Permission Type","01 Pending Legal Agreement","Development Type 2","NB")</f>
        <v>28230</v>
      </c>
    </row>
    <row r="28" spans="1:12" ht="12.95" customHeight="1" x14ac:dyDescent="0.2">
      <c r="A28" s="608"/>
      <c r="B28" s="619"/>
      <c r="C28" s="617"/>
      <c r="D28" s="83" t="s">
        <v>2928</v>
      </c>
      <c r="E28" s="107">
        <f>GETPIVOTDATA("Count of B Total Gain",'1.2 Pivot'!$A$1,"Status 1 - Development","04 Pending","Status 2 - Permission Type","01 Pending Legal Agreement","Development Type 2","EXT")</f>
        <v>0</v>
      </c>
      <c r="F28" s="101">
        <f>GETPIVOTDATA("Count of B Total Loss",'1.2 Pivot'!$A$1,"Status 1 - Development","04 Pending","Status 2 - Permission Type","01 Pending Legal Agreement","Development Type 2","EXT")</f>
        <v>0</v>
      </c>
      <c r="G28" s="108">
        <f>GETPIVOTDATA("Count of B Total Net",'1.2 Pivot'!$A$1,"Status 1 - Development","04 Pending","Status 2 - Permission Type","01 Pending Legal Agreement","Development Type 2","EXT")</f>
        <v>0</v>
      </c>
      <c r="H28" s="101">
        <f>GETPIVOTDATA("Sum of B Total Gain2",'1.2 Pivot'!$A$1,"Status 1 - Development","04 Pending","Status 2 - Permission Type","01 Pending Legal Agreement","Development Type 2","EXT")</f>
        <v>0</v>
      </c>
      <c r="I28" s="109">
        <f t="shared" ref="I28:I29" si="23">IFERROR(H28/H$30,"-")</f>
        <v>0</v>
      </c>
      <c r="J28" s="101">
        <f>GETPIVOTDATA("Sum of B Total Loss",'1.2 Pivot'!$A$1,"Status 1 - Development","04 Pending","Status 2 - Permission Type","01 Pending Legal Agreement","Development Type 2","EXT")</f>
        <v>0</v>
      </c>
      <c r="K28" s="109">
        <f t="shared" ref="K28:K29" si="24">IFERROR(J28/J$30,"-")</f>
        <v>0</v>
      </c>
      <c r="L28" s="434">
        <f>GETPIVOTDATA("Sum of B Total Net2",'1.2 Pivot'!$A$1,"Status 1 - Development","04 Pending","Status 2 - Permission Type","01 Pending Legal Agreement","Development Type 2","EXT")</f>
        <v>0</v>
      </c>
    </row>
    <row r="29" spans="1:12" ht="12.95" customHeight="1" x14ac:dyDescent="0.2">
      <c r="A29" s="608"/>
      <c r="B29" s="619"/>
      <c r="C29" s="617"/>
      <c r="D29" s="83" t="s">
        <v>2927</v>
      </c>
      <c r="E29" s="107">
        <f>GETPIVOTDATA("Count of B Total Gain",'1.2 Pivot'!$A$1,"Status 1 - Development","04 Pending","Status 2 - Permission Type","01 Pending Legal Agreement","Development Type 2","COU")</f>
        <v>0</v>
      </c>
      <c r="F29" s="101">
        <f>GETPIVOTDATA("Count of B Total Loss",'1.2 Pivot'!$A$1,"Status 1 - Development","04 Pending","Status 2 - Permission Type","01 Pending Legal Agreement","Development Type 2","COU")</f>
        <v>0</v>
      </c>
      <c r="G29" s="108">
        <f>GETPIVOTDATA("Count of B Total Net",'1.2 Pivot'!$A$1,"Status 1 - Development","04 Pending","Status 2 - Permission Type","01 Pending Legal Agreement","Development Type 2","COU")</f>
        <v>0</v>
      </c>
      <c r="H29" s="101">
        <f>GETPIVOTDATA("Sum of B Total Gain2",'1.2 Pivot'!$A$1,"Status 1 - Development","04 Pending","Status 2 - Permission Type","01 Pending Legal Agreement","Development Type 2","COU")</f>
        <v>0</v>
      </c>
      <c r="I29" s="109">
        <f t="shared" si="23"/>
        <v>0</v>
      </c>
      <c r="J29" s="101">
        <f>GETPIVOTDATA("Sum of B Total Loss",'1.2 Pivot'!$A$1,"Status 1 - Development","04 Pending","Status 2 - Permission Type","01 Pending Legal Agreement","Development Type 2","COU")</f>
        <v>0</v>
      </c>
      <c r="K29" s="109">
        <f t="shared" si="24"/>
        <v>0</v>
      </c>
      <c r="L29" s="434">
        <f>GETPIVOTDATA("Sum of B Total Net2",'1.2 Pivot'!$A$1,"Status 1 - Development","04 Pending","Status 2 - Permission Type","01 Pending Legal Agreement","Development Type 2","COU")</f>
        <v>0</v>
      </c>
    </row>
    <row r="30" spans="1:12" ht="12.95" customHeight="1" x14ac:dyDescent="0.2">
      <c r="A30" s="608"/>
      <c r="B30" s="619"/>
      <c r="C30" s="614"/>
      <c r="D30" s="79" t="s">
        <v>95</v>
      </c>
      <c r="E30" s="102">
        <f t="shared" ref="E30:L30" si="25">SUM(E27:E29)</f>
        <v>11</v>
      </c>
      <c r="F30" s="98">
        <f t="shared" si="25"/>
        <v>7</v>
      </c>
      <c r="G30" s="103">
        <f t="shared" si="25"/>
        <v>12</v>
      </c>
      <c r="H30" s="98">
        <f t="shared" si="25"/>
        <v>38730</v>
      </c>
      <c r="I30" s="99">
        <f t="shared" ref="I30:K30" si="26">IFERROR(H30/H$30,"-")</f>
        <v>1</v>
      </c>
      <c r="J30" s="98">
        <f t="shared" si="25"/>
        <v>10500</v>
      </c>
      <c r="K30" s="99">
        <f t="shared" si="26"/>
        <v>1</v>
      </c>
      <c r="L30" s="435">
        <f t="shared" si="25"/>
        <v>28230</v>
      </c>
    </row>
    <row r="31" spans="1:12" ht="12.95" customHeight="1" x14ac:dyDescent="0.2">
      <c r="A31" s="608"/>
      <c r="B31" s="619"/>
      <c r="C31" s="618" t="s">
        <v>3800</v>
      </c>
      <c r="D31" s="91" t="s">
        <v>94</v>
      </c>
      <c r="E31" s="104">
        <f>GETPIVOTDATA("Count of B Total Gain",'1.2 Pivot'!$A$1,"Status 1 - Development","04 Pending","Status 2 - Permission Type","02 Full","Development Type 2","NB")+GETPIVOTDATA("Count of B Total Gain",'1.2 Pivot'!$A$1,"Status 1 - Development","04 Pending","Status 2 - Permission Type","03 Outline","Development Type 2","NB")+GETPIVOTDATA("Count of B Total Gain",'1.2 Pivot'!$A$1,"Status 1 - Development","04 Pending","Status 2 - Permission Type","04 Prior Approval","Development Type 2","NB")+GETPIVOTDATA("Count of B Total Gain",'1.2 Pivot'!$A$1,"Status 1 - Development","04 Pending","Status 2 - Permission Type","05 Certificate of Lawful Development","Development Type 2","NB")</f>
        <v>10</v>
      </c>
      <c r="F31" s="358">
        <f>GETPIVOTDATA("Count of B Total Loss",'1.2 Pivot'!$A$1,"Status 1 - Development","04 Pending","Status 2 - Permission Type","02 Full","Development Type 2","NB")+GETPIVOTDATA("Count of B Total Loss",'1.2 Pivot'!$A$1,"Status 1 - Development","04 Pending","Status 2 - Permission Type","03 Outline","Development Type 2","NB")+GETPIVOTDATA("Count of B Total Loss",'1.2 Pivot'!$A$1,"Status 1 - Development","04 Pending","Status 2 - Permission Type","04 Prior Approval","Development Type 2","NB")+GETPIVOTDATA("Count of B Total Loss",'1.2 Pivot'!$A$1,"Status 1 - Development","04 Pending","Status 2 - Permission Type","05 Certificate of Lawful Development","Development Type 2","NB")</f>
        <v>12</v>
      </c>
      <c r="G31" s="358">
        <f>GETPIVOTDATA("Count of B Total Net",'1.2 Pivot'!$A$1,"Status 1 - Development","04 Pending","Status 2 - Permission Type","02 Full","Development Type 2","NB")+GETPIVOTDATA("Count of B Total Net",'1.2 Pivot'!$A$1,"Status 1 - Development","04 Pending","Status 2 - Permission Type","03 Outline","Development Type 2","NB")+GETPIVOTDATA("Count of B Total Net",'1.2 Pivot'!$A$1,"Status 1 - Development","04 Pending","Status 2 - Permission Type","04 Prior Approval","Development Type 2","NB")+GETPIVOTDATA("Count of B Total Net",'1.2 Pivot'!$A$1,"Status 1 - Development","04 Pending","Status 2 - Permission Type","05 Certificate of Lawful Development","Development Type 2","NB")</f>
        <v>17</v>
      </c>
      <c r="H31" s="104">
        <f>GETPIVOTDATA("Sum of B Total Gain2",'1.2 Pivot'!$A$1,"Status 1 - Development","04 Pending","Status 2 - Permission Type","02 Full","Development Type 2","NB")+GETPIVOTDATA("Sum of B Total Gain2",'1.2 Pivot'!$A$1,"Status 1 - Development","04 Pending","Status 2 - Permission Type","03 Outline","Development Type 2","NB")+GETPIVOTDATA("Sum of B Total Gain2",'1.2 Pivot'!$A$1,"Status 1 - Development","04 Pending","Status 2 - Permission Type","04 Prior Approval","Development Type 2","NB")+GETPIVOTDATA("Sum of B Total Gain2",'1.2 Pivot'!$A$1,"Status 1 - Development","04 Pending","Status 2 - Permission Type","05 Certificate of Lawful Development","Development Type 2","NB")</f>
        <v>3380</v>
      </c>
      <c r="I31" s="106">
        <f>H31/H34</f>
        <v>0.48258138206739004</v>
      </c>
      <c r="J31" s="104">
        <f>GETPIVOTDATA("Sum of B Total Loss",'1.2 Pivot'!$A$1,"Status 1 - Development","04 Pending","Status 2 - Permission Type","02 Full","Development Type 2","NB")+GETPIVOTDATA("Sum of B Total Loss",'1.2 Pivot'!$A$1,"Status 1 - Development","04 Pending","Status 2 - Permission Type","03 Outline","Development Type 2","NB")+GETPIVOTDATA("Sum of B Total Loss",'1.2 Pivot'!$A$1,"Status 1 - Development","04 Pending","Status 2 - Permission Type","04 Prior Approval","Development Type 2","NB")+GETPIVOTDATA("Sum of B Total Loss",'1.2 Pivot'!$A$1,"Status 1 - Development","04 Pending","Status 2 - Permission Type","05 Certificate of Lawful Development","Development Type 2","NB")</f>
        <v>2624</v>
      </c>
      <c r="K31" s="106">
        <f>J31/J34</f>
        <v>0.20946755009180171</v>
      </c>
      <c r="L31" s="433">
        <f>GETPIVOTDATA("Sum of B Total Net2",'1.2 Pivot'!$A$1,"Status 1 - Development","04 Pending","Status 2 - Permission Type","02 Full","Development Type 2","NB")+GETPIVOTDATA("Sum of B Total Net2",'1.2 Pivot'!$A$1,"Status 1 - Development","04 Pending","Status 2 - Permission Type","03 Outline","Development Type 2","NB")+GETPIVOTDATA("Sum of B Total Net2",'1.2 Pivot'!$A$1,"Status 1 - Development","04 Pending","Status 2 - Permission Type","04 Prior Approval","Development Type 2","NB")+GETPIVOTDATA("Sum of B Total Net2",'1.2 Pivot'!$A$1,"Status 1 - Development","04 Pending","Status 2 - Permission Type","05 Certificate of Lawful Development","Development Type 2","NB")</f>
        <v>756</v>
      </c>
    </row>
    <row r="32" spans="1:12" ht="12.95" customHeight="1" x14ac:dyDescent="0.2">
      <c r="A32" s="608"/>
      <c r="B32" s="619"/>
      <c r="C32" s="617"/>
      <c r="D32" s="83" t="s">
        <v>2928</v>
      </c>
      <c r="E32" s="107">
        <f>GETPIVOTDATA("Count of B Total Gain",'1.2 Pivot'!$A$1,"Status 1 - Development","04 Pending","Status 2 - Permission Type","02 Full","Development Type 2","EXT")+GETPIVOTDATA("Count of B Total Gain",'1.2 Pivot'!$A$1,"Status 1 - Development","04 Pending","Status 2 - Permission Type","03 Outline","Development Type 2","EXT")+GETPIVOTDATA("Count of B Total Gain",'1.2 Pivot'!$A$1,"Status 1 - Development","04 Pending","Status 2 - Permission Type","04 Prior Approval","Development Type 2","EXT")+GETPIVOTDATA("Count of B Total Gain",'1.2 Pivot'!$A$1,"Status 1 - Development","04 Pending","Status 2 - Permission Type","05 Certificate of Lawful Development","Development Type 2","EXT")</f>
        <v>2</v>
      </c>
      <c r="F32" s="101">
        <f>GETPIVOTDATA("Count of B Total Loss",'1.2 Pivot'!$A$1,"Status 1 - Development","04 Pending","Status 2 - Permission Type","02 Full","Development Type 2","EXT")+GETPIVOTDATA("Count of B Total Loss",'1.2 Pivot'!$A$1,"Status 1 - Development","04 Pending","Status 2 - Permission Type","03 Outline","Development Type 2","EXT")+GETPIVOTDATA("Count of B Total Loss",'1.2 Pivot'!$A$1,"Status 1 - Development","04 Pending","Status 2 - Permission Type","04 Prior Approval","Development Type 2","EXT")+GETPIVOTDATA("Count of B Total Loss",'1.2 Pivot'!$A$1,"Status 1 - Development","04 Pending","Status 2 - Permission Type","05 Certificate of Lawful Development","Development Type 2","EXT")</f>
        <v>0</v>
      </c>
      <c r="G32" s="101">
        <f>GETPIVOTDATA("Count of B Total Net",'1.2 Pivot'!$A$1,"Status 1 - Development","04 Pending","Status 2 - Permission Type","02 Full","Development Type 2","EXT")+GETPIVOTDATA("Count of B Total Net",'1.2 Pivot'!$A$1,"Status 1 - Development","04 Pending","Status 2 - Permission Type","03 Outline","Development Type 2","EXT")+GETPIVOTDATA("Count of B Total Net",'1.2 Pivot'!$A$1,"Status 1 - Development","04 Pending","Status 2 - Permission Type","04 Prior Approval","Development Type 2","EXT")+GETPIVOTDATA("Count of B Total Net",'1.2 Pivot'!$A$1,"Status 1 - Development","04 Pending","Status 2 - Permission Type","05 Certificate of Lawful Development","Development Type 2","EXT")</f>
        <v>2</v>
      </c>
      <c r="H32" s="107">
        <f>GETPIVOTDATA("Sum of B Total Gain2",'1.2 Pivot'!$A$1,"Status 1 - Development","04 Pending","Status 2 - Permission Type","02 Full","Development Type 2","EXT")+GETPIVOTDATA("Sum of B Total Gain2",'1.2 Pivot'!$A$1,"Status 1 - Development","04 Pending","Status 2 - Permission Type","03 Outline","Development Type 2","EXT")+GETPIVOTDATA("Sum of B Total Gain2",'1.2 Pivot'!$A$1,"Status 1 - Development","04 Pending","Status 2 - Permission Type","04 Prior Approval","Development Type 2","EXT")+GETPIVOTDATA("Sum of B Total Gain2",'1.2 Pivot'!$A$1,"Status 1 - Development","04 Pending","Status 2 - Permission Type","05 Certificate of Lawful Development","Development Type 2","EXT")</f>
        <v>69</v>
      </c>
      <c r="I32" s="109">
        <f>H32/H34</f>
        <v>9.8515134209023417E-3</v>
      </c>
      <c r="J32" s="107">
        <f>GETPIVOTDATA("Sum of B Total Loss",'1.2 Pivot'!$A$1,"Status 1 - Development","04 Pending","Status 2 - Permission Type","02 Full","Development Type 2","EXT")+GETPIVOTDATA("Sum of B Total Loss",'1.2 Pivot'!$A$1,"Status 1 - Development","04 Pending","Status 2 - Permission Type","03 Outline","Development Type 2","EXT")+GETPIVOTDATA("Sum of B Total Loss",'1.2 Pivot'!$A$1,"Status 1 - Development","04 Pending","Status 2 - Permission Type","04 Prior Approval","Development Type 2","EXT")+GETPIVOTDATA("Sum of B Total Loss",'1.2 Pivot'!$A$1,"Status 1 - Development","04 Pending","Status 2 - Permission Type","05 Certificate of Lawful Development","Development Type 2","EXT")</f>
        <v>0</v>
      </c>
      <c r="K32" s="109">
        <f>J32/J34</f>
        <v>0</v>
      </c>
      <c r="L32" s="434">
        <f>GETPIVOTDATA("Sum of B Total Net2",'1.2 Pivot'!$A$1,"Status 1 - Development","04 Pending","Status 2 - Permission Type","02 Full","Development Type 2","EXT")+GETPIVOTDATA("Sum of B Total Net2",'1.2 Pivot'!$A$1,"Status 1 - Development","04 Pending","Status 2 - Permission Type","03 Outline","Development Type 2","EXT")+GETPIVOTDATA("Sum of B Total Net2",'1.2 Pivot'!$A$1,"Status 1 - Development","04 Pending","Status 2 - Permission Type","04 Prior Approval","Development Type 2","EXT")+GETPIVOTDATA("Sum of B Total Net2",'1.2 Pivot'!$A$1,"Status 1 - Development","04 Pending","Status 2 - Permission Type","05 Certificate of Lawful Development","Development Type 2","EXT")</f>
        <v>69</v>
      </c>
    </row>
    <row r="33" spans="1:12" ht="12.95" customHeight="1" x14ac:dyDescent="0.2">
      <c r="A33" s="608"/>
      <c r="B33" s="619"/>
      <c r="C33" s="617"/>
      <c r="D33" s="83" t="s">
        <v>2927</v>
      </c>
      <c r="E33" s="107">
        <f>GETPIVOTDATA("Count of B Total Gain",'1.2 Pivot'!$A$1,"Status 1 - Development","04 Pending","Status 2 - Permission Type","02 Full","Development Type 2","COU")+GETPIVOTDATA("Count of B Total Gain",'1.2 Pivot'!$A$1,"Status 1 - Development","04 Pending","Status 2 - Permission Type","03 Outline","Development Type 2","COU")+GETPIVOTDATA("Count of B Total Gain",'1.2 Pivot'!$A$1,"Status 1 - Development","04 Pending","Status 2 - Permission Type","04 Prior Approval","Development Type 2","COU")+GETPIVOTDATA("Count of B Total Gain",'1.2 Pivot'!$A$1,"Status 1 - Development","04 Pending","Status 2 - Permission Type","05 Certificate of Lawful Development","Development Type 2","COU")</f>
        <v>4</v>
      </c>
      <c r="F33" s="111">
        <f>GETPIVOTDATA("Count of B Total Loss",'1.2 Pivot'!$A$1,"Status 1 - Development","04 Pending","Status 2 - Permission Type","02 Full","Development Type 2","COU")+GETPIVOTDATA("Count of B Total Loss",'1.2 Pivot'!$A$1,"Status 1 - Development","04 Pending","Status 2 - Permission Type","03 Outline","Development Type 2","COU")+GETPIVOTDATA("Count of B Total Loss",'1.2 Pivot'!$A$1,"Status 1 - Development","04 Pending","Status 2 - Permission Type","04 Prior Approval","Development Type 2","COU")+GETPIVOTDATA("Count of B Total Loss",'1.2 Pivot'!$A$1,"Status 1 - Development","04 Pending","Status 2 - Permission Type","05 Certificate of Lawful Development","Development Type 2","COU")</f>
        <v>17</v>
      </c>
      <c r="G33" s="101">
        <f>GETPIVOTDATA("Count of B Total Net",'1.2 Pivot'!$A$1,"Status 1 - Development","04 Pending","Status 2 - Permission Type","02 Full","Development Type 2","COU")+GETPIVOTDATA("Count of B Total Net",'1.2 Pivot'!$A$1,"Status 1 - Development","04 Pending","Status 2 - Permission Type","03 Outline","Development Type 2","COU")+GETPIVOTDATA("Count of B Total Net",'1.2 Pivot'!$A$1,"Status 1 - Development","04 Pending","Status 2 - Permission Type","04 Prior Approval","Development Type 2","COU")+GETPIVOTDATA("Count of B Total Net",'1.2 Pivot'!$A$1,"Status 1 - Development","04 Pending","Status 2 - Permission Type","05 Certificate of Lawful Development","Development Type 2","COU")</f>
        <v>19</v>
      </c>
      <c r="H33" s="107">
        <f>GETPIVOTDATA("Sum of B Total Gain2",'1.2 Pivot'!$A$1,"Status 1 - Development","04 Pending","Status 2 - Permission Type","02 Full","Development Type 2","COU")+GETPIVOTDATA("Sum of B Total Gain2",'1.2 Pivot'!$A$1,"Status 1 - Development","04 Pending","Status 2 - Permission Type","03 Outline","Development Type 2","COU")+GETPIVOTDATA("Sum of B Total Gain2",'1.2 Pivot'!$A$1,"Status 1 - Development","04 Pending","Status 2 - Permission Type","04 Prior Approval","Development Type 2","COU")+GETPIVOTDATA("Sum of B Total Gain2",'1.2 Pivot'!$A$1,"Status 1 - Development","04 Pending","Status 2 - Permission Type","05 Certificate of Lawful Development","Development Type 2","COU")</f>
        <v>3555</v>
      </c>
      <c r="I33" s="109">
        <f>H33/H34</f>
        <v>0.50756710451170761</v>
      </c>
      <c r="J33" s="107">
        <f>GETPIVOTDATA("Sum of B Total Loss",'1.2 Pivot'!$A$1,"Status 1 - Development","04 Pending","Status 2 - Permission Type","02 Full","Development Type 2","COU")+GETPIVOTDATA("Sum of B Total Loss",'1.2 Pivot'!$A$1,"Status 1 - Development","04 Pending","Status 2 - Permission Type","03 Outline","Development Type 2","COU")+GETPIVOTDATA("Sum of B Total Loss",'1.2 Pivot'!$A$1,"Status 1 - Development","04 Pending","Status 2 - Permission Type","04 Prior Approval","Development Type 2","COU")+GETPIVOTDATA("Sum of B Total Loss",'1.2 Pivot'!$A$1,"Status 1 - Development","04 Pending","Status 2 - Permission Type","05 Certificate of Lawful Development","Development Type 2","COU")</f>
        <v>9903</v>
      </c>
      <c r="K33" s="109">
        <f>J33/J34</f>
        <v>0.79053244990819826</v>
      </c>
      <c r="L33" s="434">
        <f>GETPIVOTDATA("Sum of B Total Net2",'1.2 Pivot'!$A$1,"Status 1 - Development","04 Pending","Status 2 - Permission Type","02 Full","Development Type 2","COU")+GETPIVOTDATA("Sum of B Total Net2",'1.2 Pivot'!$A$1,"Status 1 - Development","04 Pending","Status 2 - Permission Type","03 Outline","Development Type 2","COU")+GETPIVOTDATA("Sum of B Total Net2",'1.2 Pivot'!$A$1,"Status 1 - Development","04 Pending","Status 2 - Permission Type","04 Prior Approval","Development Type 2","COU")+GETPIVOTDATA("Sum of B Total Net2",'1.2 Pivot'!$A$1,"Status 1 - Development","04 Pending","Status 2 - Permission Type","05 Certificate of Lawful Development","Development Type 2","COU")</f>
        <v>-6348</v>
      </c>
    </row>
    <row r="34" spans="1:12" ht="12.95" customHeight="1" x14ac:dyDescent="0.2">
      <c r="A34" s="608"/>
      <c r="B34" s="619"/>
      <c r="C34" s="614"/>
      <c r="D34" s="79" t="s">
        <v>95</v>
      </c>
      <c r="E34" s="102">
        <f>SUM(E31:E33)</f>
        <v>16</v>
      </c>
      <c r="F34" s="98">
        <f t="shared" ref="F34:J34" si="27">SUM(F31:F33)</f>
        <v>29</v>
      </c>
      <c r="G34" s="103">
        <f t="shared" si="27"/>
        <v>38</v>
      </c>
      <c r="H34" s="98">
        <f t="shared" si="27"/>
        <v>7004</v>
      </c>
      <c r="I34" s="99">
        <f t="shared" si="27"/>
        <v>1</v>
      </c>
      <c r="J34" s="98">
        <f t="shared" si="27"/>
        <v>12527</v>
      </c>
      <c r="K34" s="99">
        <f>SUM(K31:K33)</f>
        <v>1</v>
      </c>
      <c r="L34" s="435">
        <f>SUM(L31:L33)</f>
        <v>-5523</v>
      </c>
    </row>
    <row r="35" spans="1:12" ht="12.95" customHeight="1" x14ac:dyDescent="0.2">
      <c r="A35" s="608"/>
      <c r="B35" s="619"/>
      <c r="C35" s="618" t="s">
        <v>2933</v>
      </c>
      <c r="D35" s="91" t="s">
        <v>94</v>
      </c>
      <c r="E35" s="104">
        <f>GETPIVOTDATA("Count of B Total Gain",'1.2 Pivot'!$A$1,"Status 1 - Development","04 Pending","Status 2 - Permission Type","06 Appeal","Development Type 2","NB")</f>
        <v>0</v>
      </c>
      <c r="F35" s="100">
        <f>GETPIVOTDATA("Count of B Total Loss",'1.2 Pivot'!$A$1,"Status 1 - Development","04 Pending","Status 2 - Permission Type","06 Appeal","Development Type 2","NB")</f>
        <v>1</v>
      </c>
      <c r="G35" s="105">
        <f>GETPIVOTDATA("Count of B Total Net",'1.2 Pivot'!$A$1,"Status 1 - Development","04 Pending","Status 2 - Permission Type","06 Appeal","Development Type 2","NB")</f>
        <v>1</v>
      </c>
      <c r="H35" s="100">
        <f>GETPIVOTDATA("Sum of B Total Gain2",'1.2 Pivot'!$A$1,"Status 1 - Development","04 Pending","Status 2 - Permission Type","06 Appeal","Development Type 2","NB")</f>
        <v>0</v>
      </c>
      <c r="I35" s="106" t="str">
        <f>IF(H$38=0,"-",H35/H$38)</f>
        <v>-</v>
      </c>
      <c r="J35" s="100">
        <f>GETPIVOTDATA("Sum of B Total Loss",'1.2 Pivot'!$A$1,"Status 1 - Development","04 Pending","Status 2 - Permission Type","06 Appeal","Development Type 2","NB")</f>
        <v>84</v>
      </c>
      <c r="K35" s="106">
        <f>IF(J$38=0,"-",J35/J$38)</f>
        <v>0.5714285714285714</v>
      </c>
      <c r="L35" s="433">
        <f>GETPIVOTDATA("Sum of B Total Net2",'1.2 Pivot'!$A$1,"Status 1 - Development","04 Pending","Status 2 - Permission Type","06 Appeal","Development Type 2","NB")</f>
        <v>-84</v>
      </c>
    </row>
    <row r="36" spans="1:12" ht="12.95" customHeight="1" x14ac:dyDescent="0.2">
      <c r="A36" s="608"/>
      <c r="B36" s="619"/>
      <c r="C36" s="617"/>
      <c r="D36" s="83" t="s">
        <v>2928</v>
      </c>
      <c r="E36" s="107">
        <f>GETPIVOTDATA("Count of B Total Gain",'1.2 Pivot'!$A$1,"Status 1 - Development","04 Pending","Status 2 - Permission Type","06 Appeal","Development Type 2","EXT")</f>
        <v>0</v>
      </c>
      <c r="F36" s="101">
        <f>GETPIVOTDATA("Count of B Total Loss",'1.2 Pivot'!$A$1,"Status 1 - Development","04 Pending","Status 2 - Permission Type","06 Appeal","Development Type 2","EXT")</f>
        <v>0</v>
      </c>
      <c r="G36" s="108">
        <f>GETPIVOTDATA("Count of B Total Net",'1.2 Pivot'!$A$1,"Status 1 - Development","04 Pending","Status 2 - Permission Type","06 Appeal","Development Type 2","EXT")</f>
        <v>0</v>
      </c>
      <c r="H36" s="101">
        <f>GETPIVOTDATA("Sum of B Total Gain2",'1.2 Pivot'!$A$1,"Status 1 - Development","04 Pending","Status 2 - Permission Type","06 Appeal","Development Type 2","EXT")</f>
        <v>0</v>
      </c>
      <c r="I36" s="109" t="str">
        <f t="shared" ref="I36:I37" si="28">IF(H$38=0,"-",H36/H$38)</f>
        <v>-</v>
      </c>
      <c r="J36" s="101">
        <f>GETPIVOTDATA("Sum of B Total Loss",'1.2 Pivot'!$A$1,"Status 1 - Development","04 Pending","Status 2 - Permission Type","06 Appeal","Development Type 2","EXT")</f>
        <v>0</v>
      </c>
      <c r="K36" s="109">
        <f t="shared" ref="K36:K37" si="29">IF(J$38=0,"-",J36/J$38)</f>
        <v>0</v>
      </c>
      <c r="L36" s="434">
        <f>GETPIVOTDATA("Sum of B Total Net2",'1.2 Pivot'!$A$1,"Status 1 - Development","04 Pending","Status 2 - Permission Type","06 Appeal","Development Type 2","EXT")</f>
        <v>0</v>
      </c>
    </row>
    <row r="37" spans="1:12" ht="12.95" customHeight="1" x14ac:dyDescent="0.2">
      <c r="A37" s="608"/>
      <c r="B37" s="619"/>
      <c r="C37" s="617"/>
      <c r="D37" s="83" t="s">
        <v>2927</v>
      </c>
      <c r="E37" s="107">
        <f>GETPIVOTDATA("Count of B Total Gain",'1.2 Pivot'!$A$1,"Status 1 - Development","04 Pending","Status 2 - Permission Type","06 Appeal","Development Type 2","COU")</f>
        <v>0</v>
      </c>
      <c r="F37" s="101">
        <f>GETPIVOTDATA("Count of B Total Loss",'1.2 Pivot'!$A$1,"Status 1 - Development","04 Pending","Status 2 - Permission Type","06 Appeal","Development Type 2","COU")</f>
        <v>1</v>
      </c>
      <c r="G37" s="108">
        <f>GETPIVOTDATA("Count of B Total Net",'1.2 Pivot'!$A$1,"Status 1 - Development","04 Pending","Status 2 - Permission Type","06 Appeal","Development Type 2","COU")</f>
        <v>1</v>
      </c>
      <c r="H37" s="101">
        <f>GETPIVOTDATA("Sum of B Total Gain2",'1.2 Pivot'!$A$1,"Status 1 - Development","04 Pending","Status 2 - Permission Type","06 Appeal","Development Type 2","COU")</f>
        <v>0</v>
      </c>
      <c r="I37" s="109" t="str">
        <f t="shared" si="28"/>
        <v>-</v>
      </c>
      <c r="J37" s="101">
        <f>GETPIVOTDATA("Sum of B Total Loss",'1.2 Pivot'!$A$1,"Status 1 - Development","04 Pending","Status 2 - Permission Type","06 Appeal","Development Type 2","COU")</f>
        <v>63</v>
      </c>
      <c r="K37" s="109">
        <f t="shared" si="29"/>
        <v>0.42857142857142855</v>
      </c>
      <c r="L37" s="434">
        <f>GETPIVOTDATA("Sum of B Total Net2",'1.2 Pivot'!$A$1,"Status 1 - Development","04 Pending","Status 2 - Permission Type","06 Appeal","Development Type 2","COU")</f>
        <v>-63</v>
      </c>
    </row>
    <row r="38" spans="1:12" ht="12.95" customHeight="1" x14ac:dyDescent="0.2">
      <c r="A38" s="608"/>
      <c r="B38" s="619"/>
      <c r="C38" s="614"/>
      <c r="D38" s="79" t="s">
        <v>95</v>
      </c>
      <c r="E38" s="102">
        <f>SUM(E35:E37)</f>
        <v>0</v>
      </c>
      <c r="F38" s="98">
        <f t="shared" ref="F38:G38" si="30">SUM(F35:F37)</f>
        <v>2</v>
      </c>
      <c r="G38" s="103">
        <f t="shared" si="30"/>
        <v>2</v>
      </c>
      <c r="H38" s="98">
        <f t="shared" ref="H38" si="31">SUM(H35:H37)</f>
        <v>0</v>
      </c>
      <c r="I38" s="99" t="str">
        <f>IF(H$38=0,"-",H38/H$38)</f>
        <v>-</v>
      </c>
      <c r="J38" s="98">
        <f t="shared" ref="J38" si="32">SUM(J35:J37)</f>
        <v>147</v>
      </c>
      <c r="K38" s="99">
        <f>IF(J$38=0,"-",J38/J$38)</f>
        <v>1</v>
      </c>
      <c r="L38" s="435">
        <f>SUM(L35:L37)</f>
        <v>-147</v>
      </c>
    </row>
    <row r="39" spans="1:12" ht="12.95" customHeight="1" x14ac:dyDescent="0.2">
      <c r="A39" s="608"/>
      <c r="B39" s="619"/>
      <c r="C39" s="591" t="s">
        <v>95</v>
      </c>
      <c r="D39" s="589"/>
      <c r="E39" s="94">
        <f>E30+E34+E38</f>
        <v>27</v>
      </c>
      <c r="F39" s="95">
        <f>F30+F34+F38</f>
        <v>38</v>
      </c>
      <c r="G39" s="96">
        <f>G30+G34+G38</f>
        <v>52</v>
      </c>
      <c r="H39" s="95">
        <f>H30+H34+H38</f>
        <v>45734</v>
      </c>
      <c r="I39" s="97">
        <f>H39/H40</f>
        <v>0.16596387072425481</v>
      </c>
      <c r="J39" s="95">
        <f>J30+J34+J38</f>
        <v>23174</v>
      </c>
      <c r="K39" s="97">
        <f>J39/J40</f>
        <v>8.795120821900132E-2</v>
      </c>
      <c r="L39" s="436">
        <f>L30+L34+L38</f>
        <v>22560</v>
      </c>
    </row>
    <row r="40" spans="1:12" ht="12" customHeight="1" x14ac:dyDescent="0.2">
      <c r="A40" s="609"/>
      <c r="B40" s="591" t="s">
        <v>95</v>
      </c>
      <c r="C40" s="620"/>
      <c r="D40" s="589"/>
      <c r="E40" s="94">
        <f>SUM(E26,E39)</f>
        <v>124</v>
      </c>
      <c r="F40" s="95">
        <f t="shared" ref="F40:L40" si="33">SUM(F26,F39)</f>
        <v>219</v>
      </c>
      <c r="G40" s="96">
        <f t="shared" si="33"/>
        <v>289</v>
      </c>
      <c r="H40" s="95">
        <f t="shared" si="33"/>
        <v>275566</v>
      </c>
      <c r="I40" s="97">
        <f>I39+I26</f>
        <v>1</v>
      </c>
      <c r="J40" s="95">
        <f t="shared" si="33"/>
        <v>263487</v>
      </c>
      <c r="K40" s="97">
        <f>K39+K26</f>
        <v>1</v>
      </c>
      <c r="L40" s="436">
        <f t="shared" si="33"/>
        <v>12079</v>
      </c>
    </row>
    <row r="45" spans="1:12" x14ac:dyDescent="0.2">
      <c r="G45" s="62"/>
    </row>
    <row r="67" spans="1:8" x14ac:dyDescent="0.2">
      <c r="A67" s="405"/>
      <c r="B67" s="18"/>
      <c r="C67" s="18"/>
      <c r="D67" s="37"/>
      <c r="E67" s="37"/>
      <c r="F67" s="37"/>
      <c r="G67" s="37"/>
      <c r="H67" s="37"/>
    </row>
    <row r="129" spans="19:19" x14ac:dyDescent="0.2">
      <c r="S129" s="4"/>
    </row>
  </sheetData>
  <mergeCells count="19">
    <mergeCell ref="B40:D40"/>
    <mergeCell ref="E4:G4"/>
    <mergeCell ref="C27:C30"/>
    <mergeCell ref="A1:L1"/>
    <mergeCell ref="A10:A40"/>
    <mergeCell ref="H4:L4"/>
    <mergeCell ref="A4:C5"/>
    <mergeCell ref="D4:D5"/>
    <mergeCell ref="A6:C9"/>
    <mergeCell ref="C10:C13"/>
    <mergeCell ref="B10:B26"/>
    <mergeCell ref="C26:D26"/>
    <mergeCell ref="B27:B39"/>
    <mergeCell ref="C39:D39"/>
    <mergeCell ref="C22:C25"/>
    <mergeCell ref="C14:C17"/>
    <mergeCell ref="C18:C21"/>
    <mergeCell ref="C31:C34"/>
    <mergeCell ref="C35:C38"/>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ignoredErrors>
    <ignoredError sqref="J30 I21 J9 J25 J13 J17 J21" formula="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G7"/>
  <sheetViews>
    <sheetView workbookViewId="0"/>
  </sheetViews>
  <sheetFormatPr defaultRowHeight="12" x14ac:dyDescent="0.2"/>
  <cols>
    <col min="1" max="1" width="19.5703125" customWidth="1"/>
    <col min="2" max="2" width="14.42578125" customWidth="1"/>
    <col min="3" max="6" width="13.42578125" customWidth="1"/>
    <col min="7" max="7" width="16.85546875" customWidth="1"/>
    <col min="8" max="12" width="17" customWidth="1"/>
    <col min="13" max="14" width="17" bestFit="1" customWidth="1"/>
  </cols>
  <sheetData>
    <row r="2" spans="1:7" x14ac:dyDescent="0.2">
      <c r="A2" s="77" t="s">
        <v>2939</v>
      </c>
      <c r="B2" s="446" t="s">
        <v>2936</v>
      </c>
    </row>
    <row r="4" spans="1:7" x14ac:dyDescent="0.2">
      <c r="A4" s="77" t="s">
        <v>111</v>
      </c>
      <c r="B4" s="446" t="s">
        <v>3822</v>
      </c>
      <c r="C4" s="446" t="s">
        <v>3823</v>
      </c>
      <c r="D4" s="446" t="s">
        <v>3824</v>
      </c>
      <c r="E4" s="446" t="s">
        <v>3825</v>
      </c>
      <c r="F4" s="446" t="s">
        <v>3826</v>
      </c>
      <c r="G4" s="446" t="s">
        <v>3827</v>
      </c>
    </row>
    <row r="5" spans="1:7" x14ac:dyDescent="0.2">
      <c r="A5" s="446" t="s">
        <v>126</v>
      </c>
      <c r="B5" s="74">
        <v>2079</v>
      </c>
      <c r="C5" s="74">
        <v>1058</v>
      </c>
      <c r="D5" s="74">
        <v>2882</v>
      </c>
      <c r="E5" s="74">
        <v>1367</v>
      </c>
      <c r="F5" s="74">
        <v>1073</v>
      </c>
      <c r="G5" s="74">
        <v>8459</v>
      </c>
    </row>
    <row r="6" spans="1:7" x14ac:dyDescent="0.2">
      <c r="A6" s="446" t="s">
        <v>153</v>
      </c>
      <c r="B6" s="74">
        <v>3712</v>
      </c>
      <c r="C6" s="74">
        <v>2470</v>
      </c>
      <c r="D6" s="74">
        <v>3753</v>
      </c>
      <c r="E6" s="74">
        <v>2845</v>
      </c>
      <c r="F6" s="74">
        <v>1120</v>
      </c>
      <c r="G6" s="74">
        <v>13900</v>
      </c>
    </row>
    <row r="7" spans="1:7" x14ac:dyDescent="0.2">
      <c r="A7" s="446" t="s">
        <v>115</v>
      </c>
      <c r="B7" s="74">
        <v>5791</v>
      </c>
      <c r="C7" s="74">
        <v>3528</v>
      </c>
      <c r="D7" s="74">
        <v>6635</v>
      </c>
      <c r="E7" s="74">
        <v>4212</v>
      </c>
      <c r="F7" s="74">
        <v>2193</v>
      </c>
      <c r="G7" s="74">
        <v>22359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0"/>
  <dimension ref="A1:AK66"/>
  <sheetViews>
    <sheetView workbookViewId="0">
      <selection sqref="A1:O1"/>
    </sheetView>
  </sheetViews>
  <sheetFormatPr defaultRowHeight="12" x14ac:dyDescent="0.2"/>
  <cols>
    <col min="1" max="1" width="7.28515625" style="294" customWidth="1"/>
    <col min="2" max="2" width="8.7109375" style="162" customWidth="1"/>
    <col min="3" max="3" width="10.7109375" style="162" customWidth="1"/>
    <col min="4" max="4" width="8.7109375" style="162" customWidth="1"/>
    <col min="5" max="5" width="10.7109375" style="162" customWidth="1"/>
    <col min="6" max="6" width="8.7109375" style="162" customWidth="1"/>
    <col min="7" max="7" width="10.7109375" style="162" customWidth="1"/>
    <col min="8" max="8" width="8.7109375" style="162" customWidth="1"/>
    <col min="9" max="9" width="10.7109375" style="162" customWidth="1"/>
    <col min="10" max="10" width="8.7109375" style="162" customWidth="1"/>
    <col min="11" max="11" width="10.7109375" style="162" customWidth="1"/>
    <col min="12" max="12" width="8.7109375" style="162" customWidth="1"/>
    <col min="13" max="13" width="10.7109375" style="162" customWidth="1"/>
    <col min="14" max="14" width="8.7109375" style="162" customWidth="1"/>
    <col min="15" max="15" width="10.7109375" style="162" customWidth="1"/>
    <col min="16" max="16384" width="9.140625" style="4"/>
  </cols>
  <sheetData>
    <row r="1" spans="1:37" ht="15.75" x14ac:dyDescent="0.25">
      <c r="A1" s="606" t="s">
        <v>3799</v>
      </c>
      <c r="B1" s="606"/>
      <c r="C1" s="606"/>
      <c r="D1" s="606"/>
      <c r="E1" s="606"/>
      <c r="F1" s="606"/>
      <c r="G1" s="606"/>
      <c r="H1" s="606"/>
      <c r="I1" s="606"/>
      <c r="J1" s="606"/>
      <c r="K1" s="606"/>
      <c r="L1" s="606"/>
      <c r="M1" s="606"/>
      <c r="N1" s="606"/>
      <c r="O1" s="606"/>
      <c r="AK1" s="10"/>
    </row>
    <row r="2" spans="1:37" ht="12.75" x14ac:dyDescent="0.2">
      <c r="A2" s="640" t="s">
        <v>3924</v>
      </c>
      <c r="B2" s="640"/>
      <c r="C2" s="640"/>
      <c r="D2" s="640"/>
      <c r="E2" s="640"/>
      <c r="F2" s="640"/>
      <c r="G2" s="640"/>
      <c r="H2" s="640"/>
      <c r="I2" s="640"/>
      <c r="J2" s="640"/>
      <c r="K2" s="640"/>
      <c r="L2" s="640"/>
      <c r="M2" s="640"/>
      <c r="N2" s="640"/>
      <c r="O2" s="640"/>
    </row>
    <row r="4" spans="1:37" ht="24" customHeight="1" x14ac:dyDescent="0.2">
      <c r="A4" s="725" t="s">
        <v>104</v>
      </c>
      <c r="B4" s="727" t="s">
        <v>149</v>
      </c>
      <c r="C4" s="727"/>
      <c r="D4" s="724" t="s">
        <v>427</v>
      </c>
      <c r="E4" s="729"/>
      <c r="F4" s="728" t="s">
        <v>132</v>
      </c>
      <c r="G4" s="728"/>
      <c r="H4" s="727" t="s">
        <v>131</v>
      </c>
      <c r="I4" s="727"/>
      <c r="J4" s="727" t="s">
        <v>150</v>
      </c>
      <c r="K4" s="727"/>
      <c r="L4" s="727" t="s">
        <v>151</v>
      </c>
      <c r="M4" s="727"/>
      <c r="N4" s="723" t="s">
        <v>95</v>
      </c>
      <c r="O4" s="724"/>
    </row>
    <row r="5" spans="1:37" s="23" customFormat="1" ht="24" customHeight="1" x14ac:dyDescent="0.2">
      <c r="A5" s="726"/>
      <c r="B5" s="197" t="s">
        <v>2970</v>
      </c>
      <c r="C5" s="199" t="s">
        <v>168</v>
      </c>
      <c r="D5" s="197" t="s">
        <v>2970</v>
      </c>
      <c r="E5" s="199" t="s">
        <v>3828</v>
      </c>
      <c r="F5" s="197" t="s">
        <v>2970</v>
      </c>
      <c r="G5" s="199" t="s">
        <v>168</v>
      </c>
      <c r="H5" s="197" t="s">
        <v>2970</v>
      </c>
      <c r="I5" s="199" t="s">
        <v>168</v>
      </c>
      <c r="J5" s="197" t="s">
        <v>2970</v>
      </c>
      <c r="K5" s="199" t="s">
        <v>168</v>
      </c>
      <c r="L5" s="197" t="s">
        <v>2970</v>
      </c>
      <c r="M5" s="199" t="s">
        <v>168</v>
      </c>
      <c r="N5" s="481" t="s">
        <v>2970</v>
      </c>
      <c r="O5" s="476" t="s">
        <v>168</v>
      </c>
    </row>
    <row r="6" spans="1:37" ht="12" customHeight="1" x14ac:dyDescent="0.2">
      <c r="A6" s="415" t="s">
        <v>141</v>
      </c>
      <c r="B6" s="223">
        <v>6</v>
      </c>
      <c r="C6" s="174">
        <v>595</v>
      </c>
      <c r="D6" s="223">
        <v>0</v>
      </c>
      <c r="E6" s="174">
        <v>0</v>
      </c>
      <c r="F6" s="223">
        <v>0</v>
      </c>
      <c r="G6" s="174">
        <v>0</v>
      </c>
      <c r="H6" s="223">
        <v>1</v>
      </c>
      <c r="I6" s="174">
        <v>38</v>
      </c>
      <c r="J6" s="223">
        <v>3</v>
      </c>
      <c r="K6" s="174">
        <v>331</v>
      </c>
      <c r="L6" s="223">
        <v>2</v>
      </c>
      <c r="M6" s="233">
        <v>2575</v>
      </c>
      <c r="N6" s="487">
        <v>12</v>
      </c>
      <c r="O6" s="483">
        <v>3539</v>
      </c>
    </row>
    <row r="7" spans="1:37" ht="12" customHeight="1" x14ac:dyDescent="0.2">
      <c r="A7" s="416" t="s">
        <v>142</v>
      </c>
      <c r="B7" s="227">
        <v>7</v>
      </c>
      <c r="C7" s="175">
        <v>1400</v>
      </c>
      <c r="D7" s="225">
        <v>0</v>
      </c>
      <c r="E7" s="175">
        <v>0</v>
      </c>
      <c r="F7" s="227">
        <v>4</v>
      </c>
      <c r="G7" s="232">
        <v>250</v>
      </c>
      <c r="H7" s="227">
        <v>5</v>
      </c>
      <c r="I7" s="232">
        <v>614</v>
      </c>
      <c r="J7" s="227">
        <v>3</v>
      </c>
      <c r="K7" s="232">
        <v>266</v>
      </c>
      <c r="L7" s="227">
        <v>2</v>
      </c>
      <c r="M7" s="232">
        <v>400</v>
      </c>
      <c r="N7" s="227">
        <v>21</v>
      </c>
      <c r="O7" s="172">
        <v>2930</v>
      </c>
    </row>
    <row r="8" spans="1:37" ht="12" customHeight="1" x14ac:dyDescent="0.2">
      <c r="A8" s="416" t="s">
        <v>143</v>
      </c>
      <c r="B8" s="227">
        <v>1</v>
      </c>
      <c r="C8" s="232">
        <v>40</v>
      </c>
      <c r="D8" s="227">
        <v>0</v>
      </c>
      <c r="E8" s="232">
        <v>0</v>
      </c>
      <c r="F8" s="227">
        <v>4</v>
      </c>
      <c r="G8" s="232">
        <v>541</v>
      </c>
      <c r="H8" s="227">
        <v>4</v>
      </c>
      <c r="I8" s="232">
        <v>396</v>
      </c>
      <c r="J8" s="227">
        <v>2</v>
      </c>
      <c r="K8" s="232">
        <v>131</v>
      </c>
      <c r="L8" s="227">
        <v>1</v>
      </c>
      <c r="M8" s="232">
        <v>275</v>
      </c>
      <c r="N8" s="227">
        <v>12</v>
      </c>
      <c r="O8" s="172">
        <v>1383</v>
      </c>
    </row>
    <row r="9" spans="1:37" ht="12" customHeight="1" x14ac:dyDescent="0.2">
      <c r="A9" s="416" t="s">
        <v>144</v>
      </c>
      <c r="B9" s="227">
        <v>3</v>
      </c>
      <c r="C9" s="232">
        <v>163</v>
      </c>
      <c r="D9" s="227">
        <v>0</v>
      </c>
      <c r="E9" s="232">
        <v>0</v>
      </c>
      <c r="F9" s="227">
        <v>3</v>
      </c>
      <c r="G9" s="232">
        <v>283</v>
      </c>
      <c r="H9" s="227">
        <v>2</v>
      </c>
      <c r="I9" s="232">
        <v>111</v>
      </c>
      <c r="J9" s="227">
        <v>7</v>
      </c>
      <c r="K9" s="232">
        <v>495</v>
      </c>
      <c r="L9" s="227">
        <v>6</v>
      </c>
      <c r="M9" s="175">
        <v>2388</v>
      </c>
      <c r="N9" s="227">
        <v>21</v>
      </c>
      <c r="O9" s="172">
        <v>3440</v>
      </c>
    </row>
    <row r="10" spans="1:37" ht="12" customHeight="1" x14ac:dyDescent="0.2">
      <c r="A10" s="416" t="s">
        <v>145</v>
      </c>
      <c r="B10" s="227">
        <v>0</v>
      </c>
      <c r="C10" s="175">
        <v>0</v>
      </c>
      <c r="D10" s="225">
        <v>0</v>
      </c>
      <c r="E10" s="175">
        <v>0</v>
      </c>
      <c r="F10" s="227">
        <v>4</v>
      </c>
      <c r="G10" s="175">
        <v>359</v>
      </c>
      <c r="H10" s="227">
        <v>3</v>
      </c>
      <c r="I10" s="175">
        <v>311</v>
      </c>
      <c r="J10" s="227">
        <v>2</v>
      </c>
      <c r="K10" s="175">
        <v>96</v>
      </c>
      <c r="L10" s="227">
        <v>1</v>
      </c>
      <c r="M10" s="175">
        <v>189</v>
      </c>
      <c r="N10" s="227">
        <v>10</v>
      </c>
      <c r="O10" s="172">
        <v>955</v>
      </c>
    </row>
    <row r="11" spans="1:37" ht="12" customHeight="1" x14ac:dyDescent="0.2">
      <c r="A11" s="416" t="s">
        <v>146</v>
      </c>
      <c r="B11" s="227">
        <v>2</v>
      </c>
      <c r="C11" s="175">
        <v>613</v>
      </c>
      <c r="D11" s="225">
        <v>0</v>
      </c>
      <c r="E11" s="175">
        <v>0</v>
      </c>
      <c r="F11" s="227">
        <v>4</v>
      </c>
      <c r="G11" s="175">
        <v>2509</v>
      </c>
      <c r="H11" s="227">
        <v>4</v>
      </c>
      <c r="I11" s="175">
        <v>523</v>
      </c>
      <c r="J11" s="227">
        <v>0</v>
      </c>
      <c r="K11" s="175">
        <v>0</v>
      </c>
      <c r="L11" s="227">
        <v>1</v>
      </c>
      <c r="M11" s="175">
        <v>84</v>
      </c>
      <c r="N11" s="227">
        <v>11</v>
      </c>
      <c r="O11" s="172">
        <v>3729</v>
      </c>
    </row>
    <row r="12" spans="1:37" ht="12" customHeight="1" x14ac:dyDescent="0.2">
      <c r="A12" s="416" t="s">
        <v>147</v>
      </c>
      <c r="B12" s="227">
        <v>5</v>
      </c>
      <c r="C12" s="175">
        <v>223</v>
      </c>
      <c r="D12" s="225">
        <v>0</v>
      </c>
      <c r="E12" s="175">
        <v>0</v>
      </c>
      <c r="F12" s="227">
        <v>4</v>
      </c>
      <c r="G12" s="175">
        <v>518</v>
      </c>
      <c r="H12" s="227">
        <v>7</v>
      </c>
      <c r="I12" s="175">
        <v>470</v>
      </c>
      <c r="J12" s="227">
        <v>3</v>
      </c>
      <c r="K12" s="175">
        <v>207</v>
      </c>
      <c r="L12" s="227">
        <v>2</v>
      </c>
      <c r="M12" s="175">
        <v>98</v>
      </c>
      <c r="N12" s="227">
        <v>21</v>
      </c>
      <c r="O12" s="172">
        <v>1516</v>
      </c>
    </row>
    <row r="13" spans="1:37" ht="12" customHeight="1" x14ac:dyDescent="0.2">
      <c r="A13" s="416" t="s">
        <v>148</v>
      </c>
      <c r="B13" s="227">
        <v>2</v>
      </c>
      <c r="C13" s="175">
        <v>184</v>
      </c>
      <c r="D13" s="225">
        <v>0</v>
      </c>
      <c r="E13" s="175">
        <v>0</v>
      </c>
      <c r="F13" s="227">
        <v>1</v>
      </c>
      <c r="G13" s="175">
        <v>77</v>
      </c>
      <c r="H13" s="227">
        <v>4</v>
      </c>
      <c r="I13" s="175">
        <v>507</v>
      </c>
      <c r="J13" s="227">
        <v>1</v>
      </c>
      <c r="K13" s="175">
        <v>100</v>
      </c>
      <c r="L13" s="227">
        <v>5</v>
      </c>
      <c r="M13" s="175">
        <v>5877</v>
      </c>
      <c r="N13" s="227">
        <v>13</v>
      </c>
      <c r="O13" s="172">
        <v>6745</v>
      </c>
    </row>
    <row r="14" spans="1:37" ht="12" customHeight="1" x14ac:dyDescent="0.2">
      <c r="A14" s="416" t="s">
        <v>165</v>
      </c>
      <c r="B14" s="227">
        <v>3</v>
      </c>
      <c r="C14" s="175">
        <v>1689</v>
      </c>
      <c r="D14" s="225">
        <v>0</v>
      </c>
      <c r="E14" s="175">
        <v>0</v>
      </c>
      <c r="F14" s="227">
        <v>4</v>
      </c>
      <c r="G14" s="175">
        <v>258</v>
      </c>
      <c r="H14" s="227">
        <v>5</v>
      </c>
      <c r="I14" s="175">
        <v>492</v>
      </c>
      <c r="J14" s="227">
        <v>5</v>
      </c>
      <c r="K14" s="175">
        <v>436</v>
      </c>
      <c r="L14" s="227">
        <v>2</v>
      </c>
      <c r="M14" s="175">
        <v>372</v>
      </c>
      <c r="N14" s="227">
        <v>19</v>
      </c>
      <c r="O14" s="172">
        <v>3247</v>
      </c>
    </row>
    <row r="15" spans="1:37" ht="12" customHeight="1" x14ac:dyDescent="0.2">
      <c r="A15" s="416" t="s">
        <v>417</v>
      </c>
      <c r="B15" s="227">
        <v>1</v>
      </c>
      <c r="C15" s="175">
        <v>380</v>
      </c>
      <c r="D15" s="225">
        <v>0</v>
      </c>
      <c r="E15" s="175">
        <v>0</v>
      </c>
      <c r="F15" s="227">
        <v>1</v>
      </c>
      <c r="G15" s="175">
        <v>65</v>
      </c>
      <c r="H15" s="227">
        <v>1</v>
      </c>
      <c r="I15" s="175">
        <v>110</v>
      </c>
      <c r="J15" s="227">
        <v>2</v>
      </c>
      <c r="K15" s="175">
        <v>1215</v>
      </c>
      <c r="L15" s="227">
        <v>3</v>
      </c>
      <c r="M15" s="175">
        <v>962</v>
      </c>
      <c r="N15" s="227">
        <v>8</v>
      </c>
      <c r="O15" s="172">
        <v>2732</v>
      </c>
    </row>
    <row r="16" spans="1:37" ht="12" customHeight="1" x14ac:dyDescent="0.2">
      <c r="A16" s="416" t="s">
        <v>636</v>
      </c>
      <c r="B16" s="227">
        <v>4</v>
      </c>
      <c r="C16" s="175">
        <v>363</v>
      </c>
      <c r="D16" s="225">
        <v>0</v>
      </c>
      <c r="E16" s="175">
        <v>0</v>
      </c>
      <c r="F16" s="227">
        <v>5</v>
      </c>
      <c r="G16" s="175">
        <v>1269</v>
      </c>
      <c r="H16" s="227">
        <v>3</v>
      </c>
      <c r="I16" s="175">
        <v>326</v>
      </c>
      <c r="J16" s="227">
        <v>9</v>
      </c>
      <c r="K16" s="175">
        <v>554</v>
      </c>
      <c r="L16" s="227">
        <v>5</v>
      </c>
      <c r="M16" s="175">
        <v>25736</v>
      </c>
      <c r="N16" s="227">
        <v>26</v>
      </c>
      <c r="O16" s="172">
        <v>28248</v>
      </c>
    </row>
    <row r="17" spans="1:15" ht="12" customHeight="1" x14ac:dyDescent="0.2">
      <c r="A17" s="416" t="s">
        <v>1300</v>
      </c>
      <c r="B17" s="227">
        <v>4</v>
      </c>
      <c r="C17" s="175">
        <v>230</v>
      </c>
      <c r="D17" s="225">
        <v>0</v>
      </c>
      <c r="E17" s="175">
        <v>0</v>
      </c>
      <c r="F17" s="227">
        <v>5</v>
      </c>
      <c r="G17" s="175">
        <v>504</v>
      </c>
      <c r="H17" s="227">
        <v>7</v>
      </c>
      <c r="I17" s="175">
        <v>1605</v>
      </c>
      <c r="J17" s="227">
        <v>6</v>
      </c>
      <c r="K17" s="175">
        <v>1141</v>
      </c>
      <c r="L17" s="227">
        <v>1</v>
      </c>
      <c r="M17" s="175">
        <v>136</v>
      </c>
      <c r="N17" s="227">
        <v>23</v>
      </c>
      <c r="O17" s="172">
        <v>3616</v>
      </c>
    </row>
    <row r="18" spans="1:15" ht="12" customHeight="1" x14ac:dyDescent="0.2">
      <c r="A18" s="417" t="s">
        <v>2974</v>
      </c>
      <c r="B18" s="235">
        <f>GETPIVOTDATA("Count of A Total Gain",'2.5 Pivot'!$A$3,"Town Centre Name","Balham")</f>
        <v>4</v>
      </c>
      <c r="C18" s="182">
        <f>GETPIVOTDATA("Sum of A Total Gain",'2.5 Pivot'!$A$3,"Town Centre Name","Balham")</f>
        <v>556</v>
      </c>
      <c r="D18" s="168">
        <f>GETPIVOTDATA("Count of A Total Gain",'2.5 Pivot'!$A$3,"Town Centre Name","Battersea Power Station")</f>
        <v>1</v>
      </c>
      <c r="E18" s="182">
        <f>GETPIVOTDATA("Sum of A Total Gain",'2.5 Pivot'!$A$3,"Town Centre Name","Battersea Power Station")</f>
        <v>5112</v>
      </c>
      <c r="F18" s="235">
        <f>GETPIVOTDATA("Count of A Total Gain",'2.5 Pivot'!$A$3,"Town Centre Name","Clapham Junction")</f>
        <v>7</v>
      </c>
      <c r="G18" s="182">
        <f>GETPIVOTDATA("Sum of A Total Gain",'2.5 Pivot'!$A$3,"Town Centre Name","Clapham Junction")</f>
        <v>662</v>
      </c>
      <c r="H18" s="177">
        <f>GETPIVOTDATA("Count of A Total Gain",'2.5 Pivot'!$A$3,"Town Centre Name","Putney")</f>
        <v>3</v>
      </c>
      <c r="I18" s="182">
        <f>GETPIVOTDATA("Sum of A Total Gain",'2.5 Pivot'!$A$3,"Town Centre Name","Putney")</f>
        <v>297</v>
      </c>
      <c r="J18" s="235">
        <f>GETPIVOTDATA("Count of A Total Gain",'2.5 Pivot'!$A$3,"Town Centre Name","Tooting")</f>
        <v>6</v>
      </c>
      <c r="K18" s="182">
        <f>GETPIVOTDATA("Sum of A Total Gain",'2.5 Pivot'!$A$3,"Town Centre Name","Tooting")</f>
        <v>1669</v>
      </c>
      <c r="L18" s="177">
        <f>GETPIVOTDATA("Count of A Total Gain",'2.5 Pivot'!$A$3,"Town Centre Name","Wandsworth")</f>
        <v>1</v>
      </c>
      <c r="M18" s="182">
        <f>GETPIVOTDATA("Sum of A Total Gain",'2.5 Pivot'!$A$3,"Town Centre Name","Wandsworth")</f>
        <v>163</v>
      </c>
      <c r="N18" s="235">
        <f>GETPIVOTDATA("Count of A Total Gain",'2.5 Pivot'!$A$3)</f>
        <v>22</v>
      </c>
      <c r="O18" s="168">
        <f>GETPIVOTDATA("Sum of A Total Gain",'2.5 Pivot'!$A$3)</f>
        <v>8459</v>
      </c>
    </row>
    <row r="20" spans="1:15" ht="12.75" x14ac:dyDescent="0.2">
      <c r="A20" s="293" t="s">
        <v>3930</v>
      </c>
    </row>
    <row r="66" spans="1:1" x14ac:dyDescent="0.2">
      <c r="A66" s="405"/>
    </row>
  </sheetData>
  <mergeCells count="10">
    <mergeCell ref="A1:O1"/>
    <mergeCell ref="A2:O2"/>
    <mergeCell ref="N4:O4"/>
    <mergeCell ref="A4:A5"/>
    <mergeCell ref="B4:C4"/>
    <mergeCell ref="F4:G4"/>
    <mergeCell ref="H4:I4"/>
    <mergeCell ref="J4:K4"/>
    <mergeCell ref="L4:M4"/>
    <mergeCell ref="D4:E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C10"/>
  <sheetViews>
    <sheetView workbookViewId="0"/>
  </sheetViews>
  <sheetFormatPr defaultRowHeight="12" x14ac:dyDescent="0.2"/>
  <cols>
    <col min="1" max="1" width="20.140625" bestFit="1" customWidth="1"/>
    <col min="2" max="2" width="18" bestFit="1" customWidth="1"/>
    <col min="3" max="3" width="16.85546875" bestFit="1" customWidth="1"/>
    <col min="4" max="4" width="18" bestFit="1" customWidth="1"/>
    <col min="5" max="5" width="16.85546875" bestFit="1" customWidth="1"/>
    <col min="6" max="6" width="18" bestFit="1" customWidth="1"/>
    <col min="7" max="7" width="16.85546875" bestFit="1" customWidth="1"/>
    <col min="8" max="8" width="18" bestFit="1" customWidth="1"/>
    <col min="9" max="9" width="16.85546875" bestFit="1" customWidth="1"/>
    <col min="10" max="10" width="18" bestFit="1" customWidth="1"/>
    <col min="11" max="11" width="16.85546875" bestFit="1" customWidth="1"/>
    <col min="12" max="12" width="18" bestFit="1" customWidth="1"/>
    <col min="13" max="13" width="16.85546875" bestFit="1" customWidth="1"/>
    <col min="14" max="14" width="17" bestFit="1" customWidth="1"/>
  </cols>
  <sheetData>
    <row r="1" spans="1:3" x14ac:dyDescent="0.2">
      <c r="A1" s="77" t="s">
        <v>2939</v>
      </c>
      <c r="B1" s="446" t="s">
        <v>2936</v>
      </c>
    </row>
    <row r="3" spans="1:3" x14ac:dyDescent="0.2">
      <c r="A3" s="77" t="s">
        <v>164</v>
      </c>
      <c r="B3" s="446" t="s">
        <v>3805</v>
      </c>
      <c r="C3" s="446" t="s">
        <v>3827</v>
      </c>
    </row>
    <row r="4" spans="1:3" x14ac:dyDescent="0.2">
      <c r="A4" s="446" t="s">
        <v>149</v>
      </c>
      <c r="B4" s="74">
        <v>4</v>
      </c>
      <c r="C4" s="74">
        <v>556</v>
      </c>
    </row>
    <row r="5" spans="1:3" x14ac:dyDescent="0.2">
      <c r="A5" s="446" t="s">
        <v>427</v>
      </c>
      <c r="B5" s="74">
        <v>1</v>
      </c>
      <c r="C5" s="74">
        <v>5112</v>
      </c>
    </row>
    <row r="6" spans="1:3" x14ac:dyDescent="0.2">
      <c r="A6" s="446" t="s">
        <v>132</v>
      </c>
      <c r="B6" s="74">
        <v>7</v>
      </c>
      <c r="C6" s="74">
        <v>662</v>
      </c>
    </row>
    <row r="7" spans="1:3" x14ac:dyDescent="0.2">
      <c r="A7" s="446" t="s">
        <v>131</v>
      </c>
      <c r="B7" s="74">
        <v>3</v>
      </c>
      <c r="C7" s="74">
        <v>297</v>
      </c>
    </row>
    <row r="8" spans="1:3" x14ac:dyDescent="0.2">
      <c r="A8" s="446" t="s">
        <v>150</v>
      </c>
      <c r="B8" s="74">
        <v>6</v>
      </c>
      <c r="C8" s="74">
        <v>1669</v>
      </c>
    </row>
    <row r="9" spans="1:3" x14ac:dyDescent="0.2">
      <c r="A9" s="446" t="s">
        <v>151</v>
      </c>
      <c r="B9" s="74">
        <v>1</v>
      </c>
      <c r="C9" s="74">
        <v>163</v>
      </c>
    </row>
    <row r="10" spans="1:3" x14ac:dyDescent="0.2">
      <c r="A10" s="446" t="s">
        <v>115</v>
      </c>
      <c r="B10" s="74">
        <v>22</v>
      </c>
      <c r="C10" s="74">
        <v>8459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2"/>
  <dimension ref="A1:ES177"/>
  <sheetViews>
    <sheetView workbookViewId="0">
      <selection sqref="A1:P1"/>
    </sheetView>
  </sheetViews>
  <sheetFormatPr defaultRowHeight="12" x14ac:dyDescent="0.2"/>
  <cols>
    <col min="1" max="1" width="7.42578125" style="404" customWidth="1"/>
    <col min="2" max="2" width="23.42578125" style="1" customWidth="1"/>
    <col min="3" max="3" width="5.140625" style="1" bestFit="1" customWidth="1"/>
    <col min="4" max="4" width="10.7109375" style="1" customWidth="1"/>
    <col min="5" max="5" width="5.85546875" style="1" bestFit="1" customWidth="1"/>
    <col min="6" max="6" width="10.7109375" style="1" customWidth="1"/>
    <col min="7" max="7" width="5.140625" style="1" bestFit="1" customWidth="1"/>
    <col min="8" max="8" width="10.7109375" style="1" customWidth="1"/>
    <col min="9" max="9" width="5.140625" style="1" bestFit="1" customWidth="1"/>
    <col min="10" max="10" width="10.7109375" style="1" customWidth="1"/>
    <col min="11" max="11" width="5.140625" style="1" bestFit="1" customWidth="1"/>
    <col min="12" max="12" width="10.7109375" style="1" customWidth="1"/>
    <col min="13" max="13" width="5.140625" style="1" bestFit="1" customWidth="1"/>
    <col min="14" max="14" width="10.7109375" style="1" customWidth="1"/>
    <col min="15" max="15" width="5.42578125" style="1" bestFit="1" customWidth="1"/>
    <col min="16" max="16" width="10.7109375" style="1" customWidth="1"/>
    <col min="17" max="17" width="8.28515625" style="1" customWidth="1"/>
    <col min="18" max="18" width="9.7109375" style="1" customWidth="1"/>
    <col min="19" max="16384" width="9.140625" style="1"/>
  </cols>
  <sheetData>
    <row r="1" spans="1:149" ht="15.75" x14ac:dyDescent="0.25">
      <c r="A1" s="606" t="s">
        <v>3799</v>
      </c>
      <c r="B1" s="606"/>
      <c r="C1" s="606"/>
      <c r="D1" s="606"/>
      <c r="E1" s="606"/>
      <c r="F1" s="606"/>
      <c r="G1" s="606"/>
      <c r="H1" s="606"/>
      <c r="I1" s="606"/>
      <c r="J1" s="606"/>
      <c r="K1" s="606"/>
      <c r="L1" s="606"/>
      <c r="M1" s="606"/>
      <c r="N1" s="606"/>
      <c r="O1" s="606"/>
      <c r="P1" s="606"/>
      <c r="Q1" s="4"/>
      <c r="R1" s="4"/>
      <c r="S1" s="4"/>
      <c r="T1" s="4"/>
      <c r="U1" s="4"/>
      <c r="V1" s="4"/>
      <c r="W1" s="4"/>
      <c r="X1" s="4"/>
      <c r="Y1" s="4"/>
      <c r="Z1" s="4"/>
      <c r="AA1" s="4"/>
      <c r="AB1" s="4"/>
      <c r="AC1" s="4"/>
      <c r="AD1" s="4"/>
      <c r="AE1" s="4"/>
      <c r="AF1" s="4"/>
      <c r="AG1" s="4"/>
      <c r="AH1" s="4"/>
      <c r="AI1" s="4"/>
      <c r="AJ1" s="4"/>
      <c r="AK1" s="4"/>
      <c r="AL1" s="10"/>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row>
    <row r="2" spans="1:149" ht="12.75" x14ac:dyDescent="0.2">
      <c r="A2" s="640" t="s">
        <v>3911</v>
      </c>
      <c r="B2" s="640"/>
      <c r="C2" s="640"/>
      <c r="D2" s="640"/>
      <c r="E2" s="640"/>
      <c r="F2" s="640"/>
      <c r="G2" s="640"/>
      <c r="H2" s="640"/>
      <c r="I2" s="640"/>
      <c r="J2" s="640"/>
      <c r="K2" s="640"/>
      <c r="L2" s="640"/>
      <c r="M2" s="640"/>
      <c r="N2" s="640"/>
      <c r="O2" s="640"/>
      <c r="P2" s="640"/>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row>
    <row r="3" spans="1:149" x14ac:dyDescent="0.2">
      <c r="A3" s="294"/>
      <c r="B3" s="16"/>
      <c r="C3" s="16"/>
      <c r="D3" s="16"/>
      <c r="E3" s="16"/>
      <c r="F3" s="16"/>
      <c r="G3" s="16"/>
      <c r="H3" s="16"/>
      <c r="I3" s="16"/>
      <c r="J3" s="16"/>
      <c r="K3" s="16"/>
      <c r="L3" s="16"/>
      <c r="M3" s="16"/>
      <c r="N3" s="16"/>
      <c r="O3" s="16"/>
      <c r="P3" s="16"/>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row>
    <row r="4" spans="1:149" ht="24" customHeight="1" x14ac:dyDescent="0.2">
      <c r="A4" s="671" t="s">
        <v>88</v>
      </c>
      <c r="B4" s="672"/>
      <c r="C4" s="728" t="s">
        <v>149</v>
      </c>
      <c r="D4" s="728"/>
      <c r="E4" s="662" t="s">
        <v>427</v>
      </c>
      <c r="F4" s="664"/>
      <c r="G4" s="728" t="s">
        <v>132</v>
      </c>
      <c r="H4" s="728"/>
      <c r="I4" s="728" t="s">
        <v>131</v>
      </c>
      <c r="J4" s="728"/>
      <c r="K4" s="728" t="s">
        <v>150</v>
      </c>
      <c r="L4" s="728"/>
      <c r="M4" s="728" t="s">
        <v>151</v>
      </c>
      <c r="N4" s="728"/>
      <c r="O4" s="723" t="s">
        <v>95</v>
      </c>
      <c r="P4" s="72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row>
    <row r="5" spans="1:149" ht="24" customHeight="1" x14ac:dyDescent="0.2">
      <c r="A5" s="673"/>
      <c r="B5" s="674"/>
      <c r="C5" s="205" t="s">
        <v>2970</v>
      </c>
      <c r="D5" s="234" t="s">
        <v>168</v>
      </c>
      <c r="E5" s="205" t="s">
        <v>2970</v>
      </c>
      <c r="F5" s="234" t="s">
        <v>168</v>
      </c>
      <c r="G5" s="205" t="s">
        <v>2970</v>
      </c>
      <c r="H5" s="234" t="s">
        <v>168</v>
      </c>
      <c r="I5" s="205" t="s">
        <v>2970</v>
      </c>
      <c r="J5" s="234" t="s">
        <v>168</v>
      </c>
      <c r="K5" s="205" t="s">
        <v>2970</v>
      </c>
      <c r="L5" s="234" t="s">
        <v>168</v>
      </c>
      <c r="M5" s="205" t="s">
        <v>2970</v>
      </c>
      <c r="N5" s="234" t="s">
        <v>168</v>
      </c>
      <c r="O5" s="468" t="s">
        <v>2970</v>
      </c>
      <c r="P5" s="488" t="s">
        <v>168</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row>
    <row r="6" spans="1:149" ht="12" customHeight="1" x14ac:dyDescent="0.2">
      <c r="A6" s="660" t="s">
        <v>2926</v>
      </c>
      <c r="B6" s="661"/>
      <c r="C6" s="236">
        <f>IFERROR(GETPIVOTDATA("Count of A Total Net",'2.6 Pivot'!$A$3,"Status 1 - Development","01 Completed","Town Centre Name","Balham"),0)</f>
        <v>3</v>
      </c>
      <c r="D6" s="237">
        <f>IFERROR(GETPIVOTDATA("Sum of A Total Net2",'2.6 Pivot'!$A$3,"Status 1 - Development","01 Completed","Town Centre Name","Balham"),0)</f>
        <v>210</v>
      </c>
      <c r="E6" s="236">
        <f>IFERROR(GETPIVOTDATA("Count of A Total Net",'2.6 Pivot'!$A$3,"Status 1 - Development","01 Completed","Town Centre Name","Battersea Power Station"),0)</f>
        <v>1</v>
      </c>
      <c r="F6" s="237">
        <f>IFERROR(GETPIVOTDATA("Sum of A Total Net2",'2.6 Pivot'!$A$3,"Status 1 - Development","01 Completed","Town Centre Name","Battersea Power Station"),0)</f>
        <v>5112</v>
      </c>
      <c r="G6" s="236">
        <f>IFERROR(GETPIVOTDATA("Count of A Total Net",'2.6 Pivot'!$A$3,"Status 1 - Development","01 Completed","Town Centre Name","Clapham Junction"),0)</f>
        <v>4</v>
      </c>
      <c r="H6" s="237">
        <f>IFERROR(GETPIVOTDATA("Sum of A Total Net2",'2.6 Pivot'!$A$3,"Status 1 - Development","01 Completed","Town Centre Name","Clapham Junction"),0)</f>
        <v>-47</v>
      </c>
      <c r="I6" s="236">
        <f>IFERROR(GETPIVOTDATA("Count of A Total Net",'2.6 Pivot'!$A$3,"Status 1 - Development","01 Completed","Town Centre Name","Putney"),0)</f>
        <v>2</v>
      </c>
      <c r="J6" s="237">
        <f>IFERROR(GETPIVOTDATA("Sum of A Total Net2",'2.6 Pivot'!$A$3,"Status 1 - Development","01 Completed","Town Centre Name","Putney"),0)</f>
        <v>-199</v>
      </c>
      <c r="K6" s="236">
        <f>IFERROR(GETPIVOTDATA("Count of A Total Net",'2.6 Pivot'!$A$3,"Status 1 - Development","01 Completed","Town Centre Name","Tooting"),0)</f>
        <v>5</v>
      </c>
      <c r="L6" s="237">
        <f>IFERROR(GETPIVOTDATA("Sum of A Total Net2",'2.6 Pivot'!$A$3,"Status 1 - Development","01 Completed","Town Centre Name","Tooting"),0)</f>
        <v>419</v>
      </c>
      <c r="M6" s="236">
        <f>IFERROR(GETPIVOTDATA("Count of A Total Net",'2.6 Pivot'!$A$3,"Status 1 - Development","01 Completed","Town Centre Name","Wandsworth"),0)</f>
        <v>2</v>
      </c>
      <c r="N6" s="237">
        <f>IFERROR(GETPIVOTDATA("Sum of A Total Net2",'2.6 Pivot'!$A$3,"Status 1 - Development","01 Completed","Town Centre Name","Wandsworth"),0)</f>
        <v>-107</v>
      </c>
      <c r="O6" s="489">
        <f>SUM(C6,E6,G6,I6,K6,M6)</f>
        <v>17</v>
      </c>
      <c r="P6" s="475">
        <f>SUM(D6,F6,H6,J6,L6,N6)</f>
        <v>5388</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row>
    <row r="7" spans="1:149" ht="12" customHeight="1" x14ac:dyDescent="0.2">
      <c r="A7" s="730" t="s">
        <v>2962</v>
      </c>
      <c r="B7" s="548" t="s">
        <v>96</v>
      </c>
      <c r="C7" s="236">
        <f>IFERROR(GETPIVOTDATA("Count of A Total Net",'2.6 Pivot'!$A$3,"Status 1 - Development","02 Under Construction","Town Centre Name","Balham"),0)</f>
        <v>3</v>
      </c>
      <c r="D7" s="237">
        <f>IFERROR(GETPIVOTDATA("Sum of A Total Net2",'2.6 Pivot'!$A$3,"Status 1 - Development","02 Under Construction","Town Centre Name","Balham"),0)</f>
        <v>-273</v>
      </c>
      <c r="E7" s="236">
        <f>IFERROR(GETPIVOTDATA("Count of A Total Net",'2.6 Pivot'!$A$3,"Status 1 - Development","02 Under Construction","Town Centre Name","Battersea Power Station"),0)</f>
        <v>3</v>
      </c>
      <c r="F7" s="237">
        <f>IFERROR(GETPIVOTDATA("Sum of A Total Net2",'2.6 Pivot'!$A$3,"Status 1 - Development","02 Under Construction","Town Centre Name","Battersea Power Station"),0)</f>
        <v>71877</v>
      </c>
      <c r="G7" s="236">
        <f>IFERROR(GETPIVOTDATA("Count of A Total Net",'2.6 Pivot'!$A$3,"Status 1 - Development","02 Under Construction","Town Centre Name","Clapham Junction"),0)</f>
        <v>1</v>
      </c>
      <c r="H7" s="237">
        <f>IFERROR(GETPIVOTDATA("Sum of A Total Net2",'2.6 Pivot'!$A$3,"Status 1 - Development","02 Under Construction","Town Centre Name","Clapham Junction"),0)</f>
        <v>-75</v>
      </c>
      <c r="I7" s="236">
        <f>IFERROR(GETPIVOTDATA("Count of A Total Net",'2.6 Pivot'!$A$3,"Status 1 - Development","02 Under Construction","Town Centre Name","Putney"),0)</f>
        <v>7</v>
      </c>
      <c r="J7" s="237">
        <f>IFERROR(GETPIVOTDATA("Sum of A Total Net2",'2.6 Pivot'!$A$3,"Status 1 - Development","02 Under Construction","Town Centre Name","Putney"),0)</f>
        <v>880</v>
      </c>
      <c r="K7" s="236">
        <f>IFERROR(GETPIVOTDATA("Count of A Total Net",'2.6 Pivot'!$A$3,"Status 1 - Development","02 Under Construction","Town Centre Name","Tooting"),0)</f>
        <v>4</v>
      </c>
      <c r="L7" s="237">
        <f>IFERROR(GETPIVOTDATA("Sum of A Total Net2",'2.6 Pivot'!$A$3,"Status 1 - Development","02 Under Construction","Town Centre Name","Tooting"),0)</f>
        <v>799</v>
      </c>
      <c r="M7" s="236">
        <f>IFERROR(GETPIVOTDATA("Count of A Total Net",'2.6 Pivot'!$A$3,"Status 1 - Development","02 Under Construction","Town Centre Name","Wandsworth"),0)</f>
        <v>3</v>
      </c>
      <c r="N7" s="237">
        <f>IFERROR(GETPIVOTDATA("Sum of A Total Net2",'2.6 Pivot'!$A$3,"Status 1 - Development","02 Under Construction","Town Centre Name","Wandsworth"),0)</f>
        <v>10432</v>
      </c>
      <c r="O7" s="489">
        <f t="shared" ref="O7:P13" si="0">SUM(C7,E7,G7,I7,K7,M7)</f>
        <v>21</v>
      </c>
      <c r="P7" s="475">
        <f t="shared" si="0"/>
        <v>83640</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row>
    <row r="8" spans="1:149" ht="12" customHeight="1" x14ac:dyDescent="0.2">
      <c r="A8" s="731"/>
      <c r="B8" s="548" t="s">
        <v>2966</v>
      </c>
      <c r="C8" s="236">
        <f>IFERROR(GETPIVOTDATA("Count of A Total Net",'2.6 Pivot'!$A$3,"Status 1 - Development","03 Planning","Status 2 - Permission Type","02 Full","Town Centre Name","Balham"),0)</f>
        <v>6</v>
      </c>
      <c r="D8" s="237">
        <f>IFERROR(GETPIVOTDATA("Sum of A Total Net2",'2.6 Pivot'!$A$3,"Status 1 - Development","03 Planning","Status 2 - Permission Type","02 Full","Town Centre Name","Balham"),0)</f>
        <v>-317</v>
      </c>
      <c r="E8" s="236">
        <f>IFERROR(GETPIVOTDATA("Count of A Total Net",'2.6 Pivot'!$A$3,"Status 1 - Development","03 Planning","Status 2 - Permission Type","02 Full","Town Centre Name","Battersea Power Station"),0)</f>
        <v>0</v>
      </c>
      <c r="F8" s="237">
        <f>IFERROR(GETPIVOTDATA("Sum of A Total Net2",'2.6 Pivot'!$A$3,"Status 1 - Development","03 Planning","Status 2 - Permission Type","02 Full","Town Centre Name","Battersea Power Station"),0)</f>
        <v>0</v>
      </c>
      <c r="G8" s="236">
        <f>IFERROR(GETPIVOTDATA("Count of A Total Net",'2.6 Pivot'!$A$3,"Status 1 - Development","03 Planning","Status 2 - Permission Type","02 Full","Town Centre Name","Clapham Junction"),0)</f>
        <v>5</v>
      </c>
      <c r="H8" s="237">
        <f>IFERROR(GETPIVOTDATA("Sum of A Total Net2",'2.6 Pivot'!$A$3,"Status 1 - Development","03 Planning","Status 2 - Permission Type","02 Full","Town Centre Name","Clapham Junction"),0)</f>
        <v>-250</v>
      </c>
      <c r="I8" s="236">
        <f>IFERROR(GETPIVOTDATA("Count of A Total Net",'2.6 Pivot'!$A$3,"Status 1 - Development","03 Planning","Status 2 - Permission Type","02 Full","Town Centre Name","Putney"),0)</f>
        <v>14</v>
      </c>
      <c r="J8" s="237">
        <f>IFERROR(GETPIVOTDATA("Sum of A Total Net2",'2.6 Pivot'!$A$3,"Status 1 - Development","03 Planning","Status 2 - Permission Type","02 Full","Town Centre Name","Putney"),0)</f>
        <v>-1851</v>
      </c>
      <c r="K8" s="236">
        <f>IFERROR(GETPIVOTDATA("Count of A Total Net",'2.6 Pivot'!$A$3,"Status 1 - Development","03 Planning","Status 2 - Permission Type","02 Full","Town Centre Name","Tooting"),0)</f>
        <v>7</v>
      </c>
      <c r="L8" s="237">
        <f>IFERROR(GETPIVOTDATA("Sum of A Total Net2",'2.6 Pivot'!$A$3,"Status 1 - Development","03 Planning","Status 2 - Permission Type","02 Full","Town Centre Name","Tooting"),0)</f>
        <v>-1117</v>
      </c>
      <c r="M8" s="236">
        <f>IFERROR(GETPIVOTDATA("Count of A Total Net",'2.6 Pivot'!$A$3,"Status 1 - Development","03 Planning","Status 2 - Permission Type","02 Full","Town Centre Name","Wandsworth"),0)</f>
        <v>6</v>
      </c>
      <c r="N8" s="237">
        <f>IFERROR(GETPIVOTDATA("Sum of A Total Net2",'2.6 Pivot'!$A$3,"Status 1 - Development","03 Planning","Status 2 - Permission Type","02 Full","Town Centre Name","Wandsworth"),0)</f>
        <v>1080</v>
      </c>
      <c r="O8" s="489">
        <f t="shared" si="0"/>
        <v>38</v>
      </c>
      <c r="P8" s="475">
        <f t="shared" si="0"/>
        <v>-2455</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row>
    <row r="9" spans="1:149" ht="12" customHeight="1" x14ac:dyDescent="0.2">
      <c r="A9" s="731"/>
      <c r="B9" s="548" t="s">
        <v>2967</v>
      </c>
      <c r="C9" s="236">
        <f>IFERROR(GETPIVOTDATA("Count of A Total Net",'2.6 Pivot'!$A$3,"Status 1 - Development","03 Planning","Status 2 - Permission Type","03 Outline","Town Centre Name","Balham"),0)</f>
        <v>0</v>
      </c>
      <c r="D9" s="237">
        <f>IFERROR(GETPIVOTDATA("Sum of A Total Net2",'2.6 Pivot'!$A$3,"Status 1 - Development","03 Planning","Status 2 - Permission Type","03 Outline","Town Centre Name","Balham"),0)</f>
        <v>0</v>
      </c>
      <c r="E9" s="236">
        <f>IFERROR(GETPIVOTDATA("Count of A Total Net",'2.6 Pivot'!$A$3,"Status 1 - Development","03 Planning","Status 2 - Permission Type","03 Outline","Town Centre Name","Battersea Power Station"),0)</f>
        <v>3</v>
      </c>
      <c r="F9" s="237">
        <f>IFERROR(GETPIVOTDATA("Sum of A Total Net2",'2.6 Pivot'!$A$3,"Status 1 - Development","03 Planning","Status 2 - Permission Type","03 Outline","Town Centre Name","Battersea Power Station"),0)</f>
        <v>9891</v>
      </c>
      <c r="G9" s="236">
        <f>IFERROR(GETPIVOTDATA("Count of A Total Net",'2.6 Pivot'!$A$3,"Status 1 - Development","03 Planning","Status 2 - Permission Type","03 Outline","Town Centre Name","Clapham Junction"),0)</f>
        <v>0</v>
      </c>
      <c r="H9" s="237">
        <f>IFERROR(GETPIVOTDATA("Sum of A Total Net2",'2.6 Pivot'!$A$3,"Status 1 - Development","03 Planning","Status 2 - Permission Type","03 Outline","Town Centre Name","Clapham Junction"),0)</f>
        <v>0</v>
      </c>
      <c r="I9" s="236">
        <f>IFERROR(GETPIVOTDATA("Count of A Total Net",'2.6 Pivot'!$A$3,"Status 1 - Development","03 Planning","Status 2 - Permission Type","03 Outline","Town Centre Name","Putney"),0)</f>
        <v>0</v>
      </c>
      <c r="J9" s="237">
        <f>IFERROR(GETPIVOTDATA("Sum of A Total Net2",'2.6 Pivot'!$A$3,"Status 1 - Development","03 Planning","Status 2 - Permission Type","03 Outline","Town Centre Name","Putney"),0)</f>
        <v>0</v>
      </c>
      <c r="K9" s="236">
        <f>IFERROR(GETPIVOTDATA("Count of A Total Net",'2.6 Pivot'!$A$3,"Status 1 - Development","03 Planning","Status 2 - Permission Type","03 Outline","Town Centre Name","Tooting"),0)</f>
        <v>0</v>
      </c>
      <c r="L9" s="237">
        <f>IFERROR(GETPIVOTDATA("Sum of A Total Net2",'2.6 Pivot'!$A$3,"Status 1 - Development","03 Planning","Status 2 - Permission Type","03 Outline","Town Centre Name","Tooting"),0)</f>
        <v>0</v>
      </c>
      <c r="M9" s="236">
        <f>IFERROR(GETPIVOTDATA("Count of A Total Net",'2.6 Pivot'!$A$3,"Status 1 - Development","03 Planning","Status 2 - Permission Type","03 Outline","Town Centre Name","Wandsworth"),0)</f>
        <v>0</v>
      </c>
      <c r="N9" s="237">
        <f>IFERROR(GETPIVOTDATA("Sum of A Total Net2",'2.6 Pivot'!$A$3,"Status 1 - Development","03 Planning","Status 2 - Permission Type","03 Outline","Town Centre Name","Wandsworth"),0)</f>
        <v>0</v>
      </c>
      <c r="O9" s="489">
        <f t="shared" si="0"/>
        <v>3</v>
      </c>
      <c r="P9" s="475">
        <f t="shared" si="0"/>
        <v>9891</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row>
    <row r="10" spans="1:149" ht="24" customHeight="1" x14ac:dyDescent="0.2">
      <c r="A10" s="731"/>
      <c r="B10" s="548" t="s">
        <v>3861</v>
      </c>
      <c r="C10" s="236">
        <f>IFERROR(GETPIVOTDATA("Count of A Total Net",'2.6 Pivot'!$A$3,"Status 1 - Development","03 Planning","Status 2 - Permission Type","04 Prior Approval","Town Centre Name","Balham"),0)+IFERROR(GETPIVOTDATA("Count of A Total Net",'2.6 Pivot'!$A$3,"Status 1 - Development","03 Planning","Status 2 - Permission Type","05 Certificate of Lawful Development","Town Centre Name","Balham"),0)</f>
        <v>1</v>
      </c>
      <c r="D10" s="237">
        <f>IFERROR(GETPIVOTDATA("Sum of A Total Net2",'2.6 Pivot'!$A$3,"Status 1 - Development","03 Planning","Status 2 - Permission Type","04 Prior Approval","Town Centre Name","Balham"),0)+IFERROR(GETPIVOTDATA("Sum of A Total Net2",'2.6 Pivot'!$A$3,"Status 1 - Development","03 Planning","Status 2 - Permission Type","05 Certificate of Lawful Development","Town Centre Name","Balham"),0)</f>
        <v>-79</v>
      </c>
      <c r="E10" s="236">
        <f>IFERROR(GETPIVOTDATA("Count of A Total Net",'2.6 Pivot'!$A$3,"Status 1 - Development","03 Planning","Status 2 - Permission Type","04 Prior Approval","Town Centre Name","Battersea Power Station"),0)+IFERROR(GETPIVOTDATA("Count of A Total Net",'2.6 Pivot'!$A$3,"Status 1 - Development","03 Planning","Status 2 - Permission Type","05 Certificate of Lawful Development","Town Centre Name","Battersea Power Station"),0)</f>
        <v>0</v>
      </c>
      <c r="F10" s="237">
        <f>IFERROR(GETPIVOTDATA("Sum of A Total Net2",'2.6 Pivot'!$A$3,"Status 1 - Development","03 Planning","Status 2 - Permission Type","04 Prior Approval","Town Centre Name","Battersea Power Station"),0)+IFERROR(GETPIVOTDATA("Sum of A Total Net2",'2.6 Pivot'!$A$3,"Status 1 - Development","03 Planning","Status 2 - Permission Type","05 Certificate of Lawful Development","Town Centre Name","Battersea Power Station"),0)</f>
        <v>0</v>
      </c>
      <c r="G10" s="236">
        <f>IFERROR(GETPIVOTDATA("Count of A Total Net",'2.6 Pivot'!$A$3,"Status 1 - Development","03 Planning","Status 2 - Permission Type","04 Prior Approval","Town Centre Name","Clapham Junction"),0)+IFERROR(GETPIVOTDATA("Count of A Total Net",'2.6 Pivot'!$A$3,"Status 1 - Development","03 Planning","Status 2 - Permission Type","05 Certificate of Lawful Development","Town Centre Name","Clapham Junction"),0)</f>
        <v>0</v>
      </c>
      <c r="H10" s="237">
        <f>IFERROR(GETPIVOTDATA("Sum of A Total Net2",'2.6 Pivot'!$A$3,"Status 1 - Development","03 Planning","Status 2 - Permission Type","04 Prior Approval","Town Centre Name","Clapham Junction"),0)+IFERROR(GETPIVOTDATA("Sum of A Total Net2",'2.6 Pivot'!$A$3,"Status 1 - Development","03 Planning","Status 2 - Permission Type","05 Certificate of Lawful Development","Town Centre Name","Clapham Junction"),0)</f>
        <v>0</v>
      </c>
      <c r="I10" s="236">
        <f>IFERROR(GETPIVOTDATA("Count of A Total Net",'2.6 Pivot'!$A$3,"Status 1 - Development","03 Planning","Status 2 - Permission Type","04 Prior Approval","Town Centre Name","Putney"),0)+IFERROR(GETPIVOTDATA("Count of A Total Net",'2.6 Pivot'!$A$3,"Status 1 - Development","03 Planning","Status 2 - Permission Type","05 Certificate of Lawful Development","Town Centre Name","Putney"),0)</f>
        <v>0</v>
      </c>
      <c r="J10" s="237">
        <f>IFERROR(GETPIVOTDATA("Sum of A Total Net2",'2.6 Pivot'!$A$3,"Status 1 - Development","03 Planning","Status 2 - Permission Type","04 Prior Approval","Town Centre Name","Putney"),0)+IFERROR(GETPIVOTDATA("Sum of A Total Net2",'2.6 Pivot'!$A$3,"Status 1 - Development","03 Planning","Status 2 - Permission Type","05 Certificate of Lawful Development","Town Centre Name","Putney"),0)</f>
        <v>0</v>
      </c>
      <c r="K10" s="236">
        <f>IFERROR(GETPIVOTDATA("Count of A Total Net",'2.6 Pivot'!$A$3,"Status 1 - Development","03 Planning","Status 2 - Permission Type","04 Prior Approval","Town Centre Name","Tooting"),0)+IFERROR(GETPIVOTDATA("Count of A Total Net",'2.6 Pivot'!$A$3,"Status 1 - Development","03 Planning","Status 2 - Permission Type","05 Certificate of Lawful Development","Town Centre Name","Tooting"),0)</f>
        <v>0</v>
      </c>
      <c r="L10" s="237">
        <f>IFERROR(GETPIVOTDATA("Sum of A Total Net2",'2.6 Pivot'!$A$3,"Status 1 - Development","03 Planning","Status 2 - Permission Type","04 Prior Approval","Town Centre Name","Tooting"),0)+IFERROR(GETPIVOTDATA("Sum of A Total Net2",'2.6 Pivot'!$A$3,"Status 1 - Development","03 Planning","Status 2 - Permission Type","05 Certificate of Lawful Development","Town Centre Name","Tooting"),0)</f>
        <v>0</v>
      </c>
      <c r="M10" s="236">
        <f>IFERROR(GETPIVOTDATA("Count of A Total Net",'2.6 Pivot'!$A$3,"Status 1 - Development","03 Planning","Status 2 - Permission Type","04 Prior Approval","Town Centre Name","Wandsworth"),0)+IFERROR(GETPIVOTDATA("Count of A Total Net",'2.6 Pivot'!$A$3,"Status 1 - Development","03 Planning","Status 2 - Permission Type","05 Certificate of Lawful Development","Town Centre Name","Wandsworth"),0)</f>
        <v>0</v>
      </c>
      <c r="N10" s="237">
        <f>IFERROR(GETPIVOTDATA("Sum of A Total Net2",'2.6 Pivot'!$A$3,"Status 1 - Development","03 Planning","Status 2 - Permission Type","04 Prior Approval","Town Centre Name","Wandsworth"),0)+IFERROR(GETPIVOTDATA("Sum of A Total Net2",'2.6 Pivot'!$A$3,"Status 1 - Development","03 Planning","Status 2 - Permission Type","05 Certificate of Lawful Development","Town Centre Name","Wandsworth"),0)</f>
        <v>0</v>
      </c>
      <c r="O10" s="489">
        <f t="shared" si="0"/>
        <v>1</v>
      </c>
      <c r="P10" s="475">
        <f t="shared" si="0"/>
        <v>-79</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row>
    <row r="11" spans="1:149" ht="12" customHeight="1" x14ac:dyDescent="0.2">
      <c r="A11" s="731"/>
      <c r="B11" s="548" t="s">
        <v>2932</v>
      </c>
      <c r="C11" s="236">
        <f>IFERROR(GETPIVOTDATA("Count of A Total Net",'2.6 Pivot'!$A$3,"Status 1 - Development","03 Planning","Status 2 - Permission Type","01 Pending Legal Agreement","Town Centre Name","Balham"),0)</f>
        <v>0</v>
      </c>
      <c r="D11" s="237">
        <f>IFERROR(GETPIVOTDATA("Sum of A Total Net2",'2.6 Pivot'!$A$3,"Status 1 - Development","03 Planning","Status 2 - Permission Type","01 Pending Legal Agreement","Town Centre Name","Balham"),0)</f>
        <v>0</v>
      </c>
      <c r="E11" s="236">
        <f>IFERROR(GETPIVOTDATA("Count of A Total Net",'2.6 Pivot'!$A$3,"Status 1 - Development","03 Planning","Status 2 - Permission Type","01 Pending Legal Agreement","Town Centre Name","Battersea Power Station"),0)</f>
        <v>0</v>
      </c>
      <c r="F11" s="237">
        <f>IFERROR(GETPIVOTDATA("Sum of A Total Net2",'2.6 Pivot'!$A$3,"Status 1 - Development","03 Planning","Status 2 - Permission Type","01 Pending Legal Agreement","Town Centre Name","Battersea Power Station"),0)</f>
        <v>0</v>
      </c>
      <c r="G11" s="236">
        <f>IFERROR(GETPIVOTDATA("Count of A Total Net",'2.6 Pivot'!$A$3,"Status 1 - Development","03 Planning","Status 2 - Permission Type","01 Pending Legal Agreement","Town Centre Name","Clapham Junction"),0)</f>
        <v>0</v>
      </c>
      <c r="H11" s="237">
        <f>IFERROR(GETPIVOTDATA("Sum of A Total Net2",'2.6 Pivot'!$A$3,"Status 1 - Development","03 Planning","Status 2 - Permission Type","01 Pending Legal Agreement","Town Centre Name","Clapham Junction"),0)</f>
        <v>0</v>
      </c>
      <c r="I11" s="236">
        <f>IFERROR(GETPIVOTDATA("Count of A Total Net",'2.6 Pivot'!$A$3,"Status 1 - Development","03 Planning","Status 2 - Permission Type","01 Pending Legal Agreement","Town Centre Name","Putney"),0)</f>
        <v>0</v>
      </c>
      <c r="J11" s="237">
        <f>IFERROR(GETPIVOTDATA("Sum of A Total Net2",'2.6 Pivot'!$A$3,"Status 1 - Development","03 Planning","Status 2 - Permission Type","01 Pending Legal Agreement","Town Centre Name","Putney"),0)</f>
        <v>0</v>
      </c>
      <c r="K11" s="236">
        <f>IFERROR(GETPIVOTDATA("Count of A Total Net",'2.6 Pivot'!$A$3,"Status 1 - Development","03 Planning","Status 2 - Permission Type","01 Pending Legal Agreement","Town Centre Name","Tooting"),0)</f>
        <v>0</v>
      </c>
      <c r="L11" s="237">
        <f>IFERROR(GETPIVOTDATA("Sum of A Total Net2",'2.6 Pivot'!$A$3,"Status 1 - Development","03 Planning","Status 2 - Permission Type","01 Pending Legal Agreement","Town Centre Name","Tooting"),0)</f>
        <v>0</v>
      </c>
      <c r="M11" s="236">
        <f>IFERROR(GETPIVOTDATA("Count of A Total Net",'2.6 Pivot'!$A$3,"Status 1 - Development","03 Planning","Status 2 - Permission Type","01 Pending Legal Agreement","Town Centre Name","Wandsworth"),0)</f>
        <v>0</v>
      </c>
      <c r="N11" s="237">
        <f>IFERROR(GETPIVOTDATA("Sum of A Total Net2",'2.6 Pivot'!$A$3,"Status 1 - Development","03 Planning","Status 2 - Permission Type","01 Pending Legal Agreement","Town Centre Name","Wandsworth"),0)</f>
        <v>0</v>
      </c>
      <c r="O11" s="489">
        <f t="shared" si="0"/>
        <v>0</v>
      </c>
      <c r="P11" s="475">
        <f t="shared" si="0"/>
        <v>0</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row>
    <row r="12" spans="1:149" ht="12" customHeight="1" x14ac:dyDescent="0.2">
      <c r="A12" s="731"/>
      <c r="B12" s="206" t="s">
        <v>2933</v>
      </c>
      <c r="C12" s="236">
        <f>IFERROR(GETPIVOTDATA("Count of A Total Net",'2.6 Pivot'!$A$3,"Status 1 - Development","03 Planning","Status 2 - Permission Type","06 Appeal","Town Centre Name","Balham"),0)</f>
        <v>0</v>
      </c>
      <c r="D12" s="237">
        <f>IFERROR(GETPIVOTDATA("Sum of A Total Net2",'2.6 Pivot'!$A$3,"Status 1 - Development","03 Planning","Status 2 - Permission Type","06 Appeal","Town Centre Name","Balham"),0)</f>
        <v>0</v>
      </c>
      <c r="E12" s="236">
        <f>IFERROR(GETPIVOTDATA("Count of A Total Net",'2.6 Pivot'!$A$3,"Status 1 - Development","03 Planning","Status 2 - Permission Type","06 Appeal","Town Centre Name","Battersea Power Station"),0)</f>
        <v>0</v>
      </c>
      <c r="F12" s="237">
        <f>IFERROR(GETPIVOTDATA("Sum of A Total Net2",'2.6 Pivot'!$A$3,"Status 1 - Development","03 Planning","Status 2 - Permission Type","06 Appeal","Town Centre Name","Battersea Power Station"),0)</f>
        <v>0</v>
      </c>
      <c r="G12" s="236">
        <f>IFERROR(GETPIVOTDATA("Count of A Total Net",'2.6 Pivot'!$A$3,"Status 1 - Development","03 Planning","Status 2 - Permission Type","06 Appeal","Town Centre Name","Clapham Junction"),0)</f>
        <v>0</v>
      </c>
      <c r="H12" s="237">
        <f>IFERROR(GETPIVOTDATA("Sum of A Total Net2",'2.6 Pivot'!$A$3,"Status 1 - Development","03 Planning","Status 2 - Permission Type","06 Appeal","Town Centre Name","Clapham Junction"),0)</f>
        <v>0</v>
      </c>
      <c r="I12" s="236">
        <f>IFERROR(GETPIVOTDATA("Count of A Total Net",'2.6 Pivot'!$A$3,"Status 1 - Development","03 Planning","Status 2 - Permission Type","06 Appeal","Town Centre Name","Putney"),0)</f>
        <v>0</v>
      </c>
      <c r="J12" s="237">
        <f>IFERROR(GETPIVOTDATA("Sum of A Total Net2",'2.6 Pivot'!$A$3,"Status 1 - Development","03 Planning","Status 2 - Permission Type","06 Appeal","Town Centre Name","Putney"),0)</f>
        <v>0</v>
      </c>
      <c r="K12" s="236">
        <f>IFERROR(GETPIVOTDATA("Count of A Total Net",'2.6 Pivot'!$A$3,"Status 1 - Development","03 Planning","Status 2 - Permission Type","06 Appeal","Town Centre Name","Tooting"),0)</f>
        <v>0</v>
      </c>
      <c r="L12" s="237">
        <f>IFERROR(GETPIVOTDATA("Sum of A Total Net2",'2.6 Pivot'!$A$3,"Status 1 - Development","03 Planning","Status 2 - Permission Type","06 Appeal","Town Centre Name","Tooting"),0)</f>
        <v>0</v>
      </c>
      <c r="M12" s="236">
        <f>IFERROR(GETPIVOTDATA("Count of A Total Net",'2.6 Pivot'!$A$3,"Status 1 - Development","03 Planning","Status 2 - Permission Type","06 Appeal","Town Centre Name","Wandsworth"),0)</f>
        <v>0</v>
      </c>
      <c r="N12" s="237">
        <f>IFERROR(GETPIVOTDATA("Sum of A Total Net2",'2.6 Pivot'!$A$3,"Status 1 - Development","03 Planning","Status 2 - Permission Type","06 Appeal","Town Centre Name","Wandsworth"),0)</f>
        <v>0</v>
      </c>
      <c r="O12" s="489">
        <f t="shared" si="0"/>
        <v>0</v>
      </c>
      <c r="P12" s="475">
        <f t="shared" si="0"/>
        <v>0</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row>
    <row r="13" spans="1:149" ht="12" customHeight="1" x14ac:dyDescent="0.2">
      <c r="A13" s="295"/>
      <c r="B13" s="548" t="s">
        <v>3800</v>
      </c>
      <c r="C13" s="236">
        <f>IFERROR(GETPIVOTDATA("Count of A Total Net",'2.6 Pivot'!$A$3,"Status 1 - Development","04 Pending","Status 2 - Permission Type","02 Full","Town Centre Name","Balham"),0)+IFERROR(GETPIVOTDATA("Count of A Total Net",'2.6 Pivot'!$A$3,"Status 1 - Development","04 Pending","Status 2 - Permission Type","03 Outline","Town Centre Name","Balham"),0)+IFERROR(GETPIVOTDATA("Count of A Total Net",'2.6 Pivot'!$A$3,"Status 1 - Development","04 Pending","Status 2 - Permission Type","04 Prior Approval","Town Centre Name","Balham"),0)+IFERROR(GETPIVOTDATA("Count of A Total Net",'2.6 Pivot'!$A$3,"Status 1 - Development","04 Pending","Status 2 - Permission Type","05 Certificate of Lawful Development","Town Centre Name","Balham"),0)</f>
        <v>1</v>
      </c>
      <c r="D13" s="237">
        <f>IFERROR(GETPIVOTDATA("Sum of A Total Net2",'2.6 Pivot'!$A$3,"Status 1 - Development","04 Pending","Status 2 - Permission Type","02 Full","Town Centre Name","Balham"),0)+IFERROR(GETPIVOTDATA("Sum of A Total Net2",'2.6 Pivot'!$A$3,"Status 1 - Development","04 Pending","Status 2 - Permission Type","03 Full","Town Centre Name","Balham"),0)+IFERROR(GETPIVOTDATA("Sum of A Total Net2",'2.6 Pivot'!$A$3,"Status 1 - Development","04 Pending","Status 2 - Permission Type","04 Prior Approval","Town Centre Name","Balham"),0)+IFERROR(GETPIVOTDATA("Sum of A Total Net2",'2.6 Pivot'!$A$3,"Status 1 - Development","04 Pending","Status 2 - Permission Type","05 Certificate of Lawful Development","Town Centre Name","Balham"),0)</f>
        <v>-90</v>
      </c>
      <c r="E13" s="236">
        <f>IFERROR(GETPIVOTDATA("Count of A Total Net",'2.6 Pivot'!$A$3,"Status 1 - Development","04 Pending","Status 2 - Permission Type","02 Full","Town Centre Name","Battersea Power Station"),0)+IFERROR(GETPIVOTDATA("Count of A Total Net",'2.6 Pivot'!$A$3,"Status 1 - Development","04 Pending","Status 2 - Permission Type","03 Outline","Town Centre Name","Battersea Power Station"),0)+IFERROR(GETPIVOTDATA("Count of A Total Net",'2.6 Pivot'!$A$3,"Status 1 - Development","04 Pending","Status 2 - Permission Type","04 Prior Approval","Town Centre Name","Battersea Power Station"),0)+IFERROR(GETPIVOTDATA("Count of A Total Net",'2.6 Pivot'!$A$3,"Status 1 - Development","04 Pending","Status 2 - Permission Type","05 Certificate of Lawful Development","Town Centre Name","Battersea Power Station"),0)</f>
        <v>0</v>
      </c>
      <c r="F13" s="237">
        <f>IFERROR(GETPIVOTDATA("Sum of A Total Net2",'2.6 Pivot'!$A$3,"Status 1 - Development","04 Pending","Status 2 - Permission Type","02 Full","Town Centre Name","Battersea Power Station"),0)+IFERROR(GETPIVOTDATA("Sum of A Total Net2",'2.6 Pivot'!$A$3,"Status 1 - Development","04 Pending","Status 2 - Permission Type","03 Full","Town Centre Name","Battersea Power Station"),0)+IFERROR(GETPIVOTDATA("Sum of A Total Net2",'2.6 Pivot'!$A$3,"Status 1 - Development","04 Pending","Status 2 - Permission Type","04 Prior Approval","Town Centre Name","Battersea Power Station"),0)+IFERROR(GETPIVOTDATA("Sum of A Total Net2",'2.6 Pivot'!$A$3,"Status 1 - Development","04 Pending","Status 2 - Permission Type","05 Certificate of Lawful Development","Town Centre Name","Battersea Power Station"),0)</f>
        <v>0</v>
      </c>
      <c r="G13" s="236">
        <f>IFERROR(GETPIVOTDATA("Count of A Total Net",'2.6 Pivot'!$A$3,"Status 1 - Development","04 Pending","Status 2 - Permission Type","02 Full","Town Centre Name","Clapham Junction"),0)+IFERROR(GETPIVOTDATA("Count of A Total Net",'2.6 Pivot'!$A$3,"Status 1 - Development","04 Pending","Status 2 - Permission Type","03 Outline","Town Centre Name","Clapham Junction"),0)+IFERROR(GETPIVOTDATA("Count of A Total Net",'2.6 Pivot'!$A$3,"Status 1 - Development","04 Pending","Status 2 - Permission Type","04 Prior Approval","Town Centre Name","Clapham Junction"),0)+IFERROR(GETPIVOTDATA("Count of A Total Net",'2.6 Pivot'!$A$3,"Status 1 - Development","04 Pending","Status 2 - Permission Type","05 Certificate of Lawful Development","Town Centre Name","Clapham Junction"),0)</f>
        <v>1</v>
      </c>
      <c r="H13" s="237">
        <f>IFERROR(GETPIVOTDATA("Sum of A Total Net2",'2.6 Pivot'!$A$3,"Status 1 - Development","04 Pending","Status 2 - Permission Type","02 Full","Town Centre Name","Clapham Junction"),0)+IFERROR(GETPIVOTDATA("Sum of A Total Net2",'2.6 Pivot'!$A$3,"Status 1 - Development","04 Pending","Status 2 - Permission Type","03 Full","Town Centre Name","Clapham Junction"),0)+IFERROR(GETPIVOTDATA("Sum of A Total Net2",'2.6 Pivot'!$A$3,"Status 1 - Development","04 Pending","Status 2 - Permission Type","04 Prior Approval","Town Centre Name","Clapham Junction"),0)+IFERROR(GETPIVOTDATA("Sum of A Total Net2",'2.6 Pivot'!$A$3,"Status 1 - Development","04 Pending","Status 2 - Permission Type","05 Certificate of Lawful Development","Town Centre Name","Clapham Junction"),0)</f>
        <v>-65</v>
      </c>
      <c r="I13" s="236">
        <f>IFERROR(GETPIVOTDATA("Count of A Total Net",'2.6 Pivot'!$A$3,"Status 1 - Development","04 Pending","Status 2 - Permission Type","02 Full","Town Centre Name","Putney"),0)+IFERROR(GETPIVOTDATA("Count of A Total Net",'2.6 Pivot'!$A$3,"Status 1 - Development","04 Pending","Status 2 - Permission Type","03 Outline","Town Centre Name","Putney"),0)+IFERROR(GETPIVOTDATA("Count of A Total Net",'2.6 Pivot'!$A$3,"Status 1 - Development","04 Pending","Status 2 - Permission Type","04 Prior Approval","Town Centre Name","Putney"),0)+IFERROR(GETPIVOTDATA("Count of A Total Net",'2.6 Pivot'!$A$3,"Status 1 - Development","04 Pending","Status 2 - Permission Type","05 Certificate of Lawful Development","Town Centre Name","Putney"),0)</f>
        <v>6</v>
      </c>
      <c r="J13" s="237">
        <f>IFERROR(GETPIVOTDATA("Sum of A Total Net2",'2.6 Pivot'!$A$3,"Status 1 - Development","04 Pending","Status 2 - Permission Type","02 Full","Town Centre Name","Putney"),0)+IFERROR(GETPIVOTDATA("Sum of A Total Net2",'2.6 Pivot'!$A$3,"Status 1 - Development","04 Pending","Status 2 - Permission Type","03 Full","Town Centre Name","Putney"),0)+IFERROR(GETPIVOTDATA("Sum of A Total Net2",'2.6 Pivot'!$A$3,"Status 1 - Development","04 Pending","Status 2 - Permission Type","04 Prior Approval","Town Centre Name","Putney"),0)+IFERROR(GETPIVOTDATA("Sum of A Total Net2",'2.6 Pivot'!$A$3,"Status 1 - Development","04 Pending","Status 2 - Permission Type","05 Certificate of Lawful Development","Town Centre Name","Putney"),0)</f>
        <v>1021</v>
      </c>
      <c r="K13" s="236">
        <f>IFERROR(GETPIVOTDATA("Count of A Total Net",'2.6 Pivot'!$A$3,"Status 1 - Development","04 Pending","Status 2 - Permission Type","02 Full","Town Centre Name","Tooting"),0)+IFERROR(GETPIVOTDATA("Count of A Total Net",'2.6 Pivot'!$A$3,"Status 1 - Development","04 Pending","Status 2 - Permission Type","03 Outline","Town Centre Name","Tooting"),0)+IFERROR(GETPIVOTDATA("Count of A Total Net",'2.6 Pivot'!$A$3,"Status 1 - Development","04 Pending","Status 2 - Permission Type","04 Prior Approval","Town Centre Name","Tooting"),0)+IFERROR(GETPIVOTDATA("Count of A Total Net",'2.6 Pivot'!$A$3,"Status 1 - Development","04 Pending","Status 2 - Permission Type","05 Certificate of Lawful Development","Town Centre Name","Tooting"),0)</f>
        <v>3</v>
      </c>
      <c r="L13" s="237">
        <f>IFERROR(GETPIVOTDATA("Sum of A Total Net2",'2.6 Pivot'!$A$3,"Status 1 - Development","04 Pending","Status 2 - Permission Type","02 Full","Town Centre Name","Tooting"),0)+IFERROR(GETPIVOTDATA("Sum of A Total Net2",'2.6 Pivot'!$A$3,"Status 1 - Development","04 Pending","Status 2 - Permission Type","03 Full","Town Centre Name","Tooting"),0)+IFERROR(GETPIVOTDATA("Sum of A Total Net2",'2.6 Pivot'!$A$3,"Status 1 - Development","04 Pending","Status 2 - Permission Type","04 Prior Approval","Town Centre Name","Tooting"),0)+IFERROR(GETPIVOTDATA("Sum of A Total Net2",'2.6 Pivot'!$A$3,"Status 1 - Development","04 Pending","Status 2 - Permission Type","05 Certificate of Lawful Development","Town Centre Name","Tooting"),0)</f>
        <v>-1919</v>
      </c>
      <c r="M13" s="236">
        <f>IFERROR(GETPIVOTDATA("Count of A Total Net",'2.6 Pivot'!$A$3,"Status 1 - Development","04 Pending","Status 2 - Permission Type","02 Full","Town Centre Name","Wandsworth"),0)+IFERROR(GETPIVOTDATA("Count of A Total Net",'2.6 Pivot'!$A$3,"Status 1 - Development","04 Pending","Status 2 - Permission Type","03 Outline","Town Centre Name","Wandsworth"),0)+IFERROR(GETPIVOTDATA("Count of A Total Net",'2.6 Pivot'!$A$3,"Status 1 - Development","04 Pending","Status 2 - Permission Type","04 Prior Approval","Town Centre Name","Wandsworth"),0)+IFERROR(GETPIVOTDATA("Count of A Total Net",'2.6 Pivot'!$A$3,"Status 1 - Development","04 Pending","Status 2 - Permission Type","05 Certificate of Lawful Development","Town Centre Name","Wandsworth"),0)</f>
        <v>3</v>
      </c>
      <c r="N13" s="237">
        <f>IFERROR(GETPIVOTDATA("Sum of A Total Net2",'2.6 Pivot'!$A$3,"Status 1 - Development","04 Pending","Status 2 - Permission Type","02 Full","Town Centre Name","Wandsworth"),0)+IFERROR(GETPIVOTDATA("Sum of A Total Net2",'2.6 Pivot'!$A$3,"Status 1 - Development","04 Pending","Status 2 - Permission Type","03 Full","Town Centre Name","Wandsworth"),0)+IFERROR(GETPIVOTDATA("Sum of A Total Net2",'2.6 Pivot'!$A$3,"Status 1 - Development","04 Pending","Status 2 - Permission Type","04 Prior Approval","Town Centre Name","Wandsworth"),0)+IFERROR(GETPIVOTDATA("Sum of A Total Net2",'2.6 Pivot'!$A$3,"Status 1 - Development","04 Pending","Status 2 - Permission Type","05 Certificate of Lawful Development","Town Centre Name","Wandsworth"),0)</f>
        <v>450</v>
      </c>
      <c r="O13" s="489">
        <f t="shared" si="0"/>
        <v>14</v>
      </c>
      <c r="P13" s="475">
        <f t="shared" si="0"/>
        <v>-603</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row>
    <row r="14" spans="1:149" ht="12" customHeight="1" x14ac:dyDescent="0.2">
      <c r="A14" s="414"/>
      <c r="B14" s="549" t="s">
        <v>95</v>
      </c>
      <c r="C14" s="102">
        <f>SUM(C7:C13)</f>
        <v>11</v>
      </c>
      <c r="D14" s="103">
        <f t="shared" ref="D14:P14" si="1">SUM(D7:D13)</f>
        <v>-759</v>
      </c>
      <c r="E14" s="102">
        <f>SUM(E7:E13)</f>
        <v>6</v>
      </c>
      <c r="F14" s="103">
        <f t="shared" ref="F14" si="2">SUM(F7:F13)</f>
        <v>81768</v>
      </c>
      <c r="G14" s="102">
        <f>SUM(G7:G13)</f>
        <v>7</v>
      </c>
      <c r="H14" s="103">
        <f t="shared" ref="H14" si="3">SUM(H7:H13)</f>
        <v>-390</v>
      </c>
      <c r="I14" s="102">
        <f>SUM(I7:I13)</f>
        <v>27</v>
      </c>
      <c r="J14" s="103">
        <f t="shared" ref="J14" si="4">SUM(J7:J13)</f>
        <v>50</v>
      </c>
      <c r="K14" s="102">
        <f>SUM(K7:K13)</f>
        <v>14</v>
      </c>
      <c r="L14" s="103">
        <f t="shared" ref="L14" si="5">SUM(L7:L13)</f>
        <v>-2237</v>
      </c>
      <c r="M14" s="102">
        <f>SUM(M7:M13)</f>
        <v>12</v>
      </c>
      <c r="N14" s="103">
        <f t="shared" ref="N14" si="6">SUM(N7:N13)</f>
        <v>11962</v>
      </c>
      <c r="O14" s="474">
        <f t="shared" si="1"/>
        <v>77</v>
      </c>
      <c r="P14" s="475">
        <f t="shared" si="1"/>
        <v>90394</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row>
    <row r="15" spans="1:149" x14ac:dyDescent="0.2">
      <c r="A15" s="12"/>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row>
    <row r="16" spans="1:149" x14ac:dyDescent="0.2">
      <c r="A16" s="12"/>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row>
    <row r="17" spans="1:149" x14ac:dyDescent="0.2">
      <c r="A17" s="12"/>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row>
    <row r="18" spans="1:149" x14ac:dyDescent="0.2">
      <c r="A18" s="12"/>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row>
    <row r="19" spans="1:149" x14ac:dyDescent="0.2">
      <c r="A19" s="12"/>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row>
    <row r="20" spans="1:149" x14ac:dyDescent="0.2">
      <c r="A20" s="12"/>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row>
    <row r="21" spans="1:149" x14ac:dyDescent="0.2">
      <c r="A21" s="12"/>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row>
    <row r="22" spans="1:149" x14ac:dyDescent="0.2">
      <c r="A22" s="12"/>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row>
    <row r="23" spans="1:149" x14ac:dyDescent="0.2">
      <c r="A23" s="12"/>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row>
    <row r="24" spans="1:149" x14ac:dyDescent="0.2">
      <c r="A24" s="12"/>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row>
    <row r="25" spans="1:149" x14ac:dyDescent="0.2">
      <c r="A25" s="12"/>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row>
    <row r="26" spans="1:149" x14ac:dyDescent="0.2">
      <c r="A26" s="12"/>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row>
    <row r="27" spans="1:149" x14ac:dyDescent="0.2">
      <c r="A27" s="12"/>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row>
    <row r="28" spans="1:149" x14ac:dyDescent="0.2">
      <c r="A28" s="12"/>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row>
    <row r="29" spans="1:149" x14ac:dyDescent="0.2">
      <c r="A29" s="12"/>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row>
    <row r="30" spans="1:149" x14ac:dyDescent="0.2">
      <c r="A30" s="12"/>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row>
    <row r="31" spans="1:149" x14ac:dyDescent="0.2">
      <c r="A31" s="12"/>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row>
    <row r="32" spans="1:149" x14ac:dyDescent="0.2">
      <c r="A32" s="12"/>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row>
    <row r="33" spans="1:149" x14ac:dyDescent="0.2">
      <c r="A33" s="12"/>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row>
    <row r="34" spans="1:149" x14ac:dyDescent="0.2">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row>
    <row r="35" spans="1:149" x14ac:dyDescent="0.2">
      <c r="A35" s="12"/>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row>
    <row r="36" spans="1:149" x14ac:dyDescent="0.2">
      <c r="A36" s="12"/>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row>
    <row r="37" spans="1:149" x14ac:dyDescent="0.2">
      <c r="A37" s="12"/>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row>
    <row r="38" spans="1:149" x14ac:dyDescent="0.2">
      <c r="A38" s="12"/>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row>
    <row r="39" spans="1:149" x14ac:dyDescent="0.2">
      <c r="A39" s="1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row>
    <row r="40" spans="1:149" x14ac:dyDescent="0.2">
      <c r="A40" s="12"/>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row>
    <row r="41" spans="1:149" x14ac:dyDescent="0.2">
      <c r="A41" s="12"/>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row>
    <row r="42" spans="1:149" x14ac:dyDescent="0.2">
      <c r="A42" s="12"/>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row>
    <row r="43" spans="1:149" x14ac:dyDescent="0.2">
      <c r="A43" s="12"/>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row>
    <row r="44" spans="1:149" x14ac:dyDescent="0.2">
      <c r="A44" s="12"/>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row>
    <row r="45" spans="1:149" x14ac:dyDescent="0.2">
      <c r="A45" s="12"/>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row>
    <row r="46" spans="1:149"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row>
    <row r="47" spans="1:149"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row>
    <row r="48" spans="1:149"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row>
    <row r="49" spans="1:149"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row>
    <row r="50" spans="1:149"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row>
    <row r="51" spans="1:149"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row>
    <row r="52" spans="1:149"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row>
    <row r="53" spans="1:149"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row>
    <row r="54" spans="1:149"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row>
    <row r="55" spans="1:149" x14ac:dyDescent="0.2">
      <c r="A55" s="12"/>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row>
    <row r="56" spans="1:149"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row>
    <row r="57" spans="1:149"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row>
    <row r="58" spans="1:149"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row>
    <row r="59" spans="1:149"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row>
    <row r="60" spans="1:149"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row>
    <row r="61" spans="1:149"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row>
    <row r="62" spans="1:149"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row>
    <row r="63" spans="1:149" x14ac:dyDescent="0.2">
      <c r="A63" s="403"/>
      <c r="B63" s="15"/>
      <c r="C63" s="15"/>
      <c r="D63" s="15"/>
      <c r="E63" s="15"/>
      <c r="F63" s="15"/>
      <c r="G63" s="15"/>
      <c r="H63" s="15"/>
      <c r="I63" s="15"/>
      <c r="J63" s="15"/>
      <c r="K63" s="15"/>
      <c r="L63" s="15"/>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row>
    <row r="64" spans="1:149"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1:149" x14ac:dyDescent="0.2">
      <c r="A65" s="1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row>
    <row r="66" spans="1:149" x14ac:dyDescent="0.2">
      <c r="A66" s="12"/>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row>
    <row r="67" spans="1:149" x14ac:dyDescent="0.2">
      <c r="A67" s="12"/>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row>
    <row r="68" spans="1:149"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row>
    <row r="69" spans="1:149"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row>
    <row r="70" spans="1:149"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row>
    <row r="71" spans="1:149"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row>
    <row r="72" spans="1:149"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row>
    <row r="73" spans="1:149"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row>
    <row r="74" spans="1:149"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row>
    <row r="75" spans="1:149"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row>
    <row r="76" spans="1:149"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row>
    <row r="77" spans="1:149"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row>
    <row r="78" spans="1:149"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row>
    <row r="79" spans="1:149"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row>
    <row r="80" spans="1:149"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row>
    <row r="81" spans="1:149"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row>
    <row r="82" spans="1:149"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row>
    <row r="83" spans="1:149"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row>
    <row r="84" spans="1:149"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row>
    <row r="85" spans="1:149"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row>
    <row r="86" spans="1:149"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row>
    <row r="87" spans="1:149"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row>
    <row r="88" spans="1:149"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row>
    <row r="89" spans="1:149"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row>
    <row r="90" spans="1:149"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row>
    <row r="91" spans="1:149"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row>
    <row r="92" spans="1:149"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row>
    <row r="93" spans="1:149"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row>
    <row r="94" spans="1:149"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row>
    <row r="95" spans="1:149"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row>
    <row r="96" spans="1:149"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row>
    <row r="97" spans="1:149"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row>
    <row r="98" spans="1:149"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row>
    <row r="99" spans="1:149"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row>
    <row r="100" spans="1:149"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row>
    <row r="101" spans="1:149"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row>
    <row r="102" spans="1:149"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row>
    <row r="103" spans="1:149"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row>
    <row r="104" spans="1:149"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row>
    <row r="105" spans="1:149"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row>
    <row r="106" spans="1:149"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row>
    <row r="107" spans="1:149"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row>
    <row r="108" spans="1:149"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row>
    <row r="109" spans="1:149"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row>
    <row r="110" spans="1:149"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row>
    <row r="111" spans="1:149"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row>
    <row r="112" spans="1:149"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row>
    <row r="113" spans="1:149"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row>
    <row r="114" spans="1:149"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row>
    <row r="115" spans="1:149"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row>
    <row r="116" spans="1:149"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row>
    <row r="117" spans="1:149"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row>
    <row r="118" spans="1:149"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row>
    <row r="119" spans="1:149"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row>
    <row r="120" spans="1:149"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row>
    <row r="121" spans="1:149"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row>
    <row r="122" spans="1:149"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row>
    <row r="123" spans="1:149"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row>
    <row r="124" spans="1:149"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row>
    <row r="125" spans="1:149"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row>
    <row r="126" spans="1:149"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row>
    <row r="127" spans="1:149"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row>
    <row r="128" spans="1:149"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row>
    <row r="129" spans="1:149"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row>
    <row r="130" spans="1:149"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row>
    <row r="131" spans="1:149"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row>
    <row r="132" spans="1:149"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row>
    <row r="133" spans="1:149"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row>
    <row r="134" spans="1:149"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row>
    <row r="135" spans="1:149"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row>
    <row r="136" spans="1:149"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row>
    <row r="137" spans="1:149"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row>
    <row r="138" spans="1:149"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row>
    <row r="139" spans="1:149"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row>
    <row r="140" spans="1:149"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row>
    <row r="141" spans="1:149"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row>
    <row r="142" spans="1:149"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row>
    <row r="143" spans="1:149"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row>
    <row r="144" spans="1:149"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row>
    <row r="145" spans="1:149"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row>
    <row r="146" spans="1:149" x14ac:dyDescent="0.2">
      <c r="A146" s="12"/>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row>
    <row r="147" spans="1:149" x14ac:dyDescent="0.2">
      <c r="A147" s="12"/>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row>
    <row r="148" spans="1:149" x14ac:dyDescent="0.2">
      <c r="A148" s="12"/>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row>
    <row r="149" spans="1:149" x14ac:dyDescent="0.2">
      <c r="A149" s="12"/>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row>
    <row r="150" spans="1:149" x14ac:dyDescent="0.2">
      <c r="A150" s="12"/>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row>
    <row r="151" spans="1:149" x14ac:dyDescent="0.2">
      <c r="A151" s="12"/>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row>
    <row r="152" spans="1:149" x14ac:dyDescent="0.2">
      <c r="A152" s="12"/>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row>
    <row r="153" spans="1:149" x14ac:dyDescent="0.2">
      <c r="A153" s="12"/>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row>
    <row r="154" spans="1:149" x14ac:dyDescent="0.2">
      <c r="A154" s="12"/>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row>
    <row r="155" spans="1:149" x14ac:dyDescent="0.2">
      <c r="A155" s="12"/>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row>
    <row r="156" spans="1:149" x14ac:dyDescent="0.2">
      <c r="A156" s="12"/>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row>
    <row r="157" spans="1:149" x14ac:dyDescent="0.2">
      <c r="A157" s="12"/>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row>
    <row r="158" spans="1:149" x14ac:dyDescent="0.2">
      <c r="A158" s="12"/>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row>
    <row r="159" spans="1:149" x14ac:dyDescent="0.2">
      <c r="A159" s="12"/>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row>
    <row r="160" spans="1:149" x14ac:dyDescent="0.2">
      <c r="A160" s="12"/>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row>
    <row r="161" spans="1:149" x14ac:dyDescent="0.2">
      <c r="A161" s="12"/>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row>
    <row r="162" spans="1:149" x14ac:dyDescent="0.2">
      <c r="A162" s="12"/>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row>
    <row r="163" spans="1:149" x14ac:dyDescent="0.2">
      <c r="A163" s="1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row>
    <row r="164" spans="1:149" x14ac:dyDescent="0.2">
      <c r="A164" s="1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row>
    <row r="165" spans="1:149" x14ac:dyDescent="0.2">
      <c r="A165" s="1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row>
    <row r="166" spans="1:149" x14ac:dyDescent="0.2">
      <c r="A166" s="1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row>
    <row r="167" spans="1:149" x14ac:dyDescent="0.2">
      <c r="A167" s="1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row>
    <row r="168" spans="1:149" x14ac:dyDescent="0.2">
      <c r="A168" s="1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row>
    <row r="169" spans="1:149" x14ac:dyDescent="0.2">
      <c r="A169" s="12"/>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row>
    <row r="170" spans="1:149" x14ac:dyDescent="0.2">
      <c r="A170" s="12"/>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row>
    <row r="171" spans="1:149" x14ac:dyDescent="0.2">
      <c r="A171" s="12"/>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row>
    <row r="172" spans="1:149" x14ac:dyDescent="0.2">
      <c r="A172" s="12"/>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row>
    <row r="173" spans="1:149" x14ac:dyDescent="0.2">
      <c r="A173" s="12"/>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row>
    <row r="174" spans="1:149" x14ac:dyDescent="0.2">
      <c r="A174" s="12"/>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row>
    <row r="175" spans="1:149" x14ac:dyDescent="0.2">
      <c r="A175" s="12"/>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row>
    <row r="176" spans="1:149" x14ac:dyDescent="0.2">
      <c r="A176" s="12"/>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row>
    <row r="177" spans="1:149" x14ac:dyDescent="0.2">
      <c r="A177" s="12"/>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row>
  </sheetData>
  <mergeCells count="12">
    <mergeCell ref="A7:A12"/>
    <mergeCell ref="A6:B6"/>
    <mergeCell ref="A1:P1"/>
    <mergeCell ref="A2:P2"/>
    <mergeCell ref="A4:B5"/>
    <mergeCell ref="K4:L4"/>
    <mergeCell ref="M4:N4"/>
    <mergeCell ref="O4:P4"/>
    <mergeCell ref="C4:D4"/>
    <mergeCell ref="G4:H4"/>
    <mergeCell ref="I4:J4"/>
    <mergeCell ref="E4:F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3:E54"/>
  <sheetViews>
    <sheetView workbookViewId="0"/>
  </sheetViews>
  <sheetFormatPr defaultRowHeight="12" x14ac:dyDescent="0.2"/>
  <cols>
    <col min="1" max="1" width="20.140625" bestFit="1" customWidth="1"/>
    <col min="2" max="2" width="20.140625" customWidth="1"/>
    <col min="3" max="3" width="30.28515625" bestFit="1" customWidth="1"/>
    <col min="4" max="5" width="17" customWidth="1"/>
    <col min="6" max="6" width="18" bestFit="1" customWidth="1"/>
    <col min="7" max="7" width="16.85546875" bestFit="1" customWidth="1"/>
    <col min="8" max="8" width="18" bestFit="1" customWidth="1"/>
    <col min="9" max="9" width="16.85546875" bestFit="1" customWidth="1"/>
    <col min="10" max="10" width="18" bestFit="1" customWidth="1"/>
    <col min="11" max="11" width="16.85546875" bestFit="1" customWidth="1"/>
    <col min="12" max="12" width="18" bestFit="1" customWidth="1"/>
    <col min="13" max="13" width="16.85546875" bestFit="1" customWidth="1"/>
    <col min="14" max="14" width="17" bestFit="1" customWidth="1"/>
  </cols>
  <sheetData>
    <row r="3" spans="1:5" x14ac:dyDescent="0.2">
      <c r="A3" s="77" t="s">
        <v>164</v>
      </c>
      <c r="B3" s="77" t="s">
        <v>2939</v>
      </c>
      <c r="C3" s="77" t="s">
        <v>2940</v>
      </c>
      <c r="D3" s="446" t="s">
        <v>3803</v>
      </c>
      <c r="E3" s="446" t="s">
        <v>3808</v>
      </c>
    </row>
    <row r="4" spans="1:5" x14ac:dyDescent="0.2">
      <c r="A4" s="446" t="s">
        <v>149</v>
      </c>
      <c r="B4" s="446" t="s">
        <v>2936</v>
      </c>
      <c r="D4" s="74">
        <v>3</v>
      </c>
      <c r="E4" s="74">
        <v>210</v>
      </c>
    </row>
    <row r="5" spans="1:5" x14ac:dyDescent="0.2">
      <c r="B5" s="446" t="s">
        <v>2935</v>
      </c>
      <c r="D5" s="74">
        <v>3</v>
      </c>
      <c r="E5" s="74">
        <v>-273</v>
      </c>
    </row>
    <row r="6" spans="1:5" x14ac:dyDescent="0.2">
      <c r="B6" s="446" t="s">
        <v>2937</v>
      </c>
      <c r="C6" s="446" t="s">
        <v>2946</v>
      </c>
      <c r="D6" s="74">
        <v>6</v>
      </c>
      <c r="E6" s="74">
        <v>-317</v>
      </c>
    </row>
    <row r="7" spans="1:5" x14ac:dyDescent="0.2">
      <c r="C7" s="446" t="s">
        <v>2948</v>
      </c>
      <c r="D7" s="74">
        <v>1</v>
      </c>
      <c r="E7" s="74">
        <v>-79</v>
      </c>
    </row>
    <row r="8" spans="1:5" x14ac:dyDescent="0.2">
      <c r="B8" s="446" t="s">
        <v>2956</v>
      </c>
      <c r="C8" s="446"/>
      <c r="D8" s="74">
        <v>7</v>
      </c>
      <c r="E8" s="74">
        <v>-396</v>
      </c>
    </row>
    <row r="9" spans="1:5" x14ac:dyDescent="0.2">
      <c r="B9" s="446" t="s">
        <v>2938</v>
      </c>
      <c r="C9" s="446" t="s">
        <v>2946</v>
      </c>
      <c r="D9" s="74">
        <v>1</v>
      </c>
      <c r="E9" s="74">
        <v>-90</v>
      </c>
    </row>
    <row r="10" spans="1:5" x14ac:dyDescent="0.2">
      <c r="B10" s="446" t="s">
        <v>2958</v>
      </c>
      <c r="C10" s="446"/>
      <c r="D10" s="74">
        <v>1</v>
      </c>
      <c r="E10" s="74">
        <v>-90</v>
      </c>
    </row>
    <row r="11" spans="1:5" x14ac:dyDescent="0.2">
      <c r="A11" s="446" t="s">
        <v>3815</v>
      </c>
      <c r="B11" s="446"/>
      <c r="C11" s="446"/>
      <c r="D11" s="74">
        <v>14</v>
      </c>
      <c r="E11" s="74">
        <v>-549</v>
      </c>
    </row>
    <row r="12" spans="1:5" x14ac:dyDescent="0.2">
      <c r="A12" s="446" t="s">
        <v>427</v>
      </c>
      <c r="B12" s="446" t="s">
        <v>2936</v>
      </c>
      <c r="D12" s="74">
        <v>1</v>
      </c>
      <c r="E12" s="74">
        <v>5112</v>
      </c>
    </row>
    <row r="13" spans="1:5" x14ac:dyDescent="0.2">
      <c r="B13" s="446" t="s">
        <v>2935</v>
      </c>
      <c r="D13" s="74">
        <v>3</v>
      </c>
      <c r="E13" s="74">
        <v>71877</v>
      </c>
    </row>
    <row r="14" spans="1:5" x14ac:dyDescent="0.2">
      <c r="B14" s="446" t="s">
        <v>2937</v>
      </c>
      <c r="C14" s="446" t="s">
        <v>2946</v>
      </c>
      <c r="D14" s="74">
        <v>0</v>
      </c>
      <c r="E14" s="74">
        <v>0</v>
      </c>
    </row>
    <row r="15" spans="1:5" x14ac:dyDescent="0.2">
      <c r="C15" s="446" t="s">
        <v>2947</v>
      </c>
      <c r="D15" s="74">
        <v>3</v>
      </c>
      <c r="E15" s="74">
        <v>9891</v>
      </c>
    </row>
    <row r="16" spans="1:5" x14ac:dyDescent="0.2">
      <c r="B16" s="446" t="s">
        <v>2956</v>
      </c>
      <c r="C16" s="446"/>
      <c r="D16" s="74">
        <v>3</v>
      </c>
      <c r="E16" s="74">
        <v>9891</v>
      </c>
    </row>
    <row r="17" spans="1:5" x14ac:dyDescent="0.2">
      <c r="A17" s="446" t="s">
        <v>3816</v>
      </c>
      <c r="B17" s="446"/>
      <c r="C17" s="446"/>
      <c r="D17" s="74">
        <v>7</v>
      </c>
      <c r="E17" s="74">
        <v>86880</v>
      </c>
    </row>
    <row r="18" spans="1:5" x14ac:dyDescent="0.2">
      <c r="A18" s="446" t="s">
        <v>132</v>
      </c>
      <c r="B18" s="446" t="s">
        <v>2936</v>
      </c>
      <c r="D18" s="74">
        <v>4</v>
      </c>
      <c r="E18" s="74">
        <v>-47</v>
      </c>
    </row>
    <row r="19" spans="1:5" x14ac:dyDescent="0.2">
      <c r="B19" s="446" t="s">
        <v>2935</v>
      </c>
      <c r="D19" s="74">
        <v>1</v>
      </c>
      <c r="E19" s="74">
        <v>-75</v>
      </c>
    </row>
    <row r="20" spans="1:5" x14ac:dyDescent="0.2">
      <c r="B20" s="446" t="s">
        <v>2937</v>
      </c>
      <c r="C20" s="446" t="s">
        <v>2946</v>
      </c>
      <c r="D20" s="74">
        <v>5</v>
      </c>
      <c r="E20" s="74">
        <v>-250</v>
      </c>
    </row>
    <row r="21" spans="1:5" x14ac:dyDescent="0.2">
      <c r="C21" s="446" t="s">
        <v>2948</v>
      </c>
      <c r="D21" s="74">
        <v>0</v>
      </c>
      <c r="E21" s="74">
        <v>0</v>
      </c>
    </row>
    <row r="22" spans="1:5" x14ac:dyDescent="0.2">
      <c r="B22" s="446" t="s">
        <v>2956</v>
      </c>
      <c r="C22" s="446"/>
      <c r="D22" s="74">
        <v>5</v>
      </c>
      <c r="E22" s="74">
        <v>-250</v>
      </c>
    </row>
    <row r="23" spans="1:5" x14ac:dyDescent="0.2">
      <c r="B23" s="446" t="s">
        <v>2938</v>
      </c>
      <c r="C23" s="446" t="s">
        <v>2945</v>
      </c>
      <c r="D23" s="74">
        <v>1</v>
      </c>
      <c r="E23" s="74">
        <v>5944</v>
      </c>
    </row>
    <row r="24" spans="1:5" x14ac:dyDescent="0.2">
      <c r="C24" s="446" t="s">
        <v>2946</v>
      </c>
      <c r="D24" s="74">
        <v>1</v>
      </c>
      <c r="E24" s="74">
        <v>-65</v>
      </c>
    </row>
    <row r="25" spans="1:5" x14ac:dyDescent="0.2">
      <c r="C25" s="446" t="s">
        <v>2959</v>
      </c>
      <c r="D25" s="74">
        <v>1</v>
      </c>
      <c r="E25" s="74">
        <v>-11</v>
      </c>
    </row>
    <row r="26" spans="1:5" x14ac:dyDescent="0.2">
      <c r="B26" s="446" t="s">
        <v>2958</v>
      </c>
      <c r="C26" s="446"/>
      <c r="D26" s="74">
        <v>3</v>
      </c>
      <c r="E26" s="74">
        <v>5868</v>
      </c>
    </row>
    <row r="27" spans="1:5" x14ac:dyDescent="0.2">
      <c r="A27" s="446" t="s">
        <v>3817</v>
      </c>
      <c r="B27" s="446"/>
      <c r="C27" s="446"/>
      <c r="D27" s="74">
        <v>13</v>
      </c>
      <c r="E27" s="74">
        <v>5496</v>
      </c>
    </row>
    <row r="28" spans="1:5" x14ac:dyDescent="0.2">
      <c r="A28" s="446" t="s">
        <v>131</v>
      </c>
      <c r="B28" s="446" t="s">
        <v>2936</v>
      </c>
      <c r="D28" s="74">
        <v>2</v>
      </c>
      <c r="E28" s="74">
        <v>-199</v>
      </c>
    </row>
    <row r="29" spans="1:5" x14ac:dyDescent="0.2">
      <c r="B29" s="446" t="s">
        <v>2935</v>
      </c>
      <c r="D29" s="74">
        <v>7</v>
      </c>
      <c r="E29" s="74">
        <v>880</v>
      </c>
    </row>
    <row r="30" spans="1:5" x14ac:dyDescent="0.2">
      <c r="B30" s="446" t="s">
        <v>2937</v>
      </c>
      <c r="C30" s="446" t="s">
        <v>2946</v>
      </c>
      <c r="D30" s="74">
        <v>14</v>
      </c>
      <c r="E30" s="74">
        <v>-1851</v>
      </c>
    </row>
    <row r="31" spans="1:5" x14ac:dyDescent="0.2">
      <c r="C31" s="446" t="s">
        <v>2948</v>
      </c>
      <c r="D31" s="74">
        <v>0</v>
      </c>
      <c r="E31" s="74">
        <v>0</v>
      </c>
    </row>
    <row r="32" spans="1:5" x14ac:dyDescent="0.2">
      <c r="B32" s="446" t="s">
        <v>2956</v>
      </c>
      <c r="C32" s="446"/>
      <c r="D32" s="74">
        <v>14</v>
      </c>
      <c r="E32" s="74">
        <v>-1851</v>
      </c>
    </row>
    <row r="33" spans="1:5" x14ac:dyDescent="0.2">
      <c r="B33" s="446" t="s">
        <v>2938</v>
      </c>
      <c r="C33" s="446" t="s">
        <v>2946</v>
      </c>
      <c r="D33" s="74">
        <v>6</v>
      </c>
      <c r="E33" s="74">
        <v>1021</v>
      </c>
    </row>
    <row r="34" spans="1:5" x14ac:dyDescent="0.2">
      <c r="C34" s="446" t="s">
        <v>2948</v>
      </c>
      <c r="D34" s="74">
        <v>0</v>
      </c>
      <c r="E34" s="74">
        <v>0</v>
      </c>
    </row>
    <row r="35" spans="1:5" x14ac:dyDescent="0.2">
      <c r="B35" s="446" t="s">
        <v>2958</v>
      </c>
      <c r="C35" s="446"/>
      <c r="D35" s="74">
        <v>6</v>
      </c>
      <c r="E35" s="74">
        <v>1021</v>
      </c>
    </row>
    <row r="36" spans="1:5" x14ac:dyDescent="0.2">
      <c r="A36" s="446" t="s">
        <v>3818</v>
      </c>
      <c r="B36" s="446"/>
      <c r="C36" s="446"/>
      <c r="D36" s="74">
        <v>29</v>
      </c>
      <c r="E36" s="74">
        <v>-149</v>
      </c>
    </row>
    <row r="37" spans="1:5" x14ac:dyDescent="0.2">
      <c r="A37" s="446" t="s">
        <v>150</v>
      </c>
      <c r="B37" s="446" t="s">
        <v>2936</v>
      </c>
      <c r="D37" s="74">
        <v>5</v>
      </c>
      <c r="E37" s="74">
        <v>419</v>
      </c>
    </row>
    <row r="38" spans="1:5" x14ac:dyDescent="0.2">
      <c r="B38" s="446" t="s">
        <v>2935</v>
      </c>
      <c r="D38" s="74">
        <v>4</v>
      </c>
      <c r="E38" s="74">
        <v>799</v>
      </c>
    </row>
    <row r="39" spans="1:5" x14ac:dyDescent="0.2">
      <c r="B39" s="446" t="s">
        <v>2937</v>
      </c>
      <c r="C39" s="446" t="s">
        <v>2946</v>
      </c>
      <c r="D39" s="74">
        <v>7</v>
      </c>
      <c r="E39" s="74">
        <v>-1117</v>
      </c>
    </row>
    <row r="40" spans="1:5" x14ac:dyDescent="0.2">
      <c r="C40" s="446" t="s">
        <v>2948</v>
      </c>
      <c r="D40" s="74">
        <v>0</v>
      </c>
      <c r="E40" s="74">
        <v>0</v>
      </c>
    </row>
    <row r="41" spans="1:5" x14ac:dyDescent="0.2">
      <c r="C41" s="446" t="s">
        <v>2949</v>
      </c>
      <c r="D41" s="74">
        <v>0</v>
      </c>
      <c r="E41" s="74">
        <v>0</v>
      </c>
    </row>
    <row r="42" spans="1:5" x14ac:dyDescent="0.2">
      <c r="B42" s="446" t="s">
        <v>2956</v>
      </c>
      <c r="C42" s="446"/>
      <c r="D42" s="74">
        <v>7</v>
      </c>
      <c r="E42" s="74">
        <v>-1117</v>
      </c>
    </row>
    <row r="43" spans="1:5" x14ac:dyDescent="0.2">
      <c r="B43" s="446" t="s">
        <v>2938</v>
      </c>
      <c r="C43" s="446" t="s">
        <v>2946</v>
      </c>
      <c r="D43" s="74">
        <v>3</v>
      </c>
      <c r="E43" s="74">
        <v>-1919</v>
      </c>
    </row>
    <row r="44" spans="1:5" x14ac:dyDescent="0.2">
      <c r="B44" s="446" t="s">
        <v>2958</v>
      </c>
      <c r="C44" s="446"/>
      <c r="D44" s="74">
        <v>3</v>
      </c>
      <c r="E44" s="74">
        <v>-1919</v>
      </c>
    </row>
    <row r="45" spans="1:5" x14ac:dyDescent="0.2">
      <c r="A45" s="446" t="s">
        <v>3819</v>
      </c>
      <c r="B45" s="446"/>
      <c r="C45" s="446"/>
      <c r="D45" s="74">
        <v>19</v>
      </c>
      <c r="E45" s="74">
        <v>-1818</v>
      </c>
    </row>
    <row r="46" spans="1:5" x14ac:dyDescent="0.2">
      <c r="A46" s="446" t="s">
        <v>151</v>
      </c>
      <c r="B46" s="446" t="s">
        <v>2936</v>
      </c>
      <c r="D46" s="74">
        <v>2</v>
      </c>
      <c r="E46" s="74">
        <v>-107</v>
      </c>
    </row>
    <row r="47" spans="1:5" x14ac:dyDescent="0.2">
      <c r="B47" s="446" t="s">
        <v>2935</v>
      </c>
      <c r="D47" s="74">
        <v>3</v>
      </c>
      <c r="E47" s="74">
        <v>10432</v>
      </c>
    </row>
    <row r="48" spans="1:5" x14ac:dyDescent="0.2">
      <c r="B48" s="446" t="s">
        <v>2937</v>
      </c>
      <c r="C48" s="446" t="s">
        <v>2946</v>
      </c>
      <c r="D48" s="74">
        <v>6</v>
      </c>
      <c r="E48" s="74">
        <v>1080</v>
      </c>
    </row>
    <row r="49" spans="1:5" x14ac:dyDescent="0.2">
      <c r="C49" s="446" t="s">
        <v>2948</v>
      </c>
      <c r="D49" s="74">
        <v>0</v>
      </c>
      <c r="E49" s="74">
        <v>0</v>
      </c>
    </row>
    <row r="50" spans="1:5" x14ac:dyDescent="0.2">
      <c r="B50" s="446" t="s">
        <v>2956</v>
      </c>
      <c r="C50" s="446"/>
      <c r="D50" s="74">
        <v>6</v>
      </c>
      <c r="E50" s="74">
        <v>1080</v>
      </c>
    </row>
    <row r="51" spans="1:5" x14ac:dyDescent="0.2">
      <c r="B51" s="446" t="s">
        <v>2938</v>
      </c>
      <c r="C51" s="446" t="s">
        <v>2946</v>
      </c>
      <c r="D51" s="74">
        <v>3</v>
      </c>
      <c r="E51" s="74">
        <v>450</v>
      </c>
    </row>
    <row r="52" spans="1:5" x14ac:dyDescent="0.2">
      <c r="B52" s="446" t="s">
        <v>2958</v>
      </c>
      <c r="C52" s="446"/>
      <c r="D52" s="74">
        <v>3</v>
      </c>
      <c r="E52" s="74">
        <v>450</v>
      </c>
    </row>
    <row r="53" spans="1:5" x14ac:dyDescent="0.2">
      <c r="A53" s="446" t="s">
        <v>3820</v>
      </c>
      <c r="B53" s="446"/>
      <c r="C53" s="446"/>
      <c r="D53" s="74">
        <v>14</v>
      </c>
      <c r="E53" s="74">
        <v>11855</v>
      </c>
    </row>
    <row r="54" spans="1:5" x14ac:dyDescent="0.2">
      <c r="A54" s="446" t="s">
        <v>115</v>
      </c>
      <c r="D54" s="74">
        <v>96</v>
      </c>
      <c r="E54" s="74">
        <v>101715</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dimension ref="A1:EP180"/>
  <sheetViews>
    <sheetView workbookViewId="0">
      <selection sqref="A1:I1"/>
    </sheetView>
  </sheetViews>
  <sheetFormatPr defaultRowHeight="12" x14ac:dyDescent="0.2"/>
  <cols>
    <col min="1" max="1" width="4.7109375" style="404" customWidth="1"/>
    <col min="2" max="2" width="4.7109375" style="1" customWidth="1"/>
    <col min="3" max="3" width="25.140625" style="16" customWidth="1"/>
    <col min="4" max="9" width="9" style="16" customWidth="1"/>
    <col min="10" max="16384" width="9.140625" style="1"/>
  </cols>
  <sheetData>
    <row r="1" spans="1:146" ht="15.75" x14ac:dyDescent="0.25">
      <c r="A1" s="606" t="s">
        <v>3871</v>
      </c>
      <c r="B1" s="606"/>
      <c r="C1" s="606"/>
      <c r="D1" s="606"/>
      <c r="E1" s="606"/>
      <c r="F1" s="606"/>
      <c r="G1" s="606"/>
      <c r="H1" s="606"/>
      <c r="I1" s="606"/>
      <c r="J1" s="4"/>
      <c r="K1" s="4"/>
      <c r="L1" s="4"/>
      <c r="M1" s="4"/>
      <c r="N1" s="4"/>
      <c r="O1" s="4"/>
      <c r="P1" s="4"/>
      <c r="Q1" s="4"/>
      <c r="R1" s="4"/>
      <c r="S1" s="4"/>
      <c r="T1" s="4"/>
      <c r="U1" s="4"/>
      <c r="V1" s="4"/>
      <c r="W1" s="4"/>
      <c r="X1" s="4"/>
      <c r="Y1" s="4"/>
      <c r="Z1" s="4"/>
      <c r="AA1" s="4"/>
      <c r="AB1" s="4"/>
      <c r="AC1" s="4"/>
      <c r="AD1" s="4"/>
      <c r="AE1" s="4"/>
      <c r="AF1" s="4"/>
      <c r="AG1" s="4"/>
      <c r="AH1" s="4"/>
      <c r="AI1" s="10"/>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row>
    <row r="2" spans="1:146" ht="12.75" x14ac:dyDescent="0.2">
      <c r="A2" s="640" t="s">
        <v>3912</v>
      </c>
      <c r="B2" s="640"/>
      <c r="C2" s="640"/>
      <c r="D2" s="640"/>
      <c r="E2" s="640"/>
      <c r="F2" s="640"/>
      <c r="G2" s="640"/>
      <c r="H2" s="640"/>
      <c r="I2" s="640"/>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row>
    <row r="3" spans="1:146" x14ac:dyDescent="0.2">
      <c r="A3" s="12"/>
      <c r="B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row>
    <row r="4" spans="1:146" ht="24.95" customHeight="1" x14ac:dyDescent="0.2">
      <c r="A4" s="738" t="s">
        <v>88</v>
      </c>
      <c r="B4" s="738"/>
      <c r="C4" s="739"/>
      <c r="D4" s="744" t="s">
        <v>3829</v>
      </c>
      <c r="E4" s="745"/>
      <c r="F4" s="746"/>
      <c r="G4" s="736" t="s">
        <v>3802</v>
      </c>
      <c r="H4" s="736"/>
      <c r="I4" s="737"/>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row>
    <row r="5" spans="1:146" ht="24.95" customHeight="1" x14ac:dyDescent="0.2">
      <c r="A5" s="740"/>
      <c r="B5" s="740"/>
      <c r="C5" s="741"/>
      <c r="D5" s="377" t="s">
        <v>2930</v>
      </c>
      <c r="E5" s="378" t="s">
        <v>2931</v>
      </c>
      <c r="F5" s="379" t="s">
        <v>95</v>
      </c>
      <c r="G5" s="490" t="s">
        <v>90</v>
      </c>
      <c r="H5" s="491" t="s">
        <v>91</v>
      </c>
      <c r="I5" s="491" t="s">
        <v>93</v>
      </c>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row>
    <row r="6" spans="1:146" ht="12" customHeight="1" x14ac:dyDescent="0.2">
      <c r="A6" s="747" t="s">
        <v>2926</v>
      </c>
      <c r="B6" s="747"/>
      <c r="C6" s="748"/>
      <c r="D6" s="243">
        <f>GETPIVOTDATA("Count of D Total Gain",'3.1 Pivot'!$A$1,"Status 1 - Development","01 Completed")</f>
        <v>43</v>
      </c>
      <c r="E6" s="244">
        <f>GETPIVOTDATA("Count of D Total Loss",'3.1 Pivot'!$A$1,"Status 1 - Development","01 Completed")</f>
        <v>14</v>
      </c>
      <c r="F6" s="245">
        <f>GETPIVOTDATA("Count of D Total Net",'3.1 Pivot'!$A$1,"Status 1 - Development","01 Completed")</f>
        <v>44</v>
      </c>
      <c r="G6" s="492">
        <f>GETPIVOTDATA("Sum of D Total Gain2",'3.1 Pivot'!$A$1,"Status 1 - Development","01 Completed")</f>
        <v>14177</v>
      </c>
      <c r="H6" s="493">
        <f>GETPIVOTDATA("Sum of D Total Loss2",'3.1 Pivot'!$A$1,"Status 1 - Development","01 Completed")</f>
        <v>2293</v>
      </c>
      <c r="I6" s="493">
        <f>GETPIVOTDATA("Sum of D Total Net2",'3.1 Pivot'!$A$1,"Status 1 - Development","01 Completed")</f>
        <v>11884</v>
      </c>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row>
    <row r="7" spans="1:146" ht="12" customHeight="1" x14ac:dyDescent="0.2">
      <c r="A7" s="733" t="s">
        <v>2962</v>
      </c>
      <c r="B7" s="732" t="s">
        <v>2964</v>
      </c>
      <c r="C7" s="373" t="s">
        <v>133</v>
      </c>
      <c r="D7" s="246">
        <f>GETPIVOTDATA("Count of D Total Gain",'3.1 Pivot'!$A$1,"Status 1 - Development","02 Under Construction")</f>
        <v>48</v>
      </c>
      <c r="E7" s="247">
        <f>GETPIVOTDATA("Count of D Total Loss",'3.1 Pivot'!$A$1,"Status 1 - Development","02 Under Construction")</f>
        <v>25</v>
      </c>
      <c r="F7" s="248">
        <f>GETPIVOTDATA("Count of D Total Net",'3.1 Pivot'!$A$1,"Status 1 - Development","02 Under Construction")</f>
        <v>55</v>
      </c>
      <c r="G7" s="369">
        <f>GETPIVOTDATA("Sum of D Total Gain2",'3.1 Pivot'!$A$1,"Status 1 - Development","02 Under Construction")</f>
        <v>78264</v>
      </c>
      <c r="H7" s="358">
        <f>GETPIVOTDATA("Sum of D Total Loss2",'3.1 Pivot'!$A$1,"Status 1 - Development","02 Under Construction")</f>
        <v>39186</v>
      </c>
      <c r="I7" s="358">
        <f>GETPIVOTDATA("Sum of D Total Net2",'3.1 Pivot'!$A$1,"Status 1 - Development","02 Under Construction")</f>
        <v>39078</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row>
    <row r="8" spans="1:146" ht="12" customHeight="1" x14ac:dyDescent="0.2">
      <c r="A8" s="734"/>
      <c r="B8" s="732"/>
      <c r="C8" s="374" t="s">
        <v>2966</v>
      </c>
      <c r="D8" s="249">
        <f>GETPIVOTDATA("Count of D Total Gain",'3.1 Pivot'!$A$1,"Status 1 - Development","03 Planning","Status 2 - Permission Type","02 Full")</f>
        <v>48</v>
      </c>
      <c r="E8" s="250">
        <f>GETPIVOTDATA("Count of D Total Loss",'3.1 Pivot'!$A$1,"Status 1 - Development","03 Planning","Status 2 - Permission Type","02 Full")</f>
        <v>20</v>
      </c>
      <c r="F8" s="251">
        <f>GETPIVOTDATA("Count of D Total Net",'3.1 Pivot'!$A$1,"Status 1 - Development","03 Planning","Status 2 - Permission Type","02 Full")</f>
        <v>53</v>
      </c>
      <c r="G8" s="107">
        <f>GETPIVOTDATA("Sum of D Total Gain2",'3.1 Pivot'!$A$1,"Status 1 - Development","03 Planning","Status 2 - Permission Type","02 Full")</f>
        <v>17234</v>
      </c>
      <c r="H8" s="101">
        <f>GETPIVOTDATA("Sum of D Total Loss2",'3.1 Pivot'!$A$1,"Status 1 - Development","03 Planning","Status 2 - Permission Type","02 Full")</f>
        <v>12115</v>
      </c>
      <c r="I8" s="101">
        <f>GETPIVOTDATA("Sum of D Total Net2",'3.1 Pivot'!$A$1,"Status 1 - Development","03 Planning","Status 2 - Permission Type","02 Full")</f>
        <v>5119</v>
      </c>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row>
    <row r="9" spans="1:146" ht="12" customHeight="1" x14ac:dyDescent="0.2">
      <c r="A9" s="734"/>
      <c r="B9" s="732"/>
      <c r="C9" s="374" t="s">
        <v>2967</v>
      </c>
      <c r="D9" s="249">
        <f>GETPIVOTDATA("Count of D Total Gain",'3.1 Pivot'!$A$1,"Status 1 - Development","03 Planning","Status 2 - Permission Type","03 Outline")</f>
        <v>11</v>
      </c>
      <c r="E9" s="250">
        <f>GETPIVOTDATA("Count of D Total Loss",'3.1 Pivot'!$A$1,"Status 1 - Development","03 Planning","Status 2 - Permission Type","03 Outline")</f>
        <v>0</v>
      </c>
      <c r="F9" s="251">
        <f>GETPIVOTDATA("Count of D Total Net",'3.1 Pivot'!$A$1,"Status 1 - Development","03 Planning","Status 2 - Permission Type","03 Outline")</f>
        <v>11</v>
      </c>
      <c r="G9" s="107">
        <f>GETPIVOTDATA("Sum of D Total Gain2",'3.1 Pivot'!$A$1,"Status 1 - Development","03 Planning","Status 2 - Permission Type","03 Outline")</f>
        <v>14002</v>
      </c>
      <c r="H9" s="101">
        <f>GETPIVOTDATA("Sum of D Total Loss2",'3.1 Pivot'!$A$1,"Status 1 - Development","03 Planning","Status 2 - Permission Type","03 Outline")</f>
        <v>0</v>
      </c>
      <c r="I9" s="101">
        <f>GETPIVOTDATA("Sum of D Total Net2",'3.1 Pivot'!$A$1,"Status 1 - Development","03 Planning","Status 2 - Permission Type","03 Outline")</f>
        <v>14002</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row>
    <row r="10" spans="1:146" ht="24" customHeight="1" x14ac:dyDescent="0.2">
      <c r="A10" s="734"/>
      <c r="B10" s="732"/>
      <c r="C10" s="375" t="s">
        <v>3861</v>
      </c>
      <c r="D10" s="252">
        <f>GETPIVOTDATA("Count of D Total Gain",'3.1 Pivot'!$A$1,"Status 1 - Development","03 Planning","Status 2 - Permission Type","04 Prior Approval")+GETPIVOTDATA("Count of D Total Gain",'3.1 Pivot'!$A$1,"Status 1 - Development","03 Planning","Status 2 - Permission Type","05 Certificate of Lawful Development")</f>
        <v>0</v>
      </c>
      <c r="E10" s="253">
        <f>GETPIVOTDATA("Count of D Total Loss",'3.1 Pivot'!$A$1,"Status 1 - Development","03 Planning","Status 2 - Permission Type","04 Prior Approval")+GETPIVOTDATA("Count of D Total Loss",'3.1 Pivot'!$A$1,"Status 1 - Development","03 Planning","Status 2 - Permission Type","05 Certificate of Lawful Development")</f>
        <v>0</v>
      </c>
      <c r="F10" s="254">
        <f>GETPIVOTDATA("Count of D Total Net",'3.1 Pivot'!$A$1,"Status 1 - Development","03 Planning","Status 2 - Permission Type","04 Prior Approval")+GETPIVOTDATA("Count of D Total Net",'3.1 Pivot'!$A$1,"Status 1 - Development","03 Planning","Status 2 - Permission Type","05 Certificate of Lawful Development")</f>
        <v>0</v>
      </c>
      <c r="G10" s="110">
        <f>GETPIVOTDATA("Sum of D Total Gain2",'3.1 Pivot'!$A$1,"Status 1 - Development","03 Planning","Status 2 - Permission Type","04 Prior Approval")+GETPIVOTDATA("Sum of D Total Gain2",'3.1 Pivot'!$A$1,"Status 1 - Development","03 Planning","Status 2 - Permission Type","05 Certificate of Lawful Development")</f>
        <v>0</v>
      </c>
      <c r="H10" s="111">
        <f>GETPIVOTDATA("Sum of D Total Loss2",'3.1 Pivot'!$A$1,"Status 1 - Development","03 Planning","Status 2 - Permission Type","04 Prior Approval")+GETPIVOTDATA("Sum of D Total Loss2",'3.1 Pivot'!$A$1,"Status 1 - Development","03 Planning","Status 2 - Permission Type","05 Certificate of Lawful Development")</f>
        <v>0</v>
      </c>
      <c r="I10" s="111">
        <f>GETPIVOTDATA("Sum of D Total Net2",'3.1 Pivot'!$A$1,"Status 1 - Development","03 Planning","Status 2 - Permission Type","04 Prior Approval")+GETPIVOTDATA("Sum of D Total Net2",'3.1 Pivot'!$A$1,"Status 1 - Development","03 Planning","Status 2 - Permission Type","05 Certificate of Lawful Development")</f>
        <v>0</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row>
    <row r="11" spans="1:146" ht="12" customHeight="1" x14ac:dyDescent="0.2">
      <c r="A11" s="734"/>
      <c r="B11" s="732"/>
      <c r="C11" s="376" t="s">
        <v>95</v>
      </c>
      <c r="D11" s="255">
        <f>SUM(D7:D10)</f>
        <v>107</v>
      </c>
      <c r="E11" s="256">
        <f t="shared" ref="E11:I11" si="0">SUM(E7:E10)</f>
        <v>45</v>
      </c>
      <c r="F11" s="257">
        <f t="shared" si="0"/>
        <v>119</v>
      </c>
      <c r="G11" s="474">
        <f t="shared" si="0"/>
        <v>109500</v>
      </c>
      <c r="H11" s="475">
        <f t="shared" si="0"/>
        <v>51301</v>
      </c>
      <c r="I11" s="475">
        <f t="shared" si="0"/>
        <v>58199</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row>
    <row r="12" spans="1:146" ht="12" customHeight="1" x14ac:dyDescent="0.2">
      <c r="A12" s="734"/>
      <c r="B12" s="732" t="s">
        <v>424</v>
      </c>
      <c r="C12" s="373" t="s">
        <v>134</v>
      </c>
      <c r="D12" s="246">
        <f>GETPIVOTDATA("Count of D Total Gain",'3.1 Pivot'!$A$1,"Status 1 - Development","04 Pending","Status 2 - Permission Type","01 Pending Legal Agreement")</f>
        <v>4</v>
      </c>
      <c r="E12" s="247">
        <f>GETPIVOTDATA("Count of D Total Loss",'3.1 Pivot'!$A$1,"Status 1 - Development","04 Pending","Status 2 - Permission Type","01 Pending Legal Agreement")</f>
        <v>1</v>
      </c>
      <c r="F12" s="248">
        <f>GETPIVOTDATA("Count of D Total Net",'3.1 Pivot'!$A$1,"Status 1 - Development","04 Pending","Status 2 - Permission Type","01 Pending Legal Agreement")</f>
        <v>4</v>
      </c>
      <c r="G12" s="369">
        <f>GETPIVOTDATA("Sum of D Total Gain2",'3.1 Pivot'!$A$1,"Status 1 - Development","04 Pending","Status 2 - Permission Type","01 Pending Legal Agreement")</f>
        <v>7000</v>
      </c>
      <c r="H12" s="358">
        <f>GETPIVOTDATA("Sum of D Total Loss2",'3.1 Pivot'!$A$1,"Status 1 - Development","04 Pending","Status 2 - Permission Type","01 Pending Legal Agreement")</f>
        <v>954</v>
      </c>
      <c r="I12" s="358">
        <f>GETPIVOTDATA("Sum of D Total Net2",'3.1 Pivot'!$A$1,"Status 1 - Development","04 Pending","Status 2 - Permission Type","01 Pending Legal Agreement")</f>
        <v>6046</v>
      </c>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row>
    <row r="13" spans="1:146" ht="12" customHeight="1" x14ac:dyDescent="0.2">
      <c r="A13" s="734"/>
      <c r="B13" s="732"/>
      <c r="C13" s="374" t="s">
        <v>2933</v>
      </c>
      <c r="D13" s="249">
        <f>GETPIVOTDATA("Count of D Total Gain",'3.1 Pivot'!$A$1,"Status 1 - Development","04 Pending","Status 2 - Permission Type","06 Appeal")</f>
        <v>1</v>
      </c>
      <c r="E13" s="250">
        <f>GETPIVOTDATA("Count of D Total Loss",'3.1 Pivot'!$A$1,"Status 1 - Development","04 Pending","Status 2 - Permission Type","06 Appeal")</f>
        <v>1</v>
      </c>
      <c r="F13" s="251">
        <f>GETPIVOTDATA("Count of D Total Net",'3.1 Pivot'!$A$1,"Status 1 - Development","04 Pending","Status 2 - Permission Type","06 Appeal")</f>
        <v>2</v>
      </c>
      <c r="G13" s="107">
        <f>GETPIVOTDATA("Sum of D Total Gain2",'3.1 Pivot'!$A$1,"Status 1 - Development","04 Pending","Status 2 - Permission Type","06 Appeal")</f>
        <v>44</v>
      </c>
      <c r="H13" s="101">
        <f>GETPIVOTDATA("Sum of D Total Loss2",'3.1 Pivot'!$A$1,"Status 1 - Development","04 Pending","Status 2 - Permission Type","06 Appeal")</f>
        <v>176</v>
      </c>
      <c r="I13" s="101">
        <f>GETPIVOTDATA("Sum of D Total Net2",'3.1 Pivot'!$A$1,"Status 1 - Development","04 Pending","Status 2 - Permission Type","06 Appeal")</f>
        <v>-132</v>
      </c>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row>
    <row r="14" spans="1:146" ht="12" customHeight="1" x14ac:dyDescent="0.2">
      <c r="A14" s="734"/>
      <c r="B14" s="732"/>
      <c r="C14" s="375" t="s">
        <v>3800</v>
      </c>
      <c r="D14" s="252">
        <f>GETPIVOTDATA("Count of D Total Gain",'3.1 Pivot'!$A$1,"Status 1 - Development","04 Pending")-D12-D13</f>
        <v>19</v>
      </c>
      <c r="E14" s="253">
        <f>GETPIVOTDATA("Count of D Total Loss",'3.1 Pivot'!$A$1,"Status 1 - Development","04 Pending")-E12-E13</f>
        <v>6</v>
      </c>
      <c r="F14" s="254">
        <f>GETPIVOTDATA("Count of D Total Net",'3.1 Pivot'!$A$1,"Status 1 - Development","04 Pending")-F12-F13</f>
        <v>22</v>
      </c>
      <c r="G14" s="110">
        <f>GETPIVOTDATA("Sum of D Total Gain2",'3.1 Pivot'!$A$1,"Status 1 - Development","04 Pending")-G12-G13</f>
        <v>5490</v>
      </c>
      <c r="H14" s="111">
        <f>GETPIVOTDATA("Sum of D Total Loss2",'3.1 Pivot'!$A$1,"Status 1 - Development","04 Pending")-H12-H13</f>
        <v>6374</v>
      </c>
      <c r="I14" s="111">
        <f>GETPIVOTDATA("Sum of D Total Net2",'3.1 Pivot'!$A$1,"Status 1 - Development","04 Pending")-I12-I13</f>
        <v>-884</v>
      </c>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row>
    <row r="15" spans="1:146" ht="12" customHeight="1" x14ac:dyDescent="0.2">
      <c r="A15" s="734"/>
      <c r="B15" s="732"/>
      <c r="C15" s="376" t="s">
        <v>95</v>
      </c>
      <c r="D15" s="255">
        <f>SUM(D12:D14)</f>
        <v>24</v>
      </c>
      <c r="E15" s="256">
        <f t="shared" ref="E15:I15" si="1">SUM(E12:E14)</f>
        <v>8</v>
      </c>
      <c r="F15" s="257">
        <f t="shared" si="1"/>
        <v>28</v>
      </c>
      <c r="G15" s="474">
        <f t="shared" si="1"/>
        <v>12534</v>
      </c>
      <c r="H15" s="475">
        <f t="shared" si="1"/>
        <v>7504</v>
      </c>
      <c r="I15" s="475">
        <f t="shared" si="1"/>
        <v>5030</v>
      </c>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row>
    <row r="16" spans="1:146" ht="12" customHeight="1" x14ac:dyDescent="0.2">
      <c r="A16" s="735"/>
      <c r="B16" s="742" t="s">
        <v>95</v>
      </c>
      <c r="C16" s="743"/>
      <c r="D16" s="141">
        <f>SUM(D11,D15)</f>
        <v>131</v>
      </c>
      <c r="E16" s="142">
        <f t="shared" ref="E16:I16" si="2">SUM(E11,E15)</f>
        <v>53</v>
      </c>
      <c r="F16" s="143">
        <f t="shared" si="2"/>
        <v>147</v>
      </c>
      <c r="G16" s="489">
        <f t="shared" si="2"/>
        <v>122034</v>
      </c>
      <c r="H16" s="472">
        <f t="shared" si="2"/>
        <v>58805</v>
      </c>
      <c r="I16" s="472">
        <f t="shared" si="2"/>
        <v>63229</v>
      </c>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row>
    <row r="17" spans="1:146" customFormat="1" ht="12" customHeight="1" x14ac:dyDescent="0.2">
      <c r="A17" s="413"/>
    </row>
    <row r="18" spans="1:146" ht="15" customHeight="1" x14ac:dyDescent="0.2">
      <c r="A18" s="293" t="s">
        <v>3931</v>
      </c>
      <c r="B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row>
    <row r="19" spans="1:146" x14ac:dyDescent="0.2">
      <c r="A19" s="12"/>
      <c r="B19" s="4"/>
      <c r="I19" s="21"/>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row>
    <row r="20" spans="1:146" x14ac:dyDescent="0.2">
      <c r="A20" s="12"/>
      <c r="B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row>
    <row r="21" spans="1:146" x14ac:dyDescent="0.2">
      <c r="A21" s="12"/>
      <c r="B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row>
    <row r="22" spans="1:146" x14ac:dyDescent="0.2">
      <c r="A22" s="12"/>
      <c r="B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row>
    <row r="23" spans="1:146" x14ac:dyDescent="0.2">
      <c r="A23" s="12"/>
      <c r="B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row>
    <row r="24" spans="1:146" x14ac:dyDescent="0.2">
      <c r="A24" s="12"/>
      <c r="B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row>
    <row r="25" spans="1:146" x14ac:dyDescent="0.2">
      <c r="A25" s="12"/>
      <c r="B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row>
    <row r="26" spans="1:146" x14ac:dyDescent="0.2">
      <c r="A26" s="12"/>
      <c r="B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row>
    <row r="27" spans="1:146" x14ac:dyDescent="0.2">
      <c r="A27" s="12"/>
      <c r="B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row>
    <row r="28" spans="1:146" x14ac:dyDescent="0.2">
      <c r="A28" s="12"/>
      <c r="B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row>
    <row r="29" spans="1:146" x14ac:dyDescent="0.2">
      <c r="A29" s="12"/>
      <c r="B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row>
    <row r="30" spans="1:146" x14ac:dyDescent="0.2">
      <c r="A30" s="12"/>
      <c r="B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row>
    <row r="31" spans="1:146" x14ac:dyDescent="0.2">
      <c r="A31" s="12"/>
      <c r="B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row>
    <row r="32" spans="1:146" x14ac:dyDescent="0.2">
      <c r="A32" s="12"/>
      <c r="B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row>
    <row r="33" spans="1:146" x14ac:dyDescent="0.2">
      <c r="A33" s="12"/>
      <c r="B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row>
    <row r="34" spans="1:146" x14ac:dyDescent="0.2">
      <c r="A34" s="12"/>
      <c r="B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row>
    <row r="35" spans="1:146" x14ac:dyDescent="0.2">
      <c r="A35" s="12"/>
      <c r="B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row>
    <row r="36" spans="1:146" x14ac:dyDescent="0.2">
      <c r="A36" s="12"/>
      <c r="B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row>
    <row r="37" spans="1:146" x14ac:dyDescent="0.2">
      <c r="A37" s="12"/>
      <c r="B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row>
    <row r="38" spans="1:146" x14ac:dyDescent="0.2">
      <c r="A38" s="12"/>
      <c r="B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row>
    <row r="39" spans="1:146" x14ac:dyDescent="0.2">
      <c r="A39" s="12"/>
      <c r="B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row>
    <row r="40" spans="1:146" x14ac:dyDescent="0.2">
      <c r="A40" s="12"/>
      <c r="B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row>
    <row r="41" spans="1:146" x14ac:dyDescent="0.2">
      <c r="A41" s="12"/>
      <c r="B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row>
    <row r="42" spans="1:146" x14ac:dyDescent="0.2">
      <c r="A42" s="12"/>
      <c r="B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row>
    <row r="43" spans="1:146" x14ac:dyDescent="0.2">
      <c r="A43" s="12"/>
      <c r="B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row>
    <row r="44" spans="1:146" x14ac:dyDescent="0.2">
      <c r="A44" s="12"/>
      <c r="B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row>
    <row r="45" spans="1:146" x14ac:dyDescent="0.2">
      <c r="A45" s="12"/>
      <c r="B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row>
    <row r="46" spans="1:146" x14ac:dyDescent="0.2">
      <c r="A46" s="12"/>
      <c r="B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row>
    <row r="47" spans="1:146" x14ac:dyDescent="0.2">
      <c r="A47" s="12"/>
      <c r="B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row>
    <row r="48" spans="1:146" x14ac:dyDescent="0.2">
      <c r="A48" s="12"/>
      <c r="B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row>
    <row r="49" spans="1:146" x14ac:dyDescent="0.2">
      <c r="A49" s="12"/>
      <c r="B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row>
    <row r="50" spans="1:146" x14ac:dyDescent="0.2">
      <c r="A50" s="12"/>
      <c r="B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row>
    <row r="51" spans="1:146" x14ac:dyDescent="0.2">
      <c r="A51" s="12"/>
      <c r="B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row>
    <row r="52" spans="1:146" x14ac:dyDescent="0.2">
      <c r="A52" s="12"/>
      <c r="B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row>
    <row r="53" spans="1:146" x14ac:dyDescent="0.2">
      <c r="A53" s="12"/>
      <c r="B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row>
    <row r="54" spans="1:146" x14ac:dyDescent="0.2">
      <c r="A54" s="12"/>
      <c r="B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row>
    <row r="55" spans="1:146" x14ac:dyDescent="0.2">
      <c r="A55" s="12"/>
      <c r="B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row>
    <row r="56" spans="1:146" x14ac:dyDescent="0.2">
      <c r="A56" s="12"/>
      <c r="B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row>
    <row r="57" spans="1:146" x14ac:dyDescent="0.2">
      <c r="A57" s="12"/>
      <c r="B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row>
    <row r="58" spans="1:146" x14ac:dyDescent="0.2">
      <c r="A58" s="12"/>
      <c r="B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row>
    <row r="59" spans="1:146" x14ac:dyDescent="0.2">
      <c r="A59" s="12"/>
      <c r="B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row>
    <row r="60" spans="1:146" x14ac:dyDescent="0.2">
      <c r="A60" s="12"/>
      <c r="B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row>
    <row r="61" spans="1:146" x14ac:dyDescent="0.2">
      <c r="A61" s="12"/>
      <c r="B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row>
    <row r="62" spans="1:146" x14ac:dyDescent="0.2">
      <c r="A62" s="12"/>
      <c r="B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row>
    <row r="63" spans="1:146" x14ac:dyDescent="0.2">
      <c r="A63" s="12"/>
      <c r="B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row>
    <row r="64" spans="1:146" x14ac:dyDescent="0.2">
      <c r="A64" s="12"/>
      <c r="B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row>
    <row r="65" spans="1:146" x14ac:dyDescent="0.2">
      <c r="A65" s="12"/>
      <c r="B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row>
    <row r="66" spans="1:146" x14ac:dyDescent="0.2">
      <c r="A66" s="12"/>
      <c r="B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row>
    <row r="67" spans="1:146" x14ac:dyDescent="0.2">
      <c r="A67" s="12"/>
      <c r="B67" s="4"/>
      <c r="C67" s="18"/>
      <c r="D67" s="18"/>
      <c r="E67" s="18"/>
      <c r="F67" s="18"/>
      <c r="G67" s="18"/>
      <c r="H67" s="18"/>
      <c r="I67" s="18"/>
      <c r="J67" s="15"/>
      <c r="K67" s="15"/>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row>
    <row r="68" spans="1:146" x14ac:dyDescent="0.2">
      <c r="A68" s="12"/>
      <c r="B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row>
    <row r="69" spans="1:146" x14ac:dyDescent="0.2">
      <c r="A69" s="12"/>
      <c r="B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row>
    <row r="70" spans="1:146" x14ac:dyDescent="0.2">
      <c r="A70" s="12"/>
      <c r="B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row>
    <row r="71" spans="1:146" x14ac:dyDescent="0.2">
      <c r="A71" s="12"/>
      <c r="B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row>
    <row r="72" spans="1:146" x14ac:dyDescent="0.2">
      <c r="A72" s="12"/>
      <c r="B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row>
    <row r="73" spans="1:146" x14ac:dyDescent="0.2">
      <c r="A73" s="12"/>
      <c r="B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row>
    <row r="74" spans="1:146" x14ac:dyDescent="0.2">
      <c r="A74" s="12"/>
      <c r="B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row>
    <row r="75" spans="1:146" x14ac:dyDescent="0.2">
      <c r="A75" s="12"/>
      <c r="B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row>
    <row r="76" spans="1:146" x14ac:dyDescent="0.2">
      <c r="A76" s="12"/>
      <c r="B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row>
    <row r="77" spans="1:146" x14ac:dyDescent="0.2">
      <c r="A77" s="12"/>
      <c r="B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row>
    <row r="78" spans="1:146" x14ac:dyDescent="0.2">
      <c r="A78" s="12"/>
      <c r="B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row>
    <row r="79" spans="1:146" x14ac:dyDescent="0.2">
      <c r="A79" s="12"/>
      <c r="B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row>
    <row r="80" spans="1:146" x14ac:dyDescent="0.2">
      <c r="A80" s="12"/>
      <c r="B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row>
    <row r="81" spans="1:146" x14ac:dyDescent="0.2">
      <c r="A81" s="12"/>
      <c r="B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row>
    <row r="82" spans="1:146" x14ac:dyDescent="0.2">
      <c r="A82" s="12"/>
      <c r="B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row>
    <row r="83" spans="1:146" x14ac:dyDescent="0.2">
      <c r="A83" s="12"/>
      <c r="B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row>
    <row r="84" spans="1:146" x14ac:dyDescent="0.2">
      <c r="A84" s="12"/>
      <c r="B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row>
    <row r="85" spans="1:146" x14ac:dyDescent="0.2">
      <c r="A85" s="12"/>
      <c r="B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row>
    <row r="86" spans="1:146" x14ac:dyDescent="0.2">
      <c r="A86" s="12"/>
      <c r="B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row>
    <row r="87" spans="1:146" x14ac:dyDescent="0.2">
      <c r="A87" s="12"/>
      <c r="B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row>
    <row r="88" spans="1:146" x14ac:dyDescent="0.2">
      <c r="A88" s="12"/>
      <c r="B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row>
    <row r="89" spans="1:146" x14ac:dyDescent="0.2">
      <c r="A89" s="12"/>
      <c r="B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row>
    <row r="90" spans="1:146" x14ac:dyDescent="0.2">
      <c r="A90" s="12"/>
      <c r="B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row>
    <row r="91" spans="1:146" x14ac:dyDescent="0.2">
      <c r="A91" s="12"/>
      <c r="B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row>
    <row r="92" spans="1:146" x14ac:dyDescent="0.2">
      <c r="A92" s="12"/>
      <c r="B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row>
    <row r="93" spans="1:146" x14ac:dyDescent="0.2">
      <c r="A93" s="12"/>
      <c r="B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row>
    <row r="94" spans="1:146" x14ac:dyDescent="0.2">
      <c r="A94" s="12"/>
      <c r="B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row>
    <row r="95" spans="1:146" x14ac:dyDescent="0.2">
      <c r="A95" s="12"/>
      <c r="B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row>
    <row r="96" spans="1:146" x14ac:dyDescent="0.2">
      <c r="A96" s="12"/>
      <c r="B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row>
    <row r="97" spans="1:146" x14ac:dyDescent="0.2">
      <c r="A97" s="12"/>
      <c r="B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row>
    <row r="98" spans="1:146" x14ac:dyDescent="0.2">
      <c r="A98" s="12"/>
      <c r="B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row>
    <row r="99" spans="1:146" x14ac:dyDescent="0.2">
      <c r="A99" s="12"/>
      <c r="B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row>
    <row r="100" spans="1:146" x14ac:dyDescent="0.2">
      <c r="A100" s="12"/>
      <c r="B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row>
    <row r="101" spans="1:146" x14ac:dyDescent="0.2">
      <c r="A101" s="12"/>
      <c r="B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row>
    <row r="102" spans="1:146" x14ac:dyDescent="0.2">
      <c r="A102" s="12"/>
      <c r="B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row>
    <row r="103" spans="1:146" x14ac:dyDescent="0.2">
      <c r="A103" s="12"/>
      <c r="B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row>
    <row r="104" spans="1:146" x14ac:dyDescent="0.2">
      <c r="A104" s="12"/>
      <c r="B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row>
    <row r="105" spans="1:146" x14ac:dyDescent="0.2">
      <c r="A105" s="12"/>
      <c r="B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row>
    <row r="106" spans="1:146" x14ac:dyDescent="0.2">
      <c r="A106" s="12"/>
      <c r="B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row>
    <row r="107" spans="1:146" x14ac:dyDescent="0.2">
      <c r="A107" s="12"/>
      <c r="B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row>
    <row r="108" spans="1:146" x14ac:dyDescent="0.2">
      <c r="A108" s="12"/>
      <c r="B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row>
    <row r="109" spans="1:146" x14ac:dyDescent="0.2">
      <c r="A109" s="12"/>
      <c r="B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row>
    <row r="110" spans="1:146" x14ac:dyDescent="0.2">
      <c r="A110" s="12"/>
      <c r="B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row>
    <row r="111" spans="1:146" x14ac:dyDescent="0.2">
      <c r="A111" s="12"/>
      <c r="B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row>
    <row r="112" spans="1:146" x14ac:dyDescent="0.2">
      <c r="A112" s="12"/>
      <c r="B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row>
    <row r="113" spans="1:146" x14ac:dyDescent="0.2">
      <c r="A113" s="12"/>
      <c r="B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row>
    <row r="114" spans="1:146" x14ac:dyDescent="0.2">
      <c r="A114" s="12"/>
      <c r="B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row>
    <row r="115" spans="1:146" x14ac:dyDescent="0.2">
      <c r="A115" s="12"/>
      <c r="B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row>
    <row r="116" spans="1:146" x14ac:dyDescent="0.2">
      <c r="A116" s="12"/>
      <c r="B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row>
    <row r="117" spans="1:146" x14ac:dyDescent="0.2">
      <c r="A117" s="12"/>
      <c r="B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row>
    <row r="118" spans="1:146" x14ac:dyDescent="0.2">
      <c r="A118" s="12"/>
      <c r="B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row>
    <row r="119" spans="1:146" x14ac:dyDescent="0.2">
      <c r="A119" s="12"/>
      <c r="B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row>
    <row r="120" spans="1:146" x14ac:dyDescent="0.2">
      <c r="A120" s="12"/>
      <c r="B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row>
    <row r="121" spans="1:146" x14ac:dyDescent="0.2">
      <c r="A121" s="12"/>
      <c r="B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row>
    <row r="122" spans="1:146" x14ac:dyDescent="0.2">
      <c r="A122" s="12"/>
      <c r="B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row>
    <row r="123" spans="1:146" x14ac:dyDescent="0.2">
      <c r="A123" s="12"/>
      <c r="B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row>
    <row r="124" spans="1:146" x14ac:dyDescent="0.2">
      <c r="A124" s="12"/>
      <c r="B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row>
    <row r="125" spans="1:146" x14ac:dyDescent="0.2">
      <c r="A125" s="12"/>
      <c r="B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row>
    <row r="126" spans="1:146" x14ac:dyDescent="0.2">
      <c r="A126" s="12"/>
      <c r="B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row>
    <row r="127" spans="1:146" x14ac:dyDescent="0.2">
      <c r="A127" s="12"/>
      <c r="B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row>
    <row r="128" spans="1:146" x14ac:dyDescent="0.2">
      <c r="A128" s="12"/>
      <c r="B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row>
    <row r="129" spans="1:146" x14ac:dyDescent="0.2">
      <c r="A129" s="12"/>
      <c r="B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row>
    <row r="130" spans="1:146" x14ac:dyDescent="0.2">
      <c r="A130" s="12"/>
      <c r="B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row>
    <row r="131" spans="1:146" x14ac:dyDescent="0.2">
      <c r="A131" s="12"/>
      <c r="B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row>
    <row r="132" spans="1:146" x14ac:dyDescent="0.2">
      <c r="A132" s="12"/>
      <c r="B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row>
    <row r="133" spans="1:146" x14ac:dyDescent="0.2">
      <c r="A133" s="12"/>
      <c r="B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row>
    <row r="134" spans="1:146" x14ac:dyDescent="0.2">
      <c r="A134" s="12"/>
      <c r="B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row>
    <row r="135" spans="1:146" x14ac:dyDescent="0.2">
      <c r="A135" s="12"/>
      <c r="B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row>
    <row r="136" spans="1:146" x14ac:dyDescent="0.2">
      <c r="A136" s="12"/>
      <c r="B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row>
    <row r="137" spans="1:146" x14ac:dyDescent="0.2">
      <c r="A137" s="12"/>
      <c r="B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row>
    <row r="138" spans="1:146" x14ac:dyDescent="0.2">
      <c r="A138" s="12"/>
      <c r="B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row>
    <row r="139" spans="1:146" x14ac:dyDescent="0.2">
      <c r="A139" s="12"/>
      <c r="B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row>
    <row r="140" spans="1:146" x14ac:dyDescent="0.2">
      <c r="A140" s="12"/>
      <c r="B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row>
    <row r="141" spans="1:146" x14ac:dyDescent="0.2">
      <c r="A141" s="12"/>
      <c r="B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row>
    <row r="142" spans="1:146" x14ac:dyDescent="0.2">
      <c r="A142" s="12"/>
      <c r="B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row>
    <row r="143" spans="1:146" x14ac:dyDescent="0.2">
      <c r="A143" s="12"/>
      <c r="B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row>
    <row r="144" spans="1:146" x14ac:dyDescent="0.2">
      <c r="A144" s="12"/>
      <c r="B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row>
    <row r="145" spans="1:146" x14ac:dyDescent="0.2">
      <c r="A145" s="12"/>
      <c r="B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row>
    <row r="146" spans="1:146" x14ac:dyDescent="0.2">
      <c r="A146" s="12"/>
      <c r="B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row>
    <row r="147" spans="1:146" x14ac:dyDescent="0.2">
      <c r="A147" s="12"/>
      <c r="B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row>
    <row r="148" spans="1:146" x14ac:dyDescent="0.2">
      <c r="A148" s="12"/>
      <c r="B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row>
    <row r="149" spans="1:146" x14ac:dyDescent="0.2">
      <c r="A149" s="12"/>
      <c r="B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row>
    <row r="150" spans="1:146" x14ac:dyDescent="0.2">
      <c r="A150" s="12"/>
      <c r="B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row>
    <row r="151" spans="1:146" x14ac:dyDescent="0.2">
      <c r="A151" s="12"/>
      <c r="B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row>
    <row r="152" spans="1:146" x14ac:dyDescent="0.2">
      <c r="A152" s="12"/>
      <c r="B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row>
    <row r="153" spans="1:146" x14ac:dyDescent="0.2">
      <c r="A153" s="12"/>
      <c r="B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row>
    <row r="154" spans="1:146" x14ac:dyDescent="0.2">
      <c r="A154" s="12"/>
      <c r="B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row>
    <row r="155" spans="1:146" x14ac:dyDescent="0.2">
      <c r="A155" s="12"/>
      <c r="B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row>
    <row r="156" spans="1:146" x14ac:dyDescent="0.2">
      <c r="A156" s="12"/>
      <c r="B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row>
    <row r="157" spans="1:146" x14ac:dyDescent="0.2">
      <c r="A157" s="12"/>
      <c r="B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row>
    <row r="158" spans="1:146" x14ac:dyDescent="0.2">
      <c r="A158" s="12"/>
      <c r="B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row>
    <row r="159" spans="1:146" x14ac:dyDescent="0.2">
      <c r="A159" s="12"/>
      <c r="B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row>
    <row r="160" spans="1:146" x14ac:dyDescent="0.2">
      <c r="A160" s="12"/>
      <c r="B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row>
    <row r="161" spans="1:146" x14ac:dyDescent="0.2">
      <c r="A161" s="12"/>
      <c r="B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row>
    <row r="162" spans="1:146" x14ac:dyDescent="0.2">
      <c r="A162" s="12"/>
      <c r="B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row>
    <row r="163" spans="1:146" x14ac:dyDescent="0.2">
      <c r="A163" s="12"/>
      <c r="B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row>
    <row r="164" spans="1:146" x14ac:dyDescent="0.2">
      <c r="A164" s="12"/>
      <c r="B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row>
    <row r="165" spans="1:146" x14ac:dyDescent="0.2">
      <c r="A165" s="12"/>
      <c r="B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row>
    <row r="166" spans="1:146" x14ac:dyDescent="0.2">
      <c r="A166" s="12"/>
      <c r="B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row>
    <row r="167" spans="1:146" x14ac:dyDescent="0.2">
      <c r="A167" s="12"/>
      <c r="B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row>
    <row r="168" spans="1:146" x14ac:dyDescent="0.2">
      <c r="A168" s="12"/>
      <c r="B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row>
    <row r="169" spans="1:146" x14ac:dyDescent="0.2">
      <c r="A169" s="12"/>
      <c r="B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row>
    <row r="170" spans="1:146" x14ac:dyDescent="0.2">
      <c r="A170" s="12"/>
      <c r="B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row>
    <row r="171" spans="1:146" x14ac:dyDescent="0.2">
      <c r="A171" s="12"/>
      <c r="B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row>
    <row r="172" spans="1:146" x14ac:dyDescent="0.2">
      <c r="A172" s="12"/>
      <c r="B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row>
    <row r="173" spans="1:146" x14ac:dyDescent="0.2">
      <c r="A173" s="12"/>
      <c r="B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row>
    <row r="174" spans="1:146" x14ac:dyDescent="0.2">
      <c r="A174" s="12"/>
      <c r="B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row>
    <row r="175" spans="1:146" x14ac:dyDescent="0.2">
      <c r="A175" s="12"/>
      <c r="B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row>
    <row r="176" spans="1:146" x14ac:dyDescent="0.2">
      <c r="A176" s="12"/>
      <c r="B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row>
    <row r="177" spans="1:146" x14ac:dyDescent="0.2">
      <c r="A177" s="12"/>
      <c r="B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row>
    <row r="178" spans="1:146" x14ac:dyDescent="0.2">
      <c r="A178" s="12"/>
      <c r="B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row>
    <row r="179" spans="1:146" x14ac:dyDescent="0.2">
      <c r="A179" s="12"/>
      <c r="B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row>
    <row r="180" spans="1:146" x14ac:dyDescent="0.2">
      <c r="A180" s="12"/>
      <c r="B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row>
  </sheetData>
  <mergeCells count="10">
    <mergeCell ref="A1:I1"/>
    <mergeCell ref="A2:I2"/>
    <mergeCell ref="D4:F4"/>
    <mergeCell ref="A6:C6"/>
    <mergeCell ref="B7:B11"/>
    <mergeCell ref="B12:B15"/>
    <mergeCell ref="A7:A16"/>
    <mergeCell ref="G4:I4"/>
    <mergeCell ref="A4:C5"/>
    <mergeCell ref="B16:C16"/>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16"/>
  <sheetViews>
    <sheetView workbookViewId="0"/>
  </sheetViews>
  <sheetFormatPr defaultRowHeight="12" x14ac:dyDescent="0.2"/>
  <cols>
    <col min="2" max="2" width="30.28515625" bestFit="1" customWidth="1"/>
    <col min="3" max="3" width="18" bestFit="1" customWidth="1"/>
    <col min="4" max="4" width="18.42578125" bestFit="1" customWidth="1"/>
    <col min="5" max="5" width="17" bestFit="1" customWidth="1"/>
    <col min="6" max="6" width="18" bestFit="1" customWidth="1"/>
    <col min="7" max="7" width="18.42578125" bestFit="1" customWidth="1"/>
    <col min="8" max="8" width="17" bestFit="1" customWidth="1"/>
  </cols>
  <sheetData>
    <row r="1" spans="1:8" x14ac:dyDescent="0.2">
      <c r="A1" s="77" t="s">
        <v>2939</v>
      </c>
      <c r="B1" s="77" t="s">
        <v>2940</v>
      </c>
      <c r="C1" s="446" t="s">
        <v>3830</v>
      </c>
      <c r="D1" s="446" t="s">
        <v>3832</v>
      </c>
      <c r="E1" s="446" t="s">
        <v>3834</v>
      </c>
      <c r="F1" s="446" t="s">
        <v>3831</v>
      </c>
      <c r="G1" s="446" t="s">
        <v>3833</v>
      </c>
      <c r="H1" s="446" t="s">
        <v>3835</v>
      </c>
    </row>
    <row r="2" spans="1:8" x14ac:dyDescent="0.2">
      <c r="A2" s="446" t="s">
        <v>2936</v>
      </c>
      <c r="C2" s="74">
        <v>43</v>
      </c>
      <c r="D2" s="74">
        <v>14</v>
      </c>
      <c r="E2" s="74">
        <v>44</v>
      </c>
      <c r="F2" s="74">
        <v>14177</v>
      </c>
      <c r="G2" s="74">
        <v>2293</v>
      </c>
      <c r="H2" s="74">
        <v>11884</v>
      </c>
    </row>
    <row r="3" spans="1:8" x14ac:dyDescent="0.2">
      <c r="A3" s="446" t="s">
        <v>2935</v>
      </c>
      <c r="C3" s="74">
        <v>48</v>
      </c>
      <c r="D3" s="74">
        <v>25</v>
      </c>
      <c r="E3" s="74">
        <v>55</v>
      </c>
      <c r="F3" s="74">
        <v>78264</v>
      </c>
      <c r="G3" s="74">
        <v>39186</v>
      </c>
      <c r="H3" s="74">
        <v>39078</v>
      </c>
    </row>
    <row r="4" spans="1:8" x14ac:dyDescent="0.2">
      <c r="A4" s="446" t="s">
        <v>2937</v>
      </c>
      <c r="B4" s="446" t="s">
        <v>2946</v>
      </c>
      <c r="C4" s="74">
        <v>48</v>
      </c>
      <c r="D4" s="74">
        <v>20</v>
      </c>
      <c r="E4" s="74">
        <v>53</v>
      </c>
      <c r="F4" s="74">
        <v>17234</v>
      </c>
      <c r="G4" s="74">
        <v>12115</v>
      </c>
      <c r="H4" s="74">
        <v>5119</v>
      </c>
    </row>
    <row r="5" spans="1:8" x14ac:dyDescent="0.2">
      <c r="B5" s="446" t="s">
        <v>2947</v>
      </c>
      <c r="C5" s="74">
        <v>11</v>
      </c>
      <c r="D5" s="74">
        <v>0</v>
      </c>
      <c r="E5" s="74">
        <v>11</v>
      </c>
      <c r="F5" s="74">
        <v>14002</v>
      </c>
      <c r="G5" s="74">
        <v>0</v>
      </c>
      <c r="H5" s="74">
        <v>14002</v>
      </c>
    </row>
    <row r="6" spans="1:8" x14ac:dyDescent="0.2">
      <c r="B6" s="446" t="s">
        <v>2948</v>
      </c>
      <c r="C6" s="74">
        <v>0</v>
      </c>
      <c r="D6" s="74">
        <v>0</v>
      </c>
      <c r="E6" s="74">
        <v>0</v>
      </c>
      <c r="F6" s="74">
        <v>0</v>
      </c>
      <c r="G6" s="74">
        <v>0</v>
      </c>
      <c r="H6" s="74">
        <v>0</v>
      </c>
    </row>
    <row r="7" spans="1:8" x14ac:dyDescent="0.2">
      <c r="B7" s="446" t="s">
        <v>2949</v>
      </c>
      <c r="C7" s="74">
        <v>0</v>
      </c>
      <c r="D7" s="74">
        <v>0</v>
      </c>
      <c r="E7" s="74">
        <v>0</v>
      </c>
      <c r="F7" s="74">
        <v>0</v>
      </c>
      <c r="G7" s="74">
        <v>0</v>
      </c>
      <c r="H7" s="74">
        <v>0</v>
      </c>
    </row>
    <row r="8" spans="1:8" x14ac:dyDescent="0.2">
      <c r="A8" s="446" t="s">
        <v>2956</v>
      </c>
      <c r="B8" s="446"/>
      <c r="C8" s="74">
        <v>59</v>
      </c>
      <c r="D8" s="74">
        <v>20</v>
      </c>
      <c r="E8" s="74">
        <v>64</v>
      </c>
      <c r="F8" s="74">
        <v>31236</v>
      </c>
      <c r="G8" s="74">
        <v>12115</v>
      </c>
      <c r="H8" s="74">
        <v>19121</v>
      </c>
    </row>
    <row r="9" spans="1:8" x14ac:dyDescent="0.2">
      <c r="A9" s="446" t="s">
        <v>2938</v>
      </c>
      <c r="B9" s="446" t="s">
        <v>2945</v>
      </c>
      <c r="C9" s="74">
        <v>4</v>
      </c>
      <c r="D9" s="74">
        <v>1</v>
      </c>
      <c r="E9" s="74">
        <v>4</v>
      </c>
      <c r="F9" s="74">
        <v>7000</v>
      </c>
      <c r="G9" s="74">
        <v>954</v>
      </c>
      <c r="H9" s="74">
        <v>6046</v>
      </c>
    </row>
    <row r="10" spans="1:8" x14ac:dyDescent="0.2">
      <c r="B10" s="446" t="s">
        <v>2946</v>
      </c>
      <c r="C10" s="74">
        <v>19</v>
      </c>
      <c r="D10" s="74">
        <v>6</v>
      </c>
      <c r="E10" s="74">
        <v>22</v>
      </c>
      <c r="F10" s="74">
        <v>5490</v>
      </c>
      <c r="G10" s="74">
        <v>6374</v>
      </c>
      <c r="H10" s="74">
        <v>-884</v>
      </c>
    </row>
    <row r="11" spans="1:8" x14ac:dyDescent="0.2">
      <c r="B11" s="446" t="s">
        <v>2947</v>
      </c>
      <c r="C11" s="74">
        <v>0</v>
      </c>
      <c r="D11" s="74">
        <v>0</v>
      </c>
      <c r="E11" s="74">
        <v>0</v>
      </c>
      <c r="F11" s="74">
        <v>0</v>
      </c>
      <c r="G11" s="74">
        <v>0</v>
      </c>
      <c r="H11" s="74">
        <v>0</v>
      </c>
    </row>
    <row r="12" spans="1:8" x14ac:dyDescent="0.2">
      <c r="B12" s="446" t="s">
        <v>2948</v>
      </c>
      <c r="C12" s="74">
        <v>0</v>
      </c>
      <c r="D12" s="74">
        <v>0</v>
      </c>
      <c r="E12" s="74">
        <v>0</v>
      </c>
      <c r="F12" s="74">
        <v>0</v>
      </c>
      <c r="G12" s="74">
        <v>0</v>
      </c>
      <c r="H12" s="74">
        <v>0</v>
      </c>
    </row>
    <row r="13" spans="1:8" x14ac:dyDescent="0.2">
      <c r="B13" s="446" t="s">
        <v>2949</v>
      </c>
      <c r="C13" s="74">
        <v>0</v>
      </c>
      <c r="D13" s="74">
        <v>0</v>
      </c>
      <c r="E13" s="74">
        <v>0</v>
      </c>
      <c r="F13" s="74">
        <v>0</v>
      </c>
      <c r="G13" s="74">
        <v>0</v>
      </c>
      <c r="H13" s="74">
        <v>0</v>
      </c>
    </row>
    <row r="14" spans="1:8" x14ac:dyDescent="0.2">
      <c r="B14" s="446" t="s">
        <v>2959</v>
      </c>
      <c r="C14" s="74">
        <v>1</v>
      </c>
      <c r="D14" s="74">
        <v>1</v>
      </c>
      <c r="E14" s="74">
        <v>2</v>
      </c>
      <c r="F14" s="74">
        <v>44</v>
      </c>
      <c r="G14" s="74">
        <v>176</v>
      </c>
      <c r="H14" s="74">
        <v>-132</v>
      </c>
    </row>
    <row r="15" spans="1:8" x14ac:dyDescent="0.2">
      <c r="A15" s="446" t="s">
        <v>2958</v>
      </c>
      <c r="B15" s="446"/>
      <c r="C15" s="74">
        <v>24</v>
      </c>
      <c r="D15" s="74">
        <v>8</v>
      </c>
      <c r="E15" s="74">
        <v>28</v>
      </c>
      <c r="F15" s="74">
        <v>12534</v>
      </c>
      <c r="G15" s="74">
        <v>7504</v>
      </c>
      <c r="H15" s="74">
        <v>5030</v>
      </c>
    </row>
    <row r="16" spans="1:8" x14ac:dyDescent="0.2">
      <c r="A16" s="446" t="s">
        <v>115</v>
      </c>
      <c r="C16" s="74">
        <v>174</v>
      </c>
      <c r="D16" s="74">
        <v>67</v>
      </c>
      <c r="E16" s="74">
        <v>191</v>
      </c>
      <c r="F16" s="74">
        <v>136211</v>
      </c>
      <c r="G16" s="74">
        <v>61098</v>
      </c>
      <c r="H16" s="74">
        <v>75113</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8"/>
  <dimension ref="A1:EN185"/>
  <sheetViews>
    <sheetView workbookViewId="0">
      <selection sqref="A1:I1"/>
    </sheetView>
  </sheetViews>
  <sheetFormatPr defaultRowHeight="12" x14ac:dyDescent="0.2"/>
  <cols>
    <col min="1" max="1" width="4.7109375" style="294" customWidth="1"/>
    <col min="2" max="2" width="4.7109375" style="16" customWidth="1"/>
    <col min="3" max="3" width="14.5703125" style="16" customWidth="1"/>
    <col min="4" max="4" width="12.7109375" style="16" customWidth="1"/>
    <col min="5" max="5" width="8.85546875" style="16" customWidth="1"/>
    <col min="6" max="6" width="15.42578125" style="16" customWidth="1"/>
    <col min="7" max="7" width="8.85546875" style="16" customWidth="1"/>
    <col min="8" max="8" width="15.42578125" style="16" customWidth="1"/>
    <col min="9" max="9" width="8.85546875" style="16" customWidth="1"/>
    <col min="10" max="10" width="15.42578125" style="16" customWidth="1"/>
    <col min="11" max="16384" width="9.140625" style="1"/>
  </cols>
  <sheetData>
    <row r="1" spans="1:144" ht="15.75" x14ac:dyDescent="0.25">
      <c r="A1" s="606" t="s">
        <v>3871</v>
      </c>
      <c r="B1" s="606"/>
      <c r="C1" s="606"/>
      <c r="D1" s="606"/>
      <c r="E1" s="606"/>
      <c r="F1" s="606"/>
      <c r="G1" s="606"/>
      <c r="H1" s="606"/>
      <c r="I1" s="606"/>
      <c r="J1" s="238"/>
      <c r="K1" s="4"/>
      <c r="L1" s="4"/>
      <c r="M1" s="4"/>
      <c r="N1" s="4"/>
      <c r="O1" s="4"/>
      <c r="P1" s="4"/>
      <c r="Q1" s="4"/>
      <c r="R1" s="4"/>
      <c r="S1" s="4"/>
      <c r="T1" s="4"/>
      <c r="U1" s="4"/>
      <c r="V1" s="4"/>
      <c r="W1" s="4"/>
      <c r="X1" s="4"/>
      <c r="Y1" s="4"/>
      <c r="Z1" s="4"/>
      <c r="AA1" s="4"/>
      <c r="AB1" s="4"/>
      <c r="AC1" s="4"/>
      <c r="AD1" s="4"/>
      <c r="AE1" s="4"/>
      <c r="AF1" s="4"/>
      <c r="AG1" s="10"/>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row>
    <row r="2" spans="1:144" ht="12.75" x14ac:dyDescent="0.2">
      <c r="A2" s="767" t="s">
        <v>3913</v>
      </c>
      <c r="B2" s="767"/>
      <c r="C2" s="767"/>
      <c r="D2" s="767"/>
      <c r="E2" s="767"/>
      <c r="F2" s="767"/>
      <c r="G2" s="767"/>
      <c r="H2" s="767"/>
      <c r="I2" s="767"/>
      <c r="J2" s="767"/>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row>
    <row r="3" spans="1:144" x14ac:dyDescent="0.2">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row>
    <row r="4" spans="1:144" ht="12" customHeight="1" x14ac:dyDescent="0.2">
      <c r="A4" s="776" t="s">
        <v>88</v>
      </c>
      <c r="B4" s="778"/>
      <c r="C4" s="778"/>
      <c r="D4" s="779"/>
      <c r="E4" s="765" t="s">
        <v>166</v>
      </c>
      <c r="F4" s="765"/>
      <c r="G4" s="765" t="s">
        <v>167</v>
      </c>
      <c r="H4" s="765"/>
      <c r="I4" s="770" t="s">
        <v>95</v>
      </c>
      <c r="J4" s="771"/>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row>
    <row r="5" spans="1:144" ht="12" customHeight="1" x14ac:dyDescent="0.2">
      <c r="A5" s="755"/>
      <c r="B5" s="780"/>
      <c r="C5" s="780"/>
      <c r="D5" s="781"/>
      <c r="E5" s="768" t="s">
        <v>3836</v>
      </c>
      <c r="F5" s="769"/>
      <c r="G5" s="768" t="s">
        <v>3837</v>
      </c>
      <c r="H5" s="769"/>
      <c r="I5" s="768"/>
      <c r="J5" s="769"/>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row>
    <row r="6" spans="1:144" ht="24" customHeight="1" x14ac:dyDescent="0.2">
      <c r="A6" s="782"/>
      <c r="B6" s="782"/>
      <c r="C6" s="756"/>
      <c r="D6" s="783"/>
      <c r="E6" s="380" t="s">
        <v>2970</v>
      </c>
      <c r="F6" s="378" t="s">
        <v>168</v>
      </c>
      <c r="G6" s="377" t="s">
        <v>2970</v>
      </c>
      <c r="H6" s="378" t="s">
        <v>168</v>
      </c>
      <c r="I6" s="490" t="s">
        <v>2970</v>
      </c>
      <c r="J6" s="496" t="s">
        <v>168</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row>
    <row r="7" spans="1:144" ht="12" customHeight="1" x14ac:dyDescent="0.2">
      <c r="A7" s="776" t="s">
        <v>2926</v>
      </c>
      <c r="B7" s="777"/>
      <c r="C7" s="777"/>
      <c r="D7" s="494" t="s">
        <v>111</v>
      </c>
      <c r="E7" s="497">
        <f>IFERROR(GETPIVOTDATA("Count of D1 Net",'3.2 Pivot A'!$A$4,"Status 1 - Development","01 Completed"),0)</f>
        <v>6</v>
      </c>
      <c r="F7" s="358">
        <f>IFERROR(GETPIVOTDATA("Sum of D1 Net2",'3.2 Pivot A'!$A$4,"Status 1 - Development","01 Completed"),0)</f>
        <v>878</v>
      </c>
      <c r="G7" s="497">
        <f>IFERROR(GETPIVOTDATA("Count of D2 Net",'3.2 Pivot A'!$A$4,"Status 1 - Development","01 Completed"),0)</f>
        <v>2</v>
      </c>
      <c r="H7" s="358">
        <f>IFERROR(GETPIVOTDATA("Sum of D2 Net2",'3.2 Pivot A'!$A$4,"Status 1 - Development","01 Completed"),0)</f>
        <v>969</v>
      </c>
      <c r="I7" s="497">
        <f>IFERROR(GETPIVOTDATA("Count of D Total Net",'3.2 Pivot A'!$A$4,"Status 1 - Development","01 Completed"),0)</f>
        <v>7</v>
      </c>
      <c r="J7" s="358">
        <f>IFERROR(GETPIVOTDATA("Sum of D Total Net2",'3.2 Pivot A'!$A$4,"Status 1 - Development","01 Completed"),0)</f>
        <v>1847</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row>
    <row r="8" spans="1:144" ht="12" customHeight="1" x14ac:dyDescent="0.2">
      <c r="A8" s="750"/>
      <c r="B8" s="750"/>
      <c r="C8" s="750"/>
      <c r="D8" s="382" t="s">
        <v>140</v>
      </c>
      <c r="E8" s="207">
        <f>IFERROR(GETPIVOTDATA("Count of D1 Net",'3.2 Pivot B'!$A$4,"Status 1 - Development","01 Completed"),0)</f>
        <v>1</v>
      </c>
      <c r="F8" s="101">
        <f>IFERROR(GETPIVOTDATA("Sum of D1 Net2",'3.2 Pivot B'!$A$4,"Status 1 - Development","01 Completed"),0)</f>
        <v>-101</v>
      </c>
      <c r="G8" s="207">
        <f>IFERROR(GETPIVOTDATA("Count of D2 Net",'3.2 Pivot B'!$A$4,"Status 1 - Development","01 Completed"),0)</f>
        <v>0</v>
      </c>
      <c r="H8" s="101">
        <f>IFERROR(GETPIVOTDATA("Sum of D2 Net2",'3.2 Pivot B'!$A$4,"Status 1 - Development","01 Completed"),0)</f>
        <v>0</v>
      </c>
      <c r="I8" s="207">
        <f>IFERROR(GETPIVOTDATA("Count of D Total Net",'3.2 Pivot B'!$A$4,"Status 1 - Development","01 Completed"),0)</f>
        <v>1</v>
      </c>
      <c r="J8" s="101">
        <f>IFERROR(GETPIVOTDATA("Sum of D Total Net2",'3.2 Pivot B'!$A$4,"Status 1 - Development","01 Completed"),0)</f>
        <v>-101</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row>
    <row r="9" spans="1:144" ht="12" customHeight="1" x14ac:dyDescent="0.2">
      <c r="A9" s="750"/>
      <c r="B9" s="750"/>
      <c r="C9" s="750"/>
      <c r="D9" s="383" t="s">
        <v>49</v>
      </c>
      <c r="E9" s="500">
        <f>IFERROR(GETPIVOTDATA("Count of D1 Net",'3.2 Pivot C'!$A$4,"Status 1 - Development","01 Completed"),0)</f>
        <v>27</v>
      </c>
      <c r="F9" s="111">
        <f>IFERROR(GETPIVOTDATA("Sum of D1 Net2",'3.2 Pivot C'!$A$4,"Status 1 - Development","01 Completed"),0)</f>
        <v>7114</v>
      </c>
      <c r="G9" s="500">
        <f>IFERROR(GETPIVOTDATA("Count of D2 Net",'3.2 Pivot C'!$A$4,"Status 1 - Development","01 Completed"),0)</f>
        <v>12</v>
      </c>
      <c r="H9" s="111">
        <f>IFERROR(GETPIVOTDATA("Sum of D2 Net2",'3.2 Pivot C'!$A$4,"Status 1 - Development","01 Completed"),0)</f>
        <v>3024</v>
      </c>
      <c r="I9" s="500">
        <f>IFERROR(GETPIVOTDATA("Count of D Total Net",'3.2 Pivot C'!$A$4,"Status 1 - Development","01 Completed"),0)</f>
        <v>36</v>
      </c>
      <c r="J9" s="111">
        <f>IFERROR(GETPIVOTDATA("Sum of D Total Net2",'3.2 Pivot C'!$A$4,"Status 1 - Development","01 Completed"),0)</f>
        <v>10138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row>
    <row r="10" spans="1:144" s="7" customFormat="1" ht="12" customHeight="1" x14ac:dyDescent="0.2">
      <c r="A10" s="751"/>
      <c r="B10" s="751"/>
      <c r="C10" s="751"/>
      <c r="D10" s="495" t="s">
        <v>95</v>
      </c>
      <c r="E10" s="258">
        <f t="shared" ref="E10:J10" si="0">SUM(E7:E9)</f>
        <v>34</v>
      </c>
      <c r="F10" s="259">
        <f t="shared" si="0"/>
        <v>7891</v>
      </c>
      <c r="G10" s="258">
        <f t="shared" si="0"/>
        <v>14</v>
      </c>
      <c r="H10" s="259">
        <f t="shared" si="0"/>
        <v>3993</v>
      </c>
      <c r="I10" s="498">
        <f t="shared" si="0"/>
        <v>44</v>
      </c>
      <c r="J10" s="475">
        <f t="shared" si="0"/>
        <v>11884</v>
      </c>
    </row>
    <row r="11" spans="1:144" ht="12" customHeight="1" x14ac:dyDescent="0.2">
      <c r="A11" s="784" t="s">
        <v>2962</v>
      </c>
      <c r="B11" s="759" t="s">
        <v>2964</v>
      </c>
      <c r="C11" s="749" t="s">
        <v>96</v>
      </c>
      <c r="D11" s="381" t="s">
        <v>111</v>
      </c>
      <c r="E11" s="497">
        <f>IFERROR(GETPIVOTDATA("Count of D1 Net",'3.2 Pivot A'!$A$4,"Status 1 - Development","02 Under Construction"),0)</f>
        <v>10</v>
      </c>
      <c r="F11" s="358">
        <f>IFERROR(GETPIVOTDATA("Sum of D1 Net2",'3.2 Pivot A'!$A$4,"Status 1 - Development","02 Under Construction"),0)</f>
        <v>3927</v>
      </c>
      <c r="G11" s="497">
        <f>IFERROR(GETPIVOTDATA("Count of D2 Net",'3.2 Pivot A'!$A$4,"Status 1 - Development","02 Under Construction"),0)</f>
        <v>6</v>
      </c>
      <c r="H11" s="358">
        <f>IFERROR(GETPIVOTDATA("Sum of D2 Net2",'3.2 Pivot A'!$A$4,"Status 1 - Development","02 Under Construction"),0)</f>
        <v>11047</v>
      </c>
      <c r="I11" s="497">
        <f>IFERROR(GETPIVOTDATA("Count of D Total Net",'3.2 Pivot A'!$A$4,"Status 1 - Development","02 Under Construction"),0)</f>
        <v>12</v>
      </c>
      <c r="J11" s="358">
        <f>IFERROR(GETPIVOTDATA("Sum of D Total Net2",'3.2 Pivot A'!$A$4,"Status 1 - Development","02 Under Construction"),0)</f>
        <v>14974</v>
      </c>
      <c r="K11" s="7"/>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row>
    <row r="12" spans="1:144" ht="12" customHeight="1" x14ac:dyDescent="0.2">
      <c r="A12" s="785"/>
      <c r="B12" s="772"/>
      <c r="C12" s="755"/>
      <c r="D12" s="382" t="s">
        <v>140</v>
      </c>
      <c r="E12" s="207">
        <f>IFERROR(GETPIVOTDATA("Count of D1 Net",'3.2 Pivot B'!$A$4,"Status 1 - Development","02 Under Construction"),0)</f>
        <v>0</v>
      </c>
      <c r="F12" s="101">
        <f>IFERROR(GETPIVOTDATA("Sum of D1 Net2",'3.2 Pivot B'!$A$4,"Status 1 - Development","02 Under Construction"),0)</f>
        <v>0</v>
      </c>
      <c r="G12" s="207">
        <f>IFERROR(GETPIVOTDATA("Count of D2 Net",'3.2 Pivot B'!$A$4,"Status 1 - Development","02 Under Construction"),0)</f>
        <v>0</v>
      </c>
      <c r="H12" s="101">
        <f>IFERROR(GETPIVOTDATA("Sum of D2 Net2",'3.2 Pivot B'!$A$4,"Status 1 - Development","02 Under Construction"),0)</f>
        <v>0</v>
      </c>
      <c r="I12" s="207">
        <f>IFERROR(GETPIVOTDATA("Count of D Total Net",'3.2 Pivot B'!$A$4,"Status 1 - Development","02 Under Construction"),0)</f>
        <v>0</v>
      </c>
      <c r="J12" s="101">
        <f>IFERROR(GETPIVOTDATA("Sum of D Total Net2",'3.2 Pivot B'!$A$4,"Status 1 - Development","02 Under Construction"),0)</f>
        <v>0</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row>
    <row r="13" spans="1:144" ht="12" customHeight="1" x14ac:dyDescent="0.2">
      <c r="A13" s="785"/>
      <c r="B13" s="772"/>
      <c r="C13" s="755"/>
      <c r="D13" s="383" t="s">
        <v>49</v>
      </c>
      <c r="E13" s="500">
        <f>IFERROR(GETPIVOTDATA("Count of D1 Net",'3.2 Pivot C'!$A$4,"Status 1 - Development","02 Under Construction"),0)</f>
        <v>35</v>
      </c>
      <c r="F13" s="111">
        <f>IFERROR(GETPIVOTDATA("Sum of D1 Net2",'3.2 Pivot C'!$A$4,"Status 1 - Development","02 Under Construction"),0)</f>
        <v>19119</v>
      </c>
      <c r="G13" s="500">
        <f>IFERROR(GETPIVOTDATA("Count of D2 Net",'3.2 Pivot C'!$A$4,"Status 1 - Development","02 Under Construction"),0)</f>
        <v>17</v>
      </c>
      <c r="H13" s="111">
        <f>IFERROR(GETPIVOTDATA("Sum of D2 Net2",'3.2 Pivot C'!$A$4,"Status 1 - Development","02 Under Construction"),0)</f>
        <v>4985</v>
      </c>
      <c r="I13" s="500">
        <f>IFERROR(GETPIVOTDATA("Count of D Total Net",'3.2 Pivot C'!$A$4,"Status 1 - Development","02 Under Construction"),0)</f>
        <v>43</v>
      </c>
      <c r="J13" s="111">
        <f>IFERROR(GETPIVOTDATA("Sum of D Total Net2",'3.2 Pivot C'!$A$4,"Status 1 - Development","02 Under Construction"),0)</f>
        <v>24104</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row>
    <row r="14" spans="1:144" s="7" customFormat="1" ht="12" customHeight="1" x14ac:dyDescent="0.2">
      <c r="A14" s="786"/>
      <c r="B14" s="772"/>
      <c r="C14" s="756"/>
      <c r="D14" s="384" t="s">
        <v>95</v>
      </c>
      <c r="E14" s="258">
        <f t="shared" ref="E14:J14" si="1">SUM(E11:E13)</f>
        <v>45</v>
      </c>
      <c r="F14" s="259">
        <f t="shared" si="1"/>
        <v>23046</v>
      </c>
      <c r="G14" s="258">
        <f t="shared" si="1"/>
        <v>23</v>
      </c>
      <c r="H14" s="259">
        <f t="shared" si="1"/>
        <v>16032</v>
      </c>
      <c r="I14" s="498">
        <f t="shared" si="1"/>
        <v>55</v>
      </c>
      <c r="J14" s="475">
        <f t="shared" si="1"/>
        <v>39078</v>
      </c>
    </row>
    <row r="15" spans="1:144" ht="12" customHeight="1" x14ac:dyDescent="0.2">
      <c r="A15" s="787"/>
      <c r="B15" s="772"/>
      <c r="C15" s="749" t="s">
        <v>2966</v>
      </c>
      <c r="D15" s="381" t="s">
        <v>111</v>
      </c>
      <c r="E15" s="497">
        <f>IFERROR(GETPIVOTDATA("Count of D1 Net",'3.2 Pivot A'!$A$4,"Status 1 - Development","03 Planning","Status 2 - Permission Type","02 Full"),0)</f>
        <v>5</v>
      </c>
      <c r="F15" s="358">
        <f>IFERROR(GETPIVOTDATA("Sum of D1 Net2",'3.2 Pivot A'!$A$4,"Status 1 - Development","03 Planning","Status 2 - Permission Type","02 Full"),0)</f>
        <v>543</v>
      </c>
      <c r="G15" s="497">
        <f>IFERROR(GETPIVOTDATA("Count of D2 Net",'3.2 Pivot A'!$A$4,"Status 1 - Development","03 Planning","Status 2 - Permission Type","02 Full"),0)</f>
        <v>5</v>
      </c>
      <c r="H15" s="358">
        <f>IFERROR(GETPIVOTDATA("Sum of D2 Net2",'3.2 Pivot A'!$A$4,"Status 1 - Development","03 Planning","Status 2 - Permission Type","02 Full"),0)</f>
        <v>-399</v>
      </c>
      <c r="I15" s="497">
        <f>IFERROR(GETPIVOTDATA("Count of D Total Net",'3.2 Pivot A'!$A$4,"Status 1 - Development","03 Planning","Status 2 - Permission Type","02 Full"),0)</f>
        <v>10</v>
      </c>
      <c r="J15" s="358">
        <f>IFERROR(GETPIVOTDATA("Sum of D Total Net2",'3.2 Pivot A'!$A$4,"Status 1 - Development","03 Planning","Status 2 - Permission Type","02 Full"),0)</f>
        <v>144</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row>
    <row r="16" spans="1:144" ht="12" customHeight="1" x14ac:dyDescent="0.2">
      <c r="A16" s="787"/>
      <c r="B16" s="772"/>
      <c r="C16" s="750"/>
      <c r="D16" s="382" t="s">
        <v>140</v>
      </c>
      <c r="E16" s="207">
        <f>IFERROR(GETPIVOTDATA("Count of D1 Net",'3.2 Pivot B'!$A$4,"Status 1 - Development","03 Planning","Status 2 - Permission Type","02 Full"),0)</f>
        <v>1</v>
      </c>
      <c r="F16" s="101">
        <f>IFERROR(GETPIVOTDATA("Sum of D1 Net2",'3.2 Pivot B'!$A$4,"Status 1 - Development","03 Planning","Status 2 - Permission Type","02 Full"),0)</f>
        <v>74</v>
      </c>
      <c r="G16" s="207">
        <f>IFERROR(GETPIVOTDATA("Count of D2 Net",'3.2 Pivot B'!$A$4,"Status 1 - Development","03 Planning","Status 2 - Permission Type","02 Full"),0)</f>
        <v>1</v>
      </c>
      <c r="H16" s="101">
        <f>IFERROR(GETPIVOTDATA("Sum of D2 Net2",'3.2 Pivot B'!$A$4,"Status 1 - Development","03 Planning","Status 2 - Permission Type","02 Full"),0)</f>
        <v>49</v>
      </c>
      <c r="I16" s="207">
        <f>IFERROR(GETPIVOTDATA("Count of D Total Net",'3.2 Pivot B'!$A$4,"Status 1 - Development","03 Planning","Status 2 - Permission Type","02 Full"),0)</f>
        <v>2</v>
      </c>
      <c r="J16" s="101">
        <f>IFERROR(GETPIVOTDATA("Sum of D Total Net2",'3.2 Pivot B'!$A$4,"Status 1 - Development","03 Planning","Status 2 - Permission Type","02 Full"),0)</f>
        <v>123</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row>
    <row r="17" spans="1:144" ht="12" customHeight="1" x14ac:dyDescent="0.2">
      <c r="A17" s="787"/>
      <c r="B17" s="772"/>
      <c r="C17" s="750"/>
      <c r="D17" s="383" t="s">
        <v>49</v>
      </c>
      <c r="E17" s="500">
        <f>IFERROR(GETPIVOTDATA("Count of D1 Net",'3.2 Pivot C'!$A$4,"Status 1 - Development","03 Planning","Status 2 - Permission Type","02 Full"),0)</f>
        <v>31</v>
      </c>
      <c r="F17" s="111">
        <f>IFERROR(GETPIVOTDATA("Sum of D1 Net2",'3.2 Pivot C'!$A$4,"Status 1 - Development","03 Planning","Status 2 - Permission Type","02 Full"),0)</f>
        <v>2297</v>
      </c>
      <c r="G17" s="500">
        <f>IFERROR(GETPIVOTDATA("Count of D2 Net",'3.2 Pivot C'!$A$4,"Status 1 - Development","03 Planning","Status 2 - Permission Type","02 Full"),0)</f>
        <v>14</v>
      </c>
      <c r="H17" s="111">
        <f>IFERROR(GETPIVOTDATA("Sum of D2 Net2",'3.2 Pivot C'!$A$4,"Status 1 - Development","03 Planning","Status 2 - Permission Type","02 Full"),0)</f>
        <v>2555</v>
      </c>
      <c r="I17" s="500">
        <f>IFERROR(GETPIVOTDATA("Count of D Total Net",'3.2 Pivot C'!$A$4,"Status 1 - Development","03 Planning","Status 2 - Permission Type","02 Full"),0)</f>
        <v>41</v>
      </c>
      <c r="J17" s="111">
        <f>IFERROR(GETPIVOTDATA("Sum of D Total Net2",'3.2 Pivot C'!$A$4,"Status 1 - Development","03 Planning","Status 2 - Permission Type","02 Full"),0)</f>
        <v>4852</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row>
    <row r="18" spans="1:144" s="7" customFormat="1" ht="12" customHeight="1" x14ac:dyDescent="0.2">
      <c r="A18" s="787"/>
      <c r="B18" s="772"/>
      <c r="C18" s="751"/>
      <c r="D18" s="384" t="s">
        <v>95</v>
      </c>
      <c r="E18" s="258">
        <f t="shared" ref="E18:J18" si="2">SUM(E15:E17)</f>
        <v>37</v>
      </c>
      <c r="F18" s="259">
        <f t="shared" si="2"/>
        <v>2914</v>
      </c>
      <c r="G18" s="258">
        <f t="shared" si="2"/>
        <v>20</v>
      </c>
      <c r="H18" s="259">
        <f t="shared" si="2"/>
        <v>2205</v>
      </c>
      <c r="I18" s="498">
        <f t="shared" si="2"/>
        <v>53</v>
      </c>
      <c r="J18" s="475">
        <f t="shared" si="2"/>
        <v>5119</v>
      </c>
    </row>
    <row r="19" spans="1:144" ht="12" customHeight="1" x14ac:dyDescent="0.2">
      <c r="A19" s="787"/>
      <c r="B19" s="772"/>
      <c r="C19" s="749" t="s">
        <v>2967</v>
      </c>
      <c r="D19" s="381" t="s">
        <v>111</v>
      </c>
      <c r="E19" s="497">
        <f>IFERROR(GETPIVOTDATA("Count of D1 Net",'3.2 Pivot A'!$A$4,"Status 1 - Development","03 Planning","Status 2 - Permission Type","03 Outline"),0)</f>
        <v>3</v>
      </c>
      <c r="F19" s="358">
        <f>IFERROR(GETPIVOTDATA("Sum of D1 Net2",'3.2 Pivot A'!$A$4,"Status 1 - Development","03 Planning","Status 2 - Permission Type","03 Outline"),0)</f>
        <v>3962</v>
      </c>
      <c r="G19" s="497">
        <f>IFERROR(GETPIVOTDATA("Count of D2 Net",'3.2 Pivot A'!$A$4,"Status 1 - Development","03 Planning","Status 2 - Permission Type","03 Outline"),0)</f>
        <v>3</v>
      </c>
      <c r="H19" s="358">
        <f>IFERROR(GETPIVOTDATA("Sum of D2 Net2",'3.2 Pivot A'!$A$4,"Status 1 - Development","03 Planning","Status 2 - Permission Type","03 Outline"),0)</f>
        <v>3965</v>
      </c>
      <c r="I19" s="497">
        <f>IFERROR(GETPIVOTDATA("Count of D Total Net",'3.2 Pivot A'!$A$4,"Status 1 - Development","03 Planning","Status 2 - Permission Type","03 Outline"),0)</f>
        <v>3</v>
      </c>
      <c r="J19" s="358">
        <f>IFERROR(GETPIVOTDATA("Sum of D Total Net2",'3.2 Pivot A'!$A$4,"Status 1 - Development","03 Planning","Status 2 - Permission Type","03 Outline"),0)</f>
        <v>7927</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row>
    <row r="20" spans="1:144" ht="12" customHeight="1" x14ac:dyDescent="0.2">
      <c r="A20" s="787"/>
      <c r="B20" s="772"/>
      <c r="C20" s="755"/>
      <c r="D20" s="382" t="s">
        <v>140</v>
      </c>
      <c r="E20" s="207">
        <f>IFERROR(GETPIVOTDATA("Count of D1 Net",'3.2 Pivot B'!$A$4,"Status 1 - Development","03 Planning","Status 2 - Permission Type","03 Outline"),0)</f>
        <v>0</v>
      </c>
      <c r="F20" s="101">
        <f>IFERROR(GETPIVOTDATA("Sum of D1 Net2",'3.2 Pivot B'!$A$4,"Status 1 - Development","03 Planning","Status 2 - Permission Type","03 Outline"),0)</f>
        <v>0</v>
      </c>
      <c r="G20" s="207">
        <f>IFERROR(GETPIVOTDATA("Count of D2 Net",'3.2 Pivot B'!$A$4,"Status 1 - Development","03 Planning","Status 2 - Permission Type","03 Outline"),0)</f>
        <v>0</v>
      </c>
      <c r="H20" s="101">
        <f>IFERROR(GETPIVOTDATA("Sum of D2 Net2",'3.2 Pivot B'!$A$4,"Status 1 - Development","03 Planning","Status 2 - Permission Type","03 Outline"),0)</f>
        <v>0</v>
      </c>
      <c r="I20" s="207">
        <f>IFERROR(GETPIVOTDATA("Count of D Total Net",'3.2 Pivot B'!$A$4,"Status 1 - Development","03 Planning","Status 2 - Permission Type","03 Outline"),0)</f>
        <v>0</v>
      </c>
      <c r="J20" s="101">
        <f>IFERROR(GETPIVOTDATA("Sum of D Total Net2",'3.2 Pivot B'!$A$4,"Status 1 - Development","03 Planning","Status 2 - Permission Type","03 Outline"),0)</f>
        <v>0</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row>
    <row r="21" spans="1:144" ht="12" customHeight="1" x14ac:dyDescent="0.2">
      <c r="A21" s="787"/>
      <c r="B21" s="772"/>
      <c r="C21" s="755"/>
      <c r="D21" s="383" t="s">
        <v>49</v>
      </c>
      <c r="E21" s="500">
        <f>IFERROR(GETPIVOTDATA("Count of D1 Net",'3.2 Pivot C'!$A$4,"Status 1 - Development","03 Planning","Status 2 - Permission Type","03 Outline"),0)</f>
        <v>7</v>
      </c>
      <c r="F21" s="111">
        <f>IFERROR(GETPIVOTDATA("Sum of D1 Net2",'3.2 Pivot C'!$A$4,"Status 1 - Development","03 Planning","Status 2 - Permission Type","03 Outline"),0)</f>
        <v>2954</v>
      </c>
      <c r="G21" s="500">
        <f>IFERROR(GETPIVOTDATA("Count of D2 Net",'3.2 Pivot C'!$A$4,"Status 1 - Development","03 Planning","Status 2 - Permission Type","03 Outline"),0)</f>
        <v>7</v>
      </c>
      <c r="H21" s="111">
        <f>IFERROR(GETPIVOTDATA("Sum of D2 Net2",'3.2 Pivot C'!$A$4,"Status 1 - Development","03 Planning","Status 2 - Permission Type","03 Outline"),0)</f>
        <v>3121</v>
      </c>
      <c r="I21" s="500">
        <f>IFERROR(GETPIVOTDATA("Count of D Total Net",'3.2 Pivot C'!$A$4,"Status 1 - Development","03 Planning","Status 2 - Permission Type","03 Outline"),0)</f>
        <v>8</v>
      </c>
      <c r="J21" s="111">
        <f>IFERROR(GETPIVOTDATA("Sum of D Total Net2",'3.2 Pivot C'!$A$4,"Status 1 - Development","03 Planning","Status 2 - Permission Type","03 Outline"),0)</f>
        <v>6075</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row>
    <row r="22" spans="1:144" s="7" customFormat="1" ht="12" customHeight="1" x14ac:dyDescent="0.2">
      <c r="A22" s="787"/>
      <c r="B22" s="772"/>
      <c r="C22" s="756"/>
      <c r="D22" s="384" t="s">
        <v>95</v>
      </c>
      <c r="E22" s="258">
        <f t="shared" ref="E22:J22" si="3">SUM(E19:E21)</f>
        <v>10</v>
      </c>
      <c r="F22" s="259">
        <f t="shared" si="3"/>
        <v>6916</v>
      </c>
      <c r="G22" s="258">
        <f t="shared" si="3"/>
        <v>10</v>
      </c>
      <c r="H22" s="259">
        <f t="shared" si="3"/>
        <v>7086</v>
      </c>
      <c r="I22" s="498">
        <f t="shared" si="3"/>
        <v>11</v>
      </c>
      <c r="J22" s="475">
        <f t="shared" si="3"/>
        <v>14002</v>
      </c>
    </row>
    <row r="23" spans="1:144" s="7" customFormat="1" ht="12" customHeight="1" x14ac:dyDescent="0.2">
      <c r="A23" s="787"/>
      <c r="B23" s="772"/>
      <c r="C23" s="749" t="s">
        <v>3861</v>
      </c>
      <c r="D23" s="381" t="s">
        <v>111</v>
      </c>
      <c r="E23" s="499">
        <f>IFERROR(GETPIVOTDATA("Count of D1 Net",'3.2 Pivot A'!$A$4,"Status 1 - Development","03 Planning","Status 2 - Permission Type","04 Prior Approval"),0)+IFERROR(GETPIVOTDATA("Count of D1 Net",'3.2 Pivot A'!$A$4,"Status 1 - Development","03 Planning","Status 2 - Permission Type","05 Certificate of Lawful Development"),0)</f>
        <v>0</v>
      </c>
      <c r="F23" s="501">
        <f>IFERROR(GETPIVOTDATA("Sum of D1 Net2",'3.2 Pivot A'!$A$4,"Status 1 - Development","03 Planning","Status 2 - Permission Type","04 Prior Approval"),0)+IFERROR(GETPIVOTDATA("Sum of D1 Net2",'3.2 Pivot A'!$A$4,"Status 1 - Development","03 Planning","Status 2 - Permission Type","05 Certificate of Lawful Development"),0)</f>
        <v>0</v>
      </c>
      <c r="G23" s="502">
        <f>IFERROR(GETPIVOTDATA("Count of D2 Net",'3.2 Pivot A'!$A$4,"Status 1 - Development","03 Planning","Status 2 - Permission Type","04 Prior Approval"),0)+IFERROR(GETPIVOTDATA("Count of D2 Net",'3.2 Pivot A'!$A$4,"Status 1 - Development","03 Planning","Status 2 - Permission Type","05 Certificate of Lawful Development"),0)</f>
        <v>0</v>
      </c>
      <c r="H23" s="501">
        <f>IFERROR(GETPIVOTDATA("Sum of D2 Net2",'3.2 Pivot A'!$A$4,"Status 1 - Development","03 Planning","Status 2 - Permission Type","04 Prior Approval"),0)+IFERROR(GETPIVOTDATA("Sum of D2 Net2",'3.2 Pivot A'!$A$4,"Status 1 - Development","03 Planning","Status 2 - Permission Type","05 Certificate of Lawful Development"),0)</f>
        <v>0</v>
      </c>
      <c r="I23" s="499">
        <f>IFERROR(GETPIVOTDATA("Count of D Total Net",'3.2 Pivot A'!$A$4,"Status 1 - Development","03 Planning","Status 2 - Permission Type","04 Prior Approval"),0)+IFERROR(GETPIVOTDATA("Count of D Total Net",'3.2 Pivot A'!$A$4,"Status 1 - Development","03 Planning","Status 2 - Permission Type","05 Certificate of Lawful Development"),0)</f>
        <v>0</v>
      </c>
      <c r="J23" s="358">
        <f>IFERROR(GETPIVOTDATA("Sum of D Total Net2",'3.2 Pivot A'!$A$4,"Status 1 - Development","03 Planning","Status 2 - Permission Type","04 Prior Approval"),0)+IFERROR(GETPIVOTDATA("Sum of D Total Net2",'3.2 Pivot A'!$A$4,"Status 1 - Development","03 Planning","Status 2 - Permission Type","05 Certificate of Lawful Development"),0)</f>
        <v>0</v>
      </c>
    </row>
    <row r="24" spans="1:144" s="7" customFormat="1" ht="12" customHeight="1" x14ac:dyDescent="0.2">
      <c r="A24" s="787"/>
      <c r="B24" s="772"/>
      <c r="C24" s="755"/>
      <c r="D24" s="382" t="s">
        <v>140</v>
      </c>
      <c r="E24" s="90">
        <f>IFERROR(GETPIVOTDATA("Count of D1 Net",'3.2 Pivot B'!$A$4,"Status 1 - Development","03 Planning","Status 2 - Permission Type","04 Prior Approval"),0)+IFERROR(GETPIVOTDATA("Count of D1 Net",'3.2 Pivot B'!$A$4,"Status 1 - Development","03 Planning","Status 2 - Permission Type","05 Certificate of Lawful Development"),0)</f>
        <v>0</v>
      </c>
      <c r="F24" s="84">
        <f>IFERROR(GETPIVOTDATA("Sum of D1 Net2",'3.2 Pivot B'!$A$4,"Status 1 - Development","03 Planning","Status 2 - Permission Type","04 Prior Approval"),0)+IFERROR(GETPIVOTDATA("Sum of D1 Net2",'3.2 Pivot B'!$A$4,"Status 1 - Development","03 Planning","Status 2 - Permission Type","05 Certificate of Lawful Development"),0)</f>
        <v>0</v>
      </c>
      <c r="G24" s="503">
        <f>IFERROR(GETPIVOTDATA("Count of D2 Net",'3.2 Pivot B'!$A$4,"Status 1 - Development","03 Planning","Status 2 - Permission Type","04 Prior Approval"),0)+IFERROR(GETPIVOTDATA("Count of D2 Net",'3.2 Pivot B'!$A$4,"Status 1 - Development","03 Planning","Status 2 - Permission Type","05 Certificate of Lawful Development"),0)</f>
        <v>0</v>
      </c>
      <c r="H24" s="84">
        <f>IFERROR(GETPIVOTDATA("Sum of D2 Net2",'3.2 Pivot B'!$A$4,"Status 1 - Development","03 Planning","Status 2 - Permission Type","04 Prior Approval"),0)+IFERROR(GETPIVOTDATA("Sum of D2 Net2",'3.2 Pivot B'!$A$4,"Status 1 - Development","03 Planning","Status 2 - Permission Type","05 Certificate of Lawful Development"),0)</f>
        <v>0</v>
      </c>
      <c r="I24" s="90">
        <f>IFERROR(GETPIVOTDATA("Count of D Total Net",'3.2 Pivot B'!$A$4,"Status 1 - Development","03 Planning","Status 2 - Permission Type","04 Prior Approval"),0)+IFERROR(GETPIVOTDATA("Count of D Total Net",'3.2 Pivot B'!$A$4,"Status 1 - Development","03 Planning","Status 2 - Permission Type","05 Certificate of Lawful Development"),0)</f>
        <v>0</v>
      </c>
      <c r="J24" s="101">
        <f>IFERROR(GETPIVOTDATA("Sum of D Total Net2",'3.2 Pivot B'!$A$4,"Status 1 - Development","03 Planning","Status 2 - Permission Type","04 Prior Approval"),0)+IFERROR(GETPIVOTDATA("Sum of D Total Net2",'3.2 Pivot B'!$A$4,"Status 1 - Development","03 Planning","Status 2 - Permission Type","05 Certificate of Lawful Development"),0)</f>
        <v>0</v>
      </c>
    </row>
    <row r="25" spans="1:144" s="7" customFormat="1" ht="12" customHeight="1" x14ac:dyDescent="0.2">
      <c r="A25" s="787"/>
      <c r="B25" s="772"/>
      <c r="C25" s="755"/>
      <c r="D25" s="383" t="s">
        <v>49</v>
      </c>
      <c r="E25" s="151">
        <f>IFERROR(GETPIVOTDATA("Count of D1 Net",'3.2 Pivot C'!$A$4,"Status 1 - Development","03 Planning","Status 2 - Permission Type","04 Prior Approval"),0)+IFERROR(GETPIVOTDATA("Count of D1 Net",'3.2 Pivot C'!$A$4,"Status 1 - Development","03 Planning","Status 2 - Permission Type","05 Certificate of Lawful Development"),0)</f>
        <v>0</v>
      </c>
      <c r="F25" s="504">
        <f>IFERROR(GETPIVOTDATA("Sum of D1 Net2",'3.2 Pivot C'!$A$4,"Status 1 - Development","03 Planning","Status 2 - Permission Type","04 Prior Approval"),0)+IFERROR(GETPIVOTDATA("Sum of D1 Net2",'3.2 Pivot C'!$A$4,"Status 1 - Development","03 Planning","Status 2 - Permission Type","05 Certificate of Lawful Development"),0)</f>
        <v>0</v>
      </c>
      <c r="G25" s="505">
        <f>IFERROR(GETPIVOTDATA("Count of D2 Net",'3.2 Pivot C'!$A$4,"Status 1 - Development","03 Planning","Status 2 - Permission Type","04 Prior Approval"),0)+IFERROR(GETPIVOTDATA("Count of D2 Net",'3.2 Pivot C'!$A$4,"Status 1 - Development","03 Planning","Status 2 - Permission Type","05 Certificate of Lawful Development"),0)</f>
        <v>0</v>
      </c>
      <c r="H25" s="504">
        <f>IFERROR(GETPIVOTDATA("Sum of D2 Net2",'3.2 Pivot C'!$A$4,"Status 1 - Development","03 Planning","Status 2 - Permission Type","04 Prior Approval"),0)+IFERROR(GETPIVOTDATA("Sum of D2 Net2",'3.2 Pivot C'!$A$4,"Status 1 - Development","03 Planning","Status 2 - Permission Type","05 Certificate of Lawful Development"),0)</f>
        <v>0</v>
      </c>
      <c r="I25" s="151">
        <f>IFERROR(GETPIVOTDATA("Count of D Total Net",'3.2 Pivot C'!$A$4,"Status 1 - Development","03 Planning","Status 2 - Permission Type","04 Prior Approval"),0)+IFERROR(GETPIVOTDATA("Count of D Total Net",'3.2 Pivot C'!$A$4,"Status 1 - Development","03 Planning","Status 2 - Permission Type","05 Certificate of Lawful Development"),0)</f>
        <v>0</v>
      </c>
      <c r="J25" s="111">
        <f>IFERROR(GETPIVOTDATA("Sum of D Total Net2",'3.2 Pivot C'!$A$4,"Status 1 - Development","03 Planning","Status 2 - Permission Type","04 Prior Approval"),0)+IFERROR(GETPIVOTDATA("Sum of D Total Net2",'3.2 Pivot C'!$A$4,"Status 1 - Development","03 Planning","Status 2 - Permission Type","05 Certificate of Lawful Development"),0)</f>
        <v>0</v>
      </c>
    </row>
    <row r="26" spans="1:144" s="7" customFormat="1" ht="12" customHeight="1" x14ac:dyDescent="0.2">
      <c r="A26" s="787"/>
      <c r="B26" s="772"/>
      <c r="C26" s="756"/>
      <c r="D26" s="384" t="s">
        <v>95</v>
      </c>
      <c r="E26" s="258">
        <f t="shared" ref="E26:J26" si="4">SUM(E23:E25)</f>
        <v>0</v>
      </c>
      <c r="F26" s="259">
        <f t="shared" si="4"/>
        <v>0</v>
      </c>
      <c r="G26" s="258">
        <f t="shared" si="4"/>
        <v>0</v>
      </c>
      <c r="H26" s="259">
        <f t="shared" si="4"/>
        <v>0</v>
      </c>
      <c r="I26" s="498">
        <f t="shared" si="4"/>
        <v>0</v>
      </c>
      <c r="J26" s="475">
        <f t="shared" si="4"/>
        <v>0</v>
      </c>
    </row>
    <row r="27" spans="1:144" s="7" customFormat="1" ht="12" customHeight="1" x14ac:dyDescent="0.2">
      <c r="A27" s="787"/>
      <c r="B27" s="773"/>
      <c r="C27" s="757" t="s">
        <v>95</v>
      </c>
      <c r="D27" s="758"/>
      <c r="E27" s="102">
        <f>SUM(E14,E18,E22,E26)</f>
        <v>92</v>
      </c>
      <c r="F27" s="98">
        <f t="shared" ref="F27:J27" si="5">SUM(F14,F18,F22,F26)</f>
        <v>32876</v>
      </c>
      <c r="G27" s="102">
        <f t="shared" si="5"/>
        <v>53</v>
      </c>
      <c r="H27" s="98">
        <f t="shared" si="5"/>
        <v>25323</v>
      </c>
      <c r="I27" s="474">
        <f t="shared" si="5"/>
        <v>119</v>
      </c>
      <c r="J27" s="475">
        <f t="shared" si="5"/>
        <v>58199</v>
      </c>
    </row>
    <row r="28" spans="1:144" ht="12" customHeight="1" x14ac:dyDescent="0.2">
      <c r="A28" s="785"/>
      <c r="B28" s="759" t="s">
        <v>424</v>
      </c>
      <c r="C28" s="752" t="s">
        <v>2932</v>
      </c>
      <c r="D28" s="381" t="s">
        <v>111</v>
      </c>
      <c r="E28" s="497">
        <f>IFERROR(GETPIVOTDATA("Count of D1 Net",'3.2 Pivot A'!$A$4,"Status 1 - Development","04 Pending","Status 2 - Permission Type","01 Pending Legal Agreement"),0)</f>
        <v>0</v>
      </c>
      <c r="F28" s="358">
        <f>IFERROR(GETPIVOTDATA("Sum of D1 Net2",'3.2 Pivot A'!$A$4,"Status 1 - Development","04 Pending","Status 2 - Permission Type","01 Pending Legal Agreement"),0)</f>
        <v>0</v>
      </c>
      <c r="G28" s="497">
        <f>IFERROR(GETPIVOTDATA("Count of D2 Net",'3.2 Pivot A'!$A$4,"Status 1 - Development","04 Pending","Status 2 - Permission Type","01 Pending Legal Agreement"),0)</f>
        <v>0</v>
      </c>
      <c r="H28" s="358">
        <f>IFERROR(GETPIVOTDATA("Sum of D2 Net2",'3.2 Pivot A'!$A$4,"Status 1 - Development","04 Pending","Status 2 - Permission Type","01 Pending Legal Agreement"),0)</f>
        <v>0</v>
      </c>
      <c r="I28" s="497">
        <f>IFERROR(GETPIVOTDATA("Count of D Total Net",'3.2 Pivot A'!$A$4,"Status 1 - Development","04 Pending","Status 2 - Permission Type","01 Pending Legal Agreement"),0)</f>
        <v>0</v>
      </c>
      <c r="J28" s="358">
        <f>IFERROR(GETPIVOTDATA("Sum of D Total Net2",'3.2 Pivot A'!$A$4,"Status 1 - Development","04 Pending","Status 2 - Permission Type","01 Pending Legal Agreement"),0)</f>
        <v>0</v>
      </c>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row>
    <row r="29" spans="1:144" ht="12" customHeight="1" x14ac:dyDescent="0.2">
      <c r="A29" s="787"/>
      <c r="B29" s="760"/>
      <c r="C29" s="753"/>
      <c r="D29" s="382" t="s">
        <v>140</v>
      </c>
      <c r="E29" s="207">
        <f>IFERROR(GETPIVOTDATA("Count of D1 Net",'3.2 Pivot B'!$A$4,"Status 1 - Development","04 Pending","Status 2 - Permission Type","01 Pending Legal Agreement"),0)</f>
        <v>0</v>
      </c>
      <c r="F29" s="101">
        <f>IFERROR(GETPIVOTDATA("Sum of D1 Net2",'3.2 Pivot B'!$A$4,"Status 1 - Development","04 Pending","Status 2 - Permission Type","01 Pending Legal Agreement"),0)</f>
        <v>0</v>
      </c>
      <c r="G29" s="207">
        <f>IFERROR(GETPIVOTDATA("Count of D2 Net",'3.2 Pivot B'!$A$4,"Status 1 - Development","04 Pending","Status 2 - Permission Type","01 Pending Legal Agreement"),0)</f>
        <v>0</v>
      </c>
      <c r="H29" s="101">
        <f>IFERROR(GETPIVOTDATA("Sum of D2 Net2",'3.2 Pivot B'!$A$4,"Status 1 - Development","04 Pending","Status 2 - Permission Type","01 Pending Legal Agreement"),0)</f>
        <v>0</v>
      </c>
      <c r="I29" s="207">
        <f>IFERROR(GETPIVOTDATA("Count of D Total Net",'3.2 Pivot B'!$A$4,"Status 1 - Development","04 Pending","Status 2 - Permission Type","01 Pending Legal Agreement"),0)</f>
        <v>0</v>
      </c>
      <c r="J29" s="101">
        <f>IFERROR(GETPIVOTDATA("Sum of D Total Net2",'3.2 Pivot B'!$A$4,"Status 1 - Development","04 Pending","Status 2 - Permission Type","01 Pending Legal Agreement"),0)</f>
        <v>0</v>
      </c>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row>
    <row r="30" spans="1:144" ht="12" customHeight="1" x14ac:dyDescent="0.2">
      <c r="A30" s="787"/>
      <c r="B30" s="760"/>
      <c r="C30" s="753"/>
      <c r="D30" s="383" t="s">
        <v>49</v>
      </c>
      <c r="E30" s="500">
        <f>IFERROR(GETPIVOTDATA("Count of D1 Net",'3.2 Pivot C'!$A$4,"Status 1 - Development","04 Pending","Status 2 - Permission Type","01 Pending Legal Agreement"),0)</f>
        <v>4</v>
      </c>
      <c r="F30" s="111">
        <f>IFERROR(GETPIVOTDATA("Sum of D1 Net2",'3.2 Pivot C'!$A$4,"Status 1 - Development","04 Pending","Status 2 - Permission Type","01 Pending Legal Agreement"),0)</f>
        <v>5805</v>
      </c>
      <c r="G30" s="500">
        <f>IFERROR(GETPIVOTDATA("Count of D2 Net",'3.2 Pivot C'!$A$4,"Status 1 - Development","04 Pending","Status 2 - Permission Type","01 Pending Legal Agreement"),0)</f>
        <v>2</v>
      </c>
      <c r="H30" s="111">
        <f>IFERROR(GETPIVOTDATA("Sum of D2 Net2",'3.2 Pivot C'!$A$4,"Status 1 - Development","04 Pending","Status 2 - Permission Type","01 Pending Legal Agreement"),0)</f>
        <v>241</v>
      </c>
      <c r="I30" s="500">
        <f>IFERROR(GETPIVOTDATA("Count of D Total Net",'3.2 Pivot C'!$A$4,"Status 1 - Development","04 Pending","Status 2 - Permission Type","01 Pending Legal Agreement"),0)</f>
        <v>4</v>
      </c>
      <c r="J30" s="111">
        <f>IFERROR(GETPIVOTDATA("Sum of D Total Net2",'3.2 Pivot C'!$A$4,"Status 1 - Development","04 Pending","Status 2 - Permission Type","01 Pending Legal Agreement"),0)</f>
        <v>6046</v>
      </c>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row>
    <row r="31" spans="1:144" s="7" customFormat="1" ht="12" customHeight="1" x14ac:dyDescent="0.2">
      <c r="A31" s="787"/>
      <c r="B31" s="761"/>
      <c r="C31" s="754"/>
      <c r="D31" s="384" t="s">
        <v>95</v>
      </c>
      <c r="E31" s="258">
        <f t="shared" ref="E31:J31" si="6">SUM(E28:E30)</f>
        <v>4</v>
      </c>
      <c r="F31" s="259">
        <f t="shared" si="6"/>
        <v>5805</v>
      </c>
      <c r="G31" s="258">
        <f t="shared" si="6"/>
        <v>2</v>
      </c>
      <c r="H31" s="259">
        <f t="shared" si="6"/>
        <v>241</v>
      </c>
      <c r="I31" s="498">
        <f t="shared" si="6"/>
        <v>4</v>
      </c>
      <c r="J31" s="475">
        <f t="shared" si="6"/>
        <v>6046</v>
      </c>
    </row>
    <row r="32" spans="1:144" ht="12" customHeight="1" x14ac:dyDescent="0.2">
      <c r="A32" s="787"/>
      <c r="B32" s="760"/>
      <c r="C32" s="752" t="s">
        <v>3800</v>
      </c>
      <c r="D32" s="381" t="s">
        <v>111</v>
      </c>
      <c r="E32" s="497">
        <f>IFERROR(GETPIVOTDATA("Count of D1 Net",'3.2 Pivot A'!$A$4,"Status 1 - Development","04 Pending","Status 2 - Permission Type","02 Full"),0)+IFERROR(GETPIVOTDATA("Count of D1 Net",'3.2 Pivot A'!$A$4,"Status 1 - Development","04 Pending","Status 2 - Permission Type","04 Prior Approval"),0)</f>
        <v>5</v>
      </c>
      <c r="F32" s="358">
        <f>IFERROR(GETPIVOTDATA("Sum of D1 Net2",'3.2 Pivot A'!$A$4,"Status 1 - Development","04 Pending","Status 2 - Permission Type","02 Full"),0)+IFERROR(GETPIVOTDATA("Sum of D1 Net2",'3.2 Pivot A'!$A$4,"Status 1 - Development","04 Pending","Status 2 - Permission Type","04 Prior Approval"),0)</f>
        <v>-105</v>
      </c>
      <c r="G32" s="497">
        <f>IFERROR(GETPIVOTDATA("Count of D2 Net",'3.2 Pivot A'!$A$4,"Status 1 - Development","04 Pending","Status 2 - Permission Type","02 Full"),0)+IFERROR(GETPIVOTDATA("Count of D2 Net",'3.2 Pivot A'!$A$4,"Status 1 - Development","04 Pending","Status 2 - Permission Type","04 Prior Approval"),0)</f>
        <v>3</v>
      </c>
      <c r="H32" s="358">
        <f>IFERROR(GETPIVOTDATA("Sum of D2 Net2",'3.2 Pivot A'!$A$4,"Status 1 - Development","04 Pending","Status 2 - Permission Type","02 Full"),0)+IFERROR(GETPIVOTDATA("Sum of D2 Net2",'3.2 Pivot A'!$A$4,"Status 1 - Development","04 Pending","Status 2 - Permission Type","04 Prior Approval"),0)</f>
        <v>664</v>
      </c>
      <c r="I32" s="497">
        <f>IFERROR(GETPIVOTDATA("Count of D Total Net",'3.2 Pivot A'!$A$4,"Status 1 - Development","04 Pending","Status 2 - Permission Type","02 Full"),0)+IFERROR(GETPIVOTDATA("Count of D Total Net",'3.2 Pivot A'!$A$4,"Status 1 - Development","04 Pending","Status 2 - Permission Type","04 Prior Approval"),0)</f>
        <v>5</v>
      </c>
      <c r="J32" s="358">
        <f>IFERROR(GETPIVOTDATA("Sum of D Total Net2",'3.2 Pivot A'!$A$4,"Status 1 - Development","04 Pending","Status 2 - Permission Type","02 Full"),0)+IFERROR(GETPIVOTDATA("Sum of D Total Net2",'3.2 Pivot A'!$A$4,"Status 1 - Development","04 Pending","Status 2 - Permission Type","04 Prior Approval"),0)</f>
        <v>559</v>
      </c>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row>
    <row r="33" spans="1:144" ht="12" customHeight="1" x14ac:dyDescent="0.2">
      <c r="A33" s="787"/>
      <c r="B33" s="760"/>
      <c r="C33" s="753"/>
      <c r="D33" s="382" t="s">
        <v>140</v>
      </c>
      <c r="E33" s="207">
        <f>IFERROR(GETPIVOTDATA("Count of D1 Net",'3.2 Pivot B'!$A$4,"Status 1 - Development","04 Pending","Status 2 - Permission Type","02 Full"),0)+IFERROR(GETPIVOTDATA("Count of D1 Net",'3.2 Pivot B'!$A$4,"Status 1 - Development","04 Pending","Status 2 - Permission Type","04 Prior Approval"),0)</f>
        <v>1</v>
      </c>
      <c r="F33" s="101">
        <f>IFERROR(GETPIVOTDATA("Sum of D1 Net2",'3.2 Pivot B'!$A$4,"Status 1 - Development","04 Pending","Status 2 - Permission Type","02 Full"),0)+IFERROR(GETPIVOTDATA("Sum of D1 Net2",'3.2 Pivot B'!$A$4,"Status 1 - Development","04 Pending","Status 2 - Permission Type","04 Prior Approval"),0)</f>
        <v>147</v>
      </c>
      <c r="G33" s="207">
        <f>IFERROR(GETPIVOTDATA("Count of D2 Net",'3.2 Pivot B'!$A$4,"Status 1 - Development","04 Pending","Status 2 - Permission Type","02 Full"),0)+IFERROR(GETPIVOTDATA("Count of D2 Net",'3.2 Pivot B'!$A$4,"Status 1 - Development","04 Pending","Status 2 - Permission Type","04 Prior Approval"),0)</f>
        <v>0</v>
      </c>
      <c r="H33" s="101">
        <f>IFERROR(GETPIVOTDATA("Sum of D2 Net2",'3.2 Pivot B'!$A$4,"Status 1 - Development","04 Pending","Status 2 - Permission Type","02 Full"),0)+IFERROR(GETPIVOTDATA("Sum of D2 Net2",'3.2 Pivot B'!$A$4,"Status 1 - Development","04 Pending","Status 2 - Permission Type","04 Prior Approval"),0)</f>
        <v>0</v>
      </c>
      <c r="I33" s="207">
        <f>IFERROR(GETPIVOTDATA("Count of D Total Net",'3.2 Pivot B'!$A$4,"Status 1 - Development","04 Pending","Status 2 - Permission Type","02 Full"),0)+IFERROR(GETPIVOTDATA("Count of D Total Net",'3.2 Pivot B'!$A$4,"Status 1 - Development","04 Pending","Status 2 - Permission Type","04 Prior Approval"),0)</f>
        <v>1</v>
      </c>
      <c r="J33" s="101">
        <f>IFERROR(GETPIVOTDATA("Sum of D Total Net2",'3.2 Pivot B'!$A$4,"Status 1 - Development","04 Pending","Status 2 - Permission Type","02 Full"),0)+IFERROR(GETPIVOTDATA("Sum of D Total Net2",'3.2 Pivot B'!$A$4,"Status 1 - Development","04 Pending","Status 2 - Permission Type","04 Prior Approval"),0)</f>
        <v>147</v>
      </c>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row>
    <row r="34" spans="1:144" ht="12" customHeight="1" x14ac:dyDescent="0.2">
      <c r="A34" s="787"/>
      <c r="B34" s="760"/>
      <c r="C34" s="753"/>
      <c r="D34" s="383" t="s">
        <v>49</v>
      </c>
      <c r="E34" s="500">
        <f>IFERROR(GETPIVOTDATA("Count of D1 Net",'3.2 Pivot C'!$A$4,"Status 1 - Development","04 Pending","Status 2 - Permission Type","02 Full"),0)+IFERROR(GETPIVOTDATA("Count of D1 Net",'3.2 Pivot C'!$A$4,"Status 1 - Development","04 Pending","Status 2 - Permission Type","04 Prior Approval"),0)</f>
        <v>10</v>
      </c>
      <c r="F34" s="111">
        <f>IFERROR(GETPIVOTDATA("Sum of D1 Net2",'3.2 Pivot C'!$A$4,"Status 1 - Development","04 Pending","Status 2 - Permission Type","02 Full"),0)+IFERROR(GETPIVOTDATA("Sum of D1 Net2",'3.2 Pivot C'!$A$4,"Status 1 - Development","04 Pending","Status 2 - Permission Type","04 Prior Approval"),0)</f>
        <v>-2740</v>
      </c>
      <c r="G34" s="500">
        <f>IFERROR(GETPIVOTDATA("Count of D2 Net",'3.2 Pivot C'!$A$4,"Status 1 - Development","04 Pending","Status 2 - Permission Type","02 Full"),0)+IFERROR(GETPIVOTDATA("Count of D2 Net",'3.2 Pivot C'!$A$4,"Status 1 - Development","04 Pending","Status 2 - Permission Type","04 Prior Approval"),0)</f>
        <v>6</v>
      </c>
      <c r="H34" s="111">
        <f>IFERROR(GETPIVOTDATA("Sum of D2 Net2",'3.2 Pivot C'!$A$4,"Status 1 - Development","04 Pending","Status 2 - Permission Type","02 Full"),0)+IFERROR(GETPIVOTDATA("Sum of D2 Net2",'3.2 Pivot C'!$A$4,"Status 1 - Development","04 Pending","Status 2 - Permission Type","04 Prior Approval"),0)</f>
        <v>1150</v>
      </c>
      <c r="I34" s="500">
        <f>IFERROR(GETPIVOTDATA("Count of D Total Net",'3.2 Pivot C'!$A$4,"Status 1 - Development","04 Pending","Status 2 - Permission Type","02 Full"),0)+IFERROR(GETPIVOTDATA("Count of D Total Net",'3.2 Pivot C'!$A$4,"Status 1 - Development","04 Pending","Status 2 - Permission Type","04 Prior Approval"),0)</f>
        <v>16</v>
      </c>
      <c r="J34" s="111">
        <f>IFERROR(GETPIVOTDATA("Sum of D Total Net2",'3.2 Pivot C'!$A$4,"Status 1 - Development","04 Pending","Status 2 - Permission Type","02 Full"),0)+IFERROR(GETPIVOTDATA("Sum of D Total Net2",'3.2 Pivot C'!$A$4,"Status 1 - Development","04 Pending","Status 2 - Permission Type","04 Prior Approval"),0)</f>
        <v>-1590</v>
      </c>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row>
    <row r="35" spans="1:144" s="7" customFormat="1" ht="12" customHeight="1" x14ac:dyDescent="0.2">
      <c r="A35" s="787"/>
      <c r="B35" s="761"/>
      <c r="C35" s="754"/>
      <c r="D35" s="384" t="s">
        <v>95</v>
      </c>
      <c r="E35" s="258">
        <f t="shared" ref="E35:J35" si="7">SUM(E32:E34)</f>
        <v>16</v>
      </c>
      <c r="F35" s="259">
        <f t="shared" si="7"/>
        <v>-2698</v>
      </c>
      <c r="G35" s="258">
        <f t="shared" si="7"/>
        <v>9</v>
      </c>
      <c r="H35" s="259">
        <f t="shared" si="7"/>
        <v>1814</v>
      </c>
      <c r="I35" s="498">
        <f t="shared" si="7"/>
        <v>22</v>
      </c>
      <c r="J35" s="475">
        <f t="shared" si="7"/>
        <v>-884</v>
      </c>
    </row>
    <row r="36" spans="1:144" ht="12" customHeight="1" x14ac:dyDescent="0.2">
      <c r="A36" s="787"/>
      <c r="B36" s="760"/>
      <c r="C36" s="752" t="s">
        <v>2933</v>
      </c>
      <c r="D36" s="381" t="s">
        <v>111</v>
      </c>
      <c r="E36" s="497">
        <f>IFERROR(GETPIVOTDATA("Count of D1 Net",'3.2 Pivot A'!$A$4,"Status 1 - Development","04 Pending","Status 2 - Permission Type","06 Appeal"),0)</f>
        <v>0</v>
      </c>
      <c r="F36" s="358">
        <f>IFERROR(GETPIVOTDATA("Sum of D1 Net2",'3.2 Pivot A'!$A$4,"Status 1 - Development","04 Pending","Status 2 - Permission Type","06 Appeal"),0)</f>
        <v>0</v>
      </c>
      <c r="G36" s="497">
        <f>IFERROR(GETPIVOTDATA("Count of D2 Net",'3.2 Pivot A'!$A$4,"Status 1 - Development","04 Pending","Status 2 - Permission Type","06 Appeal"),0)</f>
        <v>0</v>
      </c>
      <c r="H36" s="358">
        <f>IFERROR(GETPIVOTDATA("Sum of D2 Net2",'3.2 Pivot A'!$A$4,"Status 1 - Development","04 Pending","Status 2 - Permission Type","06 Appeal"),0)</f>
        <v>0</v>
      </c>
      <c r="I36" s="497">
        <f>IFERROR(GETPIVOTDATA("Count of D Total Net",'3.2 Pivot A'!$A$4,"Status 1 - Development","04 Pending","Status 2 - Permission Type","06 Appeal"),0)</f>
        <v>0</v>
      </c>
      <c r="J36" s="358">
        <f>IFERROR(GETPIVOTDATA("Sum of D Total Net2",'3.2 Pivot A'!$A$4,"Status 1 - Development","04 Pending","Status 2 - Permission Type","06 Appeal"),0)</f>
        <v>0</v>
      </c>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row>
    <row r="37" spans="1:144" ht="12" customHeight="1" x14ac:dyDescent="0.2">
      <c r="A37" s="787"/>
      <c r="B37" s="760"/>
      <c r="C37" s="763"/>
      <c r="D37" s="382" t="s">
        <v>140</v>
      </c>
      <c r="E37" s="207">
        <f>IFERROR(GETPIVOTDATA("Count of D1 Net",'3.2 Pivot B'!$A$4,"Status 1 - Development","04 Pending","Status 2 - Permission Type","06 Appeal"),0)</f>
        <v>0</v>
      </c>
      <c r="F37" s="101">
        <f>IFERROR(GETPIVOTDATA("Sum of D1 Net2",'3.2 Pivot B'!$A$4,"Status 1 - Development","04 Pending","Status 2 - Permission Type","06 Appeal"),0)</f>
        <v>0</v>
      </c>
      <c r="G37" s="207">
        <f>IFERROR(GETPIVOTDATA("Count of D2 Net",'3.2 Pivot B'!$A$4,"Status 1 - Development","04 Pending","Status 2 - Permission Type","06 Appeal"),0)</f>
        <v>0</v>
      </c>
      <c r="H37" s="101">
        <f>IFERROR(GETPIVOTDATA("Sum of D2 Net2",'3.2 Pivot B'!$A$4,"Status 1 - Development","04 Pending","Status 2 - Permission Type","06 Appeal"),0)</f>
        <v>0</v>
      </c>
      <c r="I37" s="207">
        <f>IFERROR(GETPIVOTDATA("Count of D Total Net",'3.2 Pivot B'!$A$4,"Status 1 - Development","04 Pending","Status 2 - Permission Type","06 Appeal"),0)</f>
        <v>0</v>
      </c>
      <c r="J37" s="101">
        <f>IFERROR(GETPIVOTDATA("Sum of D Total Net2",'3.2 Pivot B'!$A$4,"Status 1 - Development","04 Pending","Status 2 - Permission Type","06 Appeal"),0)</f>
        <v>0</v>
      </c>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row>
    <row r="38" spans="1:144" ht="12" customHeight="1" x14ac:dyDescent="0.2">
      <c r="A38" s="787"/>
      <c r="B38" s="760"/>
      <c r="C38" s="763"/>
      <c r="D38" s="383" t="s">
        <v>49</v>
      </c>
      <c r="E38" s="500">
        <f>IFERROR(GETPIVOTDATA("Count of D1 Net",'3.2 Pivot C'!$A$4,"Status 1 - Development","04 Pending","Status 2 - Permission Type","06 Appeal"),0)</f>
        <v>0</v>
      </c>
      <c r="F38" s="111">
        <f>IFERROR(GETPIVOTDATA("Sum of D1 Net2",'3.2 Pivot C'!$A$4,"Status 1 - Development","04 Pending","Status 2 - Permission Type","06 Appeal"),0)</f>
        <v>0</v>
      </c>
      <c r="G38" s="500">
        <f>IFERROR(GETPIVOTDATA("Count of D2 Net",'3.2 Pivot C'!$A$4,"Status 1 - Development","04 Pending","Status 2 - Permission Type","06 Appeal"),0)</f>
        <v>2</v>
      </c>
      <c r="H38" s="111">
        <f>IFERROR(GETPIVOTDATA("Sum of D2 Net2",'3.2 Pivot C'!$A$4,"Status 1 - Development","04 Pending","Status 2 - Permission Type","06 Appeal"),0)</f>
        <v>-132</v>
      </c>
      <c r="I38" s="500">
        <f>IFERROR(GETPIVOTDATA("Count of D Total Net",'3.2 Pivot C'!$A$4,"Status 1 - Development","04 Pending","Status 2 - Permission Type","06 Appeal"),0)</f>
        <v>2</v>
      </c>
      <c r="J38" s="111">
        <f>IFERROR(GETPIVOTDATA("Sum of D Total Net2",'3.2 Pivot C'!$A$4,"Status 1 - Development","04 Pending","Status 2 - Permission Type","06 Appeal"),0)</f>
        <v>-132</v>
      </c>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row>
    <row r="39" spans="1:144" s="7" customFormat="1" ht="12" customHeight="1" x14ac:dyDescent="0.2">
      <c r="A39" s="787"/>
      <c r="B39" s="761"/>
      <c r="C39" s="764"/>
      <c r="D39" s="384" t="s">
        <v>95</v>
      </c>
      <c r="E39" s="258">
        <f t="shared" ref="E39:J39" si="8">SUM(E36:E38)</f>
        <v>0</v>
      </c>
      <c r="F39" s="259">
        <f t="shared" si="8"/>
        <v>0</v>
      </c>
      <c r="G39" s="258">
        <f t="shared" si="8"/>
        <v>2</v>
      </c>
      <c r="H39" s="259">
        <f t="shared" si="8"/>
        <v>-132</v>
      </c>
      <c r="I39" s="498">
        <f t="shared" si="8"/>
        <v>2</v>
      </c>
      <c r="J39" s="475">
        <f t="shared" si="8"/>
        <v>-132</v>
      </c>
    </row>
    <row r="40" spans="1:144" ht="12" customHeight="1" x14ac:dyDescent="0.2">
      <c r="A40" s="787"/>
      <c r="B40" s="762"/>
      <c r="C40" s="774" t="s">
        <v>95</v>
      </c>
      <c r="D40" s="775"/>
      <c r="E40" s="102">
        <f>SUM(E31,E35,E39)</f>
        <v>20</v>
      </c>
      <c r="F40" s="98">
        <f t="shared" ref="F40:J40" si="9">SUM(F31,F35,F39)</f>
        <v>3107</v>
      </c>
      <c r="G40" s="102">
        <f t="shared" si="9"/>
        <v>13</v>
      </c>
      <c r="H40" s="98">
        <f t="shared" si="9"/>
        <v>1923</v>
      </c>
      <c r="I40" s="474">
        <f t="shared" si="9"/>
        <v>28</v>
      </c>
      <c r="J40" s="475">
        <f t="shared" si="9"/>
        <v>5030</v>
      </c>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row>
    <row r="41" spans="1:144" ht="12" customHeight="1" x14ac:dyDescent="0.2">
      <c r="A41" s="788"/>
      <c r="B41" s="766" t="s">
        <v>95</v>
      </c>
      <c r="C41" s="742"/>
      <c r="D41" s="743"/>
      <c r="E41" s="102">
        <f>SUM(E27,E40)</f>
        <v>112</v>
      </c>
      <c r="F41" s="98">
        <f t="shared" ref="F41:J41" si="10">SUM(F27,F40)</f>
        <v>35983</v>
      </c>
      <c r="G41" s="102">
        <f t="shared" si="10"/>
        <v>66</v>
      </c>
      <c r="H41" s="98">
        <f t="shared" si="10"/>
        <v>27246</v>
      </c>
      <c r="I41" s="474">
        <f t="shared" si="10"/>
        <v>147</v>
      </c>
      <c r="J41" s="475">
        <f t="shared" si="10"/>
        <v>63229</v>
      </c>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row>
    <row r="42" spans="1:144" x14ac:dyDescent="0.2">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row>
    <row r="43" spans="1:144" x14ac:dyDescent="0.2">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row>
    <row r="44" spans="1:144" x14ac:dyDescent="0.2">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row>
    <row r="45" spans="1:144" x14ac:dyDescent="0.2">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row>
    <row r="46" spans="1:144" x14ac:dyDescent="0.2">
      <c r="E46" s="21"/>
      <c r="J46" s="21"/>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row>
    <row r="47" spans="1:144" x14ac:dyDescent="0.2">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row>
    <row r="48" spans="1:144" x14ac:dyDescent="0.2">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row>
    <row r="49" spans="11:144" x14ac:dyDescent="0.2">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row>
    <row r="50" spans="11:144" x14ac:dyDescent="0.2">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row>
    <row r="51" spans="11:144" x14ac:dyDescent="0.2">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row>
    <row r="52" spans="11:144" x14ac:dyDescent="0.2">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row>
    <row r="53" spans="11:144" x14ac:dyDescent="0.2">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row>
    <row r="54" spans="11:144" x14ac:dyDescent="0.2">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row>
    <row r="55" spans="11:144" x14ac:dyDescent="0.2">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row>
    <row r="56" spans="11:144" x14ac:dyDescent="0.2">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row>
    <row r="57" spans="11:144" x14ac:dyDescent="0.2">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row>
    <row r="58" spans="11:144" x14ac:dyDescent="0.2">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row>
    <row r="59" spans="11:144" x14ac:dyDescent="0.2">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row>
    <row r="60" spans="11:144" x14ac:dyDescent="0.2">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row>
    <row r="61" spans="11:144" x14ac:dyDescent="0.2">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row>
    <row r="62" spans="11:144" x14ac:dyDescent="0.2">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row>
    <row r="63" spans="11:144" x14ac:dyDescent="0.2">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row>
    <row r="64" spans="11:144" x14ac:dyDescent="0.2">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row>
    <row r="65" spans="1:144" x14ac:dyDescent="0.2">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row>
    <row r="66" spans="1:144" x14ac:dyDescent="0.2">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row>
    <row r="67" spans="1:144" x14ac:dyDescent="0.2">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row>
    <row r="68" spans="1:144" x14ac:dyDescent="0.2">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row>
    <row r="69" spans="1:144" x14ac:dyDescent="0.2">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row>
    <row r="70" spans="1:144" x14ac:dyDescent="0.2">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row>
    <row r="71" spans="1:144" x14ac:dyDescent="0.2">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row>
    <row r="72" spans="1:144" x14ac:dyDescent="0.2">
      <c r="A72" s="405"/>
      <c r="B72" s="18"/>
      <c r="C72" s="18"/>
      <c r="D72" s="18"/>
      <c r="E72" s="18"/>
      <c r="F72" s="18"/>
      <c r="G72" s="18"/>
      <c r="H72" s="18"/>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row>
    <row r="73" spans="1:144" x14ac:dyDescent="0.2">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row>
    <row r="74" spans="1:144" x14ac:dyDescent="0.2">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row>
    <row r="75" spans="1:144" x14ac:dyDescent="0.2">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row>
    <row r="76" spans="1:144" x14ac:dyDescent="0.2">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row>
    <row r="77" spans="1:144" x14ac:dyDescent="0.2">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row>
    <row r="78" spans="1:144" x14ac:dyDescent="0.2">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row>
    <row r="79" spans="1:144" x14ac:dyDescent="0.2">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row>
    <row r="80" spans="1:144" x14ac:dyDescent="0.2">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row>
    <row r="81" spans="11:144" x14ac:dyDescent="0.2">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row>
    <row r="82" spans="11:144" x14ac:dyDescent="0.2">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row>
    <row r="83" spans="11:144" x14ac:dyDescent="0.2">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row>
    <row r="84" spans="11:144" x14ac:dyDescent="0.2">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row>
    <row r="85" spans="11:144" x14ac:dyDescent="0.2">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row>
    <row r="86" spans="11:144" x14ac:dyDescent="0.2">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row>
    <row r="87" spans="11:144" x14ac:dyDescent="0.2">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row>
    <row r="88" spans="11:144" x14ac:dyDescent="0.2">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row>
    <row r="89" spans="11:144" x14ac:dyDescent="0.2">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row>
    <row r="90" spans="11:144" x14ac:dyDescent="0.2">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row>
    <row r="91" spans="11:144" x14ac:dyDescent="0.2">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row>
    <row r="92" spans="11:144" x14ac:dyDescent="0.2">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row>
    <row r="93" spans="11:144" x14ac:dyDescent="0.2">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row>
    <row r="94" spans="11:144" x14ac:dyDescent="0.2">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row>
    <row r="95" spans="11:144" x14ac:dyDescent="0.2">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row>
    <row r="96" spans="11:144" x14ac:dyDescent="0.2">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row>
    <row r="97" spans="11:144" x14ac:dyDescent="0.2">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row>
    <row r="98" spans="11:144" x14ac:dyDescent="0.2">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row>
    <row r="99" spans="11:144" x14ac:dyDescent="0.2">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row>
    <row r="100" spans="11:144" x14ac:dyDescent="0.2">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row>
    <row r="101" spans="11:144" x14ac:dyDescent="0.2">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row>
    <row r="102" spans="11:144" x14ac:dyDescent="0.2">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row>
    <row r="103" spans="11:144" x14ac:dyDescent="0.2">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row>
    <row r="104" spans="11:144" x14ac:dyDescent="0.2">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row>
    <row r="105" spans="11:144" x14ac:dyDescent="0.2">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row>
    <row r="106" spans="11:144" x14ac:dyDescent="0.2">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row>
    <row r="107" spans="11:144" x14ac:dyDescent="0.2">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row>
    <row r="108" spans="11:144" x14ac:dyDescent="0.2">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row>
    <row r="109" spans="11:144" x14ac:dyDescent="0.2">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row>
    <row r="110" spans="11:144" x14ac:dyDescent="0.2">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row>
    <row r="111" spans="11:144" x14ac:dyDescent="0.2">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row>
    <row r="112" spans="11:144" x14ac:dyDescent="0.2">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row>
    <row r="113" spans="11:144" x14ac:dyDescent="0.2">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row>
    <row r="114" spans="11:144" x14ac:dyDescent="0.2">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row>
    <row r="115" spans="11:144" x14ac:dyDescent="0.2">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row>
    <row r="116" spans="11:144" x14ac:dyDescent="0.2">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row>
    <row r="117" spans="11:144" x14ac:dyDescent="0.2">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row>
    <row r="118" spans="11:144" x14ac:dyDescent="0.2">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row>
    <row r="119" spans="11:144" x14ac:dyDescent="0.2">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row>
    <row r="120" spans="11:144" x14ac:dyDescent="0.2">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row>
    <row r="121" spans="11:144" x14ac:dyDescent="0.2">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row>
    <row r="122" spans="11:144" x14ac:dyDescent="0.2">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row>
    <row r="123" spans="11:144" x14ac:dyDescent="0.2">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row>
    <row r="124" spans="11:144" x14ac:dyDescent="0.2">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row>
    <row r="125" spans="11:144" x14ac:dyDescent="0.2">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row>
    <row r="126" spans="11:144" x14ac:dyDescent="0.2">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row>
    <row r="127" spans="11:144" x14ac:dyDescent="0.2">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row>
    <row r="128" spans="11:144" x14ac:dyDescent="0.2">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row>
    <row r="129" spans="11:144" x14ac:dyDescent="0.2">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row>
    <row r="130" spans="11:144" x14ac:dyDescent="0.2">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row>
    <row r="131" spans="11:144" x14ac:dyDescent="0.2">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row>
    <row r="132" spans="11:144" x14ac:dyDescent="0.2">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row>
    <row r="133" spans="11:144" x14ac:dyDescent="0.2">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row>
    <row r="134" spans="11:144" x14ac:dyDescent="0.2">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row>
    <row r="135" spans="11:144" x14ac:dyDescent="0.2">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row>
    <row r="136" spans="11:144" x14ac:dyDescent="0.2">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row>
    <row r="137" spans="11:144" x14ac:dyDescent="0.2">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row>
    <row r="138" spans="11:144" x14ac:dyDescent="0.2">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row>
    <row r="139" spans="11:144" x14ac:dyDescent="0.2">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row>
    <row r="140" spans="11:144" x14ac:dyDescent="0.2">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row>
    <row r="141" spans="11:144" x14ac:dyDescent="0.2">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row>
    <row r="142" spans="11:144" x14ac:dyDescent="0.2">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row>
    <row r="143" spans="11:144" x14ac:dyDescent="0.2">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row>
    <row r="144" spans="11:144" x14ac:dyDescent="0.2">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row>
    <row r="145" spans="11:144" x14ac:dyDescent="0.2">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row>
    <row r="146" spans="11:144" x14ac:dyDescent="0.2">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row>
    <row r="147" spans="11:144" x14ac:dyDescent="0.2">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row>
    <row r="148" spans="11:144" x14ac:dyDescent="0.2">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row>
    <row r="149" spans="11:144" x14ac:dyDescent="0.2">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row>
    <row r="150" spans="11:144" x14ac:dyDescent="0.2">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row>
    <row r="151" spans="11:144" x14ac:dyDescent="0.2">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row>
    <row r="152" spans="11:144" x14ac:dyDescent="0.2">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row>
    <row r="153" spans="11:144" x14ac:dyDescent="0.2">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row>
    <row r="154" spans="11:144" x14ac:dyDescent="0.2">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row>
    <row r="155" spans="11:144" x14ac:dyDescent="0.2">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row>
    <row r="156" spans="11:144" x14ac:dyDescent="0.2">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row>
    <row r="157" spans="11:144" x14ac:dyDescent="0.2">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row>
    <row r="158" spans="11:144" x14ac:dyDescent="0.2">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row>
    <row r="159" spans="11:144" x14ac:dyDescent="0.2">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row>
    <row r="160" spans="11:144" x14ac:dyDescent="0.2">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row>
    <row r="161" spans="11:144" x14ac:dyDescent="0.2">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row>
    <row r="162" spans="11:144" x14ac:dyDescent="0.2">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row>
    <row r="163" spans="11:144" x14ac:dyDescent="0.2">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row>
    <row r="164" spans="11:144" x14ac:dyDescent="0.2">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row>
    <row r="165" spans="11:144" x14ac:dyDescent="0.2">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row>
    <row r="166" spans="11:144" x14ac:dyDescent="0.2">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row>
    <row r="167" spans="11:144" x14ac:dyDescent="0.2">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row>
    <row r="168" spans="11:144" x14ac:dyDescent="0.2">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row>
    <row r="169" spans="11:144" x14ac:dyDescent="0.2">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row>
    <row r="170" spans="11:144" x14ac:dyDescent="0.2">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row>
    <row r="171" spans="11:144" x14ac:dyDescent="0.2">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row>
    <row r="172" spans="11:144" x14ac:dyDescent="0.2">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row>
    <row r="173" spans="11:144" x14ac:dyDescent="0.2">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row>
    <row r="174" spans="11:144" x14ac:dyDescent="0.2">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row>
    <row r="175" spans="11:144" x14ac:dyDescent="0.2">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row>
    <row r="176" spans="11:144" x14ac:dyDescent="0.2">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row>
    <row r="177" spans="11:144" x14ac:dyDescent="0.2">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row>
    <row r="178" spans="11:144" x14ac:dyDescent="0.2">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row>
    <row r="179" spans="11:144" x14ac:dyDescent="0.2">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row>
    <row r="180" spans="11:144" x14ac:dyDescent="0.2">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row>
    <row r="181" spans="11:144" x14ac:dyDescent="0.2">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row>
    <row r="182" spans="11:144" x14ac:dyDescent="0.2">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row>
    <row r="183" spans="11:144" x14ac:dyDescent="0.2">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row>
    <row r="184" spans="11:144" x14ac:dyDescent="0.2">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row>
    <row r="185" spans="11:144" x14ac:dyDescent="0.2">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row>
  </sheetData>
  <mergeCells count="22">
    <mergeCell ref="B41:D41"/>
    <mergeCell ref="A2:J2"/>
    <mergeCell ref="E5:F5"/>
    <mergeCell ref="G5:H5"/>
    <mergeCell ref="I4:J5"/>
    <mergeCell ref="C11:C14"/>
    <mergeCell ref="B11:B27"/>
    <mergeCell ref="G4:H4"/>
    <mergeCell ref="C32:C35"/>
    <mergeCell ref="C23:C26"/>
    <mergeCell ref="C40:D40"/>
    <mergeCell ref="A7:C10"/>
    <mergeCell ref="A4:D6"/>
    <mergeCell ref="A11:A41"/>
    <mergeCell ref="A1:I1"/>
    <mergeCell ref="C15:C18"/>
    <mergeCell ref="C28:C31"/>
    <mergeCell ref="C19:C22"/>
    <mergeCell ref="C27:D27"/>
    <mergeCell ref="B28:B40"/>
    <mergeCell ref="C36:C39"/>
    <mergeCell ref="E4:F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7"/>
  <sheetViews>
    <sheetView workbookViewId="0"/>
  </sheetViews>
  <sheetFormatPr defaultRowHeight="12" x14ac:dyDescent="0.2"/>
  <cols>
    <col min="1" max="1" width="24" bestFit="1" customWidth="1"/>
    <col min="2" max="2" width="30.28515625" customWidth="1"/>
    <col min="3" max="6" width="13.5703125" bestFit="1" customWidth="1"/>
    <col min="7" max="14" width="17" bestFit="1" customWidth="1"/>
  </cols>
  <sheetData>
    <row r="1" spans="1:8" x14ac:dyDescent="0.2">
      <c r="A1" s="77" t="s">
        <v>111</v>
      </c>
      <c r="B1" s="446" t="s">
        <v>126</v>
      </c>
    </row>
    <row r="2" spans="1:8" x14ac:dyDescent="0.2">
      <c r="A2" s="77" t="s">
        <v>140</v>
      </c>
      <c r="B2" s="446" t="s">
        <v>429</v>
      </c>
    </row>
    <row r="4" spans="1:8" x14ac:dyDescent="0.2">
      <c r="A4" s="77" t="s">
        <v>2939</v>
      </c>
      <c r="B4" s="77" t="s">
        <v>2940</v>
      </c>
      <c r="C4" s="446" t="s">
        <v>15</v>
      </c>
      <c r="D4" s="446" t="s">
        <v>16</v>
      </c>
      <c r="E4" s="446" t="s">
        <v>17</v>
      </c>
      <c r="F4" s="446" t="s">
        <v>18</v>
      </c>
      <c r="G4" s="446" t="s">
        <v>3834</v>
      </c>
      <c r="H4" s="446" t="s">
        <v>3835</v>
      </c>
    </row>
    <row r="5" spans="1:8" x14ac:dyDescent="0.2">
      <c r="A5" s="446" t="s">
        <v>2936</v>
      </c>
      <c r="C5" s="74">
        <v>6</v>
      </c>
      <c r="D5" s="74">
        <v>878</v>
      </c>
      <c r="E5" s="74">
        <v>2</v>
      </c>
      <c r="F5" s="74">
        <v>969</v>
      </c>
      <c r="G5" s="74">
        <v>7</v>
      </c>
      <c r="H5" s="74">
        <v>1847</v>
      </c>
    </row>
    <row r="6" spans="1:8" x14ac:dyDescent="0.2">
      <c r="A6" s="446" t="s">
        <v>2935</v>
      </c>
      <c r="C6" s="74">
        <v>10</v>
      </c>
      <c r="D6" s="74">
        <v>3927</v>
      </c>
      <c r="E6" s="74">
        <v>6</v>
      </c>
      <c r="F6" s="74">
        <v>11047</v>
      </c>
      <c r="G6" s="74">
        <v>12</v>
      </c>
      <c r="H6" s="74">
        <v>14974</v>
      </c>
    </row>
    <row r="7" spans="1:8" x14ac:dyDescent="0.2">
      <c r="A7" s="446" t="s">
        <v>2937</v>
      </c>
      <c r="B7" s="446" t="s">
        <v>2946</v>
      </c>
      <c r="C7" s="74">
        <v>5</v>
      </c>
      <c r="D7" s="74">
        <v>543</v>
      </c>
      <c r="E7" s="74">
        <v>5</v>
      </c>
      <c r="F7" s="74">
        <v>-399</v>
      </c>
      <c r="G7" s="74">
        <v>10</v>
      </c>
      <c r="H7" s="74">
        <v>144</v>
      </c>
    </row>
    <row r="8" spans="1:8" x14ac:dyDescent="0.2">
      <c r="B8" s="446" t="s">
        <v>2947</v>
      </c>
      <c r="C8" s="74">
        <v>3</v>
      </c>
      <c r="D8" s="74">
        <v>3962</v>
      </c>
      <c r="E8" s="74">
        <v>3</v>
      </c>
      <c r="F8" s="74">
        <v>3965</v>
      </c>
      <c r="G8" s="74">
        <v>3</v>
      </c>
      <c r="H8" s="74">
        <v>7927</v>
      </c>
    </row>
    <row r="9" spans="1:8" x14ac:dyDescent="0.2">
      <c r="B9" s="446" t="s">
        <v>2948</v>
      </c>
      <c r="C9" s="74">
        <v>0</v>
      </c>
      <c r="D9" s="74">
        <v>0</v>
      </c>
      <c r="E9" s="74">
        <v>0</v>
      </c>
      <c r="F9" s="74">
        <v>0</v>
      </c>
      <c r="G9" s="74">
        <v>0</v>
      </c>
      <c r="H9" s="74">
        <v>0</v>
      </c>
    </row>
    <row r="10" spans="1:8" x14ac:dyDescent="0.2">
      <c r="B10" s="446" t="s">
        <v>2949</v>
      </c>
      <c r="C10" s="74">
        <v>0</v>
      </c>
      <c r="D10" s="74">
        <v>0</v>
      </c>
      <c r="E10" s="74">
        <v>0</v>
      </c>
      <c r="F10" s="74">
        <v>0</v>
      </c>
      <c r="G10" s="74">
        <v>0</v>
      </c>
      <c r="H10" s="74">
        <v>0</v>
      </c>
    </row>
    <row r="11" spans="1:8" x14ac:dyDescent="0.2">
      <c r="A11" s="446" t="s">
        <v>2956</v>
      </c>
      <c r="B11" s="446"/>
      <c r="C11" s="74">
        <v>8</v>
      </c>
      <c r="D11" s="74">
        <v>4505</v>
      </c>
      <c r="E11" s="74">
        <v>8</v>
      </c>
      <c r="F11" s="74">
        <v>3566</v>
      </c>
      <c r="G11" s="74">
        <v>13</v>
      </c>
      <c r="H11" s="74">
        <v>8071</v>
      </c>
    </row>
    <row r="12" spans="1:8" x14ac:dyDescent="0.2">
      <c r="A12" s="446" t="s">
        <v>2938</v>
      </c>
      <c r="B12" s="446" t="s">
        <v>2945</v>
      </c>
      <c r="C12" s="74">
        <v>0</v>
      </c>
      <c r="D12" s="74">
        <v>0</v>
      </c>
      <c r="E12" s="74">
        <v>0</v>
      </c>
      <c r="F12" s="74">
        <v>0</v>
      </c>
      <c r="G12" s="74">
        <v>0</v>
      </c>
      <c r="H12" s="74">
        <v>0</v>
      </c>
    </row>
    <row r="13" spans="1:8" x14ac:dyDescent="0.2">
      <c r="B13" s="446" t="s">
        <v>2946</v>
      </c>
      <c r="C13" s="74">
        <v>5</v>
      </c>
      <c r="D13" s="74">
        <v>-105</v>
      </c>
      <c r="E13" s="74">
        <v>3</v>
      </c>
      <c r="F13" s="74">
        <v>664</v>
      </c>
      <c r="G13" s="74">
        <v>5</v>
      </c>
      <c r="H13" s="74">
        <v>559</v>
      </c>
    </row>
    <row r="14" spans="1:8" x14ac:dyDescent="0.2">
      <c r="B14" s="446" t="s">
        <v>2948</v>
      </c>
      <c r="C14" s="74">
        <v>0</v>
      </c>
      <c r="D14" s="74">
        <v>0</v>
      </c>
      <c r="E14" s="74">
        <v>0</v>
      </c>
      <c r="F14" s="74">
        <v>0</v>
      </c>
      <c r="G14" s="74">
        <v>0</v>
      </c>
      <c r="H14" s="74">
        <v>0</v>
      </c>
    </row>
    <row r="15" spans="1:8" x14ac:dyDescent="0.2">
      <c r="B15" s="446" t="s">
        <v>2959</v>
      </c>
      <c r="C15" s="74">
        <v>0</v>
      </c>
      <c r="D15" s="74">
        <v>0</v>
      </c>
      <c r="E15" s="74">
        <v>0</v>
      </c>
      <c r="F15" s="74">
        <v>0</v>
      </c>
      <c r="G15" s="74">
        <v>0</v>
      </c>
      <c r="H15" s="74">
        <v>0</v>
      </c>
    </row>
    <row r="16" spans="1:8" x14ac:dyDescent="0.2">
      <c r="A16" s="446" t="s">
        <v>2958</v>
      </c>
      <c r="B16" s="446"/>
      <c r="C16" s="74">
        <v>5</v>
      </c>
      <c r="D16" s="74">
        <v>-105</v>
      </c>
      <c r="E16" s="74">
        <v>3</v>
      </c>
      <c r="F16" s="74">
        <v>664</v>
      </c>
      <c r="G16" s="74">
        <v>5</v>
      </c>
      <c r="H16" s="74">
        <v>559</v>
      </c>
    </row>
    <row r="17" spans="1:8" x14ac:dyDescent="0.2">
      <c r="A17" s="446" t="s">
        <v>115</v>
      </c>
      <c r="C17" s="74">
        <v>29</v>
      </c>
      <c r="D17" s="74">
        <v>9205</v>
      </c>
      <c r="E17" s="74">
        <v>19</v>
      </c>
      <c r="F17" s="74">
        <v>16246</v>
      </c>
      <c r="G17" s="74">
        <v>37</v>
      </c>
      <c r="H17" s="74">
        <v>25451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H14"/>
  <sheetViews>
    <sheetView workbookViewId="0"/>
  </sheetViews>
  <sheetFormatPr defaultRowHeight="12" x14ac:dyDescent="0.2"/>
  <cols>
    <col min="1" max="1" width="24" bestFit="1" customWidth="1"/>
    <col min="2" max="2" width="30.28515625" customWidth="1"/>
    <col min="3" max="6" width="13.5703125" bestFit="1" customWidth="1"/>
    <col min="7" max="14" width="17" bestFit="1" customWidth="1"/>
  </cols>
  <sheetData>
    <row r="1" spans="1:8" x14ac:dyDescent="0.2">
      <c r="A1" s="77" t="s">
        <v>111</v>
      </c>
      <c r="B1" s="446" t="s">
        <v>429</v>
      </c>
    </row>
    <row r="2" spans="1:8" x14ac:dyDescent="0.2">
      <c r="A2" s="77" t="s">
        <v>140</v>
      </c>
      <c r="B2" s="446" t="s">
        <v>126</v>
      </c>
    </row>
    <row r="4" spans="1:8" x14ac:dyDescent="0.2">
      <c r="A4" s="77" t="s">
        <v>2939</v>
      </c>
      <c r="B4" s="77" t="s">
        <v>2940</v>
      </c>
      <c r="C4" s="446" t="s">
        <v>15</v>
      </c>
      <c r="D4" s="446" t="s">
        <v>16</v>
      </c>
      <c r="E4" s="446" t="s">
        <v>17</v>
      </c>
      <c r="F4" s="446" t="s">
        <v>18</v>
      </c>
      <c r="G4" s="446" t="s">
        <v>3834</v>
      </c>
      <c r="H4" s="446" t="s">
        <v>3835</v>
      </c>
    </row>
    <row r="5" spans="1:8" x14ac:dyDescent="0.2">
      <c r="A5" s="446" t="s">
        <v>2936</v>
      </c>
      <c r="C5" s="74">
        <v>1</v>
      </c>
      <c r="D5" s="74">
        <v>-101</v>
      </c>
      <c r="E5" s="74">
        <v>0</v>
      </c>
      <c r="F5" s="74">
        <v>0</v>
      </c>
      <c r="G5" s="74">
        <v>1</v>
      </c>
      <c r="H5" s="74">
        <v>-101</v>
      </c>
    </row>
    <row r="6" spans="1:8" x14ac:dyDescent="0.2">
      <c r="A6" s="446" t="s">
        <v>2935</v>
      </c>
      <c r="C6" s="74">
        <v>0</v>
      </c>
      <c r="D6" s="74">
        <v>0</v>
      </c>
      <c r="E6" s="74">
        <v>0</v>
      </c>
      <c r="F6" s="74">
        <v>0</v>
      </c>
      <c r="G6" s="74">
        <v>0</v>
      </c>
      <c r="H6" s="74">
        <v>0</v>
      </c>
    </row>
    <row r="7" spans="1:8" x14ac:dyDescent="0.2">
      <c r="A7" s="446" t="s">
        <v>2937</v>
      </c>
      <c r="B7" s="446" t="s">
        <v>2946</v>
      </c>
      <c r="C7" s="74">
        <v>1</v>
      </c>
      <c r="D7" s="74">
        <v>74</v>
      </c>
      <c r="E7" s="74">
        <v>1</v>
      </c>
      <c r="F7" s="74">
        <v>49</v>
      </c>
      <c r="G7" s="74">
        <v>2</v>
      </c>
      <c r="H7" s="74">
        <v>123</v>
      </c>
    </row>
    <row r="8" spans="1:8" x14ac:dyDescent="0.2">
      <c r="B8" s="446" t="s">
        <v>2948</v>
      </c>
      <c r="C8" s="74">
        <v>0</v>
      </c>
      <c r="D8" s="74">
        <v>0</v>
      </c>
      <c r="E8" s="74">
        <v>0</v>
      </c>
      <c r="F8" s="74">
        <v>0</v>
      </c>
      <c r="G8" s="74">
        <v>0</v>
      </c>
      <c r="H8" s="74">
        <v>0</v>
      </c>
    </row>
    <row r="9" spans="1:8" x14ac:dyDescent="0.2">
      <c r="B9" s="446" t="s">
        <v>2949</v>
      </c>
      <c r="C9" s="74">
        <v>0</v>
      </c>
      <c r="D9" s="74">
        <v>0</v>
      </c>
      <c r="E9" s="74">
        <v>0</v>
      </c>
      <c r="F9" s="74">
        <v>0</v>
      </c>
      <c r="G9" s="74">
        <v>0</v>
      </c>
      <c r="H9" s="74">
        <v>0</v>
      </c>
    </row>
    <row r="10" spans="1:8" x14ac:dyDescent="0.2">
      <c r="A10" s="446" t="s">
        <v>2956</v>
      </c>
      <c r="B10" s="446"/>
      <c r="C10" s="74">
        <v>1</v>
      </c>
      <c r="D10" s="74">
        <v>74</v>
      </c>
      <c r="E10" s="74">
        <v>1</v>
      </c>
      <c r="F10" s="74">
        <v>49</v>
      </c>
      <c r="G10" s="74">
        <v>2</v>
      </c>
      <c r="H10" s="74">
        <v>123</v>
      </c>
    </row>
    <row r="11" spans="1:8" x14ac:dyDescent="0.2">
      <c r="A11" s="446" t="s">
        <v>2938</v>
      </c>
      <c r="B11" s="446" t="s">
        <v>2946</v>
      </c>
      <c r="C11" s="74">
        <v>1</v>
      </c>
      <c r="D11" s="74">
        <v>147</v>
      </c>
      <c r="E11" s="74">
        <v>0</v>
      </c>
      <c r="F11" s="74">
        <v>0</v>
      </c>
      <c r="G11" s="74">
        <v>1</v>
      </c>
      <c r="H11" s="74">
        <v>147</v>
      </c>
    </row>
    <row r="12" spans="1:8" x14ac:dyDescent="0.2">
      <c r="B12" s="446" t="s">
        <v>2948</v>
      </c>
      <c r="C12" s="74">
        <v>0</v>
      </c>
      <c r="D12" s="74">
        <v>0</v>
      </c>
      <c r="E12" s="74">
        <v>0</v>
      </c>
      <c r="F12" s="74">
        <v>0</v>
      </c>
      <c r="G12" s="74">
        <v>0</v>
      </c>
      <c r="H12" s="74">
        <v>0</v>
      </c>
    </row>
    <row r="13" spans="1:8" x14ac:dyDescent="0.2">
      <c r="A13" s="446" t="s">
        <v>2958</v>
      </c>
      <c r="B13" s="446"/>
      <c r="C13" s="74">
        <v>1</v>
      </c>
      <c r="D13" s="74">
        <v>147</v>
      </c>
      <c r="E13" s="74">
        <v>0</v>
      </c>
      <c r="F13" s="74">
        <v>0</v>
      </c>
      <c r="G13" s="74">
        <v>1</v>
      </c>
      <c r="H13" s="74">
        <v>147</v>
      </c>
    </row>
    <row r="14" spans="1:8" x14ac:dyDescent="0.2">
      <c r="A14" s="446" t="s">
        <v>115</v>
      </c>
      <c r="C14" s="74">
        <v>3</v>
      </c>
      <c r="D14" s="74">
        <v>120</v>
      </c>
      <c r="E14" s="74">
        <v>1</v>
      </c>
      <c r="F14" s="74">
        <v>49</v>
      </c>
      <c r="G14" s="74">
        <v>4</v>
      </c>
      <c r="H14" s="74">
        <v>169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0"/>
  <sheetViews>
    <sheetView workbookViewId="0"/>
  </sheetViews>
  <sheetFormatPr defaultRowHeight="12" x14ac:dyDescent="0.2"/>
  <cols>
    <col min="1" max="1" width="22.28515625" bestFit="1" customWidth="1"/>
    <col min="2" max="2" width="33.28515625" bestFit="1" customWidth="1"/>
    <col min="3" max="3" width="19.85546875" bestFit="1" customWidth="1"/>
    <col min="4" max="4" width="18" bestFit="1" customWidth="1"/>
    <col min="5" max="5" width="18.42578125" bestFit="1" customWidth="1"/>
    <col min="6" max="6" width="17" bestFit="1" customWidth="1"/>
    <col min="7" max="7" width="18" bestFit="1" customWidth="1"/>
    <col min="8" max="8" width="17.42578125" customWidth="1"/>
    <col min="9" max="9" width="17" bestFit="1" customWidth="1"/>
  </cols>
  <sheetData>
    <row r="1" spans="1:9" x14ac:dyDescent="0.2">
      <c r="A1" s="77" t="s">
        <v>2939</v>
      </c>
      <c r="B1" s="77" t="s">
        <v>2940</v>
      </c>
      <c r="C1" s="77" t="s">
        <v>2919</v>
      </c>
      <c r="D1" s="446" t="s">
        <v>2920</v>
      </c>
      <c r="E1" s="446" t="s">
        <v>2922</v>
      </c>
      <c r="F1" s="446" t="s">
        <v>2923</v>
      </c>
      <c r="G1" s="446" t="s">
        <v>2924</v>
      </c>
      <c r="H1" s="446" t="s">
        <v>2921</v>
      </c>
      <c r="I1" s="446" t="s">
        <v>2925</v>
      </c>
    </row>
    <row r="2" spans="1:9" x14ac:dyDescent="0.2">
      <c r="A2" s="446" t="s">
        <v>2936</v>
      </c>
      <c r="B2" s="446" t="s">
        <v>2946</v>
      </c>
      <c r="C2" s="446" t="s">
        <v>29</v>
      </c>
      <c r="D2" s="74">
        <v>12</v>
      </c>
      <c r="E2" s="74">
        <v>29</v>
      </c>
      <c r="F2" s="74">
        <v>35</v>
      </c>
      <c r="G2" s="74">
        <v>15924</v>
      </c>
      <c r="H2" s="74">
        <v>44972</v>
      </c>
      <c r="I2" s="74">
        <v>-29048</v>
      </c>
    </row>
    <row r="3" spans="1:9" x14ac:dyDescent="0.2">
      <c r="C3" s="446" t="s">
        <v>39</v>
      </c>
      <c r="D3" s="74">
        <v>4</v>
      </c>
      <c r="E3" s="74">
        <v>0</v>
      </c>
      <c r="F3" s="74">
        <v>4</v>
      </c>
      <c r="G3" s="74">
        <v>1131</v>
      </c>
      <c r="H3" s="74">
        <v>0</v>
      </c>
      <c r="I3" s="74">
        <v>1131</v>
      </c>
    </row>
    <row r="4" spans="1:9" x14ac:dyDescent="0.2">
      <c r="C4" s="446" t="s">
        <v>21</v>
      </c>
      <c r="D4" s="74">
        <v>11</v>
      </c>
      <c r="E4" s="74">
        <v>17</v>
      </c>
      <c r="F4" s="74">
        <v>23</v>
      </c>
      <c r="G4" s="74">
        <v>4192</v>
      </c>
      <c r="H4" s="74">
        <v>19961</v>
      </c>
      <c r="I4" s="74">
        <v>-15569</v>
      </c>
    </row>
    <row r="5" spans="1:9" x14ac:dyDescent="0.2">
      <c r="B5" s="446" t="s">
        <v>2950</v>
      </c>
      <c r="C5" s="446"/>
      <c r="D5" s="74">
        <v>27</v>
      </c>
      <c r="E5" s="74">
        <v>46</v>
      </c>
      <c r="F5" s="74">
        <v>62</v>
      </c>
      <c r="G5" s="74">
        <v>21247</v>
      </c>
      <c r="H5" s="74">
        <v>64933</v>
      </c>
      <c r="I5" s="74">
        <v>-43486</v>
      </c>
    </row>
    <row r="6" spans="1:9" x14ac:dyDescent="0.2">
      <c r="B6" s="446" t="s">
        <v>2948</v>
      </c>
      <c r="C6" s="446" t="s">
        <v>29</v>
      </c>
      <c r="D6" s="74">
        <v>0</v>
      </c>
      <c r="E6" s="74">
        <v>0</v>
      </c>
      <c r="F6" s="74">
        <v>0</v>
      </c>
      <c r="G6" s="74">
        <v>0</v>
      </c>
      <c r="H6" s="74">
        <v>0</v>
      </c>
      <c r="I6" s="74">
        <v>0</v>
      </c>
    </row>
    <row r="7" spans="1:9" x14ac:dyDescent="0.2">
      <c r="C7" s="446" t="s">
        <v>39</v>
      </c>
      <c r="D7" s="74">
        <v>0</v>
      </c>
      <c r="E7" s="74">
        <v>0</v>
      </c>
      <c r="F7" s="74">
        <v>0</v>
      </c>
      <c r="G7" s="74">
        <v>0</v>
      </c>
      <c r="H7" s="74">
        <v>0</v>
      </c>
      <c r="I7" s="74">
        <v>0</v>
      </c>
    </row>
    <row r="8" spans="1:9" x14ac:dyDescent="0.2">
      <c r="C8" s="446" t="s">
        <v>21</v>
      </c>
      <c r="D8" s="74">
        <v>0</v>
      </c>
      <c r="E8" s="74">
        <v>12</v>
      </c>
      <c r="F8" s="74">
        <v>12</v>
      </c>
      <c r="G8" s="74">
        <v>0</v>
      </c>
      <c r="H8" s="74">
        <v>2374</v>
      </c>
      <c r="I8" s="74">
        <v>-2374</v>
      </c>
    </row>
    <row r="9" spans="1:9" x14ac:dyDescent="0.2">
      <c r="B9" s="446" t="s">
        <v>2951</v>
      </c>
      <c r="C9" s="446"/>
      <c r="D9" s="74">
        <v>0</v>
      </c>
      <c r="E9" s="74">
        <v>12</v>
      </c>
      <c r="F9" s="74">
        <v>12</v>
      </c>
      <c r="G9" s="74">
        <v>0</v>
      </c>
      <c r="H9" s="74">
        <v>2374</v>
      </c>
      <c r="I9" s="74">
        <v>-2374</v>
      </c>
    </row>
    <row r="10" spans="1:9" x14ac:dyDescent="0.2">
      <c r="B10" s="446" t="s">
        <v>2949</v>
      </c>
      <c r="C10" s="446" t="s">
        <v>29</v>
      </c>
      <c r="D10" s="74">
        <v>0</v>
      </c>
      <c r="E10" s="74">
        <v>0</v>
      </c>
      <c r="F10" s="74">
        <v>0</v>
      </c>
      <c r="G10" s="74">
        <v>0</v>
      </c>
      <c r="H10" s="74">
        <v>0</v>
      </c>
      <c r="I10" s="74">
        <v>0</v>
      </c>
    </row>
    <row r="11" spans="1:9" x14ac:dyDescent="0.2">
      <c r="C11" s="446" t="s">
        <v>39</v>
      </c>
      <c r="D11" s="74">
        <v>0</v>
      </c>
      <c r="E11" s="74">
        <v>0</v>
      </c>
      <c r="F11" s="74">
        <v>0</v>
      </c>
      <c r="G11" s="74">
        <v>0</v>
      </c>
      <c r="H11" s="74">
        <v>0</v>
      </c>
      <c r="I11" s="74">
        <v>0</v>
      </c>
    </row>
    <row r="12" spans="1:9" x14ac:dyDescent="0.2">
      <c r="C12" s="446" t="s">
        <v>21</v>
      </c>
      <c r="D12" s="74">
        <v>3</v>
      </c>
      <c r="E12" s="74">
        <v>2</v>
      </c>
      <c r="F12" s="74">
        <v>1</v>
      </c>
      <c r="G12" s="74">
        <v>977</v>
      </c>
      <c r="H12" s="74">
        <v>937</v>
      </c>
      <c r="I12" s="74">
        <v>40</v>
      </c>
    </row>
    <row r="13" spans="1:9" x14ac:dyDescent="0.2">
      <c r="B13" s="446" t="s">
        <v>2952</v>
      </c>
      <c r="C13" s="446"/>
      <c r="D13" s="74">
        <v>3</v>
      </c>
      <c r="E13" s="74">
        <v>2</v>
      </c>
      <c r="F13" s="74">
        <v>1</v>
      </c>
      <c r="G13" s="74">
        <v>977</v>
      </c>
      <c r="H13" s="74">
        <v>937</v>
      </c>
      <c r="I13" s="74">
        <v>40</v>
      </c>
    </row>
    <row r="14" spans="1:9" x14ac:dyDescent="0.2">
      <c r="A14" s="446" t="s">
        <v>2953</v>
      </c>
      <c r="B14" s="446"/>
      <c r="C14" s="446"/>
      <c r="D14" s="74">
        <v>30</v>
      </c>
      <c r="E14" s="74">
        <v>60</v>
      </c>
      <c r="F14" s="74">
        <v>75</v>
      </c>
      <c r="G14" s="74">
        <v>22224</v>
      </c>
      <c r="H14" s="74">
        <v>68244</v>
      </c>
      <c r="I14" s="74">
        <v>-45820</v>
      </c>
    </row>
    <row r="15" spans="1:9" x14ac:dyDescent="0.2">
      <c r="A15" s="446" t="s">
        <v>2935</v>
      </c>
      <c r="B15" s="446" t="s">
        <v>2946</v>
      </c>
      <c r="C15" s="446" t="s">
        <v>29</v>
      </c>
      <c r="D15" s="74">
        <v>33</v>
      </c>
      <c r="E15" s="74">
        <v>45</v>
      </c>
      <c r="F15" s="74">
        <v>60</v>
      </c>
      <c r="G15" s="74">
        <v>80757</v>
      </c>
      <c r="H15" s="74">
        <v>172466</v>
      </c>
      <c r="I15" s="74">
        <v>-91709</v>
      </c>
    </row>
    <row r="16" spans="1:9" x14ac:dyDescent="0.2">
      <c r="C16" s="446" t="s">
        <v>39</v>
      </c>
      <c r="D16" s="74">
        <v>5</v>
      </c>
      <c r="E16" s="74">
        <v>1</v>
      </c>
      <c r="F16" s="74">
        <v>6</v>
      </c>
      <c r="G16" s="74">
        <v>1671</v>
      </c>
      <c r="H16" s="74">
        <v>34</v>
      </c>
      <c r="I16" s="74">
        <v>1637</v>
      </c>
    </row>
    <row r="17" spans="1:9" x14ac:dyDescent="0.2">
      <c r="C17" s="446" t="s">
        <v>21</v>
      </c>
      <c r="D17" s="74">
        <v>5</v>
      </c>
      <c r="E17" s="74">
        <v>3</v>
      </c>
      <c r="F17" s="74">
        <v>6</v>
      </c>
      <c r="G17" s="74">
        <v>883</v>
      </c>
      <c r="H17" s="74">
        <v>4041</v>
      </c>
      <c r="I17" s="74">
        <v>-3158</v>
      </c>
    </row>
    <row r="18" spans="1:9" x14ac:dyDescent="0.2">
      <c r="B18" s="446" t="s">
        <v>2950</v>
      </c>
      <c r="C18" s="446"/>
      <c r="D18" s="74">
        <v>43</v>
      </c>
      <c r="E18" s="74">
        <v>49</v>
      </c>
      <c r="F18" s="74">
        <v>72</v>
      </c>
      <c r="G18" s="74">
        <v>83311</v>
      </c>
      <c r="H18" s="74">
        <v>176541</v>
      </c>
      <c r="I18" s="74">
        <v>-93230</v>
      </c>
    </row>
    <row r="19" spans="1:9" x14ac:dyDescent="0.2">
      <c r="B19" s="446" t="s">
        <v>2948</v>
      </c>
      <c r="C19" s="446" t="s">
        <v>29</v>
      </c>
      <c r="D19" s="74">
        <v>0</v>
      </c>
      <c r="E19" s="74">
        <v>0</v>
      </c>
      <c r="F19" s="74">
        <v>0</v>
      </c>
      <c r="G19" s="74">
        <v>0</v>
      </c>
      <c r="H19" s="74">
        <v>0</v>
      </c>
      <c r="I19" s="74">
        <v>0</v>
      </c>
    </row>
    <row r="20" spans="1:9" x14ac:dyDescent="0.2">
      <c r="C20" s="446" t="s">
        <v>39</v>
      </c>
      <c r="D20" s="74">
        <v>0</v>
      </c>
      <c r="E20" s="74">
        <v>0</v>
      </c>
      <c r="F20" s="74">
        <v>0</v>
      </c>
      <c r="G20" s="74">
        <v>0</v>
      </c>
      <c r="H20" s="74">
        <v>0</v>
      </c>
      <c r="I20" s="74">
        <v>0</v>
      </c>
    </row>
    <row r="21" spans="1:9" x14ac:dyDescent="0.2">
      <c r="C21" s="446" t="s">
        <v>21</v>
      </c>
      <c r="D21" s="74">
        <v>0</v>
      </c>
      <c r="E21" s="74">
        <v>12</v>
      </c>
      <c r="F21" s="74">
        <v>12</v>
      </c>
      <c r="G21" s="74">
        <v>0</v>
      </c>
      <c r="H21" s="74">
        <v>5340</v>
      </c>
      <c r="I21" s="74">
        <v>-5340</v>
      </c>
    </row>
    <row r="22" spans="1:9" x14ac:dyDescent="0.2">
      <c r="B22" s="446" t="s">
        <v>2951</v>
      </c>
      <c r="C22" s="446"/>
      <c r="D22" s="74">
        <v>0</v>
      </c>
      <c r="E22" s="74">
        <v>12</v>
      </c>
      <c r="F22" s="74">
        <v>12</v>
      </c>
      <c r="G22" s="74">
        <v>0</v>
      </c>
      <c r="H22" s="74">
        <v>5340</v>
      </c>
      <c r="I22" s="74">
        <v>-5340</v>
      </c>
    </row>
    <row r="23" spans="1:9" x14ac:dyDescent="0.2">
      <c r="B23" s="446" t="s">
        <v>2949</v>
      </c>
      <c r="C23" s="446" t="s">
        <v>29</v>
      </c>
      <c r="D23" s="74">
        <v>0</v>
      </c>
      <c r="E23" s="74">
        <v>0</v>
      </c>
      <c r="F23" s="74">
        <v>0</v>
      </c>
      <c r="G23" s="74">
        <v>0</v>
      </c>
      <c r="H23" s="74">
        <v>0</v>
      </c>
      <c r="I23" s="74">
        <v>0</v>
      </c>
    </row>
    <row r="24" spans="1:9" x14ac:dyDescent="0.2">
      <c r="C24" s="446" t="s">
        <v>39</v>
      </c>
      <c r="D24" s="74">
        <v>0</v>
      </c>
      <c r="E24" s="74">
        <v>0</v>
      </c>
      <c r="F24" s="74">
        <v>0</v>
      </c>
      <c r="G24" s="74">
        <v>0</v>
      </c>
      <c r="H24" s="74">
        <v>0</v>
      </c>
      <c r="I24" s="74">
        <v>0</v>
      </c>
    </row>
    <row r="25" spans="1:9" x14ac:dyDescent="0.2">
      <c r="C25" s="446" t="s">
        <v>21</v>
      </c>
      <c r="D25" s="74">
        <v>0</v>
      </c>
      <c r="E25" s="74">
        <v>0</v>
      </c>
      <c r="F25" s="74">
        <v>0</v>
      </c>
      <c r="G25" s="74">
        <v>0</v>
      </c>
      <c r="H25" s="74">
        <v>0</v>
      </c>
      <c r="I25" s="74">
        <v>0</v>
      </c>
    </row>
    <row r="26" spans="1:9" x14ac:dyDescent="0.2">
      <c r="B26" s="446" t="s">
        <v>2952</v>
      </c>
      <c r="C26" s="446"/>
      <c r="D26" s="74">
        <v>0</v>
      </c>
      <c r="E26" s="74">
        <v>0</v>
      </c>
      <c r="F26" s="74">
        <v>0</v>
      </c>
      <c r="G26" s="74">
        <v>0</v>
      </c>
      <c r="H26" s="74">
        <v>0</v>
      </c>
      <c r="I26" s="74">
        <v>0</v>
      </c>
    </row>
    <row r="27" spans="1:9" x14ac:dyDescent="0.2">
      <c r="A27" s="446" t="s">
        <v>2954</v>
      </c>
      <c r="B27" s="446"/>
      <c r="C27" s="446"/>
      <c r="D27" s="74">
        <v>43</v>
      </c>
      <c r="E27" s="74">
        <v>61</v>
      </c>
      <c r="F27" s="74">
        <v>84</v>
      </c>
      <c r="G27" s="74">
        <v>83311</v>
      </c>
      <c r="H27" s="74">
        <v>181881</v>
      </c>
      <c r="I27" s="74">
        <v>-98570</v>
      </c>
    </row>
    <row r="28" spans="1:9" x14ac:dyDescent="0.2">
      <c r="A28" s="446" t="s">
        <v>2937</v>
      </c>
      <c r="B28" s="446" t="s">
        <v>2946</v>
      </c>
      <c r="C28" s="446" t="s">
        <v>29</v>
      </c>
      <c r="D28" s="74">
        <v>30</v>
      </c>
      <c r="E28" s="74">
        <v>35</v>
      </c>
      <c r="F28" s="74">
        <v>50</v>
      </c>
      <c r="G28" s="74">
        <v>38774</v>
      </c>
      <c r="H28" s="74">
        <v>26070</v>
      </c>
      <c r="I28" s="74">
        <v>12704</v>
      </c>
    </row>
    <row r="29" spans="1:9" x14ac:dyDescent="0.2">
      <c r="C29" s="446" t="s">
        <v>39</v>
      </c>
      <c r="D29" s="74">
        <v>5</v>
      </c>
      <c r="E29" s="74">
        <v>1</v>
      </c>
      <c r="F29" s="74">
        <v>6</v>
      </c>
      <c r="G29" s="74">
        <v>897</v>
      </c>
      <c r="H29" s="74">
        <v>354</v>
      </c>
      <c r="I29" s="74">
        <v>543</v>
      </c>
    </row>
    <row r="30" spans="1:9" x14ac:dyDescent="0.2">
      <c r="C30" s="446" t="s">
        <v>21</v>
      </c>
      <c r="D30" s="74">
        <v>13</v>
      </c>
      <c r="E30" s="74">
        <v>25</v>
      </c>
      <c r="F30" s="74">
        <v>32</v>
      </c>
      <c r="G30" s="74">
        <v>6811</v>
      </c>
      <c r="H30" s="74">
        <v>8479</v>
      </c>
      <c r="I30" s="74">
        <v>-1668</v>
      </c>
    </row>
    <row r="31" spans="1:9" x14ac:dyDescent="0.2">
      <c r="B31" s="446" t="s">
        <v>2950</v>
      </c>
      <c r="C31" s="446"/>
      <c r="D31" s="74">
        <v>48</v>
      </c>
      <c r="E31" s="74">
        <v>61</v>
      </c>
      <c r="F31" s="74">
        <v>88</v>
      </c>
      <c r="G31" s="74">
        <v>46482</v>
      </c>
      <c r="H31" s="74">
        <v>34903</v>
      </c>
      <c r="I31" s="74">
        <v>11579</v>
      </c>
    </row>
    <row r="32" spans="1:9" x14ac:dyDescent="0.2">
      <c r="B32" s="446" t="s">
        <v>2947</v>
      </c>
      <c r="C32" s="446" t="s">
        <v>29</v>
      </c>
      <c r="D32" s="74">
        <v>6</v>
      </c>
      <c r="E32" s="74">
        <v>0</v>
      </c>
      <c r="F32" s="74">
        <v>6</v>
      </c>
      <c r="G32" s="74">
        <v>100039</v>
      </c>
      <c r="H32" s="74">
        <v>0</v>
      </c>
      <c r="I32" s="74">
        <v>100039</v>
      </c>
    </row>
    <row r="33" spans="1:9" x14ac:dyDescent="0.2">
      <c r="C33" s="446" t="s">
        <v>39</v>
      </c>
      <c r="D33" s="74">
        <v>0</v>
      </c>
      <c r="E33" s="74">
        <v>0</v>
      </c>
      <c r="F33" s="74">
        <v>0</v>
      </c>
      <c r="G33" s="74">
        <v>0</v>
      </c>
      <c r="H33" s="74">
        <v>0</v>
      </c>
      <c r="I33" s="74">
        <v>0</v>
      </c>
    </row>
    <row r="34" spans="1:9" x14ac:dyDescent="0.2">
      <c r="C34" s="446" t="s">
        <v>21</v>
      </c>
      <c r="D34" s="74">
        <v>0</v>
      </c>
      <c r="E34" s="74">
        <v>0</v>
      </c>
      <c r="F34" s="74">
        <v>0</v>
      </c>
      <c r="G34" s="74">
        <v>0</v>
      </c>
      <c r="H34" s="74">
        <v>0</v>
      </c>
      <c r="I34" s="74">
        <v>0</v>
      </c>
    </row>
    <row r="35" spans="1:9" x14ac:dyDescent="0.2">
      <c r="B35" s="446" t="s">
        <v>2955</v>
      </c>
      <c r="C35" s="446"/>
      <c r="D35" s="74">
        <v>6</v>
      </c>
      <c r="E35" s="74">
        <v>0</v>
      </c>
      <c r="F35" s="74">
        <v>6</v>
      </c>
      <c r="G35" s="74">
        <v>100039</v>
      </c>
      <c r="H35" s="74">
        <v>0</v>
      </c>
      <c r="I35" s="74">
        <v>100039</v>
      </c>
    </row>
    <row r="36" spans="1:9" x14ac:dyDescent="0.2">
      <c r="B36" s="446" t="s">
        <v>2948</v>
      </c>
      <c r="C36" s="446" t="s">
        <v>29</v>
      </c>
      <c r="D36" s="74">
        <v>0</v>
      </c>
      <c r="E36" s="74">
        <v>1</v>
      </c>
      <c r="F36" s="74">
        <v>1</v>
      </c>
      <c r="G36" s="74">
        <v>0</v>
      </c>
      <c r="H36" s="74">
        <v>3783</v>
      </c>
      <c r="I36" s="74">
        <v>-3783</v>
      </c>
    </row>
    <row r="37" spans="1:9" x14ac:dyDescent="0.2">
      <c r="C37" s="446" t="s">
        <v>39</v>
      </c>
      <c r="D37" s="74">
        <v>0</v>
      </c>
      <c r="E37" s="74">
        <v>0</v>
      </c>
      <c r="F37" s="74">
        <v>0</v>
      </c>
      <c r="G37" s="74">
        <v>0</v>
      </c>
      <c r="H37" s="74">
        <v>0</v>
      </c>
      <c r="I37" s="74">
        <v>0</v>
      </c>
    </row>
    <row r="38" spans="1:9" x14ac:dyDescent="0.2">
      <c r="C38" s="446" t="s">
        <v>21</v>
      </c>
      <c r="D38" s="74">
        <v>0</v>
      </c>
      <c r="E38" s="74">
        <v>58</v>
      </c>
      <c r="F38" s="74">
        <v>58</v>
      </c>
      <c r="G38" s="74">
        <v>0</v>
      </c>
      <c r="H38" s="74">
        <v>19746</v>
      </c>
      <c r="I38" s="74">
        <v>-19746</v>
      </c>
    </row>
    <row r="39" spans="1:9" x14ac:dyDescent="0.2">
      <c r="B39" s="446" t="s">
        <v>2951</v>
      </c>
      <c r="C39" s="446"/>
      <c r="D39" s="74">
        <v>0</v>
      </c>
      <c r="E39" s="74">
        <v>59</v>
      </c>
      <c r="F39" s="74">
        <v>59</v>
      </c>
      <c r="G39" s="74">
        <v>0</v>
      </c>
      <c r="H39" s="74">
        <v>23529</v>
      </c>
      <c r="I39" s="74">
        <v>-23529</v>
      </c>
    </row>
    <row r="40" spans="1:9" x14ac:dyDescent="0.2">
      <c r="B40" s="446" t="s">
        <v>2949</v>
      </c>
      <c r="C40" s="446" t="s">
        <v>29</v>
      </c>
      <c r="D40" s="74">
        <v>0</v>
      </c>
      <c r="E40" s="74">
        <v>0</v>
      </c>
      <c r="F40" s="74">
        <v>0</v>
      </c>
      <c r="G40" s="74">
        <v>0</v>
      </c>
      <c r="H40" s="74">
        <v>0</v>
      </c>
      <c r="I40" s="74">
        <v>0</v>
      </c>
    </row>
    <row r="41" spans="1:9" x14ac:dyDescent="0.2">
      <c r="C41" s="446" t="s">
        <v>39</v>
      </c>
      <c r="D41" s="74">
        <v>0</v>
      </c>
      <c r="E41" s="74">
        <v>0</v>
      </c>
      <c r="F41" s="74">
        <v>0</v>
      </c>
      <c r="G41" s="74">
        <v>0</v>
      </c>
      <c r="H41" s="74">
        <v>0</v>
      </c>
      <c r="I41" s="74">
        <v>0</v>
      </c>
    </row>
    <row r="42" spans="1:9" x14ac:dyDescent="0.2">
      <c r="C42" s="446" t="s">
        <v>21</v>
      </c>
      <c r="D42" s="74">
        <v>0</v>
      </c>
      <c r="E42" s="74">
        <v>0</v>
      </c>
      <c r="F42" s="74">
        <v>0</v>
      </c>
      <c r="G42" s="74">
        <v>0</v>
      </c>
      <c r="H42" s="74">
        <v>0</v>
      </c>
      <c r="I42" s="74">
        <v>0</v>
      </c>
    </row>
    <row r="43" spans="1:9" x14ac:dyDescent="0.2">
      <c r="B43" s="446" t="s">
        <v>2952</v>
      </c>
      <c r="C43" s="446"/>
      <c r="D43" s="74">
        <v>0</v>
      </c>
      <c r="E43" s="74">
        <v>0</v>
      </c>
      <c r="F43" s="74">
        <v>0</v>
      </c>
      <c r="G43" s="74">
        <v>0</v>
      </c>
      <c r="H43" s="74">
        <v>0</v>
      </c>
      <c r="I43" s="74">
        <v>0</v>
      </c>
    </row>
    <row r="44" spans="1:9" x14ac:dyDescent="0.2">
      <c r="A44" s="446" t="s">
        <v>2956</v>
      </c>
      <c r="B44" s="446"/>
      <c r="C44" s="446"/>
      <c r="D44" s="74">
        <v>54</v>
      </c>
      <c r="E44" s="74">
        <v>120</v>
      </c>
      <c r="F44" s="74">
        <v>153</v>
      </c>
      <c r="G44" s="74">
        <v>146521</v>
      </c>
      <c r="H44" s="74">
        <v>58432</v>
      </c>
      <c r="I44" s="74">
        <v>88089</v>
      </c>
    </row>
    <row r="45" spans="1:9" x14ac:dyDescent="0.2">
      <c r="A45" s="446" t="s">
        <v>2938</v>
      </c>
      <c r="B45" s="446" t="s">
        <v>2945</v>
      </c>
      <c r="C45" s="446" t="s">
        <v>29</v>
      </c>
      <c r="D45" s="74">
        <v>11</v>
      </c>
      <c r="E45" s="74">
        <v>7</v>
      </c>
      <c r="F45" s="74">
        <v>12</v>
      </c>
      <c r="G45" s="74">
        <v>38730</v>
      </c>
      <c r="H45" s="74">
        <v>10500</v>
      </c>
      <c r="I45" s="74">
        <v>28230</v>
      </c>
    </row>
    <row r="46" spans="1:9" x14ac:dyDescent="0.2">
      <c r="C46" s="446" t="s">
        <v>39</v>
      </c>
      <c r="D46" s="74">
        <v>0</v>
      </c>
      <c r="E46" s="74">
        <v>0</v>
      </c>
      <c r="F46" s="74">
        <v>0</v>
      </c>
      <c r="G46" s="74">
        <v>0</v>
      </c>
      <c r="H46" s="74">
        <v>0</v>
      </c>
      <c r="I46" s="74">
        <v>0</v>
      </c>
    </row>
    <row r="47" spans="1:9" x14ac:dyDescent="0.2">
      <c r="C47" s="446" t="s">
        <v>21</v>
      </c>
      <c r="D47" s="74">
        <v>0</v>
      </c>
      <c r="E47" s="74">
        <v>0</v>
      </c>
      <c r="F47" s="74">
        <v>0</v>
      </c>
      <c r="G47" s="74">
        <v>0</v>
      </c>
      <c r="H47" s="74">
        <v>0</v>
      </c>
      <c r="I47" s="74">
        <v>0</v>
      </c>
    </row>
    <row r="48" spans="1:9" x14ac:dyDescent="0.2">
      <c r="B48" s="446" t="s">
        <v>2957</v>
      </c>
      <c r="C48" s="446"/>
      <c r="D48" s="74">
        <v>11</v>
      </c>
      <c r="E48" s="74">
        <v>7</v>
      </c>
      <c r="F48" s="74">
        <v>12</v>
      </c>
      <c r="G48" s="74">
        <v>38730</v>
      </c>
      <c r="H48" s="74">
        <v>10500</v>
      </c>
      <c r="I48" s="74">
        <v>28230</v>
      </c>
    </row>
    <row r="49" spans="2:9" x14ac:dyDescent="0.2">
      <c r="B49" s="446" t="s">
        <v>2946</v>
      </c>
      <c r="C49" s="446" t="s">
        <v>29</v>
      </c>
      <c r="D49" s="74">
        <v>10</v>
      </c>
      <c r="E49" s="74">
        <v>12</v>
      </c>
      <c r="F49" s="74">
        <v>17</v>
      </c>
      <c r="G49" s="74">
        <v>3380</v>
      </c>
      <c r="H49" s="74">
        <v>2624</v>
      </c>
      <c r="I49" s="74">
        <v>756</v>
      </c>
    </row>
    <row r="50" spans="2:9" x14ac:dyDescent="0.2">
      <c r="C50" s="446" t="s">
        <v>39</v>
      </c>
      <c r="D50" s="74">
        <v>2</v>
      </c>
      <c r="E50" s="74">
        <v>0</v>
      </c>
      <c r="F50" s="74">
        <v>2</v>
      </c>
      <c r="G50" s="74">
        <v>69</v>
      </c>
      <c r="H50" s="74">
        <v>0</v>
      </c>
      <c r="I50" s="74">
        <v>69</v>
      </c>
    </row>
    <row r="51" spans="2:9" x14ac:dyDescent="0.2">
      <c r="C51" s="446" t="s">
        <v>21</v>
      </c>
      <c r="D51" s="74">
        <v>4</v>
      </c>
      <c r="E51" s="74">
        <v>6</v>
      </c>
      <c r="F51" s="74">
        <v>8</v>
      </c>
      <c r="G51" s="74">
        <v>3555</v>
      </c>
      <c r="H51" s="74">
        <v>4897</v>
      </c>
      <c r="I51" s="74">
        <v>-1342</v>
      </c>
    </row>
    <row r="52" spans="2:9" x14ac:dyDescent="0.2">
      <c r="B52" s="446" t="s">
        <v>2950</v>
      </c>
      <c r="C52" s="446"/>
      <c r="D52" s="74">
        <v>16</v>
      </c>
      <c r="E52" s="74">
        <v>18</v>
      </c>
      <c r="F52" s="74">
        <v>27</v>
      </c>
      <c r="G52" s="74">
        <v>7004</v>
      </c>
      <c r="H52" s="74">
        <v>7521</v>
      </c>
      <c r="I52" s="74">
        <v>-517</v>
      </c>
    </row>
    <row r="53" spans="2:9" x14ac:dyDescent="0.2">
      <c r="B53" s="446" t="s">
        <v>2947</v>
      </c>
      <c r="C53" s="446" t="s">
        <v>29</v>
      </c>
      <c r="D53" s="74">
        <v>0</v>
      </c>
      <c r="E53" s="74">
        <v>0</v>
      </c>
      <c r="F53" s="74">
        <v>0</v>
      </c>
      <c r="G53" s="74">
        <v>0</v>
      </c>
      <c r="H53" s="74">
        <v>0</v>
      </c>
      <c r="I53" s="74">
        <v>0</v>
      </c>
    </row>
    <row r="54" spans="2:9" x14ac:dyDescent="0.2">
      <c r="C54" s="446" t="s">
        <v>39</v>
      </c>
      <c r="D54" s="74">
        <v>0</v>
      </c>
      <c r="E54" s="74">
        <v>0</v>
      </c>
      <c r="F54" s="74">
        <v>0</v>
      </c>
      <c r="G54" s="74">
        <v>0</v>
      </c>
      <c r="H54" s="74">
        <v>0</v>
      </c>
      <c r="I54" s="74">
        <v>0</v>
      </c>
    </row>
    <row r="55" spans="2:9" x14ac:dyDescent="0.2">
      <c r="C55" s="446" t="s">
        <v>21</v>
      </c>
      <c r="D55" s="74">
        <v>0</v>
      </c>
      <c r="E55" s="74">
        <v>0</v>
      </c>
      <c r="F55" s="74">
        <v>0</v>
      </c>
      <c r="G55" s="74">
        <v>0</v>
      </c>
      <c r="H55" s="74">
        <v>0</v>
      </c>
      <c r="I55" s="74">
        <v>0</v>
      </c>
    </row>
    <row r="56" spans="2:9" x14ac:dyDescent="0.2">
      <c r="B56" s="446" t="s">
        <v>2955</v>
      </c>
      <c r="C56" s="446"/>
      <c r="D56" s="74">
        <v>0</v>
      </c>
      <c r="E56" s="74">
        <v>0</v>
      </c>
      <c r="F56" s="74">
        <v>0</v>
      </c>
      <c r="G56" s="74">
        <v>0</v>
      </c>
      <c r="H56" s="74">
        <v>0</v>
      </c>
      <c r="I56" s="74">
        <v>0</v>
      </c>
    </row>
    <row r="57" spans="2:9" x14ac:dyDescent="0.2">
      <c r="B57" s="446" t="s">
        <v>2948</v>
      </c>
      <c r="C57" s="446" t="s">
        <v>29</v>
      </c>
      <c r="D57" s="74">
        <v>0</v>
      </c>
      <c r="E57" s="74">
        <v>0</v>
      </c>
      <c r="F57" s="74">
        <v>0</v>
      </c>
      <c r="G57" s="74">
        <v>0</v>
      </c>
      <c r="H57" s="74">
        <v>0</v>
      </c>
      <c r="I57" s="74">
        <v>0</v>
      </c>
    </row>
    <row r="58" spans="2:9" x14ac:dyDescent="0.2">
      <c r="C58" s="446" t="s">
        <v>39</v>
      </c>
      <c r="D58" s="74">
        <v>0</v>
      </c>
      <c r="E58" s="74">
        <v>0</v>
      </c>
      <c r="F58" s="74">
        <v>0</v>
      </c>
      <c r="G58" s="74">
        <v>0</v>
      </c>
      <c r="H58" s="74">
        <v>0</v>
      </c>
      <c r="I58" s="74">
        <v>0</v>
      </c>
    </row>
    <row r="59" spans="2:9" x14ac:dyDescent="0.2">
      <c r="C59" s="446" t="s">
        <v>21</v>
      </c>
      <c r="D59" s="74">
        <v>0</v>
      </c>
      <c r="E59" s="74">
        <v>11</v>
      </c>
      <c r="F59" s="74">
        <v>11</v>
      </c>
      <c r="G59" s="74">
        <v>0</v>
      </c>
      <c r="H59" s="74">
        <v>5006</v>
      </c>
      <c r="I59" s="74">
        <v>-5006</v>
      </c>
    </row>
    <row r="60" spans="2:9" x14ac:dyDescent="0.2">
      <c r="B60" s="446" t="s">
        <v>2951</v>
      </c>
      <c r="C60" s="446"/>
      <c r="D60" s="74">
        <v>0</v>
      </c>
      <c r="E60" s="74">
        <v>11</v>
      </c>
      <c r="F60" s="74">
        <v>11</v>
      </c>
      <c r="G60" s="74">
        <v>0</v>
      </c>
      <c r="H60" s="74">
        <v>5006</v>
      </c>
      <c r="I60" s="74">
        <v>-5006</v>
      </c>
    </row>
    <row r="61" spans="2:9" x14ac:dyDescent="0.2">
      <c r="B61" s="446" t="s">
        <v>2949</v>
      </c>
      <c r="C61" s="446" t="s">
        <v>29</v>
      </c>
      <c r="D61" s="74">
        <v>0</v>
      </c>
      <c r="E61" s="74">
        <v>0</v>
      </c>
      <c r="F61" s="74">
        <v>0</v>
      </c>
      <c r="G61" s="74">
        <v>0</v>
      </c>
      <c r="H61" s="74">
        <v>0</v>
      </c>
      <c r="I61" s="74">
        <v>0</v>
      </c>
    </row>
    <row r="62" spans="2:9" x14ac:dyDescent="0.2">
      <c r="C62" s="446" t="s">
        <v>39</v>
      </c>
      <c r="D62" s="74">
        <v>0</v>
      </c>
      <c r="E62" s="74">
        <v>0</v>
      </c>
      <c r="F62" s="74">
        <v>0</v>
      </c>
      <c r="G62" s="74">
        <v>0</v>
      </c>
      <c r="H62" s="74">
        <v>0</v>
      </c>
      <c r="I62" s="74">
        <v>0</v>
      </c>
    </row>
    <row r="63" spans="2:9" x14ac:dyDescent="0.2">
      <c r="C63" s="446" t="s">
        <v>21</v>
      </c>
      <c r="D63" s="74">
        <v>0</v>
      </c>
      <c r="E63" s="74">
        <v>0</v>
      </c>
      <c r="F63" s="74">
        <v>0</v>
      </c>
      <c r="G63" s="74">
        <v>0</v>
      </c>
      <c r="H63" s="74">
        <v>0</v>
      </c>
      <c r="I63" s="74">
        <v>0</v>
      </c>
    </row>
    <row r="64" spans="2:9" x14ac:dyDescent="0.2">
      <c r="B64" s="446" t="s">
        <v>2952</v>
      </c>
      <c r="C64" s="446"/>
      <c r="D64" s="74">
        <v>0</v>
      </c>
      <c r="E64" s="74">
        <v>0</v>
      </c>
      <c r="F64" s="74">
        <v>0</v>
      </c>
      <c r="G64" s="74">
        <v>0</v>
      </c>
      <c r="H64" s="74">
        <v>0</v>
      </c>
      <c r="I64" s="74">
        <v>0</v>
      </c>
    </row>
    <row r="65" spans="1:9" x14ac:dyDescent="0.2">
      <c r="B65" s="446" t="s">
        <v>2959</v>
      </c>
      <c r="C65" s="446" t="s">
        <v>29</v>
      </c>
      <c r="D65" s="74">
        <v>0</v>
      </c>
      <c r="E65" s="74">
        <v>1</v>
      </c>
      <c r="F65" s="74">
        <v>1</v>
      </c>
      <c r="G65" s="74">
        <v>0</v>
      </c>
      <c r="H65" s="74">
        <v>84</v>
      </c>
      <c r="I65" s="74">
        <v>-84</v>
      </c>
    </row>
    <row r="66" spans="1:9" x14ac:dyDescent="0.2">
      <c r="C66" s="446" t="s">
        <v>39</v>
      </c>
      <c r="D66" s="74">
        <v>0</v>
      </c>
      <c r="E66" s="74">
        <v>0</v>
      </c>
      <c r="F66" s="74">
        <v>0</v>
      </c>
      <c r="G66" s="74">
        <v>0</v>
      </c>
      <c r="H66" s="74">
        <v>0</v>
      </c>
      <c r="I66" s="74">
        <v>0</v>
      </c>
    </row>
    <row r="67" spans="1:9" x14ac:dyDescent="0.2">
      <c r="C67" s="446" t="s">
        <v>21</v>
      </c>
      <c r="D67" s="74">
        <v>0</v>
      </c>
      <c r="E67" s="74">
        <v>1</v>
      </c>
      <c r="F67" s="74">
        <v>1</v>
      </c>
      <c r="G67" s="74">
        <v>0</v>
      </c>
      <c r="H67" s="74">
        <v>63</v>
      </c>
      <c r="I67" s="74">
        <v>-63</v>
      </c>
    </row>
    <row r="68" spans="1:9" x14ac:dyDescent="0.2">
      <c r="B68" s="446" t="s">
        <v>2960</v>
      </c>
      <c r="C68" s="446"/>
      <c r="D68" s="74">
        <v>0</v>
      </c>
      <c r="E68" s="74">
        <v>2</v>
      </c>
      <c r="F68" s="74">
        <v>2</v>
      </c>
      <c r="G68" s="74">
        <v>0</v>
      </c>
      <c r="H68" s="74">
        <v>147</v>
      </c>
      <c r="I68" s="74">
        <v>-147</v>
      </c>
    </row>
    <row r="69" spans="1:9" x14ac:dyDescent="0.2">
      <c r="A69" s="446" t="s">
        <v>2958</v>
      </c>
      <c r="B69" s="446"/>
      <c r="C69" s="446"/>
      <c r="D69" s="74">
        <v>27</v>
      </c>
      <c r="E69" s="74">
        <v>38</v>
      </c>
      <c r="F69" s="74">
        <v>52</v>
      </c>
      <c r="G69" s="74">
        <v>45734</v>
      </c>
      <c r="H69" s="74">
        <v>23174</v>
      </c>
      <c r="I69" s="74">
        <v>22560</v>
      </c>
    </row>
    <row r="70" spans="1:9" x14ac:dyDescent="0.2">
      <c r="A70" s="446" t="s">
        <v>115</v>
      </c>
      <c r="D70" s="74">
        <v>154</v>
      </c>
      <c r="E70" s="74">
        <v>279</v>
      </c>
      <c r="F70" s="74">
        <v>364</v>
      </c>
      <c r="G70" s="74">
        <v>297790</v>
      </c>
      <c r="H70" s="74">
        <v>331731</v>
      </c>
      <c r="I70" s="74">
        <v>-33741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19"/>
  <sheetViews>
    <sheetView workbookViewId="0"/>
  </sheetViews>
  <sheetFormatPr defaultRowHeight="12" x14ac:dyDescent="0.2"/>
  <cols>
    <col min="1" max="1" width="24" bestFit="1" customWidth="1"/>
    <col min="2" max="2" width="30.28515625" customWidth="1"/>
    <col min="3" max="6" width="13.5703125" bestFit="1" customWidth="1"/>
    <col min="7" max="14" width="17" bestFit="1" customWidth="1"/>
  </cols>
  <sheetData>
    <row r="1" spans="1:8" x14ac:dyDescent="0.2">
      <c r="A1" s="77" t="s">
        <v>111</v>
      </c>
      <c r="B1" s="446" t="s">
        <v>153</v>
      </c>
    </row>
    <row r="2" spans="1:8" x14ac:dyDescent="0.2">
      <c r="A2" s="77" t="s">
        <v>140</v>
      </c>
      <c r="B2" s="446" t="s">
        <v>153</v>
      </c>
    </row>
    <row r="4" spans="1:8" x14ac:dyDescent="0.2">
      <c r="A4" s="77" t="s">
        <v>2939</v>
      </c>
      <c r="B4" s="77" t="s">
        <v>2940</v>
      </c>
      <c r="C4" s="446" t="s">
        <v>15</v>
      </c>
      <c r="D4" s="446" t="s">
        <v>16</v>
      </c>
      <c r="E4" s="446" t="s">
        <v>17</v>
      </c>
      <c r="F4" s="446" t="s">
        <v>18</v>
      </c>
      <c r="G4" s="446" t="s">
        <v>3834</v>
      </c>
      <c r="H4" s="446" t="s">
        <v>3835</v>
      </c>
    </row>
    <row r="5" spans="1:8" x14ac:dyDescent="0.2">
      <c r="A5" s="446" t="s">
        <v>2936</v>
      </c>
      <c r="C5" s="74">
        <v>27</v>
      </c>
      <c r="D5" s="74">
        <v>7114</v>
      </c>
      <c r="E5" s="74">
        <v>12</v>
      </c>
      <c r="F5" s="74">
        <v>3024</v>
      </c>
      <c r="G5" s="74">
        <v>36</v>
      </c>
      <c r="H5" s="74">
        <v>10138</v>
      </c>
    </row>
    <row r="6" spans="1:8" x14ac:dyDescent="0.2">
      <c r="A6" s="446" t="s">
        <v>2935</v>
      </c>
      <c r="C6" s="74">
        <v>35</v>
      </c>
      <c r="D6" s="74">
        <v>19119</v>
      </c>
      <c r="E6" s="74">
        <v>17</v>
      </c>
      <c r="F6" s="74">
        <v>4985</v>
      </c>
      <c r="G6" s="74">
        <v>43</v>
      </c>
      <c r="H6" s="74">
        <v>24104</v>
      </c>
    </row>
    <row r="7" spans="1:8" x14ac:dyDescent="0.2">
      <c r="A7" s="446" t="s">
        <v>2937</v>
      </c>
      <c r="B7" s="446" t="s">
        <v>2946</v>
      </c>
      <c r="C7" s="74">
        <v>31</v>
      </c>
      <c r="D7" s="74">
        <v>2297</v>
      </c>
      <c r="E7" s="74">
        <v>14</v>
      </c>
      <c r="F7" s="74">
        <v>2555</v>
      </c>
      <c r="G7" s="74">
        <v>41</v>
      </c>
      <c r="H7" s="74">
        <v>4852</v>
      </c>
    </row>
    <row r="8" spans="1:8" x14ac:dyDescent="0.2">
      <c r="B8" s="446" t="s">
        <v>2947</v>
      </c>
      <c r="C8" s="74">
        <v>7</v>
      </c>
      <c r="D8" s="74">
        <v>2954</v>
      </c>
      <c r="E8" s="74">
        <v>7</v>
      </c>
      <c r="F8" s="74">
        <v>3121</v>
      </c>
      <c r="G8" s="74">
        <v>8</v>
      </c>
      <c r="H8" s="74">
        <v>6075</v>
      </c>
    </row>
    <row r="9" spans="1:8" x14ac:dyDescent="0.2">
      <c r="B9" s="446" t="s">
        <v>2948</v>
      </c>
      <c r="C9" s="74">
        <v>0</v>
      </c>
      <c r="D9" s="74">
        <v>0</v>
      </c>
      <c r="E9" s="74">
        <v>0</v>
      </c>
      <c r="F9" s="74">
        <v>0</v>
      </c>
      <c r="G9" s="74">
        <v>0</v>
      </c>
      <c r="H9" s="74">
        <v>0</v>
      </c>
    </row>
    <row r="10" spans="1:8" x14ac:dyDescent="0.2">
      <c r="B10" s="446" t="s">
        <v>2949</v>
      </c>
      <c r="C10" s="74">
        <v>0</v>
      </c>
      <c r="D10" s="74">
        <v>0</v>
      </c>
      <c r="E10" s="74">
        <v>0</v>
      </c>
      <c r="F10" s="74">
        <v>0</v>
      </c>
      <c r="G10" s="74">
        <v>0</v>
      </c>
      <c r="H10" s="74">
        <v>0</v>
      </c>
    </row>
    <row r="11" spans="1:8" x14ac:dyDescent="0.2">
      <c r="A11" s="446" t="s">
        <v>2956</v>
      </c>
      <c r="B11" s="446"/>
      <c r="C11" s="74">
        <v>38</v>
      </c>
      <c r="D11" s="74">
        <v>5251</v>
      </c>
      <c r="E11" s="74">
        <v>21</v>
      </c>
      <c r="F11" s="74">
        <v>5676</v>
      </c>
      <c r="G11" s="74">
        <v>49</v>
      </c>
      <c r="H11" s="74">
        <v>10927</v>
      </c>
    </row>
    <row r="12" spans="1:8" x14ac:dyDescent="0.2">
      <c r="A12" s="446" t="s">
        <v>2938</v>
      </c>
      <c r="B12" s="446" t="s">
        <v>2945</v>
      </c>
      <c r="C12" s="74">
        <v>4</v>
      </c>
      <c r="D12" s="74">
        <v>5805</v>
      </c>
      <c r="E12" s="74">
        <v>2</v>
      </c>
      <c r="F12" s="74">
        <v>241</v>
      </c>
      <c r="G12" s="74">
        <v>4</v>
      </c>
      <c r="H12" s="74">
        <v>6046</v>
      </c>
    </row>
    <row r="13" spans="1:8" x14ac:dyDescent="0.2">
      <c r="B13" s="446" t="s">
        <v>2946</v>
      </c>
      <c r="C13" s="74">
        <v>10</v>
      </c>
      <c r="D13" s="74">
        <v>-2740</v>
      </c>
      <c r="E13" s="74">
        <v>6</v>
      </c>
      <c r="F13" s="74">
        <v>1150</v>
      </c>
      <c r="G13" s="74">
        <v>16</v>
      </c>
      <c r="H13" s="74">
        <v>-1590</v>
      </c>
    </row>
    <row r="14" spans="1:8" x14ac:dyDescent="0.2">
      <c r="B14" s="446" t="s">
        <v>2947</v>
      </c>
      <c r="C14" s="74">
        <v>0</v>
      </c>
      <c r="D14" s="74">
        <v>0</v>
      </c>
      <c r="E14" s="74">
        <v>0</v>
      </c>
      <c r="F14" s="74">
        <v>0</v>
      </c>
      <c r="G14" s="74">
        <v>0</v>
      </c>
      <c r="H14" s="74">
        <v>0</v>
      </c>
    </row>
    <row r="15" spans="1:8" x14ac:dyDescent="0.2">
      <c r="B15" s="446" t="s">
        <v>2948</v>
      </c>
      <c r="C15" s="74">
        <v>0</v>
      </c>
      <c r="D15" s="74">
        <v>0</v>
      </c>
      <c r="E15" s="74">
        <v>0</v>
      </c>
      <c r="F15" s="74">
        <v>0</v>
      </c>
      <c r="G15" s="74">
        <v>0</v>
      </c>
      <c r="H15" s="74">
        <v>0</v>
      </c>
    </row>
    <row r="16" spans="1:8" x14ac:dyDescent="0.2">
      <c r="B16" s="446" t="s">
        <v>2949</v>
      </c>
      <c r="C16" s="74">
        <v>0</v>
      </c>
      <c r="D16" s="74">
        <v>0</v>
      </c>
      <c r="E16" s="74">
        <v>0</v>
      </c>
      <c r="F16" s="74">
        <v>0</v>
      </c>
      <c r="G16" s="74">
        <v>0</v>
      </c>
      <c r="H16" s="74">
        <v>0</v>
      </c>
    </row>
    <row r="17" spans="1:8" x14ac:dyDescent="0.2">
      <c r="B17" s="446" t="s">
        <v>2959</v>
      </c>
      <c r="C17" s="74">
        <v>0</v>
      </c>
      <c r="D17" s="74">
        <v>0</v>
      </c>
      <c r="E17" s="74">
        <v>2</v>
      </c>
      <c r="F17" s="74">
        <v>-132</v>
      </c>
      <c r="G17" s="74">
        <v>2</v>
      </c>
      <c r="H17" s="74">
        <v>-132</v>
      </c>
    </row>
    <row r="18" spans="1:8" x14ac:dyDescent="0.2">
      <c r="A18" s="446" t="s">
        <v>2958</v>
      </c>
      <c r="B18" s="446"/>
      <c r="C18" s="74">
        <v>14</v>
      </c>
      <c r="D18" s="74">
        <v>3065</v>
      </c>
      <c r="E18" s="74">
        <v>10</v>
      </c>
      <c r="F18" s="74">
        <v>1259</v>
      </c>
      <c r="G18" s="74">
        <v>22</v>
      </c>
      <c r="H18" s="74">
        <v>4324</v>
      </c>
    </row>
    <row r="19" spans="1:8" x14ac:dyDescent="0.2">
      <c r="A19" s="446" t="s">
        <v>115</v>
      </c>
      <c r="C19" s="74">
        <v>114</v>
      </c>
      <c r="D19" s="74">
        <v>34549</v>
      </c>
      <c r="E19" s="74">
        <v>60</v>
      </c>
      <c r="F19" s="74">
        <v>14944</v>
      </c>
      <c r="G19" s="74">
        <v>150</v>
      </c>
      <c r="H19" s="74">
        <v>49493</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0"/>
  <dimension ref="A1:EM143"/>
  <sheetViews>
    <sheetView workbookViewId="0">
      <selection sqref="A1:I1"/>
    </sheetView>
  </sheetViews>
  <sheetFormatPr defaultRowHeight="12" x14ac:dyDescent="0.2"/>
  <cols>
    <col min="1" max="1" width="7.7109375" style="12" customWidth="1"/>
    <col min="2" max="2" width="13" style="16" customWidth="1"/>
    <col min="3" max="3" width="14.42578125" style="16" customWidth="1"/>
    <col min="4" max="4" width="11.28515625" style="16" customWidth="1"/>
    <col min="5" max="6" width="11.28515625" style="1" customWidth="1"/>
    <col min="7" max="16384" width="9.140625" style="1"/>
  </cols>
  <sheetData>
    <row r="1" spans="1:143" ht="15.75" x14ac:dyDescent="0.25">
      <c r="A1" s="606" t="s">
        <v>3871</v>
      </c>
      <c r="B1" s="606"/>
      <c r="C1" s="606"/>
      <c r="D1" s="606"/>
      <c r="E1" s="606"/>
      <c r="F1" s="606"/>
      <c r="G1" s="606"/>
      <c r="H1" s="606"/>
      <c r="I1" s="606"/>
      <c r="J1" s="4"/>
      <c r="K1" s="4"/>
      <c r="L1" s="4"/>
      <c r="M1" s="4"/>
      <c r="N1" s="4"/>
      <c r="O1" s="4"/>
      <c r="P1" s="4"/>
      <c r="Q1" s="4"/>
      <c r="R1" s="4"/>
      <c r="S1" s="4"/>
      <c r="T1" s="4"/>
      <c r="U1" s="4"/>
      <c r="V1" s="4"/>
      <c r="W1" s="4"/>
      <c r="X1" s="4"/>
      <c r="Y1" s="4"/>
      <c r="Z1" s="4"/>
      <c r="AA1" s="4"/>
      <c r="AB1" s="4"/>
      <c r="AC1" s="4"/>
      <c r="AD1" s="4"/>
      <c r="AE1" s="4"/>
      <c r="AF1" s="10"/>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row>
    <row r="2" spans="1:143" ht="12.75" x14ac:dyDescent="0.2">
      <c r="A2" s="293" t="s">
        <v>3914</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row>
    <row r="3" spans="1:143" x14ac:dyDescent="0.2">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row>
    <row r="4" spans="1:143" x14ac:dyDescent="0.2">
      <c r="A4" s="738" t="s">
        <v>105</v>
      </c>
      <c r="B4" s="389"/>
      <c r="C4" s="390"/>
      <c r="D4" s="386" t="s">
        <v>166</v>
      </c>
      <c r="E4" s="394" t="s">
        <v>167</v>
      </c>
      <c r="F4" s="789" t="s">
        <v>95</v>
      </c>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row>
    <row r="5" spans="1:143" ht="36" x14ac:dyDescent="0.2">
      <c r="A5" s="740"/>
      <c r="B5" s="391"/>
      <c r="C5" s="391"/>
      <c r="D5" s="395" t="s">
        <v>3836</v>
      </c>
      <c r="E5" s="395" t="s">
        <v>3837</v>
      </c>
      <c r="F5" s="790"/>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row>
    <row r="6" spans="1:143" ht="12" customHeight="1" x14ac:dyDescent="0.2">
      <c r="A6" s="776" t="s">
        <v>2991</v>
      </c>
      <c r="B6" s="776" t="s">
        <v>149</v>
      </c>
      <c r="C6" s="385" t="s">
        <v>2970</v>
      </c>
      <c r="D6" s="167">
        <f>GETPIVOTDATA("Count of D1 Gain",'3.3 Pivot'!$A$3,"Town Centre Name","Balham","Local Centre",)</f>
        <v>1</v>
      </c>
      <c r="E6" s="167">
        <f>GETPIVOTDATA("Count of D2 Gain",'3.3 Pivot'!$A$3,"Town Centre Name","Balham","Local Centre",)</f>
        <v>0</v>
      </c>
      <c r="F6" s="462">
        <f>GETPIVOTDATA("Count of D Total Gain",'3.3 Pivot'!$A$3,"Town Centre Name","Balham","Local Centre",)</f>
        <v>1</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row>
    <row r="7" spans="1:143" ht="12" customHeight="1" x14ac:dyDescent="0.2">
      <c r="A7" s="755"/>
      <c r="B7" s="756"/>
      <c r="C7" s="387" t="s">
        <v>168</v>
      </c>
      <c r="D7" s="168">
        <f>GETPIVOTDATA("Sum of D1 Gain2",'3.3 Pivot'!$A$3,"Town Centre Name","Balham","Local Centre",)</f>
        <v>78</v>
      </c>
      <c r="E7" s="168">
        <f>GETPIVOTDATA("Sum of D2 Gain",'3.3 Pivot'!$A$3,"Town Centre Name","Balham","Local Centre",)</f>
        <v>0</v>
      </c>
      <c r="F7" s="464">
        <f>GETPIVOTDATA("Sum of D Total Gain2",'3.3 Pivot'!$A$3,"Town Centre Name","Balham","Local Centre",)</f>
        <v>78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row>
    <row r="8" spans="1:143" ht="12" customHeight="1" x14ac:dyDescent="0.2">
      <c r="A8" s="755"/>
      <c r="B8" s="755" t="s">
        <v>427</v>
      </c>
      <c r="C8" s="392" t="s">
        <v>2970</v>
      </c>
      <c r="D8" s="167">
        <f>GETPIVOTDATA("Count of D1 Gain",'3.3 Pivot'!$A$3,"Town Centre Name","Battersea Power Station","Local Centre",)</f>
        <v>1</v>
      </c>
      <c r="E8" s="167">
        <f>GETPIVOTDATA("Count of D2 Gain",'3.3 Pivot'!$A$3,"Town Centre Name","Battersea Power Station","Local Centre",)</f>
        <v>1</v>
      </c>
      <c r="F8" s="462">
        <f>GETPIVOTDATA("Count of D Total Gain",'3.3 Pivot'!$A$3,"Town Centre Name","Battersea Power Station","Local Centre",)</f>
        <v>1</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row>
    <row r="9" spans="1:143" ht="12" customHeight="1" x14ac:dyDescent="0.2">
      <c r="A9" s="755"/>
      <c r="B9" s="756"/>
      <c r="C9" s="393" t="s">
        <v>168</v>
      </c>
      <c r="D9" s="168">
        <f>GETPIVOTDATA("Sum of D1 Gain2",'3.3 Pivot'!$A$3,"Town Centre Name","Battersea Power Station","Local Centre",)</f>
        <v>509</v>
      </c>
      <c r="E9" s="168">
        <f>GETPIVOTDATA("Sum of D2 Gain",'3.3 Pivot'!$A$3,"Town Centre Name","Battersea Power Station","Local Centre",)</f>
        <v>936</v>
      </c>
      <c r="F9" s="464">
        <f>GETPIVOTDATA("Sum of D Total Gain2",'3.3 Pivot'!$A$3,"Town Centre Name","Battersea Power Station","Local Centre",)</f>
        <v>1445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row>
    <row r="10" spans="1:143" ht="12" customHeight="1" x14ac:dyDescent="0.2">
      <c r="A10" s="755"/>
      <c r="B10" s="776" t="s">
        <v>132</v>
      </c>
      <c r="C10" s="385" t="s">
        <v>2970</v>
      </c>
      <c r="D10" s="167">
        <f>GETPIVOTDATA("Count of D1 Gain",'3.3 Pivot'!$A$3,"Town Centre Name","Clapham Junction","Local Centre",)</f>
        <v>0</v>
      </c>
      <c r="E10" s="167">
        <f>GETPIVOTDATA("Count of D2 Gain",'3.3 Pivot'!$A$3,"Town Centre Name","Clapham Junction","Local Centre",)</f>
        <v>1</v>
      </c>
      <c r="F10" s="462">
        <f>GETPIVOTDATA("Count of D Total Gain",'3.3 Pivot'!$A$3,"Town Centre Name","Clapham Junction","Local Centre",)</f>
        <v>1</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row>
    <row r="11" spans="1:143" ht="12" customHeight="1" x14ac:dyDescent="0.2">
      <c r="A11" s="755"/>
      <c r="B11" s="755"/>
      <c r="C11" s="393" t="s">
        <v>168</v>
      </c>
      <c r="D11" s="168">
        <f>GETPIVOTDATA("Sum of D1 Gain2",'3.3 Pivot'!$A$3,"Town Centre Name","Clapham Junction","Local Centre",)</f>
        <v>0</v>
      </c>
      <c r="E11" s="168">
        <f>GETPIVOTDATA("Sum of D2 Gain",'3.3 Pivot'!$A$3,"Town Centre Name","Clapham Junction","Local Centre",)</f>
        <v>33</v>
      </c>
      <c r="F11" s="464">
        <f>GETPIVOTDATA("Sum of D Total Gain2",'3.3 Pivot'!$A$3,"Town Centre Name","Clapham Junction","Local Centre",)</f>
        <v>33</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row>
    <row r="12" spans="1:143" ht="12" customHeight="1" x14ac:dyDescent="0.2">
      <c r="A12" s="755"/>
      <c r="B12" s="776" t="s">
        <v>131</v>
      </c>
      <c r="C12" s="385" t="s">
        <v>2970</v>
      </c>
      <c r="D12" s="167">
        <f>GETPIVOTDATA("Count of D1 Gain",'3.3 Pivot'!$A$3,"Town Centre Name","Putney","Local Centre",)</f>
        <v>2</v>
      </c>
      <c r="E12" s="167">
        <f>GETPIVOTDATA("Count of D2 Gain",'3.3 Pivot'!$A$3,"Town Centre Name","Putney","Local Centre",)</f>
        <v>0</v>
      </c>
      <c r="F12" s="462">
        <f>GETPIVOTDATA("Count of D Total Gain",'3.3 Pivot'!$A$3,"Town Centre Name","Putney","Local Centre",)</f>
        <v>2</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row>
    <row r="13" spans="1:143" ht="12" customHeight="1" x14ac:dyDescent="0.2">
      <c r="A13" s="755"/>
      <c r="B13" s="755"/>
      <c r="C13" s="393" t="s">
        <v>168</v>
      </c>
      <c r="D13" s="168">
        <f>GETPIVOTDATA("Sum of D1 Gain2",'3.3 Pivot'!$A$3,"Town Centre Name","Putney","Local Centre",)</f>
        <v>213</v>
      </c>
      <c r="E13" s="168">
        <f>GETPIVOTDATA("Sum of D2 Gain",'3.3 Pivot'!$A$3,"Town Centre Name","Putney","Local Centre",)</f>
        <v>0</v>
      </c>
      <c r="F13" s="464">
        <f>GETPIVOTDATA("Sum of D Total Gain2",'3.3 Pivot'!$A$3,"Town Centre Name","Putney","Local Centre",)</f>
        <v>213</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row>
    <row r="14" spans="1:143" ht="12" customHeight="1" x14ac:dyDescent="0.2">
      <c r="A14" s="755"/>
      <c r="B14" s="776" t="s">
        <v>150</v>
      </c>
      <c r="C14" s="385" t="s">
        <v>2970</v>
      </c>
      <c r="D14" s="167">
        <f>GETPIVOTDATA("Count of D1 Gain",'3.3 Pivot'!$A$3,"Town Centre Name","Tooting","Local Centre",)</f>
        <v>2</v>
      </c>
      <c r="E14" s="167">
        <f>GETPIVOTDATA("Count of D2 Gain",'3.3 Pivot'!$A$3,"Town Centre Name","Tooting","Local Centre",)</f>
        <v>0</v>
      </c>
      <c r="F14" s="462">
        <f>GETPIVOTDATA("Count of D Total Gain",'3.3 Pivot'!$A$3,"Town Centre Name","Tooting","Local Centre",)</f>
        <v>2</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row>
    <row r="15" spans="1:143" ht="12" customHeight="1" x14ac:dyDescent="0.2">
      <c r="A15" s="755"/>
      <c r="B15" s="755"/>
      <c r="C15" s="393" t="s">
        <v>168</v>
      </c>
      <c r="D15" s="168">
        <f>GETPIVOTDATA("Sum of D1 Gain2",'3.3 Pivot'!$A$3,"Town Centre Name","Tooting","Local Centre",)</f>
        <v>542</v>
      </c>
      <c r="E15" s="168">
        <f>GETPIVOTDATA("Sum of D2 Gain",'3.3 Pivot'!$A$3,"Town Centre Name","Tooting","Local Centre",)</f>
        <v>0</v>
      </c>
      <c r="F15" s="464">
        <f>GETPIVOTDATA("Sum of D Total Gain2",'3.3 Pivot'!$A$3,"Town Centre Name","Tooting","Local Centre",)</f>
        <v>542</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row>
    <row r="16" spans="1:143" ht="12" customHeight="1" x14ac:dyDescent="0.2">
      <c r="A16" s="755"/>
      <c r="B16" s="776" t="s">
        <v>151</v>
      </c>
      <c r="C16" s="385" t="s">
        <v>2970</v>
      </c>
      <c r="D16" s="167">
        <f>GETPIVOTDATA("Count of D1 Gain",'3.3 Pivot'!$A$3,"Town Centre Name","Wandsworth","Local Centre",)</f>
        <v>1</v>
      </c>
      <c r="E16" s="167">
        <f>GETPIVOTDATA("Count of D2 Gain",'3.3 Pivot'!$A$3,"Town Centre Name","Wandsworth","Local Centre",)</f>
        <v>0</v>
      </c>
      <c r="F16" s="462">
        <f>GETPIVOTDATA("Count of D Total Gain",'3.3 Pivot'!$A$3,"Town Centre Name","Wandsworth","Local Centre",)</f>
        <v>1</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row>
    <row r="17" spans="1:143" ht="12" customHeight="1" x14ac:dyDescent="0.2">
      <c r="A17" s="755"/>
      <c r="B17" s="755"/>
      <c r="C17" s="393" t="s">
        <v>168</v>
      </c>
      <c r="D17" s="168">
        <f>GETPIVOTDATA("Sum of D1 Gain2",'3.3 Pivot'!$A$3,"Town Centre Name","Wandsworth","Local Centre",)</f>
        <v>265</v>
      </c>
      <c r="E17" s="168">
        <f>GETPIVOTDATA("Sum of D2 Gain",'3.3 Pivot'!$A$3,"Town Centre Name","Wandsworth","Local Centre",)</f>
        <v>0</v>
      </c>
      <c r="F17" s="464">
        <f>GETPIVOTDATA("Sum of D Total Gain2",'3.3 Pivot'!$A$3,"Town Centre Name","Wandsworth","Local Centre",)</f>
        <v>265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row>
    <row r="18" spans="1:143" ht="12" customHeight="1" x14ac:dyDescent="0.2">
      <c r="A18" s="755"/>
      <c r="B18" s="776" t="s">
        <v>95</v>
      </c>
      <c r="C18" s="385" t="s">
        <v>2970</v>
      </c>
      <c r="D18" s="167">
        <f>SUM(D6,D8,D10,D12,D14,D16)</f>
        <v>7</v>
      </c>
      <c r="E18" s="167">
        <f t="shared" ref="E18:F19" si="0">SUM(E6,E8,E10,E12,E14,E16)</f>
        <v>2</v>
      </c>
      <c r="F18" s="546">
        <f t="shared" si="0"/>
        <v>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row>
    <row r="19" spans="1:143" ht="12" customHeight="1" x14ac:dyDescent="0.2">
      <c r="A19" s="756"/>
      <c r="B19" s="756"/>
      <c r="C19" s="393" t="s">
        <v>168</v>
      </c>
      <c r="D19" s="172">
        <f>SUM(D7,D9,D11,D13,D15,D17)</f>
        <v>1607</v>
      </c>
      <c r="E19" s="172">
        <f t="shared" si="0"/>
        <v>969</v>
      </c>
      <c r="F19" s="463">
        <f t="shared" si="0"/>
        <v>2576</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row>
    <row r="20" spans="1:143" ht="12" customHeight="1" x14ac:dyDescent="0.2">
      <c r="A20" s="776" t="s">
        <v>3814</v>
      </c>
      <c r="B20" s="776"/>
      <c r="C20" s="385" t="s">
        <v>2970</v>
      </c>
      <c r="D20" s="167">
        <f>GETPIVOTDATA("Count of D1 Gain",'3.3 Pivot'!$A$3,"Local Centre","Y")</f>
        <v>0</v>
      </c>
      <c r="E20" s="167">
        <f>GETPIVOTDATA("Count of D2 Gain",'3.3 Pivot'!$A$3,"Local Centre","Y")</f>
        <v>0</v>
      </c>
      <c r="F20" s="462">
        <f>GETPIVOTDATA("Count of D Total Gain",'3.3 Pivot'!$A$3,"Local Centre","Y")</f>
        <v>0</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row>
    <row r="21" spans="1:143" ht="12" customHeight="1" x14ac:dyDescent="0.2">
      <c r="A21" s="756"/>
      <c r="B21" s="756"/>
      <c r="C21" s="387" t="s">
        <v>168</v>
      </c>
      <c r="D21" s="168">
        <f>GETPIVOTDATA("Sum of D1 Gain2",'3.3 Pivot'!$A$3,"Local Centre","Y")</f>
        <v>0</v>
      </c>
      <c r="E21" s="168">
        <f>GETPIVOTDATA("Sum of D2 Gain",'3.3 Pivot'!$A$3,"Local Centre","Y")</f>
        <v>0</v>
      </c>
      <c r="F21" s="464">
        <f>GETPIVOTDATA("Sum of D Total Gain2",'3.3 Pivot'!$A$3,"Local Centre","Y")</f>
        <v>0</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row>
    <row r="22" spans="1:143" ht="12" customHeight="1" x14ac:dyDescent="0.2">
      <c r="A22" s="738" t="s">
        <v>95</v>
      </c>
      <c r="B22" s="738"/>
      <c r="C22" s="385" t="s">
        <v>2970</v>
      </c>
      <c r="D22" s="386">
        <f>SUM(D18,D20)</f>
        <v>7</v>
      </c>
      <c r="E22" s="386">
        <f t="shared" ref="E22:F23" si="1">SUM(E18,E20)</f>
        <v>2</v>
      </c>
      <c r="F22" s="550">
        <f t="shared" si="1"/>
        <v>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row>
    <row r="23" spans="1:143" ht="12" customHeight="1" x14ac:dyDescent="0.2">
      <c r="A23" s="740"/>
      <c r="B23" s="740"/>
      <c r="C23" s="387" t="s">
        <v>168</v>
      </c>
      <c r="D23" s="388">
        <f>SUM(D19,D21)</f>
        <v>1607</v>
      </c>
      <c r="E23" s="388">
        <f t="shared" si="1"/>
        <v>969</v>
      </c>
      <c r="F23" s="388">
        <f t="shared" si="1"/>
        <v>2576</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row>
    <row r="24" spans="1:143" x14ac:dyDescent="0.2">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row>
    <row r="25" spans="1:143" x14ac:dyDescent="0.2">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row>
    <row r="26" spans="1:143" x14ac:dyDescent="0.2">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row>
    <row r="27" spans="1:143" x14ac:dyDescent="0.2">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row>
    <row r="28" spans="1:143" x14ac:dyDescent="0.2">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row>
    <row r="29" spans="1:143" x14ac:dyDescent="0.2">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row>
    <row r="30" spans="1:143" x14ac:dyDescent="0.2">
      <c r="A30" s="403"/>
      <c r="B30" s="18"/>
      <c r="C30" s="18"/>
      <c r="D30" s="18"/>
      <c r="E30" s="15"/>
      <c r="F30" s="15"/>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row>
    <row r="31" spans="1:143" x14ac:dyDescent="0.2">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row>
    <row r="32" spans="1:143" x14ac:dyDescent="0.2">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row>
    <row r="33" spans="5:143" x14ac:dyDescent="0.2">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row>
    <row r="34" spans="5:143" x14ac:dyDescent="0.2">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row>
    <row r="35" spans="5:143" x14ac:dyDescent="0.2">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row>
    <row r="36" spans="5:143" x14ac:dyDescent="0.2">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row>
    <row r="37" spans="5:143" x14ac:dyDescent="0.2">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row>
    <row r="38" spans="5:143" x14ac:dyDescent="0.2">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row>
    <row r="39" spans="5:143" x14ac:dyDescent="0.2">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row>
    <row r="40" spans="5:143" x14ac:dyDescent="0.2">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row>
    <row r="41" spans="5:143" x14ac:dyDescent="0.2">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row>
    <row r="42" spans="5:143" x14ac:dyDescent="0.2">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row>
    <row r="43" spans="5:143" x14ac:dyDescent="0.2">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row>
    <row r="44" spans="5:143" x14ac:dyDescent="0.2">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row>
    <row r="45" spans="5:143" x14ac:dyDescent="0.2">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row>
    <row r="46" spans="5:143" x14ac:dyDescent="0.2">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row>
    <row r="47" spans="5:143" x14ac:dyDescent="0.2">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row>
    <row r="48" spans="5:143" x14ac:dyDescent="0.2">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row>
    <row r="49" spans="5:143" x14ac:dyDescent="0.2">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row>
    <row r="50" spans="5:143" x14ac:dyDescent="0.2">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row>
    <row r="51" spans="5:143" x14ac:dyDescent="0.2">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row>
    <row r="52" spans="5:143" x14ac:dyDescent="0.2">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row>
    <row r="53" spans="5:143" x14ac:dyDescent="0.2">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row>
    <row r="54" spans="5:143" x14ac:dyDescent="0.2">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row>
    <row r="55" spans="5:143" x14ac:dyDescent="0.2">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row>
    <row r="56" spans="5:143" x14ac:dyDescent="0.2">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row>
    <row r="57" spans="5:143" x14ac:dyDescent="0.2">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row>
    <row r="58" spans="5:143" x14ac:dyDescent="0.2">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row>
    <row r="59" spans="5:143" x14ac:dyDescent="0.2">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row>
    <row r="60" spans="5:143" x14ac:dyDescent="0.2">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row>
    <row r="61" spans="5:143" x14ac:dyDescent="0.2">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row>
    <row r="62" spans="5:143" x14ac:dyDescent="0.2">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row>
    <row r="63" spans="5:143" x14ac:dyDescent="0.2">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row>
    <row r="64" spans="5:143" x14ac:dyDescent="0.2">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row>
    <row r="65" spans="5:143" x14ac:dyDescent="0.2">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row>
    <row r="66" spans="5:143" x14ac:dyDescent="0.2">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row>
    <row r="67" spans="5:143" x14ac:dyDescent="0.2">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row>
    <row r="68" spans="5:143" x14ac:dyDescent="0.2">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row>
    <row r="69" spans="5:143" x14ac:dyDescent="0.2">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row>
    <row r="70" spans="5:143" x14ac:dyDescent="0.2">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row>
    <row r="71" spans="5:143" x14ac:dyDescent="0.2">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row>
    <row r="72" spans="5:143" x14ac:dyDescent="0.2">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row>
    <row r="73" spans="5:143" x14ac:dyDescent="0.2">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row>
    <row r="74" spans="5:143" x14ac:dyDescent="0.2">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row>
    <row r="75" spans="5:143" x14ac:dyDescent="0.2">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row>
    <row r="76" spans="5:143" x14ac:dyDescent="0.2">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row>
    <row r="77" spans="5:143" x14ac:dyDescent="0.2">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row>
    <row r="78" spans="5:143" x14ac:dyDescent="0.2">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row>
    <row r="79" spans="5:143" x14ac:dyDescent="0.2">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row>
    <row r="80" spans="5:143" x14ac:dyDescent="0.2">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row>
    <row r="81" spans="5:143" x14ac:dyDescent="0.2">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row>
    <row r="82" spans="5:143" x14ac:dyDescent="0.2">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row>
    <row r="83" spans="5:143" x14ac:dyDescent="0.2">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row>
    <row r="84" spans="5:143" x14ac:dyDescent="0.2">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row>
    <row r="85" spans="5:143" x14ac:dyDescent="0.2">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row>
    <row r="86" spans="5:143" x14ac:dyDescent="0.2">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row>
    <row r="87" spans="5:143" x14ac:dyDescent="0.2">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row>
    <row r="88" spans="5:143" x14ac:dyDescent="0.2">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row>
    <row r="89" spans="5:143" x14ac:dyDescent="0.2">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row>
    <row r="90" spans="5:143" x14ac:dyDescent="0.2">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row>
    <row r="91" spans="5:143" x14ac:dyDescent="0.2">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row>
    <row r="92" spans="5:143" x14ac:dyDescent="0.2">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row>
    <row r="93" spans="5:143" x14ac:dyDescent="0.2">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row>
    <row r="94" spans="5:143" x14ac:dyDescent="0.2">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row>
    <row r="95" spans="5:143" x14ac:dyDescent="0.2">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row>
    <row r="96" spans="5:143" x14ac:dyDescent="0.2">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row>
    <row r="97" spans="5:143" x14ac:dyDescent="0.2">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row>
    <row r="98" spans="5:143" x14ac:dyDescent="0.2">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row>
    <row r="99" spans="5:143" x14ac:dyDescent="0.2">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row>
    <row r="100" spans="5:143" x14ac:dyDescent="0.2">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row>
    <row r="101" spans="5:143" x14ac:dyDescent="0.2">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row>
    <row r="102" spans="5:143" x14ac:dyDescent="0.2">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row>
    <row r="103" spans="5:143" x14ac:dyDescent="0.2">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row>
    <row r="104" spans="5:143" x14ac:dyDescent="0.2">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row>
    <row r="105" spans="5:143" x14ac:dyDescent="0.2">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row>
    <row r="106" spans="5:143" x14ac:dyDescent="0.2">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row>
    <row r="107" spans="5:143" x14ac:dyDescent="0.2">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row>
    <row r="108" spans="5:143" x14ac:dyDescent="0.2">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row>
    <row r="109" spans="5:143" x14ac:dyDescent="0.2">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row>
    <row r="110" spans="5:143" x14ac:dyDescent="0.2">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row>
    <row r="111" spans="5:143" x14ac:dyDescent="0.2">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row>
    <row r="112" spans="5:143" x14ac:dyDescent="0.2">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row>
    <row r="113" spans="5:143" x14ac:dyDescent="0.2">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row>
    <row r="114" spans="5:143" x14ac:dyDescent="0.2">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row>
    <row r="115" spans="5:143" x14ac:dyDescent="0.2">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row>
    <row r="116" spans="5:143" x14ac:dyDescent="0.2">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row>
    <row r="117" spans="5:143" x14ac:dyDescent="0.2">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row>
    <row r="118" spans="5:143" x14ac:dyDescent="0.2">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row>
    <row r="119" spans="5:143" x14ac:dyDescent="0.2">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row>
    <row r="120" spans="5:143" x14ac:dyDescent="0.2">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row>
    <row r="121" spans="5:143" x14ac:dyDescent="0.2">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row>
    <row r="122" spans="5:143" x14ac:dyDescent="0.2">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row>
    <row r="123" spans="5:143" x14ac:dyDescent="0.2">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row>
    <row r="124" spans="5:143" x14ac:dyDescent="0.2">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row>
    <row r="125" spans="5:143" x14ac:dyDescent="0.2">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row>
    <row r="126" spans="5:143" x14ac:dyDescent="0.2">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row>
    <row r="127" spans="5:143" x14ac:dyDescent="0.2">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row>
    <row r="128" spans="5:143" x14ac:dyDescent="0.2">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row>
    <row r="129" spans="5:143" x14ac:dyDescent="0.2">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row>
    <row r="130" spans="5:143" x14ac:dyDescent="0.2">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row>
    <row r="131" spans="5:143" x14ac:dyDescent="0.2">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row>
    <row r="132" spans="5:143" x14ac:dyDescent="0.2">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row>
    <row r="133" spans="5:143" x14ac:dyDescent="0.2">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row>
    <row r="134" spans="5:143" x14ac:dyDescent="0.2">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row>
    <row r="135" spans="5:143" x14ac:dyDescent="0.2">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row>
    <row r="136" spans="5:143" x14ac:dyDescent="0.2">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row>
    <row r="137" spans="5:143" x14ac:dyDescent="0.2">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row>
    <row r="138" spans="5:143" x14ac:dyDescent="0.2">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row>
    <row r="139" spans="5:143" x14ac:dyDescent="0.2">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row>
    <row r="140" spans="5:143" x14ac:dyDescent="0.2">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row>
    <row r="141" spans="5:143" x14ac:dyDescent="0.2">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row>
    <row r="142" spans="5:143" x14ac:dyDescent="0.2">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row>
    <row r="143" spans="5:143" x14ac:dyDescent="0.2">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row>
  </sheetData>
  <mergeCells count="13">
    <mergeCell ref="A20:B21"/>
    <mergeCell ref="A22:B23"/>
    <mergeCell ref="A1:I1"/>
    <mergeCell ref="A4:A5"/>
    <mergeCell ref="F4:F5"/>
    <mergeCell ref="A6:A19"/>
    <mergeCell ref="B6:B7"/>
    <mergeCell ref="B8:B9"/>
    <mergeCell ref="B10:B11"/>
    <mergeCell ref="B12:B13"/>
    <mergeCell ref="B14:B15"/>
    <mergeCell ref="B16:B17"/>
    <mergeCell ref="B18:B19"/>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14"/>
  <sheetViews>
    <sheetView workbookViewId="0"/>
  </sheetViews>
  <sheetFormatPr defaultRowHeight="12" x14ac:dyDescent="0.2"/>
  <cols>
    <col min="1" max="2" width="20.140625" customWidth="1"/>
    <col min="3" max="5" width="14.42578125" customWidth="1"/>
    <col min="6" max="6" width="13.42578125" customWidth="1"/>
    <col min="7" max="8" width="18" bestFit="1" customWidth="1"/>
    <col min="9" max="14" width="17" bestFit="1" customWidth="1"/>
  </cols>
  <sheetData>
    <row r="1" spans="1:8" x14ac:dyDescent="0.2">
      <c r="A1" s="77" t="s">
        <v>2939</v>
      </c>
      <c r="B1" s="446" t="s">
        <v>2936</v>
      </c>
    </row>
    <row r="3" spans="1:8" x14ac:dyDescent="0.2">
      <c r="A3" s="77" t="s">
        <v>140</v>
      </c>
      <c r="B3" s="77" t="s">
        <v>164</v>
      </c>
      <c r="C3" s="446" t="s">
        <v>3838</v>
      </c>
      <c r="D3" s="446" t="s">
        <v>3839</v>
      </c>
      <c r="E3" s="446" t="s">
        <v>3840</v>
      </c>
      <c r="F3" s="446" t="s">
        <v>3841</v>
      </c>
      <c r="G3" s="446" t="s">
        <v>3830</v>
      </c>
      <c r="H3" s="446" t="s">
        <v>3831</v>
      </c>
    </row>
    <row r="4" spans="1:8" x14ac:dyDescent="0.2">
      <c r="A4" s="446" t="s">
        <v>126</v>
      </c>
      <c r="B4" s="446" t="s">
        <v>153</v>
      </c>
      <c r="C4" s="74">
        <v>0</v>
      </c>
      <c r="D4" s="74">
        <v>0</v>
      </c>
      <c r="E4" s="74">
        <v>0</v>
      </c>
      <c r="F4" s="74">
        <v>0</v>
      </c>
      <c r="G4" s="74">
        <v>0</v>
      </c>
      <c r="H4" s="74">
        <v>0</v>
      </c>
    </row>
    <row r="5" spans="1:8" x14ac:dyDescent="0.2">
      <c r="A5" s="446" t="s">
        <v>3842</v>
      </c>
      <c r="B5" s="446"/>
      <c r="C5" s="74">
        <v>0</v>
      </c>
      <c r="D5" s="74">
        <v>0</v>
      </c>
      <c r="E5" s="74">
        <v>0</v>
      </c>
      <c r="F5" s="74">
        <v>0</v>
      </c>
      <c r="G5" s="74">
        <v>0</v>
      </c>
      <c r="H5" s="74">
        <v>0</v>
      </c>
    </row>
    <row r="6" spans="1:8" x14ac:dyDescent="0.2">
      <c r="A6" s="446" t="s">
        <v>153</v>
      </c>
      <c r="B6" s="446" t="s">
        <v>149</v>
      </c>
      <c r="C6" s="74">
        <v>1</v>
      </c>
      <c r="D6" s="74">
        <v>78</v>
      </c>
      <c r="E6" s="74">
        <v>0</v>
      </c>
      <c r="F6" s="74">
        <v>0</v>
      </c>
      <c r="G6" s="74">
        <v>1</v>
      </c>
      <c r="H6" s="74">
        <v>78</v>
      </c>
    </row>
    <row r="7" spans="1:8" x14ac:dyDescent="0.2">
      <c r="B7" s="446" t="s">
        <v>427</v>
      </c>
      <c r="C7" s="74">
        <v>1</v>
      </c>
      <c r="D7" s="74">
        <v>509</v>
      </c>
      <c r="E7" s="74">
        <v>1</v>
      </c>
      <c r="F7" s="74">
        <v>936</v>
      </c>
      <c r="G7" s="74">
        <v>1</v>
      </c>
      <c r="H7" s="74">
        <v>1445</v>
      </c>
    </row>
    <row r="8" spans="1:8" x14ac:dyDescent="0.2">
      <c r="B8" s="446" t="s">
        <v>132</v>
      </c>
      <c r="C8" s="74">
        <v>0</v>
      </c>
      <c r="D8" s="74">
        <v>0</v>
      </c>
      <c r="E8" s="74">
        <v>1</v>
      </c>
      <c r="F8" s="74">
        <v>33</v>
      </c>
      <c r="G8" s="74">
        <v>1</v>
      </c>
      <c r="H8" s="74">
        <v>33</v>
      </c>
    </row>
    <row r="9" spans="1:8" x14ac:dyDescent="0.2">
      <c r="B9" s="446" t="s">
        <v>131</v>
      </c>
      <c r="C9" s="74">
        <v>2</v>
      </c>
      <c r="D9" s="74">
        <v>213</v>
      </c>
      <c r="E9" s="74">
        <v>0</v>
      </c>
      <c r="F9" s="74">
        <v>0</v>
      </c>
      <c r="G9" s="74">
        <v>2</v>
      </c>
      <c r="H9" s="74">
        <v>213</v>
      </c>
    </row>
    <row r="10" spans="1:8" x14ac:dyDescent="0.2">
      <c r="B10" s="446" t="s">
        <v>150</v>
      </c>
      <c r="C10" s="74">
        <v>2</v>
      </c>
      <c r="D10" s="74">
        <v>542</v>
      </c>
      <c r="E10" s="74">
        <v>0</v>
      </c>
      <c r="F10" s="74">
        <v>0</v>
      </c>
      <c r="G10" s="74">
        <v>2</v>
      </c>
      <c r="H10" s="74">
        <v>542</v>
      </c>
    </row>
    <row r="11" spans="1:8" x14ac:dyDescent="0.2">
      <c r="B11" s="446" t="s">
        <v>151</v>
      </c>
      <c r="C11" s="74">
        <v>1</v>
      </c>
      <c r="D11" s="74">
        <v>265</v>
      </c>
      <c r="E11" s="74">
        <v>0</v>
      </c>
      <c r="F11" s="74">
        <v>0</v>
      </c>
      <c r="G11" s="74">
        <v>1</v>
      </c>
      <c r="H11" s="74">
        <v>265</v>
      </c>
    </row>
    <row r="12" spans="1:8" x14ac:dyDescent="0.2">
      <c r="B12" s="446" t="s">
        <v>153</v>
      </c>
      <c r="C12" s="74">
        <v>27</v>
      </c>
      <c r="D12" s="74">
        <v>8227</v>
      </c>
      <c r="E12" s="74">
        <v>11</v>
      </c>
      <c r="F12" s="74">
        <v>3374</v>
      </c>
      <c r="G12" s="74">
        <v>35</v>
      </c>
      <c r="H12" s="74">
        <v>11601</v>
      </c>
    </row>
    <row r="13" spans="1:8" x14ac:dyDescent="0.2">
      <c r="A13" s="446" t="s">
        <v>2934</v>
      </c>
      <c r="B13" s="446"/>
      <c r="C13" s="74">
        <v>34</v>
      </c>
      <c r="D13" s="74">
        <v>9834</v>
      </c>
      <c r="E13" s="74">
        <v>13</v>
      </c>
      <c r="F13" s="74">
        <v>4343</v>
      </c>
      <c r="G13" s="74">
        <v>43</v>
      </c>
      <c r="H13" s="74">
        <v>14177</v>
      </c>
    </row>
    <row r="14" spans="1:8" x14ac:dyDescent="0.2">
      <c r="A14" s="446" t="s">
        <v>115</v>
      </c>
      <c r="C14" s="74">
        <v>34</v>
      </c>
      <c r="D14" s="74">
        <v>9834</v>
      </c>
      <c r="E14" s="74">
        <v>13</v>
      </c>
      <c r="F14" s="74">
        <v>4343</v>
      </c>
      <c r="G14" s="74">
        <v>43</v>
      </c>
      <c r="H14" s="74">
        <v>14177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2"/>
  <dimension ref="A1:AI49"/>
  <sheetViews>
    <sheetView workbookViewId="0">
      <selection sqref="A1:I1"/>
    </sheetView>
  </sheetViews>
  <sheetFormatPr defaultRowHeight="12" x14ac:dyDescent="0.2"/>
  <cols>
    <col min="1" max="1" width="11" style="294" customWidth="1"/>
    <col min="2" max="10" width="8.7109375" style="16" customWidth="1"/>
    <col min="11" max="16384" width="9.140625" style="4"/>
  </cols>
  <sheetData>
    <row r="1" spans="1:35" ht="15.75" x14ac:dyDescent="0.25">
      <c r="A1" s="606" t="s">
        <v>3871</v>
      </c>
      <c r="B1" s="606"/>
      <c r="C1" s="606"/>
      <c r="D1" s="606"/>
      <c r="E1" s="606"/>
      <c r="F1" s="606"/>
      <c r="G1" s="606"/>
      <c r="H1" s="606"/>
      <c r="I1" s="606"/>
      <c r="J1" s="288"/>
      <c r="AI1" s="10"/>
    </row>
    <row r="2" spans="1:35" ht="12.75" x14ac:dyDescent="0.2">
      <c r="A2" s="640" t="s">
        <v>3915</v>
      </c>
      <c r="B2" s="640"/>
      <c r="C2" s="640"/>
      <c r="D2" s="640"/>
      <c r="E2" s="640"/>
      <c r="F2" s="640"/>
      <c r="G2" s="640"/>
      <c r="H2" s="640"/>
      <c r="I2" s="640"/>
      <c r="J2" s="640"/>
    </row>
    <row r="4" spans="1:35" ht="12" customHeight="1" x14ac:dyDescent="0.2">
      <c r="A4" s="792" t="s">
        <v>106</v>
      </c>
      <c r="B4" s="795" t="s">
        <v>166</v>
      </c>
      <c r="C4" s="796"/>
      <c r="D4" s="797"/>
      <c r="E4" s="795" t="s">
        <v>167</v>
      </c>
      <c r="F4" s="796"/>
      <c r="G4" s="797"/>
      <c r="H4" s="798" t="s">
        <v>95</v>
      </c>
      <c r="I4" s="799"/>
      <c r="J4" s="799"/>
    </row>
    <row r="5" spans="1:35" s="8" customFormat="1" ht="12" customHeight="1" x14ac:dyDescent="0.2">
      <c r="A5" s="793"/>
      <c r="B5" s="794" t="s">
        <v>3836</v>
      </c>
      <c r="C5" s="794"/>
      <c r="D5" s="794"/>
      <c r="E5" s="794" t="s">
        <v>3837</v>
      </c>
      <c r="F5" s="794"/>
      <c r="G5" s="794"/>
      <c r="H5" s="800"/>
      <c r="I5" s="801"/>
      <c r="J5" s="801"/>
    </row>
    <row r="6" spans="1:35" s="8" customFormat="1" ht="36" customHeight="1" x14ac:dyDescent="0.2">
      <c r="A6" s="409" t="s">
        <v>3828</v>
      </c>
      <c r="B6" s="377" t="s">
        <v>95</v>
      </c>
      <c r="C6" s="378" t="s">
        <v>3821</v>
      </c>
      <c r="D6" s="379" t="s">
        <v>3843</v>
      </c>
      <c r="E6" s="377" t="s">
        <v>95</v>
      </c>
      <c r="F6" s="378" t="s">
        <v>3821</v>
      </c>
      <c r="G6" s="379" t="s">
        <v>3843</v>
      </c>
      <c r="H6" s="506" t="s">
        <v>95</v>
      </c>
      <c r="I6" s="496" t="s">
        <v>3821</v>
      </c>
      <c r="J6" s="496" t="s">
        <v>3843</v>
      </c>
    </row>
    <row r="7" spans="1:35" ht="12" customHeight="1" x14ac:dyDescent="0.2">
      <c r="A7" s="410" t="s">
        <v>141</v>
      </c>
      <c r="B7" s="115">
        <v>59704</v>
      </c>
      <c r="C7" s="261">
        <v>0</v>
      </c>
      <c r="D7" s="260">
        <v>0</v>
      </c>
      <c r="E7" s="115">
        <v>1989</v>
      </c>
      <c r="F7" s="261">
        <v>0</v>
      </c>
      <c r="G7" s="260">
        <v>0</v>
      </c>
      <c r="H7" s="507">
        <v>61693</v>
      </c>
      <c r="I7" s="508">
        <v>0</v>
      </c>
      <c r="J7" s="509">
        <v>0</v>
      </c>
    </row>
    <row r="8" spans="1:35" ht="12" customHeight="1" x14ac:dyDescent="0.2">
      <c r="A8" s="411" t="s">
        <v>142</v>
      </c>
      <c r="B8" s="127">
        <v>12787</v>
      </c>
      <c r="C8" s="128">
        <v>3427</v>
      </c>
      <c r="D8" s="262">
        <v>0.27</v>
      </c>
      <c r="E8" s="127">
        <v>10883</v>
      </c>
      <c r="F8" s="195">
        <v>0</v>
      </c>
      <c r="G8" s="262">
        <v>0</v>
      </c>
      <c r="H8" s="127">
        <v>23670</v>
      </c>
      <c r="I8" s="128">
        <v>3427</v>
      </c>
      <c r="J8" s="510">
        <v>0.14000000000000001</v>
      </c>
    </row>
    <row r="9" spans="1:35" ht="12" customHeight="1" x14ac:dyDescent="0.2">
      <c r="A9" s="411" t="s">
        <v>143</v>
      </c>
      <c r="B9" s="127">
        <v>14422</v>
      </c>
      <c r="C9" s="195">
        <v>559</v>
      </c>
      <c r="D9" s="262">
        <v>0.04</v>
      </c>
      <c r="E9" s="127">
        <v>12424</v>
      </c>
      <c r="F9" s="195">
        <v>403</v>
      </c>
      <c r="G9" s="262">
        <v>0.03</v>
      </c>
      <c r="H9" s="127">
        <v>26846</v>
      </c>
      <c r="I9" s="195">
        <v>962</v>
      </c>
      <c r="J9" s="510">
        <v>0.04</v>
      </c>
    </row>
    <row r="10" spans="1:35" ht="12" customHeight="1" x14ac:dyDescent="0.2">
      <c r="A10" s="411" t="s">
        <v>144</v>
      </c>
      <c r="B10" s="127">
        <v>9206</v>
      </c>
      <c r="C10" s="195">
        <v>324</v>
      </c>
      <c r="D10" s="262">
        <v>0.04</v>
      </c>
      <c r="E10" s="194">
        <v>442</v>
      </c>
      <c r="F10" s="195">
        <v>243</v>
      </c>
      <c r="G10" s="262">
        <v>0.55000000000000004</v>
      </c>
      <c r="H10" s="127">
        <v>9648</v>
      </c>
      <c r="I10" s="195">
        <v>567</v>
      </c>
      <c r="J10" s="510">
        <v>0.06</v>
      </c>
    </row>
    <row r="11" spans="1:35" ht="12" customHeight="1" x14ac:dyDescent="0.2">
      <c r="A11" s="411" t="s">
        <v>145</v>
      </c>
      <c r="B11" s="127">
        <v>28310</v>
      </c>
      <c r="C11" s="128">
        <v>19800</v>
      </c>
      <c r="D11" s="262">
        <v>0.69939950547509711</v>
      </c>
      <c r="E11" s="127">
        <v>3343</v>
      </c>
      <c r="F11" s="128">
        <v>92</v>
      </c>
      <c r="G11" s="262">
        <v>2.7520191444810049E-2</v>
      </c>
      <c r="H11" s="127">
        <v>31653</v>
      </c>
      <c r="I11" s="128">
        <v>19892</v>
      </c>
      <c r="J11" s="510">
        <v>0.62843964237197103</v>
      </c>
    </row>
    <row r="12" spans="1:35" ht="12" customHeight="1" x14ac:dyDescent="0.2">
      <c r="A12" s="411" t="s">
        <v>146</v>
      </c>
      <c r="B12" s="127">
        <v>8417</v>
      </c>
      <c r="C12" s="128">
        <v>897</v>
      </c>
      <c r="D12" s="262">
        <v>0.10657003683022455</v>
      </c>
      <c r="E12" s="127">
        <v>775</v>
      </c>
      <c r="F12" s="128">
        <v>130</v>
      </c>
      <c r="G12" s="262">
        <v>0.16774193548387098</v>
      </c>
      <c r="H12" s="127">
        <v>9192</v>
      </c>
      <c r="I12" s="128">
        <v>1027</v>
      </c>
      <c r="J12" s="510">
        <v>0.11172758920800696</v>
      </c>
    </row>
    <row r="13" spans="1:35" ht="12" customHeight="1" x14ac:dyDescent="0.2">
      <c r="A13" s="411" t="s">
        <v>147</v>
      </c>
      <c r="B13" s="127">
        <v>20163</v>
      </c>
      <c r="C13" s="128">
        <v>2176</v>
      </c>
      <c r="D13" s="262">
        <v>0.10792044834598026</v>
      </c>
      <c r="E13" s="127">
        <v>10061</v>
      </c>
      <c r="F13" s="128">
        <v>3135</v>
      </c>
      <c r="G13" s="262">
        <v>0.31159924460789185</v>
      </c>
      <c r="H13" s="127">
        <v>30224</v>
      </c>
      <c r="I13" s="128">
        <v>5311</v>
      </c>
      <c r="J13" s="510">
        <v>0.17572128110111171</v>
      </c>
    </row>
    <row r="14" spans="1:35" ht="12" customHeight="1" x14ac:dyDescent="0.2">
      <c r="A14" s="411" t="s">
        <v>148</v>
      </c>
      <c r="B14" s="127">
        <v>23694</v>
      </c>
      <c r="C14" s="128">
        <v>1041</v>
      </c>
      <c r="D14" s="262">
        <v>4.3935173461635856E-2</v>
      </c>
      <c r="E14" s="127">
        <v>582</v>
      </c>
      <c r="F14" s="128">
        <v>160</v>
      </c>
      <c r="G14" s="262">
        <v>0.27491408934707906</v>
      </c>
      <c r="H14" s="127">
        <v>24276</v>
      </c>
      <c r="I14" s="128">
        <v>1201</v>
      </c>
      <c r="J14" s="510">
        <v>4.947273026857802E-2</v>
      </c>
    </row>
    <row r="15" spans="1:35" ht="12" customHeight="1" x14ac:dyDescent="0.2">
      <c r="A15" s="411" t="s">
        <v>165</v>
      </c>
      <c r="B15" s="127">
        <v>790</v>
      </c>
      <c r="C15" s="128">
        <v>395</v>
      </c>
      <c r="D15" s="262">
        <v>0.5</v>
      </c>
      <c r="E15" s="127">
        <v>0</v>
      </c>
      <c r="F15" s="128">
        <v>0</v>
      </c>
      <c r="G15" s="262">
        <v>0</v>
      </c>
      <c r="H15" s="127">
        <v>790</v>
      </c>
      <c r="I15" s="128">
        <v>395</v>
      </c>
      <c r="J15" s="510">
        <v>0.5</v>
      </c>
    </row>
    <row r="16" spans="1:35" ht="12" customHeight="1" x14ac:dyDescent="0.2">
      <c r="A16" s="411" t="s">
        <v>417</v>
      </c>
      <c r="B16" s="127">
        <v>2388</v>
      </c>
      <c r="C16" s="128">
        <v>1194</v>
      </c>
      <c r="D16" s="262">
        <v>0.5</v>
      </c>
      <c r="E16" s="127">
        <v>0</v>
      </c>
      <c r="F16" s="128">
        <v>0</v>
      </c>
      <c r="G16" s="262">
        <v>0</v>
      </c>
      <c r="H16" s="127">
        <v>2388</v>
      </c>
      <c r="I16" s="128">
        <v>1194</v>
      </c>
      <c r="J16" s="510">
        <v>0.5</v>
      </c>
    </row>
    <row r="17" spans="1:10" ht="12" customHeight="1" x14ac:dyDescent="0.2">
      <c r="A17" s="411" t="s">
        <v>636</v>
      </c>
      <c r="B17" s="127">
        <v>6690</v>
      </c>
      <c r="C17" s="128">
        <v>3155</v>
      </c>
      <c r="D17" s="262">
        <v>0.18</v>
      </c>
      <c r="E17" s="127">
        <v>320</v>
      </c>
      <c r="F17" s="128">
        <v>5</v>
      </c>
      <c r="G17" s="262">
        <v>0.02</v>
      </c>
      <c r="H17" s="127">
        <v>7010</v>
      </c>
      <c r="I17" s="128">
        <v>1199</v>
      </c>
      <c r="J17" s="510">
        <v>0.17</v>
      </c>
    </row>
    <row r="18" spans="1:10" ht="12" customHeight="1" x14ac:dyDescent="0.2">
      <c r="A18" s="411" t="s">
        <v>1300</v>
      </c>
      <c r="B18" s="127">
        <v>1496</v>
      </c>
      <c r="C18" s="128">
        <v>515</v>
      </c>
      <c r="D18" s="262">
        <v>0.79812834224598928</v>
      </c>
      <c r="E18" s="127">
        <v>1257</v>
      </c>
      <c r="F18" s="128">
        <v>3</v>
      </c>
      <c r="G18" s="262">
        <v>2.3866348448687352E-3</v>
      </c>
      <c r="H18" s="127">
        <v>2753</v>
      </c>
      <c r="I18" s="128">
        <v>1197</v>
      </c>
      <c r="J18" s="510">
        <v>0.4347984017435525</v>
      </c>
    </row>
    <row r="19" spans="1:10" ht="12" customHeight="1" x14ac:dyDescent="0.2">
      <c r="A19" s="412" t="s">
        <v>2974</v>
      </c>
      <c r="B19" s="118">
        <f>GETPIVOTDATA("Sum of D1 Gain2",'3.4 Pivot'!$A$3)</f>
        <v>9834</v>
      </c>
      <c r="C19" s="119">
        <f>GETPIVOTDATA("Sum of D1 Gain2",'3.4 Pivot'!$A$3,"Town Centre","Y")</f>
        <v>1607</v>
      </c>
      <c r="D19" s="263">
        <f>C19/B19</f>
        <v>0.16341264998983121</v>
      </c>
      <c r="E19" s="118">
        <f>GETPIVOTDATA("Sum of D2 Gain",'3.4 Pivot'!$A$3)</f>
        <v>4343</v>
      </c>
      <c r="F19" s="119">
        <f>GETPIVOTDATA("Sum of D2 Gain",'3.4 Pivot'!$A$3,"Town Centre","Y")</f>
        <v>969</v>
      </c>
      <c r="G19" s="263">
        <f>F19/E19</f>
        <v>0.22311766060326962</v>
      </c>
      <c r="H19" s="118">
        <f>GETPIVOTDATA("Sum of D Total Gain2",'3.4 Pivot'!$A$3)</f>
        <v>14177</v>
      </c>
      <c r="I19" s="119">
        <f>GETPIVOTDATA("Sum of D Total Gain2",'3.4 Pivot'!$A$3,"Town Centre","Y")</f>
        <v>2576</v>
      </c>
      <c r="J19" s="263">
        <f>I19/H19</f>
        <v>0.18170275798829089</v>
      </c>
    </row>
    <row r="20" spans="1:10" x14ac:dyDescent="0.2">
      <c r="A20" s="791"/>
      <c r="B20" s="791"/>
      <c r="C20" s="791"/>
      <c r="D20" s="791"/>
      <c r="E20" s="791"/>
      <c r="F20" s="791"/>
      <c r="G20" s="791"/>
      <c r="H20" s="791"/>
      <c r="I20" s="791"/>
      <c r="J20" s="791"/>
    </row>
    <row r="21" spans="1:10" ht="12.75" x14ac:dyDescent="0.2">
      <c r="A21" s="293" t="s">
        <v>3932</v>
      </c>
    </row>
    <row r="49" spans="1:9" x14ac:dyDescent="0.2">
      <c r="A49" s="405"/>
      <c r="B49" s="18"/>
      <c r="C49" s="18"/>
      <c r="D49" s="18"/>
      <c r="E49" s="18"/>
      <c r="F49" s="18"/>
      <c r="G49" s="18"/>
      <c r="H49" s="18"/>
      <c r="I49" s="18"/>
    </row>
  </sheetData>
  <mergeCells count="9">
    <mergeCell ref="A1:I1"/>
    <mergeCell ref="A20:J20"/>
    <mergeCell ref="A4:A5"/>
    <mergeCell ref="B5:D5"/>
    <mergeCell ref="E5:G5"/>
    <mergeCell ref="A2:J2"/>
    <mergeCell ref="B4:D4"/>
    <mergeCell ref="E4:G4"/>
    <mergeCell ref="H4:J5"/>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6"/>
  <sheetViews>
    <sheetView workbookViewId="0"/>
  </sheetViews>
  <sheetFormatPr defaultRowHeight="12" x14ac:dyDescent="0.2"/>
  <cols>
    <col min="1" max="1" width="19.5703125" customWidth="1"/>
    <col min="2" max="2" width="14.42578125" customWidth="1"/>
    <col min="3" max="3" width="13.42578125" customWidth="1"/>
    <col min="4" max="6" width="18" customWidth="1"/>
    <col min="7" max="8" width="18" bestFit="1" customWidth="1"/>
    <col min="9" max="14" width="17" bestFit="1" customWidth="1"/>
  </cols>
  <sheetData>
    <row r="1" spans="1:4" x14ac:dyDescent="0.2">
      <c r="A1" s="77" t="s">
        <v>2939</v>
      </c>
      <c r="B1" s="446" t="s">
        <v>2936</v>
      </c>
    </row>
    <row r="3" spans="1:4" x14ac:dyDescent="0.2">
      <c r="A3" s="77" t="s">
        <v>111</v>
      </c>
      <c r="B3" s="446" t="s">
        <v>3839</v>
      </c>
      <c r="C3" s="446" t="s">
        <v>3841</v>
      </c>
      <c r="D3" s="446" t="s">
        <v>3831</v>
      </c>
    </row>
    <row r="4" spans="1:4" x14ac:dyDescent="0.2">
      <c r="A4" s="446" t="s">
        <v>126</v>
      </c>
      <c r="B4" s="74">
        <v>1607</v>
      </c>
      <c r="C4" s="74">
        <v>969</v>
      </c>
      <c r="D4" s="74">
        <v>2576</v>
      </c>
    </row>
    <row r="5" spans="1:4" x14ac:dyDescent="0.2">
      <c r="A5" s="446" t="s">
        <v>153</v>
      </c>
      <c r="B5" s="74">
        <v>8227</v>
      </c>
      <c r="C5" s="74">
        <v>3374</v>
      </c>
      <c r="D5" s="74">
        <v>11601</v>
      </c>
    </row>
    <row r="6" spans="1:4" x14ac:dyDescent="0.2">
      <c r="A6" s="446" t="s">
        <v>115</v>
      </c>
      <c r="B6" s="74">
        <v>9834</v>
      </c>
      <c r="C6" s="74">
        <v>4343</v>
      </c>
      <c r="D6" s="74">
        <v>14177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3"/>
  <dimension ref="A1:ER117"/>
  <sheetViews>
    <sheetView workbookViewId="0">
      <selection sqref="A1:I1"/>
    </sheetView>
  </sheetViews>
  <sheetFormatPr defaultRowHeight="12" x14ac:dyDescent="0.2"/>
  <cols>
    <col min="1" max="1" width="7.7109375" style="294" customWidth="1"/>
    <col min="2" max="2" width="8.7109375" style="16" customWidth="1"/>
    <col min="3" max="3" width="10.7109375" style="16" customWidth="1"/>
    <col min="4" max="4" width="8.7109375" style="16" customWidth="1"/>
    <col min="5" max="5" width="10.7109375" style="16" customWidth="1"/>
    <col min="6" max="6" width="8.7109375" style="16" customWidth="1"/>
    <col min="7" max="7" width="10.7109375" style="16" customWidth="1"/>
    <col min="8" max="8" width="8.7109375" style="16" customWidth="1"/>
    <col min="9" max="9" width="10.7109375" style="16" customWidth="1"/>
    <col min="10" max="10" width="8.7109375" style="16" customWidth="1"/>
    <col min="11" max="11" width="10.7109375" style="16" customWidth="1"/>
    <col min="12" max="12" width="8.7109375" style="16" customWidth="1"/>
    <col min="13" max="13" width="10.7109375" style="16" customWidth="1"/>
    <col min="14" max="14" width="8.7109375" style="16" customWidth="1"/>
    <col min="15" max="15" width="10.7109375" style="16" customWidth="1"/>
    <col min="16" max="16384" width="9.140625" style="1"/>
  </cols>
  <sheetData>
    <row r="1" spans="1:148" ht="15.75" x14ac:dyDescent="0.25">
      <c r="A1" s="606" t="s">
        <v>3871</v>
      </c>
      <c r="B1" s="606"/>
      <c r="C1" s="606"/>
      <c r="D1" s="606"/>
      <c r="E1" s="606"/>
      <c r="F1" s="606"/>
      <c r="G1" s="606"/>
      <c r="H1" s="606"/>
      <c r="I1" s="606"/>
      <c r="J1" s="288"/>
      <c r="K1" s="288"/>
      <c r="L1" s="288"/>
      <c r="M1" s="288"/>
      <c r="N1" s="288"/>
      <c r="O1" s="288"/>
      <c r="P1" s="4"/>
      <c r="Q1" s="4"/>
      <c r="R1" s="4"/>
      <c r="S1" s="4"/>
      <c r="T1" s="4"/>
      <c r="U1" s="4"/>
      <c r="V1" s="4"/>
      <c r="W1" s="4"/>
      <c r="X1" s="4"/>
      <c r="Y1" s="4"/>
      <c r="Z1" s="4"/>
      <c r="AA1" s="4"/>
      <c r="AB1" s="4"/>
      <c r="AC1" s="4"/>
      <c r="AD1" s="4"/>
      <c r="AE1" s="4"/>
      <c r="AF1" s="4"/>
      <c r="AG1" s="4"/>
      <c r="AH1" s="4"/>
      <c r="AI1" s="4"/>
      <c r="AJ1" s="4"/>
      <c r="AK1" s="10"/>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row>
    <row r="2" spans="1:148" ht="12.75" x14ac:dyDescent="0.2">
      <c r="A2" s="640" t="s">
        <v>3925</v>
      </c>
      <c r="B2" s="640"/>
      <c r="C2" s="640"/>
      <c r="D2" s="640"/>
      <c r="E2" s="640"/>
      <c r="F2" s="640"/>
      <c r="G2" s="640"/>
      <c r="H2" s="640"/>
      <c r="I2" s="640"/>
      <c r="J2" s="640"/>
      <c r="K2" s="640"/>
      <c r="L2" s="640"/>
      <c r="M2" s="640"/>
      <c r="N2" s="640"/>
      <c r="O2" s="640"/>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row>
    <row r="3" spans="1:148" x14ac:dyDescent="0.2">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row>
    <row r="4" spans="1:148" s="3" customFormat="1" ht="24" customHeight="1" x14ac:dyDescent="0.2">
      <c r="A4" s="792" t="s">
        <v>104</v>
      </c>
      <c r="B4" s="804" t="s">
        <v>149</v>
      </c>
      <c r="C4" s="804"/>
      <c r="D4" s="744" t="s">
        <v>427</v>
      </c>
      <c r="E4" s="746"/>
      <c r="F4" s="804" t="s">
        <v>132</v>
      </c>
      <c r="G4" s="804"/>
      <c r="H4" s="804" t="s">
        <v>131</v>
      </c>
      <c r="I4" s="804"/>
      <c r="J4" s="804" t="s">
        <v>150</v>
      </c>
      <c r="K4" s="804"/>
      <c r="L4" s="804" t="s">
        <v>151</v>
      </c>
      <c r="M4" s="804"/>
      <c r="N4" s="802" t="s">
        <v>95</v>
      </c>
      <c r="O4" s="803"/>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row>
    <row r="5" spans="1:148" ht="24" customHeight="1" x14ac:dyDescent="0.2">
      <c r="A5" s="793"/>
      <c r="B5" s="377" t="s">
        <v>2970</v>
      </c>
      <c r="C5" s="379" t="s">
        <v>168</v>
      </c>
      <c r="D5" s="377" t="s">
        <v>2970</v>
      </c>
      <c r="E5" s="379" t="s">
        <v>168</v>
      </c>
      <c r="F5" s="377" t="s">
        <v>2970</v>
      </c>
      <c r="G5" s="379" t="s">
        <v>168</v>
      </c>
      <c r="H5" s="377" t="s">
        <v>2970</v>
      </c>
      <c r="I5" s="379" t="s">
        <v>168</v>
      </c>
      <c r="J5" s="377" t="s">
        <v>2970</v>
      </c>
      <c r="K5" s="379" t="s">
        <v>168</v>
      </c>
      <c r="L5" s="377" t="s">
        <v>2970</v>
      </c>
      <c r="M5" s="379" t="s">
        <v>168</v>
      </c>
      <c r="N5" s="506" t="s">
        <v>2970</v>
      </c>
      <c r="O5" s="496" t="s">
        <v>168</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row>
    <row r="6" spans="1:148" ht="12" customHeight="1" x14ac:dyDescent="0.2">
      <c r="A6" s="406" t="s">
        <v>141</v>
      </c>
      <c r="B6" s="220">
        <v>0</v>
      </c>
      <c r="C6" s="233">
        <v>0</v>
      </c>
      <c r="D6" s="220">
        <v>0</v>
      </c>
      <c r="E6" s="233">
        <v>0</v>
      </c>
      <c r="F6" s="220">
        <v>0</v>
      </c>
      <c r="G6" s="233">
        <v>0</v>
      </c>
      <c r="H6" s="220">
        <v>0</v>
      </c>
      <c r="I6" s="233">
        <v>0</v>
      </c>
      <c r="J6" s="220">
        <v>0</v>
      </c>
      <c r="K6" s="233">
        <v>0</v>
      </c>
      <c r="L6" s="220">
        <v>0</v>
      </c>
      <c r="M6" s="233">
        <v>0</v>
      </c>
      <c r="N6" s="482">
        <v>0</v>
      </c>
      <c r="O6" s="483">
        <v>0</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row>
    <row r="7" spans="1:148" ht="12" customHeight="1" x14ac:dyDescent="0.2">
      <c r="A7" s="407" t="s">
        <v>142</v>
      </c>
      <c r="B7" s="225">
        <v>0</v>
      </c>
      <c r="C7" s="175">
        <v>0</v>
      </c>
      <c r="D7" s="225">
        <v>0</v>
      </c>
      <c r="E7" s="175">
        <v>0</v>
      </c>
      <c r="F7" s="225">
        <v>0</v>
      </c>
      <c r="G7" s="175">
        <v>0</v>
      </c>
      <c r="H7" s="225">
        <v>3</v>
      </c>
      <c r="I7" s="175">
        <v>3250</v>
      </c>
      <c r="J7" s="225">
        <v>0</v>
      </c>
      <c r="K7" s="175">
        <v>0</v>
      </c>
      <c r="L7" s="225">
        <v>1</v>
      </c>
      <c r="M7" s="175">
        <v>187</v>
      </c>
      <c r="N7" s="225">
        <v>4</v>
      </c>
      <c r="O7" s="172">
        <v>3427</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row>
    <row r="8" spans="1:148" ht="12" customHeight="1" x14ac:dyDescent="0.2">
      <c r="A8" s="407" t="s">
        <v>143</v>
      </c>
      <c r="B8" s="225">
        <v>0</v>
      </c>
      <c r="C8" s="175">
        <v>0</v>
      </c>
      <c r="D8" s="225">
        <v>0</v>
      </c>
      <c r="E8" s="175">
        <v>0</v>
      </c>
      <c r="F8" s="225">
        <v>0</v>
      </c>
      <c r="G8" s="175">
        <v>0</v>
      </c>
      <c r="H8" s="225">
        <v>0</v>
      </c>
      <c r="I8" s="175">
        <v>0</v>
      </c>
      <c r="J8" s="225">
        <v>1</v>
      </c>
      <c r="K8" s="175">
        <v>153</v>
      </c>
      <c r="L8" s="225">
        <v>2</v>
      </c>
      <c r="M8" s="175">
        <v>809</v>
      </c>
      <c r="N8" s="225">
        <v>3</v>
      </c>
      <c r="O8" s="172">
        <v>962</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row>
    <row r="9" spans="1:148" ht="12" customHeight="1" x14ac:dyDescent="0.2">
      <c r="A9" s="407" t="s">
        <v>144</v>
      </c>
      <c r="B9" s="225">
        <v>2</v>
      </c>
      <c r="C9" s="175">
        <v>392</v>
      </c>
      <c r="D9" s="225">
        <v>0</v>
      </c>
      <c r="E9" s="175">
        <v>0</v>
      </c>
      <c r="F9" s="225">
        <v>0</v>
      </c>
      <c r="G9" s="175">
        <v>0</v>
      </c>
      <c r="H9" s="225">
        <v>0</v>
      </c>
      <c r="I9" s="175">
        <v>0</v>
      </c>
      <c r="J9" s="225">
        <v>1</v>
      </c>
      <c r="K9" s="175">
        <v>185</v>
      </c>
      <c r="L9" s="225">
        <v>0</v>
      </c>
      <c r="M9" s="175">
        <v>0</v>
      </c>
      <c r="N9" s="225">
        <v>3</v>
      </c>
      <c r="O9" s="172">
        <v>567</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row>
    <row r="10" spans="1:148" ht="12" customHeight="1" x14ac:dyDescent="0.2">
      <c r="A10" s="407" t="s">
        <v>145</v>
      </c>
      <c r="B10" s="225">
        <v>0</v>
      </c>
      <c r="C10" s="175">
        <v>0</v>
      </c>
      <c r="D10" s="225">
        <v>0</v>
      </c>
      <c r="E10" s="175">
        <v>0</v>
      </c>
      <c r="F10" s="225">
        <v>0</v>
      </c>
      <c r="G10" s="175">
        <v>0</v>
      </c>
      <c r="H10" s="225">
        <v>1</v>
      </c>
      <c r="I10" s="175">
        <v>200</v>
      </c>
      <c r="J10" s="225">
        <v>2</v>
      </c>
      <c r="K10" s="175">
        <v>519</v>
      </c>
      <c r="L10" s="225">
        <v>2</v>
      </c>
      <c r="M10" s="175">
        <v>19183</v>
      </c>
      <c r="N10" s="225">
        <v>5</v>
      </c>
      <c r="O10" s="172">
        <v>19892</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row>
    <row r="11" spans="1:148" ht="12" customHeight="1" x14ac:dyDescent="0.2">
      <c r="A11" s="407" t="s">
        <v>146</v>
      </c>
      <c r="B11" s="225">
        <v>0</v>
      </c>
      <c r="C11" s="175">
        <v>0</v>
      </c>
      <c r="D11" s="225">
        <v>0</v>
      </c>
      <c r="E11" s="175">
        <v>0</v>
      </c>
      <c r="F11" s="225">
        <v>2</v>
      </c>
      <c r="G11" s="175">
        <v>558</v>
      </c>
      <c r="H11" s="225">
        <v>1</v>
      </c>
      <c r="I11" s="175">
        <v>49</v>
      </c>
      <c r="J11" s="225">
        <v>0</v>
      </c>
      <c r="K11" s="175">
        <v>0</v>
      </c>
      <c r="L11" s="225">
        <v>1</v>
      </c>
      <c r="M11" s="175">
        <v>420</v>
      </c>
      <c r="N11" s="225">
        <v>4</v>
      </c>
      <c r="O11" s="172">
        <v>1027</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row>
    <row r="12" spans="1:148" ht="12" customHeight="1" x14ac:dyDescent="0.2">
      <c r="A12" s="407" t="s">
        <v>147</v>
      </c>
      <c r="B12" s="225">
        <v>1</v>
      </c>
      <c r="C12" s="175">
        <v>14</v>
      </c>
      <c r="D12" s="225">
        <v>0</v>
      </c>
      <c r="E12" s="175">
        <v>0</v>
      </c>
      <c r="F12" s="225">
        <v>1</v>
      </c>
      <c r="G12" s="175">
        <v>161</v>
      </c>
      <c r="H12" s="225">
        <v>3</v>
      </c>
      <c r="I12" s="175">
        <v>3061</v>
      </c>
      <c r="J12" s="225">
        <v>2</v>
      </c>
      <c r="K12" s="175">
        <v>90</v>
      </c>
      <c r="L12" s="225">
        <v>2</v>
      </c>
      <c r="M12" s="175">
        <v>1985</v>
      </c>
      <c r="N12" s="225">
        <v>9</v>
      </c>
      <c r="O12" s="172">
        <v>5311</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row>
    <row r="13" spans="1:148" ht="12" customHeight="1" x14ac:dyDescent="0.2">
      <c r="A13" s="407" t="s">
        <v>148</v>
      </c>
      <c r="B13" s="225">
        <v>1</v>
      </c>
      <c r="C13" s="175">
        <v>120</v>
      </c>
      <c r="D13" s="225">
        <v>0</v>
      </c>
      <c r="E13" s="175">
        <v>0</v>
      </c>
      <c r="F13" s="225">
        <v>1</v>
      </c>
      <c r="G13" s="175">
        <v>40</v>
      </c>
      <c r="H13" s="225">
        <v>3</v>
      </c>
      <c r="I13" s="175">
        <v>411</v>
      </c>
      <c r="J13" s="225">
        <v>1</v>
      </c>
      <c r="K13" s="175">
        <v>230</v>
      </c>
      <c r="L13" s="225">
        <v>1</v>
      </c>
      <c r="M13" s="175">
        <v>400</v>
      </c>
      <c r="N13" s="225">
        <v>7</v>
      </c>
      <c r="O13" s="172">
        <v>1201</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row>
    <row r="14" spans="1:148" ht="12" customHeight="1" x14ac:dyDescent="0.2">
      <c r="A14" s="407" t="s">
        <v>165</v>
      </c>
      <c r="B14" s="225">
        <v>0</v>
      </c>
      <c r="C14" s="175">
        <v>0</v>
      </c>
      <c r="D14" s="225">
        <v>0</v>
      </c>
      <c r="E14" s="175">
        <v>0</v>
      </c>
      <c r="F14" s="225">
        <v>0</v>
      </c>
      <c r="G14" s="175">
        <v>0</v>
      </c>
      <c r="H14" s="225">
        <v>1</v>
      </c>
      <c r="I14" s="175">
        <v>236</v>
      </c>
      <c r="J14" s="225">
        <v>0</v>
      </c>
      <c r="K14" s="175">
        <v>0</v>
      </c>
      <c r="L14" s="225">
        <v>1</v>
      </c>
      <c r="M14" s="175">
        <v>159</v>
      </c>
      <c r="N14" s="225">
        <v>2</v>
      </c>
      <c r="O14" s="172">
        <v>395</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row>
    <row r="15" spans="1:148" ht="12" customHeight="1" x14ac:dyDescent="0.2">
      <c r="A15" s="407" t="s">
        <v>417</v>
      </c>
      <c r="B15" s="225">
        <v>1</v>
      </c>
      <c r="C15" s="175">
        <v>210</v>
      </c>
      <c r="D15" s="225">
        <v>0</v>
      </c>
      <c r="E15" s="175">
        <v>0</v>
      </c>
      <c r="F15" s="225">
        <v>0</v>
      </c>
      <c r="G15" s="175">
        <v>0</v>
      </c>
      <c r="H15" s="225">
        <v>0</v>
      </c>
      <c r="I15" s="175">
        <v>0</v>
      </c>
      <c r="J15" s="225">
        <v>1</v>
      </c>
      <c r="K15" s="175">
        <v>670</v>
      </c>
      <c r="L15" s="225">
        <v>2</v>
      </c>
      <c r="M15" s="175">
        <v>314</v>
      </c>
      <c r="N15" s="225">
        <v>4</v>
      </c>
      <c r="O15" s="172">
        <v>1194</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row>
    <row r="16" spans="1:148" ht="12" customHeight="1" x14ac:dyDescent="0.2">
      <c r="A16" s="407" t="s">
        <v>636</v>
      </c>
      <c r="B16" s="225">
        <v>2</v>
      </c>
      <c r="C16" s="175">
        <v>1265</v>
      </c>
      <c r="D16" s="225">
        <v>0</v>
      </c>
      <c r="E16" s="175">
        <v>0</v>
      </c>
      <c r="F16" s="225">
        <v>3</v>
      </c>
      <c r="G16" s="175">
        <v>948</v>
      </c>
      <c r="H16" s="225">
        <v>0</v>
      </c>
      <c r="I16" s="175">
        <v>0</v>
      </c>
      <c r="J16" s="225">
        <v>2</v>
      </c>
      <c r="K16" s="175">
        <v>918</v>
      </c>
      <c r="L16" s="225">
        <v>5</v>
      </c>
      <c r="M16" s="175">
        <v>1834</v>
      </c>
      <c r="N16" s="225">
        <v>12</v>
      </c>
      <c r="O16" s="172">
        <v>4864</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row>
    <row r="17" spans="1:148" ht="12" customHeight="1" x14ac:dyDescent="0.2">
      <c r="A17" s="407" t="s">
        <v>1300</v>
      </c>
      <c r="B17" s="225">
        <v>2</v>
      </c>
      <c r="C17" s="175">
        <v>188</v>
      </c>
      <c r="D17" s="228">
        <v>0</v>
      </c>
      <c r="E17" s="265">
        <v>0</v>
      </c>
      <c r="F17" s="225">
        <v>1</v>
      </c>
      <c r="G17" s="175">
        <v>381</v>
      </c>
      <c r="H17" s="225">
        <v>4</v>
      </c>
      <c r="I17" s="175">
        <v>646</v>
      </c>
      <c r="J17" s="225">
        <v>0</v>
      </c>
      <c r="K17" s="175">
        <v>0</v>
      </c>
      <c r="L17" s="225">
        <v>0</v>
      </c>
      <c r="M17" s="175">
        <v>0</v>
      </c>
      <c r="N17" s="225">
        <v>7</v>
      </c>
      <c r="O17" s="172">
        <v>1215</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row>
    <row r="18" spans="1:148" ht="12" customHeight="1" x14ac:dyDescent="0.2">
      <c r="A18" s="408" t="s">
        <v>2974</v>
      </c>
      <c r="B18" s="264">
        <f>GETPIVOTDATA("Count of D Total Gain",'3.5 Pivot'!$A$3,"Town Centre Name","Balham")</f>
        <v>1</v>
      </c>
      <c r="C18" s="169">
        <f>GETPIVOTDATA("Sum of D Total Gain2",'3.5 Pivot'!$A$3,"Town Centre Name","Balham")</f>
        <v>78</v>
      </c>
      <c r="D18" s="264">
        <f>GETPIVOTDATA("Count of D Total Gain",'3.5 Pivot'!$A$3,"Town Centre Name","Battersea Power Station")</f>
        <v>1</v>
      </c>
      <c r="E18" s="169">
        <f>GETPIVOTDATA("Sum of D Total Gain2",'3.5 Pivot'!$A$3,"Town Centre Name","Battersea Power Station")</f>
        <v>1445</v>
      </c>
      <c r="F18" s="264">
        <f>GETPIVOTDATA("Count of D Total Gain",'3.5 Pivot'!$A$3,"Town Centre Name","Clapham Junction")</f>
        <v>1</v>
      </c>
      <c r="G18" s="169">
        <f>GETPIVOTDATA("Sum of D Total Gain2",'3.5 Pivot'!$A$3,"Town Centre Name","Clapham Junction")</f>
        <v>33</v>
      </c>
      <c r="H18" s="264">
        <f>GETPIVOTDATA("Count of D Total Gain",'3.5 Pivot'!$A$3,"Town Centre Name","Putney")</f>
        <v>2</v>
      </c>
      <c r="I18" s="169">
        <f>GETPIVOTDATA("Sum of D Total Gain2",'3.5 Pivot'!$A$3,"Town Centre Name","Putney")</f>
        <v>213</v>
      </c>
      <c r="J18" s="264">
        <f>GETPIVOTDATA("Count of D Total Gain",'3.5 Pivot'!$A$3,"Town Centre Name","Tooting")</f>
        <v>2</v>
      </c>
      <c r="K18" s="182">
        <f>GETPIVOTDATA("Sum of D Total Gain2",'3.5 Pivot'!$A$3,"Town Centre Name","Tooting")</f>
        <v>542</v>
      </c>
      <c r="L18" s="264">
        <f>GETPIVOTDATA("Count of D Total Gain",'3.5 Pivot'!$A$3,"Town Centre Name","Wandsworth")</f>
        <v>1</v>
      </c>
      <c r="M18" s="169">
        <f>GETPIVOTDATA("Sum of D Total Gain2",'3.5 Pivot'!$A$3,"Town Centre Name","Wandsworth")</f>
        <v>265</v>
      </c>
      <c r="N18" s="264">
        <f>GETPIVOTDATA("Count of D Total Gain",'3.5 Pivot'!$A$3)</f>
        <v>8</v>
      </c>
      <c r="O18" s="464">
        <f>GETPIVOTDATA("Sum of D Total Gain2",'3.5 Pivot'!$A$3)</f>
        <v>2576</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row>
    <row r="19" spans="1:148" x14ac:dyDescent="0.2">
      <c r="A19" s="791"/>
      <c r="B19" s="791"/>
      <c r="C19" s="791"/>
      <c r="D19" s="791"/>
      <c r="E19" s="791"/>
      <c r="F19" s="791"/>
      <c r="G19" s="791"/>
      <c r="H19" s="791"/>
      <c r="I19" s="791"/>
      <c r="J19" s="791"/>
      <c r="K19" s="791"/>
      <c r="L19" s="791"/>
      <c r="M19" s="791"/>
      <c r="N19" s="791"/>
      <c r="O19" s="791"/>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row>
    <row r="20" spans="1:148" ht="12.75" x14ac:dyDescent="0.2">
      <c r="A20" s="293" t="s">
        <v>3933</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row>
    <row r="21" spans="1:148" x14ac:dyDescent="0.2">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row>
    <row r="22" spans="1:148" x14ac:dyDescent="0.2">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row>
    <row r="23" spans="1:148" x14ac:dyDescent="0.2">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row>
    <row r="24" spans="1:148" x14ac:dyDescent="0.2">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row>
    <row r="25" spans="1:148" x14ac:dyDescent="0.2">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row>
    <row r="26" spans="1:148" x14ac:dyDescent="0.2">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row>
    <row r="27" spans="1:148" x14ac:dyDescent="0.2">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row>
    <row r="28" spans="1:148" x14ac:dyDescent="0.2">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row>
    <row r="29" spans="1:148" x14ac:dyDescent="0.2">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row>
    <row r="30" spans="1:148" x14ac:dyDescent="0.2">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row>
    <row r="31" spans="1:148" x14ac:dyDescent="0.2">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row>
    <row r="32" spans="1:148" x14ac:dyDescent="0.2">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row>
    <row r="33" spans="16:148" x14ac:dyDescent="0.2">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row>
    <row r="34" spans="16:148" x14ac:dyDescent="0.2">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row>
    <row r="35" spans="16:148" x14ac:dyDescent="0.2">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row>
    <row r="36" spans="16:148" x14ac:dyDescent="0.2">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row>
    <row r="37" spans="16:148" x14ac:dyDescent="0.2">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row>
    <row r="38" spans="16:148" x14ac:dyDescent="0.2">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row>
    <row r="39" spans="16:148" x14ac:dyDescent="0.2">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row>
    <row r="40" spans="16:148" x14ac:dyDescent="0.2">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row>
    <row r="41" spans="16:148" x14ac:dyDescent="0.2">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row>
    <row r="42" spans="16:148" x14ac:dyDescent="0.2">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row>
    <row r="43" spans="16:148" x14ac:dyDescent="0.2">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row>
    <row r="44" spans="16:148" x14ac:dyDescent="0.2">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row>
    <row r="45" spans="16:148" x14ac:dyDescent="0.2">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row>
    <row r="46" spans="16:148" x14ac:dyDescent="0.2">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row>
    <row r="47" spans="16:148" x14ac:dyDescent="0.2">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row>
    <row r="48" spans="16:148" x14ac:dyDescent="0.2">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row>
    <row r="49" spans="16:148" x14ac:dyDescent="0.2">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row>
    <row r="50" spans="16:148" x14ac:dyDescent="0.2">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row>
    <row r="51" spans="16:148" x14ac:dyDescent="0.2">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row>
    <row r="52" spans="16:148" x14ac:dyDescent="0.2">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row>
    <row r="53" spans="16:148" x14ac:dyDescent="0.2">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row>
    <row r="54" spans="16:148" x14ac:dyDescent="0.2">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row>
    <row r="55" spans="16:148" x14ac:dyDescent="0.2">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row>
    <row r="56" spans="16:148" x14ac:dyDescent="0.2">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row>
    <row r="57" spans="16:148" x14ac:dyDescent="0.2">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row>
    <row r="58" spans="16:148" x14ac:dyDescent="0.2">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row>
    <row r="59" spans="16:148" x14ac:dyDescent="0.2">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row>
    <row r="60" spans="16:148" x14ac:dyDescent="0.2">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row>
    <row r="61" spans="16:148" x14ac:dyDescent="0.2">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row>
    <row r="62" spans="16:148" x14ac:dyDescent="0.2">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row>
    <row r="63" spans="16:148" x14ac:dyDescent="0.2">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row>
    <row r="64" spans="16:148" x14ac:dyDescent="0.2">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row>
    <row r="65" spans="16:148" x14ac:dyDescent="0.2">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row>
    <row r="66" spans="16:148" x14ac:dyDescent="0.2">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row>
    <row r="67" spans="16:148" x14ac:dyDescent="0.2">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row>
    <row r="68" spans="16:148" x14ac:dyDescent="0.2">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row>
    <row r="69" spans="16:148" x14ac:dyDescent="0.2">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row>
    <row r="70" spans="16:148" x14ac:dyDescent="0.2">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row>
    <row r="71" spans="16:148" x14ac:dyDescent="0.2">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row>
    <row r="72" spans="16:148" x14ac:dyDescent="0.2">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row>
    <row r="73" spans="16:148" x14ac:dyDescent="0.2">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row>
    <row r="74" spans="16:148" x14ac:dyDescent="0.2">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row>
    <row r="75" spans="16:148" x14ac:dyDescent="0.2">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row>
    <row r="76" spans="16:148" x14ac:dyDescent="0.2">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row>
    <row r="77" spans="16:148" x14ac:dyDescent="0.2">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row>
    <row r="78" spans="16:148" x14ac:dyDescent="0.2">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row>
    <row r="79" spans="16:148" x14ac:dyDescent="0.2">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row>
    <row r="80" spans="16:148" x14ac:dyDescent="0.2">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row>
    <row r="81" spans="16:148" x14ac:dyDescent="0.2">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row>
    <row r="82" spans="16:148" x14ac:dyDescent="0.2">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row>
    <row r="83" spans="16:148" x14ac:dyDescent="0.2">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row>
    <row r="84" spans="16:148" x14ac:dyDescent="0.2">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row>
    <row r="85" spans="16:148" x14ac:dyDescent="0.2">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row>
    <row r="86" spans="16:148" x14ac:dyDescent="0.2">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row>
    <row r="87" spans="16:148" x14ac:dyDescent="0.2">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row>
    <row r="88" spans="16:148" x14ac:dyDescent="0.2">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row>
    <row r="89" spans="16:148" x14ac:dyDescent="0.2">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row>
    <row r="90" spans="16:148" x14ac:dyDescent="0.2">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row>
    <row r="91" spans="16:148" x14ac:dyDescent="0.2">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row>
    <row r="92" spans="16:148" x14ac:dyDescent="0.2">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row>
    <row r="93" spans="16:148" x14ac:dyDescent="0.2">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row>
    <row r="94" spans="16:148" x14ac:dyDescent="0.2">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row>
    <row r="95" spans="16:148" x14ac:dyDescent="0.2">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row>
    <row r="96" spans="16:148" x14ac:dyDescent="0.2">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row>
    <row r="97" spans="16:148" x14ac:dyDescent="0.2">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row>
    <row r="98" spans="16:148" x14ac:dyDescent="0.2">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row>
    <row r="99" spans="16:148" x14ac:dyDescent="0.2">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row>
    <row r="100" spans="16:148" x14ac:dyDescent="0.2">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row>
    <row r="101" spans="16:148" x14ac:dyDescent="0.2">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row>
    <row r="102" spans="16:148" x14ac:dyDescent="0.2">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row>
    <row r="103" spans="16:148" x14ac:dyDescent="0.2">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row>
    <row r="104" spans="16:148" x14ac:dyDescent="0.2">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row>
    <row r="105" spans="16:148" x14ac:dyDescent="0.2">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row>
    <row r="106" spans="16:148" x14ac:dyDescent="0.2">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row>
    <row r="107" spans="16:148" x14ac:dyDescent="0.2">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row>
    <row r="108" spans="16:148" x14ac:dyDescent="0.2">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row>
    <row r="109" spans="16:148" x14ac:dyDescent="0.2">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row>
    <row r="110" spans="16:148" x14ac:dyDescent="0.2">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row>
    <row r="111" spans="16:148" x14ac:dyDescent="0.2">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row>
    <row r="112" spans="16:148" x14ac:dyDescent="0.2">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row>
    <row r="113" spans="16:148" x14ac:dyDescent="0.2">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row>
    <row r="114" spans="16:148" x14ac:dyDescent="0.2">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row>
    <row r="115" spans="16:148" x14ac:dyDescent="0.2">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row>
    <row r="116" spans="16:148" x14ac:dyDescent="0.2">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row>
    <row r="117" spans="16:148" x14ac:dyDescent="0.2">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row>
  </sheetData>
  <mergeCells count="11">
    <mergeCell ref="A2:O2"/>
    <mergeCell ref="D4:E4"/>
    <mergeCell ref="A1:I1"/>
    <mergeCell ref="N4:O4"/>
    <mergeCell ref="A19:O19"/>
    <mergeCell ref="A4:A5"/>
    <mergeCell ref="B4:C4"/>
    <mergeCell ref="F4:G4"/>
    <mergeCell ref="H4:I4"/>
    <mergeCell ref="J4:K4"/>
    <mergeCell ref="L4:M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C10"/>
  <sheetViews>
    <sheetView workbookViewId="0"/>
  </sheetViews>
  <sheetFormatPr defaultRowHeight="12" x14ac:dyDescent="0.2"/>
  <cols>
    <col min="1" max="1" width="20.140625" bestFit="1" customWidth="1"/>
    <col min="2" max="3" width="18" bestFit="1" customWidth="1"/>
    <col min="4" max="6" width="18" customWidth="1"/>
    <col min="7" max="8" width="18" bestFit="1" customWidth="1"/>
    <col min="9" max="14" width="17" bestFit="1" customWidth="1"/>
  </cols>
  <sheetData>
    <row r="1" spans="1:3" x14ac:dyDescent="0.2">
      <c r="A1" s="77" t="s">
        <v>2939</v>
      </c>
      <c r="B1" s="446" t="s">
        <v>2936</v>
      </c>
    </row>
    <row r="3" spans="1:3" x14ac:dyDescent="0.2">
      <c r="A3" s="77" t="s">
        <v>164</v>
      </c>
      <c r="B3" s="446" t="s">
        <v>3830</v>
      </c>
      <c r="C3" s="446" t="s">
        <v>3831</v>
      </c>
    </row>
    <row r="4" spans="1:3" x14ac:dyDescent="0.2">
      <c r="A4" s="446" t="s">
        <v>149</v>
      </c>
      <c r="B4" s="74">
        <v>1</v>
      </c>
      <c r="C4" s="74">
        <v>78</v>
      </c>
    </row>
    <row r="5" spans="1:3" x14ac:dyDescent="0.2">
      <c r="A5" s="446" t="s">
        <v>427</v>
      </c>
      <c r="B5" s="74">
        <v>1</v>
      </c>
      <c r="C5" s="74">
        <v>1445</v>
      </c>
    </row>
    <row r="6" spans="1:3" x14ac:dyDescent="0.2">
      <c r="A6" s="446" t="s">
        <v>132</v>
      </c>
      <c r="B6" s="74">
        <v>1</v>
      </c>
      <c r="C6" s="74">
        <v>33</v>
      </c>
    </row>
    <row r="7" spans="1:3" x14ac:dyDescent="0.2">
      <c r="A7" s="446" t="s">
        <v>131</v>
      </c>
      <c r="B7" s="74">
        <v>2</v>
      </c>
      <c r="C7" s="74">
        <v>213</v>
      </c>
    </row>
    <row r="8" spans="1:3" x14ac:dyDescent="0.2">
      <c r="A8" s="446" t="s">
        <v>150</v>
      </c>
      <c r="B8" s="74">
        <v>2</v>
      </c>
      <c r="C8" s="74">
        <v>542</v>
      </c>
    </row>
    <row r="9" spans="1:3" x14ac:dyDescent="0.2">
      <c r="A9" s="446" t="s">
        <v>151</v>
      </c>
      <c r="B9" s="74">
        <v>1</v>
      </c>
      <c r="C9" s="74">
        <v>265</v>
      </c>
    </row>
    <row r="10" spans="1:3" x14ac:dyDescent="0.2">
      <c r="A10" s="446" t="s">
        <v>115</v>
      </c>
      <c r="B10" s="74">
        <v>8</v>
      </c>
      <c r="C10" s="74">
        <v>2576</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4"/>
  <dimension ref="A1:EQ180"/>
  <sheetViews>
    <sheetView workbookViewId="0">
      <selection sqref="A1:I1"/>
    </sheetView>
  </sheetViews>
  <sheetFormatPr defaultRowHeight="12" x14ac:dyDescent="0.2"/>
  <cols>
    <col min="1" max="1" width="7.42578125" style="294" customWidth="1"/>
    <col min="2" max="2" width="27.7109375" style="16" customWidth="1"/>
    <col min="3" max="3" width="5.140625" style="16" customWidth="1"/>
    <col min="4" max="4" width="10.7109375" style="16" customWidth="1"/>
    <col min="5" max="5" width="5.140625" style="16" customWidth="1"/>
    <col min="6" max="6" width="10.7109375" style="16" customWidth="1"/>
    <col min="7" max="7" width="5.140625" style="16" customWidth="1"/>
    <col min="8" max="8" width="10.7109375" style="16" customWidth="1"/>
    <col min="9" max="9" width="5.140625" style="16" customWidth="1"/>
    <col min="10" max="10" width="10.7109375" style="16" customWidth="1"/>
    <col min="11" max="11" width="5.140625" style="16" customWidth="1"/>
    <col min="12" max="12" width="10.7109375" style="16" customWidth="1"/>
    <col min="13" max="13" width="5.140625" style="16" customWidth="1"/>
    <col min="14" max="14" width="10.7109375" style="16" customWidth="1"/>
    <col min="15" max="15" width="5.140625" style="11" customWidth="1"/>
    <col min="16" max="16" width="10.7109375" style="11" customWidth="1"/>
    <col min="17" max="16384" width="9.140625" style="1"/>
  </cols>
  <sheetData>
    <row r="1" spans="1:147" ht="15.75" x14ac:dyDescent="0.25">
      <c r="A1" s="606" t="s">
        <v>3871</v>
      </c>
      <c r="B1" s="606"/>
      <c r="C1" s="606"/>
      <c r="D1" s="606"/>
      <c r="E1" s="606"/>
      <c r="F1" s="606"/>
      <c r="G1" s="606"/>
      <c r="H1" s="606"/>
      <c r="I1" s="606"/>
      <c r="J1" s="288"/>
      <c r="K1" s="288"/>
      <c r="L1" s="288"/>
      <c r="M1" s="288"/>
      <c r="N1" s="288"/>
      <c r="O1" s="288"/>
      <c r="P1" s="288"/>
      <c r="Q1" s="4"/>
      <c r="R1" s="4"/>
      <c r="S1" s="4"/>
      <c r="T1" s="4"/>
      <c r="U1" s="4"/>
      <c r="V1" s="4"/>
      <c r="W1" s="4"/>
      <c r="X1" s="4"/>
      <c r="Y1" s="4"/>
      <c r="Z1" s="4"/>
      <c r="AA1" s="4"/>
      <c r="AB1" s="4"/>
      <c r="AC1" s="4"/>
      <c r="AD1" s="4"/>
      <c r="AE1" s="4"/>
      <c r="AF1" s="4"/>
      <c r="AG1" s="4"/>
      <c r="AH1" s="4"/>
      <c r="AI1" s="4"/>
      <c r="AJ1" s="10"/>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row>
    <row r="2" spans="1:147" ht="12.75" x14ac:dyDescent="0.2">
      <c r="A2" s="640" t="s">
        <v>3916</v>
      </c>
      <c r="B2" s="640"/>
      <c r="C2" s="640"/>
      <c r="D2" s="640"/>
      <c r="E2" s="640"/>
      <c r="F2" s="640"/>
      <c r="G2" s="640"/>
      <c r="H2" s="640"/>
      <c r="I2" s="640"/>
      <c r="J2" s="640"/>
      <c r="K2" s="640"/>
      <c r="L2" s="640"/>
      <c r="M2" s="640"/>
      <c r="N2" s="640"/>
      <c r="O2" s="640"/>
      <c r="P2" s="640"/>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row>
    <row r="3" spans="1:147" x14ac:dyDescent="0.2">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row>
    <row r="4" spans="1:147" ht="24" customHeight="1" x14ac:dyDescent="0.2">
      <c r="A4" s="738" t="s">
        <v>88</v>
      </c>
      <c r="B4" s="739"/>
      <c r="C4" s="804" t="s">
        <v>149</v>
      </c>
      <c r="D4" s="804"/>
      <c r="E4" s="804" t="s">
        <v>427</v>
      </c>
      <c r="F4" s="804"/>
      <c r="G4" s="804" t="s">
        <v>132</v>
      </c>
      <c r="H4" s="804"/>
      <c r="I4" s="804" t="s">
        <v>131</v>
      </c>
      <c r="J4" s="804"/>
      <c r="K4" s="804" t="s">
        <v>150</v>
      </c>
      <c r="L4" s="804"/>
      <c r="M4" s="804" t="s">
        <v>151</v>
      </c>
      <c r="N4" s="804"/>
      <c r="O4" s="802" t="s">
        <v>95</v>
      </c>
      <c r="P4" s="803"/>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row>
    <row r="5" spans="1:147" ht="24" customHeight="1" x14ac:dyDescent="0.2">
      <c r="A5" s="740"/>
      <c r="B5" s="741"/>
      <c r="C5" s="380" t="s">
        <v>2970</v>
      </c>
      <c r="D5" s="379" t="s">
        <v>168</v>
      </c>
      <c r="E5" s="380" t="s">
        <v>2970</v>
      </c>
      <c r="F5" s="379" t="s">
        <v>168</v>
      </c>
      <c r="G5" s="380" t="s">
        <v>2970</v>
      </c>
      <c r="H5" s="379" t="s">
        <v>168</v>
      </c>
      <c r="I5" s="380" t="s">
        <v>2970</v>
      </c>
      <c r="J5" s="379" t="s">
        <v>168</v>
      </c>
      <c r="K5" s="380" t="s">
        <v>2970</v>
      </c>
      <c r="L5" s="379" t="s">
        <v>168</v>
      </c>
      <c r="M5" s="380" t="s">
        <v>2970</v>
      </c>
      <c r="N5" s="379" t="s">
        <v>168</v>
      </c>
      <c r="O5" s="490" t="s">
        <v>2970</v>
      </c>
      <c r="P5" s="496" t="s">
        <v>168</v>
      </c>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row>
    <row r="6" spans="1:147" ht="12" customHeight="1" x14ac:dyDescent="0.2">
      <c r="A6" s="805" t="s">
        <v>2926</v>
      </c>
      <c r="B6" s="806"/>
      <c r="C6" s="236">
        <f>IFERROR(GETPIVOTDATA("Count of D Total Net",'3.6 Pivot'!$A$1,"Status 1 - Development","01 Completed","Town Centre Name","Balham"),0)</f>
        <v>1</v>
      </c>
      <c r="D6" s="237">
        <f>IFERROR(GETPIVOTDATA("Sum of D Total Net2",'3.6 Pivot'!$A$1,"Status 1 - Development","01 Completed","Town Centre Name","Balham"),0)</f>
        <v>78</v>
      </c>
      <c r="E6" s="236">
        <f>IFERROR(GETPIVOTDATA("Count of D Total Net",'3.6 Pivot'!$A$1,"Status 1 - Development","01 Completed","Town Centre Name","Battersea Power Station"),0)</f>
        <v>1</v>
      </c>
      <c r="F6" s="237">
        <f>IFERROR(GETPIVOTDATA("Sum of D Total Net2",'3.6 Pivot'!$A$1,"Status 1 - Development","01 Completed","Town Centre Name","Battersea Power Station"),0)</f>
        <v>1445</v>
      </c>
      <c r="G6" s="236">
        <f>IFERROR(GETPIVOTDATA("Count of D Total Net",'3.6 Pivot'!$A$1,"Status 1 - Development","01 Completed","Town Centre Name","Clapham Junction"),0)</f>
        <v>1</v>
      </c>
      <c r="H6" s="237">
        <f>IFERROR(GETPIVOTDATA("Sum of D Total Net2",'3.6 Pivot'!$A$1,"Status 1 - Development","01 Completed","Town Centre Name","Clapham Junction"),0)</f>
        <v>33</v>
      </c>
      <c r="I6" s="236">
        <f>IFERROR(GETPIVOTDATA("Count of D Total Net",'3.6 Pivot'!$A$1,"Status 1 - Development","01 Completed","Town Centre Name","Putney"),0)</f>
        <v>2</v>
      </c>
      <c r="J6" s="237">
        <f>IFERROR(GETPIVOTDATA("Sum of D Total Net2",'3.6 Pivot'!$A$1,"Status 1 - Development","01 Completed","Town Centre Name","Putney"),0)</f>
        <v>47</v>
      </c>
      <c r="K6" s="236">
        <f>IFERROR(GETPIVOTDATA("Count of D Total Net",'3.6 Pivot'!$A$1,"Status 1 - Development","01 Completed","Town Centre Name","Tooting"),0)</f>
        <v>1</v>
      </c>
      <c r="L6" s="237">
        <f>IFERROR(GETPIVOTDATA("Sum of D Total Net2",'3.6 Pivot'!$A$1,"Status 1 - Development","01 Completed","Town Centre Name","Tooting"),0)</f>
        <v>132</v>
      </c>
      <c r="M6" s="236">
        <f>IFERROR(GETPIVOTDATA("Count of D Total Net",'3.6 Pivot'!$A$1,"Status 1 - Development","01 Completed","Town Centre Name","Balham"),0)</f>
        <v>1</v>
      </c>
      <c r="N6" s="237">
        <f>IFERROR(GETPIVOTDATA("Sum of D Total Net2",'3.6 Pivot'!$A$1,"Status 1 - Development","01 Completed","Town Centre Name","Balham"),0)</f>
        <v>78</v>
      </c>
      <c r="O6" s="489">
        <f>SUM(C6,E6,G6,I6,K6,M6)</f>
        <v>7</v>
      </c>
      <c r="P6" s="472">
        <f>SUM(D6,F6,H6,J6,L6,N6)</f>
        <v>1813</v>
      </c>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row>
    <row r="7" spans="1:147" ht="12" customHeight="1" x14ac:dyDescent="0.2">
      <c r="A7" s="807" t="s">
        <v>2962</v>
      </c>
      <c r="B7" s="511" t="s">
        <v>96</v>
      </c>
      <c r="C7" s="236">
        <f>IFERROR(GETPIVOTDATA("Count of D Total Net",'3.6 Pivot'!$A$1,"Status 1 - Development","02 Under Construction","Town Centre Name","Balham"),0)</f>
        <v>1</v>
      </c>
      <c r="D7" s="237">
        <f>IFERROR(GETPIVOTDATA("Sum of D Total Net2",'3.6 Pivot'!$A$1,"Status 1 - Development","02 Under Construction","Town Centre Name","Balham"),0)</f>
        <v>1170</v>
      </c>
      <c r="E7" s="236">
        <f>IFERROR(GETPIVOTDATA("Count of D Total Net",'3.6 Pivot'!$A$1,"Status 1 - Development","02 Under Construction","Town Centre Name","Battersea Power Station"),0)</f>
        <v>3</v>
      </c>
      <c r="F7" s="237">
        <f>IFERROR(GETPIVOTDATA("Sum of D Total Net2",'3.6 Pivot'!$A$1,"Status 1 - Development","02 Under Construction","Town Centre Name","Battersea Power Station"),0)</f>
        <v>18589</v>
      </c>
      <c r="G7" s="236">
        <f>IFERROR(GETPIVOTDATA("Count of D Total Net",'3.6 Pivot'!$A$1,"Status 1 - Development","02 Under Construction","Town Centre Name","Clapham Junction"),0)</f>
        <v>2</v>
      </c>
      <c r="H7" s="237">
        <f>IFERROR(GETPIVOTDATA("Sum of D Total Net2",'3.6 Pivot'!$A$1,"Status 1 - Development","02 Under Construction","Town Centre Name","Clapham Junction"),0)</f>
        <v>80</v>
      </c>
      <c r="I7" s="236">
        <f>IFERROR(GETPIVOTDATA("Count of D Total Net",'3.6 Pivot'!$A$1,"Status 1 - Development","02 Under Construction","Town Centre Name","Putney"),0)</f>
        <v>1</v>
      </c>
      <c r="J7" s="237">
        <f>IFERROR(GETPIVOTDATA("Sum of D Total Net2",'3.6 Pivot'!$A$1,"Status 1 - Development","02 Under Construction","Town Centre Name","Putney"),0)</f>
        <v>39</v>
      </c>
      <c r="K7" s="236">
        <f>IFERROR(GETPIVOTDATA("Count of D Total Net",'3.6 Pivot'!$A$1,"Status 1 - Development","02 Under Construction","Town Centre Name","Tooting"),0)</f>
        <v>1</v>
      </c>
      <c r="L7" s="237">
        <f>IFERROR(GETPIVOTDATA("Sum of D Total Net2",'3.6 Pivot'!$A$1,"Status 1 - Development","02 Under Construction","Town Centre Name","Tooting"),0)</f>
        <v>500</v>
      </c>
      <c r="M7" s="236">
        <f>IFERROR(GETPIVOTDATA("Count of D Total Net",'3.6 Pivot'!$A$1,"Status 1 - Development","02 Under Construction","Town Centre Name","Balham"),0)</f>
        <v>1</v>
      </c>
      <c r="N7" s="237">
        <f>IFERROR(GETPIVOTDATA("Sum of D Total Net2",'3.6 Pivot'!$A$1,"Status 1 - Development","02 Under Construction","Town Centre Name","Balham"),0)</f>
        <v>1170</v>
      </c>
      <c r="O7" s="489">
        <f t="shared" ref="O7:O13" si="0">SUM(C7,E7,G7,I7,K7,M7)</f>
        <v>9</v>
      </c>
      <c r="P7" s="472">
        <f t="shared" ref="P7:P13" si="1">SUM(D7,F7,H7,J7,L7,N7)</f>
        <v>21548</v>
      </c>
      <c r="Q7" s="17"/>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row>
    <row r="8" spans="1:147" ht="12" customHeight="1" x14ac:dyDescent="0.2">
      <c r="A8" s="808"/>
      <c r="B8" s="511" t="s">
        <v>2966</v>
      </c>
      <c r="C8" s="236">
        <f>IFERROR(GETPIVOTDATA("Count of D Total Net",'3.6 Pivot'!$A$1,"Status 1 - Development","03 Planning","Status 2 - Permission Type","02 Full","Town Centre Name","Balham"),0)</f>
        <v>1</v>
      </c>
      <c r="D8" s="237">
        <f>IFERROR(GETPIVOTDATA("Sum of D Total Net2",'3.6 Pivot'!$A$1,"Status 1 - Development","03 Planning","Status 2 - Permission Type","02 Full","Town Centre Name","Balham"),0)</f>
        <v>164</v>
      </c>
      <c r="E8" s="236">
        <f>IFERROR(GETPIVOTDATA("Count of D Total Net",'3.6 Pivot'!$A$1,"Status 1 - Development","03 Planning","Status 2 - Permission Type","02 Full","Town Centre Name","Battersea Power Station"),0)</f>
        <v>0</v>
      </c>
      <c r="F8" s="237">
        <f>IFERROR(GETPIVOTDATA("Sum of D Total Net2",'3.6 Pivot'!$A$1,"Status 1 - Development","03 Planning","Status 2 - Permission Type","02 Full","Town Centre Name","Battersea Power Station"),0)</f>
        <v>0</v>
      </c>
      <c r="G8" s="236">
        <f>IFERROR(GETPIVOTDATA("Count of D Total Net",'3.6 Pivot'!$A$1,"Status 1 - Development","03 Planning","Status 2 - Permission Type","02 Full","Town Centre Name","Clapham Junction"),0)</f>
        <v>4</v>
      </c>
      <c r="H8" s="237">
        <f>IFERROR(GETPIVOTDATA("Sum of D Total Net2",'3.6 Pivot'!$A$1,"Status 1 - Development","03 Planning","Status 2 - Permission Type","02 Full","Town Centre Name","Clapham Junction"),0)</f>
        <v>357</v>
      </c>
      <c r="I8" s="236">
        <f>IFERROR(GETPIVOTDATA("Count of D Total Net",'3.6 Pivot'!$A$1,"Status 1 - Development","03 Planning","Status 2 - Permission Type","02 Full","Town Centre Name","Putney"),0)</f>
        <v>2</v>
      </c>
      <c r="J8" s="237">
        <f>IFERROR(GETPIVOTDATA("Sum of D Total Net2",'3.6 Pivot'!$A$1,"Status 1 - Development","03 Planning","Status 2 - Permission Type","02 Full","Town Centre Name","Putney"),0)</f>
        <v>-753</v>
      </c>
      <c r="K8" s="236">
        <f>IFERROR(GETPIVOTDATA("Count of D Total Net",'3.6 Pivot'!$A$1,"Status 1 - Development","03 Planning","Status 2 - Permission Type","02 Full","Town Centre Name","Tooting"),0)</f>
        <v>0</v>
      </c>
      <c r="L8" s="237">
        <f>IFERROR(GETPIVOTDATA("Sum of D Total Net2",'3.6 Pivot'!$A$1,"Status 1 - Development","03 Planning","Status 2 - Permission Type","02 Full","Town Centre Name","Tooting"),0)</f>
        <v>0</v>
      </c>
      <c r="M8" s="236">
        <f>IFERROR(GETPIVOTDATA("Count of D Total Net",'3.6 Pivot'!$A$1,"Status 1 - Development","03 Planning","Status 2 - Permission Type","02 Full","Town Centre Name","Balham"),0)</f>
        <v>1</v>
      </c>
      <c r="N8" s="237">
        <f>IFERROR(GETPIVOTDATA("Sum of D Total Net2",'3.6 Pivot'!$A$1,"Status 1 - Development","03 Planning","Status 2 - Permission Type","02 Full","Town Centre Name","Balham"),0)</f>
        <v>164</v>
      </c>
      <c r="O8" s="489">
        <f t="shared" si="0"/>
        <v>8</v>
      </c>
      <c r="P8" s="472">
        <f t="shared" si="1"/>
        <v>-68</v>
      </c>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row>
    <row r="9" spans="1:147" ht="12" customHeight="1" x14ac:dyDescent="0.2">
      <c r="A9" s="808"/>
      <c r="B9" s="511" t="s">
        <v>2967</v>
      </c>
      <c r="C9" s="236">
        <f>IFERROR(GETPIVOTDATA("Count of D Total Net",'3.6 Pivot'!$A$1,"Status 1 - Development","03 Planning","Status 2 - Permission Type","03 Outline","Town Centre Name","Balham"),0)</f>
        <v>0</v>
      </c>
      <c r="D9" s="237">
        <f>IFERROR(GETPIVOTDATA("Sum of D Total Net2",'3.6 Pivot'!$A$1,"Status 1 - Development","03 Planning","Status 2 - Permission Type","03 Outline","Town Centre Name","Balham"),0)</f>
        <v>0</v>
      </c>
      <c r="E9" s="236">
        <f>IFERROR(GETPIVOTDATA("Count of D Total Net",'3.6 Pivot'!$A$1,"Status 1 - Development","03 Planning","Status 2 - Permission Type","03 Outline","Town Centre Name","Battersea Power Station"),0)</f>
        <v>3</v>
      </c>
      <c r="F9" s="237">
        <f>IFERROR(GETPIVOTDATA("Sum of D Total Net2",'3.6 Pivot'!$A$1,"Status 1 - Development","03 Planning","Status 2 - Permission Type","03 Outline","Town Centre Name","Battersea Power Station"),0)</f>
        <v>7927</v>
      </c>
      <c r="G9" s="236">
        <f>IFERROR(GETPIVOTDATA("Count of D Total Net",'3.6 Pivot'!$A$1,"Status 1 - Development","03 Planning","Status 2 - Permission Type","03 Outline","Town Centre Name","Clapham Junction"),0)</f>
        <v>0</v>
      </c>
      <c r="H9" s="237">
        <f>IFERROR(GETPIVOTDATA("Sum of D Total Net2",'3.6 Pivot'!$A$1,"Status 1 - Development","03 Planning","Status 2 - Permission Type","03 Outline","Town Centre Name","Clapham Junction"),0)</f>
        <v>0</v>
      </c>
      <c r="I9" s="236">
        <f>IFERROR(GETPIVOTDATA("Count of D Total Net",'3.6 Pivot'!$A$1,"Status 1 - Development","03 Planning","Status 2 - Permission Type","03 Outline","Town Centre Name","Putney"),0)</f>
        <v>0</v>
      </c>
      <c r="J9" s="237">
        <f>IFERROR(GETPIVOTDATA("Sum of D Total Net2",'3.6 Pivot'!$A$1,"Status 1 - Development","03 Planning","Status 2 - Permission Type","03 Outline","Town Centre Name","Putney"),0)</f>
        <v>0</v>
      </c>
      <c r="K9" s="236">
        <f>IFERROR(GETPIVOTDATA("Count of D Total Net",'3.6 Pivot'!$A$1,"Status 1 - Development","03 Planning","Status 2 - Permission Type","03 Outline","Town Centre Name","Tooting"),0)</f>
        <v>0</v>
      </c>
      <c r="L9" s="237">
        <f>IFERROR(GETPIVOTDATA("Sum of D Total Net2",'3.6 Pivot'!$A$1,"Status 1 - Development","03 Planning","Status 2 - Permission Type","03 Outline","Town Centre Name","Tooting"),0)</f>
        <v>0</v>
      </c>
      <c r="M9" s="236">
        <f>IFERROR(GETPIVOTDATA("Count of D Total Net",'3.6 Pivot'!$A$1,"Status 1 - Development","03 Planning","Status 2 - Permission Type","03 Outline","Town Centre Name","Balham"),0)</f>
        <v>0</v>
      </c>
      <c r="N9" s="237">
        <f>IFERROR(GETPIVOTDATA("Sum of D Total Net2",'3.6 Pivot'!$A$1,"Status 1 - Development","03 Planning","Status 2 - Permission Type","03 Outline","Town Centre Name","Balham"),0)</f>
        <v>0</v>
      </c>
      <c r="O9" s="489">
        <f t="shared" si="0"/>
        <v>3</v>
      </c>
      <c r="P9" s="472">
        <f t="shared" si="1"/>
        <v>7927</v>
      </c>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row>
    <row r="10" spans="1:147" ht="12" customHeight="1" x14ac:dyDescent="0.2">
      <c r="A10" s="808"/>
      <c r="B10" s="511" t="s">
        <v>2944</v>
      </c>
      <c r="C10" s="236">
        <f>IFERROR(GETPIVOTDATA("Count of D Total Net",'3.6 Pivot'!$A$1,"Status 1 - Development","03 Planning","Status 2 - Permission Type","05 Certificate of Lawful Development","Town Centre Name","Balham"),0)</f>
        <v>0</v>
      </c>
      <c r="D10" s="237">
        <f>IFERROR(GETPIVOTDATA("Sum of D Total Net2",'3.6 Pivot'!$A$1,"Status 1 - Development","03 Planning","Status 2 - Permission Type","05 Certificate of Lawful Development","Town Centre Name","Balham"),0)</f>
        <v>0</v>
      </c>
      <c r="E10" s="236">
        <f>IFERROR(GETPIVOTDATA("Count of D Total Net",'3.6 Pivot'!$A$1,"Status 1 - Development","03 Planning","Status 2 - Permission Type","05 Certificate of Lawful Development","Town Centre Name","Battersea Power Station"),0)</f>
        <v>0</v>
      </c>
      <c r="F10" s="237">
        <f>IFERROR(GETPIVOTDATA("Sum of D Total Net2",'3.6 Pivot'!$A$1,"Status 1 - Development","03 Planning","Status 2 - Permission Type","05 Certificate of Lawful Development","Town Centre Name","Battersea Power Station"),0)</f>
        <v>0</v>
      </c>
      <c r="G10" s="236">
        <f>IFERROR(GETPIVOTDATA("Count of D Total Net",'3.6 Pivot'!$A$1,"Status 1 - Development","03 Planning","Status 2 - Permission Type","05 Certificate of Lawful Development","Town Centre Name","Clapham Junction"),0)</f>
        <v>0</v>
      </c>
      <c r="H10" s="237">
        <f>IFERROR(GETPIVOTDATA("Sum of D Total Net2",'3.6 Pivot'!$A$1,"Status 1 - Development","03 Planning","Status 2 - Permission Type","05 Certificate of Lawful Development","Town Centre Name","Clapham Junction"),0)</f>
        <v>0</v>
      </c>
      <c r="I10" s="236">
        <f>IFERROR(GETPIVOTDATA("Count of D Total Net",'3.6 Pivot'!$A$1,"Status 1 - Development","03 Planning","Status 2 - Permission Type","05 Certificate of Lawful Development","Town Centre Name","Putney"),0)</f>
        <v>0</v>
      </c>
      <c r="J10" s="237">
        <f>IFERROR(GETPIVOTDATA("Sum of D Total Net2",'3.6 Pivot'!$A$1,"Status 1 - Development","03 Planning","Status 2 - Permission Type","05 Certificate of Lawful Development","Town Centre Name","Putney"),0)</f>
        <v>0</v>
      </c>
      <c r="K10" s="236">
        <f>IFERROR(GETPIVOTDATA("Count of D Total Net",'3.6 Pivot'!$A$1,"Status 1 - Development","03 Planning","Status 2 - Permission Type","05 Certificate of Lawful Development","Town Centre Name","Tooting"),0)</f>
        <v>0</v>
      </c>
      <c r="L10" s="237">
        <f>IFERROR(GETPIVOTDATA("Sum of D Total Net2",'3.6 Pivot'!$A$1,"Status 1 - Development","03 Planning","Status 2 - Permission Type","05 Certificate of Lawful Development","Town Centre Name","Tooting"),0)</f>
        <v>0</v>
      </c>
      <c r="M10" s="236">
        <f>IFERROR(GETPIVOTDATA("Count of D Total Net",'3.6 Pivot'!$A$1,"Status 1 - Development","03 Planning","Status 2 - Permission Type","05 Certificate of Lawful Development","Town Centre Name","Balham"),0)</f>
        <v>0</v>
      </c>
      <c r="N10" s="237">
        <f>IFERROR(GETPIVOTDATA("Sum of D Total Net2",'3.6 Pivot'!$A$1,"Status 1 - Development","03 Planning","Status 2 - Permission Type","05 Certificate of Lawful Development","Town Centre Name","Balham"),0)</f>
        <v>0</v>
      </c>
      <c r="O10" s="489">
        <f t="shared" si="0"/>
        <v>0</v>
      </c>
      <c r="P10" s="472">
        <f t="shared" si="1"/>
        <v>0</v>
      </c>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row>
    <row r="11" spans="1:147" ht="12" customHeight="1" x14ac:dyDescent="0.2">
      <c r="A11" s="808"/>
      <c r="B11" s="511" t="s">
        <v>2932</v>
      </c>
      <c r="C11" s="236">
        <f>IFERROR(GETPIVOTDATA("Count of D Total Net",'3.6 Pivot'!$A$1,"Status 1 - Development","04 Pending","Status 2 - Permission Type","01 Pending Legal Agreement","Town Centre Name","Balham"),0)</f>
        <v>0</v>
      </c>
      <c r="D11" s="237">
        <f>IFERROR(GETPIVOTDATA("Sum of D Total Net2",'3.6 Pivot'!$A$1,"Status 1 - Development","04 Pending","Status 2 - Permission Type","01 Pending Legal Agreement","Town Centre Name","Balham"),0)</f>
        <v>0</v>
      </c>
      <c r="E11" s="236">
        <f>IFERROR(GETPIVOTDATA("Count of D Total Net",'3.6 Pivot'!$A$1,"Status 1 - Development","04 Pending","Status 2 - Permission Type","01 Pending Legal Agreement","Town Centre Name","Battersea Power Station"),0)</f>
        <v>0</v>
      </c>
      <c r="F11" s="237">
        <f>IFERROR(GETPIVOTDATA("Sum of D Total Net2",'3.6 Pivot'!$A$1,"Status 1 - Development","04 Pending","Status 2 - Permission Type","01 Pending Legal Agreement","Town Centre Name","Battersea Power Station"),0)</f>
        <v>0</v>
      </c>
      <c r="G11" s="236">
        <f>IFERROR(GETPIVOTDATA("Count of D Total Net",'3.6 Pivot'!$A$1,"Status 1 - Development","04 Pending","Status 2 - Permission Type","01 Pending Legal Agreement","Town Centre Name","Clapham Junction"),0)</f>
        <v>0</v>
      </c>
      <c r="H11" s="237">
        <f>IFERROR(GETPIVOTDATA("Sum of D Total Net2",'3.6 Pivot'!$A$1,"Status 1 - Development","04 Pending","Status 2 - Permission Type","01 Pending Legal Agreement","Town Centre Name","Clapham Junction"),0)</f>
        <v>0</v>
      </c>
      <c r="I11" s="236">
        <f>IFERROR(GETPIVOTDATA("Count of D Total Net",'3.6 Pivot'!$A$1,"Status 1 - Development","04 Pending","Status 2 - Permission Type","01 Pending Legal Agreement","Town Centre Name","Putney"),0)</f>
        <v>0</v>
      </c>
      <c r="J11" s="237">
        <f>IFERROR(GETPIVOTDATA("Sum of D Total Net2",'3.6 Pivot'!$A$1,"Status 1 - Development","04 Pending","Status 2 - Permission Type","01 Pending Legal Agreement","Town Centre Name","Putney"),0)</f>
        <v>0</v>
      </c>
      <c r="K11" s="236">
        <f>IFERROR(GETPIVOTDATA("Count of D Total Net",'3.6 Pivot'!$A$1,"Status 1 - Development","04 Pending","Status 2 - Permission Type","01 Pending Legal Agreement","Town Centre Name","Tooting"),0)</f>
        <v>0</v>
      </c>
      <c r="L11" s="237">
        <f>IFERROR(GETPIVOTDATA("Sum of D Total Net2",'3.6 Pivot'!$A$1,"Status 1 - Development","04 Pending","Status 2 - Permission Type","01 Pending Legal Agreement","Town Centre Name","Tooting"),0)</f>
        <v>0</v>
      </c>
      <c r="M11" s="236">
        <f>IFERROR(GETPIVOTDATA("Count of D Total Net",'3.6 Pivot'!$A$1,"Status 1 - Development","04 Pending","Status 2 - Permission Type","01 Pending Legal Agreement","Town Centre Name","Balham"),0)</f>
        <v>0</v>
      </c>
      <c r="N11" s="237">
        <f>IFERROR(GETPIVOTDATA("Sum of D Total Net2",'3.6 Pivot'!$A$1,"Status 1 - Development","04 Pending","Status 2 - Permission Type","01 Pending Legal Agreement","Town Centre Name","Balham"),0)</f>
        <v>0</v>
      </c>
      <c r="O11" s="489">
        <f t="shared" si="0"/>
        <v>0</v>
      </c>
      <c r="P11" s="472">
        <f t="shared" si="1"/>
        <v>0</v>
      </c>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row>
    <row r="12" spans="1:147" ht="12" customHeight="1" x14ac:dyDescent="0.2">
      <c r="A12" s="808"/>
      <c r="B12" s="511" t="s">
        <v>2933</v>
      </c>
      <c r="C12" s="236">
        <f>IFERROR(GETPIVOTDATA("Count of D Total Net",'3.6 Pivot'!$A$1,"Status 1 - Development","04 Pending","Status 2 - Permission Type","06 Appeal","Town Centre Name","Balham"),0)</f>
        <v>0</v>
      </c>
      <c r="D12" s="237">
        <f>IFERROR(GETPIVOTDATA("Sum of D Total Net2",'3.6 Pivot'!$A$1,"Status 1 - Development","04 Pending","Status 2 - Permission Type","06 Appeal","Town Centre Name","Balham"),0)</f>
        <v>0</v>
      </c>
      <c r="E12" s="236">
        <f>IFERROR(GETPIVOTDATA("Count of D Total Net",'3.6 Pivot'!$A$1,"Status 1 - Development","04 Pending","Status 2 - Permission Type","06 Appeal","Town Centre Name","Battersea Power Station"),0)</f>
        <v>0</v>
      </c>
      <c r="F12" s="237">
        <f>IFERROR(GETPIVOTDATA("Sum of D Total Net2",'3.6 Pivot'!$A$1,"Status 1 - Development","04 Pending","Status 2 - Permission Type","06 Appeal","Town Centre Name","Battersea Power Station"),0)</f>
        <v>0</v>
      </c>
      <c r="G12" s="236">
        <f>IFERROR(GETPIVOTDATA("Count of D Total Net",'3.6 Pivot'!$A$1,"Status 1 - Development","04 Pending","Status 2 - Permission Type","06 Appeal","Town Centre Name","Clapham Junction"),0)</f>
        <v>0</v>
      </c>
      <c r="H12" s="237">
        <f>IFERROR(GETPIVOTDATA("Sum of D Total Net2",'3.6 Pivot'!$A$1,"Status 1 - Development","04 Pending","Status 2 - Permission Type","06 Appeal","Town Centre Name","Clapham Junction"),0)</f>
        <v>0</v>
      </c>
      <c r="I12" s="236">
        <f>IFERROR(GETPIVOTDATA("Count of D Total Net",'3.6 Pivot'!$A$1,"Status 1 - Development","04 Pending","Status 2 - Permission Type","06 Appeal","Town Centre Name","Putney"),0)</f>
        <v>0</v>
      </c>
      <c r="J12" s="237">
        <f>IFERROR(GETPIVOTDATA("Sum of D Total Net2",'3.6 Pivot'!$A$1,"Status 1 - Development","04 Pending","Status 2 - Permission Type","06 Appeal","Town Centre Name","Putney"),0)</f>
        <v>0</v>
      </c>
      <c r="K12" s="236">
        <f>IFERROR(GETPIVOTDATA("Count of D Total Net",'3.6 Pivot'!$A$1,"Status 1 - Development","04 Pending","Status 2 - Permission Type","06 Appeal","Town Centre Name","Tooting"),0)</f>
        <v>0</v>
      </c>
      <c r="L12" s="237">
        <f>IFERROR(GETPIVOTDATA("Sum of D Total Net2",'3.6 Pivot'!$A$1,"Status 1 - Development","04 Pending","Status 2 - Permission Type","06 Appeal","Town Centre Name","Tooting"),0)</f>
        <v>0</v>
      </c>
      <c r="M12" s="236">
        <f>IFERROR(GETPIVOTDATA("Count of D Total Net",'3.6 Pivot'!$A$1,"Status 1 - Development","04 Pending","Status 2 - Permission Type","06 Appeal","Town Centre Name","Balham"),0)</f>
        <v>0</v>
      </c>
      <c r="N12" s="237">
        <f>IFERROR(GETPIVOTDATA("Sum of D Total Net2",'3.6 Pivot'!$A$1,"Status 1 - Development","04 Pending","Status 2 - Permission Type","06 Appeal","Town Centre Name","Balham"),0)</f>
        <v>0</v>
      </c>
      <c r="O12" s="489">
        <f t="shared" si="0"/>
        <v>0</v>
      </c>
      <c r="P12" s="472">
        <f t="shared" si="1"/>
        <v>0</v>
      </c>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row>
    <row r="13" spans="1:147" ht="12" customHeight="1" x14ac:dyDescent="0.2">
      <c r="A13" s="808"/>
      <c r="B13" s="511" t="s">
        <v>3800</v>
      </c>
      <c r="C13" s="236">
        <f>IFERROR(GETPIVOTDATA("Count of D Total Net",'3.6 Pivot'!$A$1,"Status 1 - Development","04 Pending","Status 2 - Permission Type","02 Full","Town Centre Name","Balham"),0)+IFERROR(GETPIVOTDATA("Count of D Total Net",'3.6 Pivot'!$A$1,"Status 1 - Development","04 Pending","Status 2 - Permission Type","03 Outline","Town Centre Name","Balham"),0)+IFERROR(GETPIVOTDATA("Count of D Total Net",'3.6 Pivot'!$A$1,"Status 1 - Development","04 Pending","Status 2 - Permission Type","04 Prior Approval","Town Centre Name","Balham"),0)+IFERROR(GETPIVOTDATA("Count of D Total Net",'3.6 Pivot'!$A$1,"Status 1 - Development","04 Pending","Status 2 - Permission Type","05 Certificate of Lawful Development","Town Centre Name","Balham"),0)</f>
        <v>0</v>
      </c>
      <c r="D13" s="237">
        <f>IFERROR(GETPIVOTDATA("Sum of D Total Net2",'3.6 Pivot'!$A$1,"Status 1 - Development","04 Pending","Status 2 - Permission Type","02 Full","Town Centre Name","Balham"),0)+IFERROR(GETPIVOTDATA("Sum of D Total Net2",'3.6 Pivot'!$A$1,"Status 1 - Development","04 Pending","Status 2 - Permission Type","03 Outline","Town Centre Name","Balham"),0)+IFERROR(GETPIVOTDATA("Sum of D Total Net2",'3.6 Pivot'!$A$1,"Status 1 - Development","04 Pending","Status 2 - Permission Type","04 Prior Approval","Town Centre Name","Balham"),0)+IFERROR(GETPIVOTDATA("Sum of D Total Net2",'3.6 Pivot'!$A$1,"Status 1 - Development","04 Pending","Status 2 - Permission Type","05 Certificate of Lawful Development","Town Centre Name","Balham"),0)</f>
        <v>0</v>
      </c>
      <c r="E13" s="236">
        <f>IFERROR(GETPIVOTDATA("Count of D Total Net",'3.6 Pivot'!$A$1,"Status 1 - Development","04 Pending","Status 2 - Permission Type","02 Full","Town Centre Name","Battersea Power Station"),0)+IFERROR(GETPIVOTDATA("Count of D Total Net",'3.6 Pivot'!$A$1,"Status 1 - Development","04 Pending","Status 2 - Permission Type","03 Outline","Town Centre Name","Battersea Power Station"),0)+IFERROR(GETPIVOTDATA("Count of D Total Net",'3.6 Pivot'!$A$1,"Status 1 - Development","04 Pending","Status 2 - Permission Type","04 Prior Approval","Town Centre Name","Battersea Power Station"),0)+IFERROR(GETPIVOTDATA("Count of D Total Net",'3.6 Pivot'!$A$1,"Status 1 - Development","04 Pending","Status 2 - Permission Type","05 Certificate of Lawful Development","Town Centre Name","Battersea Power Station"),0)</f>
        <v>0</v>
      </c>
      <c r="F13" s="237">
        <f>IFERROR(GETPIVOTDATA("Sum of D Total Net2",'3.6 Pivot'!$A$1,"Status 1 - Development","04 Pending","Status 2 - Permission Type","02 Full","Town Centre Name","Battersea Power Station"),0)+IFERROR(GETPIVOTDATA("Sum of D Total Net2",'3.6 Pivot'!$A$1,"Status 1 - Development","04 Pending","Status 2 - Permission Type","03 Outline","Town Centre Name","Battersea Power Station"),0)+IFERROR(GETPIVOTDATA("Sum of D Total Net2",'3.6 Pivot'!$A$1,"Status 1 - Development","04 Pending","Status 2 - Permission Type","04 Prior Approval","Town Centre Name","Battersea Power Station"),0)+IFERROR(GETPIVOTDATA("Sum of D Total Net2",'3.6 Pivot'!$A$1,"Status 1 - Development","04 Pending","Status 2 - Permission Type","05 Certificate of Lawful Development","Town Centre Name","Battersea Power Station"),0)</f>
        <v>0</v>
      </c>
      <c r="G13" s="236">
        <f>IFERROR(GETPIVOTDATA("Count of D Total Net",'3.6 Pivot'!$A$1,"Status 1 - Development","04 Pending","Status 2 - Permission Type","02 Full","Town Centre Name","Clapham Junction"),0)+IFERROR(GETPIVOTDATA("Count of D Total Net",'3.6 Pivot'!$A$1,"Status 1 - Development","04 Pending","Status 2 - Permission Type","03 Outline","Town Centre Name","Clapham Junction"),0)+IFERROR(GETPIVOTDATA("Count of D Total Net",'3.6 Pivot'!$A$1,"Status 1 - Development","04 Pending","Status 2 - Permission Type","04 Prior Approval","Town Centre Name","Clapham Junction"),0)+IFERROR(GETPIVOTDATA("Count of D Total Net",'3.6 Pivot'!$A$1,"Status 1 - Development","04 Pending","Status 2 - Permission Type","05 Certificate of Lawful Development","Town Centre Name","Clapham Junction"),0)</f>
        <v>0</v>
      </c>
      <c r="H13" s="237">
        <f>IFERROR(GETPIVOTDATA("Sum of D Total Net2",'3.6 Pivot'!$A$1,"Status 1 - Development","04 Pending","Status 2 - Permission Type","02 Full","Town Centre Name","Clapham Junction"),0)+IFERROR(GETPIVOTDATA("Sum of D Total Net2",'3.6 Pivot'!$A$1,"Status 1 - Development","04 Pending","Status 2 - Permission Type","03 Outline","Town Centre Name","Clapham Junction"),0)+IFERROR(GETPIVOTDATA("Sum of D Total Net2",'3.6 Pivot'!$A$1,"Status 1 - Development","04 Pending","Status 2 - Permission Type","04 Prior Approval","Town Centre Name","Clapham Junction"),0)+IFERROR(GETPIVOTDATA("Sum of D Total Net2",'3.6 Pivot'!$A$1,"Status 1 - Development","04 Pending","Status 2 - Permission Type","05 Certificate of Lawful Development","Town Centre Name","Clapham Junction"),0)</f>
        <v>0</v>
      </c>
      <c r="I13" s="236">
        <f>IFERROR(GETPIVOTDATA("Count of D Total Net",'3.6 Pivot'!$A$1,"Status 1 - Development","04 Pending","Status 2 - Permission Type","02 Full","Town Centre Name","Putney"),0)+IFERROR(GETPIVOTDATA("Count of D Total Net",'3.6 Pivot'!$A$1,"Status 1 - Development","04 Pending","Status 2 - Permission Type","03 Outline","Town Centre Name","Putney"),0)+IFERROR(GETPIVOTDATA("Count of D Total Net",'3.6 Pivot'!$A$1,"Status 1 - Development","04 Pending","Status 2 - Permission Type","04 Prior Approval","Town Centre Name","Putney"),0)+IFERROR(GETPIVOTDATA("Count of D Total Net",'3.6 Pivot'!$A$1,"Status 1 - Development","04 Pending","Status 2 - Permission Type","05 Certificate of Lawful Development","Town Centre Name","Putney"),0)</f>
        <v>3</v>
      </c>
      <c r="J13" s="237">
        <f>IFERROR(GETPIVOTDATA("Sum of D Total Net2",'3.6 Pivot'!$A$1,"Status 1 - Development","04 Pending","Status 2 - Permission Type","02 Full","Town Centre Name","Putney"),0)+IFERROR(GETPIVOTDATA("Sum of D Total Net2",'3.6 Pivot'!$A$1,"Status 1 - Development","04 Pending","Status 2 - Permission Type","03 Outline","Town Centre Name","Putney"),0)+IFERROR(GETPIVOTDATA("Sum of D Total Net2",'3.6 Pivot'!$A$1,"Status 1 - Development","04 Pending","Status 2 - Permission Type","04 Prior Approval","Town Centre Name","Putney"),0)+IFERROR(GETPIVOTDATA("Sum of D Total Net2",'3.6 Pivot'!$A$1,"Status 1 - Development","04 Pending","Status 2 - Permission Type","05 Certificate of Lawful Development","Town Centre Name","Putney"),0)</f>
        <v>361</v>
      </c>
      <c r="K13" s="236">
        <f>IFERROR(GETPIVOTDATA("Count of D Total Net",'3.6 Pivot'!$A$1,"Status 1 - Development","04 Pending","Status 2 - Permission Type","02 Full","Town Centre Name","Tooting"),0)+IFERROR(GETPIVOTDATA("Count of D Total Net",'3.6 Pivot'!$A$1,"Status 1 - Development","04 Pending","Status 2 - Permission Type","03 Outline","Town Centre Name","Tooting"),0)+IFERROR(GETPIVOTDATA("Count of D Total Net",'3.6 Pivot'!$A$1,"Status 1 - Development","04 Pending","Status 2 - Permission Type","04 Prior Approval","Town Centre Name","Tooting"),0)+IFERROR(GETPIVOTDATA("Count of D Total Net",'3.6 Pivot'!$A$1,"Status 1 - Development","04 Pending","Status 2 - Permission Type","05 Certificate of Lawful Development","Town Centre Name","Tooting"),0)</f>
        <v>2</v>
      </c>
      <c r="L13" s="237">
        <f>IFERROR(GETPIVOTDATA("Sum of D Total Net2",'3.6 Pivot'!$A$1,"Status 1 - Development","04 Pending","Status 2 - Permission Type","02 Full","Town Centre Name","Tooting"),0)+IFERROR(GETPIVOTDATA("Sum of D Total Net2",'3.6 Pivot'!$A$1,"Status 1 - Development","04 Pending","Status 2 - Permission Type","03 Outline","Town Centre Name","Tooting"),0)+IFERROR(GETPIVOTDATA("Sum of D Total Net2",'3.6 Pivot'!$A$1,"Status 1 - Development","04 Pending","Status 2 - Permission Type","04 Prior Approval","Town Centre Name","Tooting"),0)+IFERROR(GETPIVOTDATA("Sum of D Total Net2",'3.6 Pivot'!$A$1,"Status 1 - Development","04 Pending","Status 2 - Permission Type","05 Certificate of Lawful Development","Town Centre Name","Tooting"),0)</f>
        <v>198</v>
      </c>
      <c r="M13" s="236">
        <f>IFERROR(GETPIVOTDATA("Count of D Total Net",'3.6 Pivot'!$A$1,"Status 1 - Development","04 Pending","Status 2 - Permission Type","02 Full","Town Centre Name","Balham"),0)+IFERROR(GETPIVOTDATA("Count of D Total Net",'3.6 Pivot'!$A$1,"Status 1 - Development","04 Pending","Status 2 - Permission Type","03 Outline","Town Centre Name","Balham"),0)+IFERROR(GETPIVOTDATA("Count of D Total Net",'3.6 Pivot'!$A$1,"Status 1 - Development","04 Pending","Status 2 - Permission Type","04 Prior Approval","Town Centre Name","Balham"),0)+IFERROR(GETPIVOTDATA("Count of D Total Net",'3.6 Pivot'!$A$1,"Status 1 - Development","04 Pending","Status 2 - Permission Type","05 Certificate of Lawful Development","Town Centre Name","Balham"),0)</f>
        <v>0</v>
      </c>
      <c r="N13" s="237">
        <f>IFERROR(GETPIVOTDATA("Sum of D Total Net2",'3.6 Pivot'!$A$1,"Status 1 - Development","04 Pending","Status 2 - Permission Type","02 Full","Town Centre Name","Balham"),0)+IFERROR(GETPIVOTDATA("Sum of D Total Net2",'3.6 Pivot'!$A$1,"Status 1 - Development","04 Pending","Status 2 - Permission Type","03 Outline","Town Centre Name","Balham"),0)+IFERROR(GETPIVOTDATA("Sum of D Total Net2",'3.6 Pivot'!$A$1,"Status 1 - Development","04 Pending","Status 2 - Permission Type","04 Prior Approval","Town Centre Name","Balham"),0)+IFERROR(GETPIVOTDATA("Sum of D Total Net2",'3.6 Pivot'!$A$1,"Status 1 - Development","04 Pending","Status 2 - Permission Type","05 Certificate of Lawful Development","Town Centre Name","Balham"),0)</f>
        <v>0</v>
      </c>
      <c r="O13" s="489">
        <f t="shared" si="0"/>
        <v>5</v>
      </c>
      <c r="P13" s="472">
        <f t="shared" si="1"/>
        <v>559</v>
      </c>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row>
    <row r="14" spans="1:147" ht="12" customHeight="1" x14ac:dyDescent="0.2">
      <c r="A14" s="809"/>
      <c r="B14" s="512" t="s">
        <v>95</v>
      </c>
      <c r="C14" s="102">
        <f>SUM(C7:C13)</f>
        <v>2</v>
      </c>
      <c r="D14" s="103">
        <f t="shared" ref="D14:P14" si="2">SUM(D7:D13)</f>
        <v>1334</v>
      </c>
      <c r="E14" s="102">
        <f t="shared" si="2"/>
        <v>6</v>
      </c>
      <c r="F14" s="103">
        <f t="shared" si="2"/>
        <v>26516</v>
      </c>
      <c r="G14" s="102">
        <f t="shared" si="2"/>
        <v>6</v>
      </c>
      <c r="H14" s="103">
        <f t="shared" si="2"/>
        <v>437</v>
      </c>
      <c r="I14" s="102">
        <f t="shared" si="2"/>
        <v>6</v>
      </c>
      <c r="J14" s="103">
        <f t="shared" si="2"/>
        <v>-353</v>
      </c>
      <c r="K14" s="102">
        <f t="shared" si="2"/>
        <v>3</v>
      </c>
      <c r="L14" s="103">
        <f t="shared" si="2"/>
        <v>698</v>
      </c>
      <c r="M14" s="102">
        <f t="shared" si="2"/>
        <v>2</v>
      </c>
      <c r="N14" s="103">
        <f t="shared" si="2"/>
        <v>1334</v>
      </c>
      <c r="O14" s="474">
        <f t="shared" si="2"/>
        <v>25</v>
      </c>
      <c r="P14" s="475">
        <f t="shared" si="2"/>
        <v>29966</v>
      </c>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row>
    <row r="15" spans="1:147" x14ac:dyDescent="0.2">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row>
    <row r="16" spans="1:147" x14ac:dyDescent="0.2">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row>
    <row r="17" spans="17:147" x14ac:dyDescent="0.2">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row>
    <row r="18" spans="17:147" x14ac:dyDescent="0.2">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row>
    <row r="19" spans="17:147" x14ac:dyDescent="0.2">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row>
    <row r="20" spans="17:147" x14ac:dyDescent="0.2">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row>
    <row r="21" spans="17:147" x14ac:dyDescent="0.2">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row>
    <row r="22" spans="17:147" x14ac:dyDescent="0.2">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row>
    <row r="23" spans="17:147" x14ac:dyDescent="0.2">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row>
    <row r="24" spans="17:147" x14ac:dyDescent="0.2">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row>
    <row r="25" spans="17:147" x14ac:dyDescent="0.2">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row>
    <row r="26" spans="17:147" x14ac:dyDescent="0.2">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row>
    <row r="27" spans="17:147" x14ac:dyDescent="0.2">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row>
    <row r="28" spans="17:147" x14ac:dyDescent="0.2">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row>
    <row r="29" spans="17:147" x14ac:dyDescent="0.2">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row>
    <row r="30" spans="17:147" x14ac:dyDescent="0.2">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row>
    <row r="31" spans="17:147" x14ac:dyDescent="0.2">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row>
    <row r="32" spans="17:147" x14ac:dyDescent="0.2">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row>
    <row r="33" spans="17:147" x14ac:dyDescent="0.2">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row>
    <row r="34" spans="17:147" x14ac:dyDescent="0.2">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row>
    <row r="35" spans="17:147" x14ac:dyDescent="0.2">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row>
    <row r="36" spans="17:147" x14ac:dyDescent="0.2">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row>
    <row r="37" spans="17:147" x14ac:dyDescent="0.2">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row>
    <row r="38" spans="17:147" x14ac:dyDescent="0.2">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row>
    <row r="39" spans="17:147" x14ac:dyDescent="0.2">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row>
    <row r="40" spans="17:147" x14ac:dyDescent="0.2">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row>
    <row r="41" spans="17:147" x14ac:dyDescent="0.2">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row>
    <row r="42" spans="17:147" x14ac:dyDescent="0.2">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row>
    <row r="43" spans="17:147" x14ac:dyDescent="0.2">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row>
    <row r="44" spans="17:147" x14ac:dyDescent="0.2">
      <c r="Q44" s="11"/>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row>
    <row r="45" spans="17:147" x14ac:dyDescent="0.2">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row>
    <row r="46" spans="17:147" x14ac:dyDescent="0.2">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row>
    <row r="47" spans="17:147" x14ac:dyDescent="0.2">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row>
    <row r="48" spans="17:147" x14ac:dyDescent="0.2">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row>
    <row r="49" spans="17:147" x14ac:dyDescent="0.2">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row>
    <row r="50" spans="17:147" x14ac:dyDescent="0.2">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row>
    <row r="51" spans="17:147" x14ac:dyDescent="0.2">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row>
    <row r="52" spans="17:147" x14ac:dyDescent="0.2">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row>
    <row r="53" spans="17:147" x14ac:dyDescent="0.2">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row>
    <row r="54" spans="17:147" x14ac:dyDescent="0.2">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row>
    <row r="55" spans="17:147" x14ac:dyDescent="0.2">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row>
    <row r="56" spans="17:147" x14ac:dyDescent="0.2">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row>
    <row r="57" spans="17:147" x14ac:dyDescent="0.2">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row>
    <row r="58" spans="17:147" x14ac:dyDescent="0.2">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row>
    <row r="59" spans="17:147" x14ac:dyDescent="0.2">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row>
    <row r="60" spans="17:147" x14ac:dyDescent="0.2">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row>
    <row r="61" spans="17:147" x14ac:dyDescent="0.2">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row>
    <row r="62" spans="17:147" x14ac:dyDescent="0.2">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row>
    <row r="63" spans="17:147" x14ac:dyDescent="0.2">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row>
    <row r="64" spans="17:147" x14ac:dyDescent="0.2">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row>
    <row r="65" spans="1:147" x14ac:dyDescent="0.2">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row>
    <row r="66" spans="1:147" x14ac:dyDescent="0.2">
      <c r="A66" s="405"/>
      <c r="B66" s="18"/>
      <c r="C66" s="18"/>
      <c r="D66" s="18"/>
      <c r="E66" s="18"/>
      <c r="F66" s="18"/>
      <c r="G66" s="18"/>
      <c r="H66" s="18"/>
      <c r="I66" s="18"/>
      <c r="J66" s="18"/>
      <c r="K66" s="18"/>
      <c r="L66" s="18"/>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row>
    <row r="67" spans="1:147" x14ac:dyDescent="0.2">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row>
    <row r="68" spans="1:147" x14ac:dyDescent="0.2">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row>
    <row r="69" spans="1:147" x14ac:dyDescent="0.2">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row>
    <row r="70" spans="1:147" x14ac:dyDescent="0.2">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row>
    <row r="71" spans="1:147" x14ac:dyDescent="0.2">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row>
    <row r="72" spans="1:147" x14ac:dyDescent="0.2">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row>
    <row r="73" spans="1:147" x14ac:dyDescent="0.2">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row>
    <row r="74" spans="1:147" x14ac:dyDescent="0.2">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row>
    <row r="75" spans="1:147" x14ac:dyDescent="0.2">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row>
    <row r="76" spans="1:147" x14ac:dyDescent="0.2">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row>
    <row r="77" spans="1:147" x14ac:dyDescent="0.2">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row>
    <row r="78" spans="1:147" x14ac:dyDescent="0.2">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row>
    <row r="79" spans="1:147" x14ac:dyDescent="0.2">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row>
    <row r="80" spans="1:147" x14ac:dyDescent="0.2">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row>
    <row r="81" spans="17:147" x14ac:dyDescent="0.2">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row>
    <row r="82" spans="17:147" x14ac:dyDescent="0.2">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row>
    <row r="83" spans="17:147" x14ac:dyDescent="0.2">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row>
    <row r="84" spans="17:147" x14ac:dyDescent="0.2">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row>
    <row r="85" spans="17:147" x14ac:dyDescent="0.2">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row>
    <row r="86" spans="17:147" x14ac:dyDescent="0.2">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row>
    <row r="87" spans="17:147" x14ac:dyDescent="0.2">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row>
    <row r="88" spans="17:147" x14ac:dyDescent="0.2">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row>
    <row r="89" spans="17:147" x14ac:dyDescent="0.2">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row>
    <row r="90" spans="17:147" x14ac:dyDescent="0.2">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row>
    <row r="91" spans="17:147" x14ac:dyDescent="0.2">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row>
    <row r="92" spans="17:147" x14ac:dyDescent="0.2">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row>
    <row r="93" spans="17:147" x14ac:dyDescent="0.2">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row>
    <row r="94" spans="17:147" x14ac:dyDescent="0.2">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row>
    <row r="95" spans="17:147" x14ac:dyDescent="0.2">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row>
    <row r="96" spans="17:147" x14ac:dyDescent="0.2">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row>
    <row r="97" spans="17:147" x14ac:dyDescent="0.2">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row>
    <row r="98" spans="17:147" x14ac:dyDescent="0.2">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row>
    <row r="99" spans="17:147" x14ac:dyDescent="0.2">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row>
    <row r="100" spans="17:147" x14ac:dyDescent="0.2">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row>
    <row r="101" spans="17:147" x14ac:dyDescent="0.2">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row>
    <row r="102" spans="17:147" x14ac:dyDescent="0.2">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row>
    <row r="103" spans="17:147" x14ac:dyDescent="0.2">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row>
    <row r="104" spans="17:147" x14ac:dyDescent="0.2">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row>
    <row r="105" spans="17:147" x14ac:dyDescent="0.2">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row>
    <row r="106" spans="17:147" x14ac:dyDescent="0.2">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row>
    <row r="107" spans="17:147" x14ac:dyDescent="0.2">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row>
    <row r="108" spans="17:147" x14ac:dyDescent="0.2">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row>
    <row r="109" spans="17:147" x14ac:dyDescent="0.2">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row>
    <row r="110" spans="17:147" x14ac:dyDescent="0.2">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row>
    <row r="111" spans="17:147" x14ac:dyDescent="0.2">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row>
    <row r="112" spans="17:147" x14ac:dyDescent="0.2">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row>
    <row r="113" spans="17:147" x14ac:dyDescent="0.2">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row>
    <row r="114" spans="17:147" x14ac:dyDescent="0.2">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row>
    <row r="115" spans="17:147" x14ac:dyDescent="0.2">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row>
    <row r="116" spans="17:147" x14ac:dyDescent="0.2">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row>
    <row r="117" spans="17:147" x14ac:dyDescent="0.2">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row>
    <row r="118" spans="17:147" x14ac:dyDescent="0.2">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row>
    <row r="119" spans="17:147" x14ac:dyDescent="0.2">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row>
    <row r="120" spans="17:147" x14ac:dyDescent="0.2">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row>
    <row r="121" spans="17:147" x14ac:dyDescent="0.2">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row>
    <row r="122" spans="17:147" x14ac:dyDescent="0.2">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row>
    <row r="123" spans="17:147" x14ac:dyDescent="0.2">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row>
    <row r="124" spans="17:147" x14ac:dyDescent="0.2">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row>
    <row r="125" spans="17:147" x14ac:dyDescent="0.2">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row>
    <row r="126" spans="17:147" x14ac:dyDescent="0.2">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row>
    <row r="127" spans="17:147" x14ac:dyDescent="0.2">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row>
    <row r="128" spans="17:147" x14ac:dyDescent="0.2">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row>
    <row r="129" spans="17:147" x14ac:dyDescent="0.2">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row>
    <row r="130" spans="17:147" x14ac:dyDescent="0.2">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row>
    <row r="131" spans="17:147" x14ac:dyDescent="0.2">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row>
    <row r="132" spans="17:147" x14ac:dyDescent="0.2">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row>
    <row r="133" spans="17:147" x14ac:dyDescent="0.2">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row>
    <row r="134" spans="17:147" x14ac:dyDescent="0.2">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row>
    <row r="135" spans="17:147" x14ac:dyDescent="0.2">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row>
    <row r="136" spans="17:147" x14ac:dyDescent="0.2">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row>
    <row r="137" spans="17:147" x14ac:dyDescent="0.2">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row>
    <row r="138" spans="17:147" x14ac:dyDescent="0.2">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row>
    <row r="139" spans="17:147" x14ac:dyDescent="0.2">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row>
    <row r="140" spans="17:147" x14ac:dyDescent="0.2">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row>
    <row r="141" spans="17:147" x14ac:dyDescent="0.2">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row>
    <row r="142" spans="17:147" x14ac:dyDescent="0.2">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row>
    <row r="143" spans="17:147" x14ac:dyDescent="0.2">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row>
    <row r="144" spans="17:147" x14ac:dyDescent="0.2">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row>
    <row r="145" spans="17:147" x14ac:dyDescent="0.2">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row>
    <row r="146" spans="17:147" x14ac:dyDescent="0.2">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row>
    <row r="147" spans="17:147" x14ac:dyDescent="0.2">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row>
    <row r="148" spans="17:147" x14ac:dyDescent="0.2">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row>
    <row r="149" spans="17:147" x14ac:dyDescent="0.2">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row>
    <row r="150" spans="17:147" x14ac:dyDescent="0.2">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row>
    <row r="151" spans="17:147" x14ac:dyDescent="0.2">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row>
    <row r="152" spans="17:147" x14ac:dyDescent="0.2">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row>
    <row r="153" spans="17:147" x14ac:dyDescent="0.2">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row>
    <row r="154" spans="17:147" x14ac:dyDescent="0.2">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row>
    <row r="155" spans="17:147" x14ac:dyDescent="0.2">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row>
    <row r="156" spans="17:147" x14ac:dyDescent="0.2">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row>
    <row r="157" spans="17:147" x14ac:dyDescent="0.2">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row>
    <row r="158" spans="17:147" x14ac:dyDescent="0.2">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row>
    <row r="159" spans="17:147" x14ac:dyDescent="0.2">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row>
    <row r="160" spans="17:147" x14ac:dyDescent="0.2">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row>
    <row r="161" spans="17:147" x14ac:dyDescent="0.2">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row>
    <row r="162" spans="17:147" x14ac:dyDescent="0.2">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row>
    <row r="163" spans="17:147" x14ac:dyDescent="0.2">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row>
    <row r="164" spans="17:147" x14ac:dyDescent="0.2">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row>
    <row r="165" spans="17:147" x14ac:dyDescent="0.2">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row>
    <row r="166" spans="17:147" x14ac:dyDescent="0.2">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row>
    <row r="167" spans="17:147" x14ac:dyDescent="0.2">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row>
    <row r="168" spans="17:147" x14ac:dyDescent="0.2">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row>
    <row r="169" spans="17:147" x14ac:dyDescent="0.2">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row>
    <row r="170" spans="17:147" x14ac:dyDescent="0.2">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row>
    <row r="171" spans="17:147" x14ac:dyDescent="0.2">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row>
    <row r="172" spans="17:147" x14ac:dyDescent="0.2">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row>
    <row r="173" spans="17:147" x14ac:dyDescent="0.2">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row>
    <row r="174" spans="17:147" x14ac:dyDescent="0.2">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row>
    <row r="175" spans="17:147" x14ac:dyDescent="0.2">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row>
    <row r="176" spans="17:147" x14ac:dyDescent="0.2">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row>
    <row r="177" spans="17:147" x14ac:dyDescent="0.2">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row>
    <row r="178" spans="17:147" x14ac:dyDescent="0.2">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row>
    <row r="179" spans="17:147" x14ac:dyDescent="0.2">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row>
    <row r="180" spans="17:147" x14ac:dyDescent="0.2">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row>
  </sheetData>
  <mergeCells count="12">
    <mergeCell ref="A2:P2"/>
    <mergeCell ref="A6:B6"/>
    <mergeCell ref="A7:A14"/>
    <mergeCell ref="A4:B5"/>
    <mergeCell ref="A1:I1"/>
    <mergeCell ref="O4:P4"/>
    <mergeCell ref="C4:D4"/>
    <mergeCell ref="G4:H4"/>
    <mergeCell ref="I4:J4"/>
    <mergeCell ref="K4:L4"/>
    <mergeCell ref="M4:N4"/>
    <mergeCell ref="E4:F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E35"/>
  <sheetViews>
    <sheetView workbookViewId="0"/>
  </sheetViews>
  <sheetFormatPr defaultRowHeight="12" x14ac:dyDescent="0.2"/>
  <cols>
    <col min="1" max="2" width="20.140625" bestFit="1" customWidth="1"/>
    <col min="3" max="3" width="30.28515625" customWidth="1"/>
    <col min="4" max="5" width="17" customWidth="1"/>
    <col min="6" max="6" width="18" customWidth="1"/>
    <col min="7" max="8" width="18" bestFit="1" customWidth="1"/>
    <col min="9" max="14" width="17" bestFit="1" customWidth="1"/>
  </cols>
  <sheetData>
    <row r="1" spans="1:5" x14ac:dyDescent="0.2">
      <c r="A1" s="77" t="s">
        <v>164</v>
      </c>
      <c r="B1" s="77" t="s">
        <v>2939</v>
      </c>
      <c r="C1" s="77" t="s">
        <v>2940</v>
      </c>
      <c r="D1" s="446" t="s">
        <v>3834</v>
      </c>
      <c r="E1" s="446" t="s">
        <v>3835</v>
      </c>
    </row>
    <row r="2" spans="1:5" x14ac:dyDescent="0.2">
      <c r="A2" s="446" t="s">
        <v>149</v>
      </c>
      <c r="B2" s="446" t="s">
        <v>2936</v>
      </c>
      <c r="D2" s="74">
        <v>1</v>
      </c>
      <c r="E2" s="74">
        <v>78</v>
      </c>
    </row>
    <row r="3" spans="1:5" x14ac:dyDescent="0.2">
      <c r="B3" s="446" t="s">
        <v>2935</v>
      </c>
      <c r="D3" s="74">
        <v>1</v>
      </c>
      <c r="E3" s="74">
        <v>1170</v>
      </c>
    </row>
    <row r="4" spans="1:5" x14ac:dyDescent="0.2">
      <c r="B4" s="446" t="s">
        <v>2937</v>
      </c>
      <c r="C4" s="446" t="s">
        <v>2946</v>
      </c>
      <c r="D4" s="74">
        <v>1</v>
      </c>
      <c r="E4" s="74">
        <v>164</v>
      </c>
    </row>
    <row r="5" spans="1:5" x14ac:dyDescent="0.2">
      <c r="C5" s="446" t="s">
        <v>2948</v>
      </c>
      <c r="D5" s="74">
        <v>0</v>
      </c>
      <c r="E5" s="74">
        <v>0</v>
      </c>
    </row>
    <row r="6" spans="1:5" x14ac:dyDescent="0.2">
      <c r="B6" s="446" t="s">
        <v>2938</v>
      </c>
      <c r="C6" s="446" t="s">
        <v>2946</v>
      </c>
      <c r="D6" s="74">
        <v>0</v>
      </c>
      <c r="E6" s="74">
        <v>0</v>
      </c>
    </row>
    <row r="7" spans="1:5" x14ac:dyDescent="0.2">
      <c r="A7" s="446" t="s">
        <v>427</v>
      </c>
      <c r="B7" s="446" t="s">
        <v>2936</v>
      </c>
      <c r="D7" s="74">
        <v>1</v>
      </c>
      <c r="E7" s="74">
        <v>1445</v>
      </c>
    </row>
    <row r="8" spans="1:5" x14ac:dyDescent="0.2">
      <c r="B8" s="446" t="s">
        <v>2935</v>
      </c>
      <c r="D8" s="74">
        <v>3</v>
      </c>
      <c r="E8" s="74">
        <v>18589</v>
      </c>
    </row>
    <row r="9" spans="1:5" x14ac:dyDescent="0.2">
      <c r="B9" s="446" t="s">
        <v>2937</v>
      </c>
      <c r="C9" s="446" t="s">
        <v>2946</v>
      </c>
      <c r="D9" s="74">
        <v>0</v>
      </c>
      <c r="E9" s="74">
        <v>0</v>
      </c>
    </row>
    <row r="10" spans="1:5" x14ac:dyDescent="0.2">
      <c r="C10" s="446" t="s">
        <v>2947</v>
      </c>
      <c r="D10" s="74">
        <v>3</v>
      </c>
      <c r="E10" s="74">
        <v>7927</v>
      </c>
    </row>
    <row r="11" spans="1:5" x14ac:dyDescent="0.2">
      <c r="A11" s="446" t="s">
        <v>132</v>
      </c>
      <c r="B11" s="446" t="s">
        <v>2936</v>
      </c>
      <c r="D11" s="74">
        <v>1</v>
      </c>
      <c r="E11" s="74">
        <v>33</v>
      </c>
    </row>
    <row r="12" spans="1:5" x14ac:dyDescent="0.2">
      <c r="B12" s="446" t="s">
        <v>2935</v>
      </c>
      <c r="D12" s="74">
        <v>2</v>
      </c>
      <c r="E12" s="74">
        <v>80</v>
      </c>
    </row>
    <row r="13" spans="1:5" x14ac:dyDescent="0.2">
      <c r="B13" s="446" t="s">
        <v>2937</v>
      </c>
      <c r="C13" s="446" t="s">
        <v>2946</v>
      </c>
      <c r="D13" s="74">
        <v>4</v>
      </c>
      <c r="E13" s="74">
        <v>357</v>
      </c>
    </row>
    <row r="14" spans="1:5" x14ac:dyDescent="0.2">
      <c r="C14" s="446" t="s">
        <v>2948</v>
      </c>
      <c r="D14" s="74">
        <v>0</v>
      </c>
      <c r="E14" s="74">
        <v>0</v>
      </c>
    </row>
    <row r="15" spans="1:5" x14ac:dyDescent="0.2">
      <c r="B15" s="446" t="s">
        <v>2938</v>
      </c>
      <c r="C15" s="446" t="s">
        <v>2945</v>
      </c>
      <c r="D15" s="74">
        <v>0</v>
      </c>
      <c r="E15" s="74">
        <v>0</v>
      </c>
    </row>
    <row r="16" spans="1:5" x14ac:dyDescent="0.2">
      <c r="C16" s="446" t="s">
        <v>2946</v>
      </c>
      <c r="D16" s="74">
        <v>0</v>
      </c>
      <c r="E16" s="74">
        <v>0</v>
      </c>
    </row>
    <row r="17" spans="1:5" x14ac:dyDescent="0.2">
      <c r="C17" s="446" t="s">
        <v>2959</v>
      </c>
      <c r="D17" s="74">
        <v>0</v>
      </c>
      <c r="E17" s="74">
        <v>0</v>
      </c>
    </row>
    <row r="18" spans="1:5" x14ac:dyDescent="0.2">
      <c r="A18" s="446" t="s">
        <v>131</v>
      </c>
      <c r="B18" s="446" t="s">
        <v>2936</v>
      </c>
      <c r="D18" s="74">
        <v>2</v>
      </c>
      <c r="E18" s="74">
        <v>47</v>
      </c>
    </row>
    <row r="19" spans="1:5" x14ac:dyDescent="0.2">
      <c r="B19" s="446" t="s">
        <v>2935</v>
      </c>
      <c r="D19" s="74">
        <v>1</v>
      </c>
      <c r="E19" s="74">
        <v>39</v>
      </c>
    </row>
    <row r="20" spans="1:5" x14ac:dyDescent="0.2">
      <c r="B20" s="446" t="s">
        <v>2937</v>
      </c>
      <c r="C20" s="446" t="s">
        <v>2946</v>
      </c>
      <c r="D20" s="74">
        <v>2</v>
      </c>
      <c r="E20" s="74">
        <v>-753</v>
      </c>
    </row>
    <row r="21" spans="1:5" x14ac:dyDescent="0.2">
      <c r="C21" s="446" t="s">
        <v>2948</v>
      </c>
      <c r="D21" s="74">
        <v>0</v>
      </c>
      <c r="E21" s="74">
        <v>0</v>
      </c>
    </row>
    <row r="22" spans="1:5" x14ac:dyDescent="0.2">
      <c r="B22" s="446" t="s">
        <v>2938</v>
      </c>
      <c r="C22" s="446" t="s">
        <v>2946</v>
      </c>
      <c r="D22" s="74">
        <v>3</v>
      </c>
      <c r="E22" s="74">
        <v>361</v>
      </c>
    </row>
    <row r="23" spans="1:5" x14ac:dyDescent="0.2">
      <c r="C23" s="446" t="s">
        <v>2948</v>
      </c>
      <c r="D23" s="74">
        <v>0</v>
      </c>
      <c r="E23" s="74">
        <v>0</v>
      </c>
    </row>
    <row r="24" spans="1:5" x14ac:dyDescent="0.2">
      <c r="A24" s="446" t="s">
        <v>150</v>
      </c>
      <c r="B24" s="446" t="s">
        <v>2936</v>
      </c>
      <c r="D24" s="74">
        <v>1</v>
      </c>
      <c r="E24" s="74">
        <v>132</v>
      </c>
    </row>
    <row r="25" spans="1:5" x14ac:dyDescent="0.2">
      <c r="B25" s="446" t="s">
        <v>2935</v>
      </c>
      <c r="D25" s="74">
        <v>1</v>
      </c>
      <c r="E25" s="74">
        <v>500</v>
      </c>
    </row>
    <row r="26" spans="1:5" x14ac:dyDescent="0.2">
      <c r="B26" s="446" t="s">
        <v>2937</v>
      </c>
      <c r="C26" s="446" t="s">
        <v>2946</v>
      </c>
      <c r="D26" s="74">
        <v>0</v>
      </c>
      <c r="E26" s="74">
        <v>0</v>
      </c>
    </row>
    <row r="27" spans="1:5" x14ac:dyDescent="0.2">
      <c r="C27" s="446" t="s">
        <v>2948</v>
      </c>
      <c r="D27" s="74">
        <v>0</v>
      </c>
      <c r="E27" s="74">
        <v>0</v>
      </c>
    </row>
    <row r="28" spans="1:5" x14ac:dyDescent="0.2">
      <c r="C28" s="446" t="s">
        <v>2949</v>
      </c>
      <c r="D28" s="74">
        <v>0</v>
      </c>
      <c r="E28" s="74">
        <v>0</v>
      </c>
    </row>
    <row r="29" spans="1:5" x14ac:dyDescent="0.2">
      <c r="B29" s="446" t="s">
        <v>2938</v>
      </c>
      <c r="C29" s="446" t="s">
        <v>2946</v>
      </c>
      <c r="D29" s="74">
        <v>2</v>
      </c>
      <c r="E29" s="74">
        <v>198</v>
      </c>
    </row>
    <row r="30" spans="1:5" x14ac:dyDescent="0.2">
      <c r="A30" s="446" t="s">
        <v>151</v>
      </c>
      <c r="B30" s="446" t="s">
        <v>2936</v>
      </c>
      <c r="D30" s="74">
        <v>1</v>
      </c>
      <c r="E30" s="74">
        <v>112</v>
      </c>
    </row>
    <row r="31" spans="1:5" x14ac:dyDescent="0.2">
      <c r="B31" s="446" t="s">
        <v>2935</v>
      </c>
      <c r="D31" s="74">
        <v>4</v>
      </c>
      <c r="E31" s="74">
        <v>-5404</v>
      </c>
    </row>
    <row r="32" spans="1:5" x14ac:dyDescent="0.2">
      <c r="B32" s="446" t="s">
        <v>2937</v>
      </c>
      <c r="C32" s="446" t="s">
        <v>2946</v>
      </c>
      <c r="D32" s="74">
        <v>3</v>
      </c>
      <c r="E32" s="74">
        <v>376</v>
      </c>
    </row>
    <row r="33" spans="1:5" x14ac:dyDescent="0.2">
      <c r="C33" s="446" t="s">
        <v>2948</v>
      </c>
      <c r="D33" s="74">
        <v>0</v>
      </c>
      <c r="E33" s="74">
        <v>0</v>
      </c>
    </row>
    <row r="34" spans="1:5" x14ac:dyDescent="0.2">
      <c r="B34" s="446" t="s">
        <v>2938</v>
      </c>
      <c r="C34" s="446" t="s">
        <v>2946</v>
      </c>
      <c r="D34" s="74">
        <v>0</v>
      </c>
      <c r="E34" s="74">
        <v>0</v>
      </c>
    </row>
    <row r="35" spans="1:5" x14ac:dyDescent="0.2">
      <c r="A35" s="446" t="s">
        <v>115</v>
      </c>
      <c r="D35" s="74">
        <v>37</v>
      </c>
      <c r="E35" s="74">
        <v>25451</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46"/>
  <dimension ref="A1:EW178"/>
  <sheetViews>
    <sheetView workbookViewId="0">
      <selection sqref="A1:I1"/>
    </sheetView>
  </sheetViews>
  <sheetFormatPr defaultRowHeight="12" x14ac:dyDescent="0.2"/>
  <cols>
    <col min="1" max="1" width="7.42578125" style="404" customWidth="1"/>
    <col min="2" max="2" width="27.7109375" style="1" customWidth="1"/>
    <col min="3" max="3" width="5.140625" style="1" customWidth="1"/>
    <col min="4" max="4" width="10.7109375" style="1" customWidth="1"/>
    <col min="5" max="5" width="5.140625" style="1" customWidth="1"/>
    <col min="6" max="6" width="10.7109375" style="1" customWidth="1"/>
    <col min="7" max="7" width="5.140625" style="1" customWidth="1"/>
    <col min="8" max="8" width="10.7109375" style="1" customWidth="1"/>
    <col min="9" max="9" width="5.140625" style="1" customWidth="1"/>
    <col min="10" max="10" width="10.7109375" style="1" customWidth="1"/>
    <col min="11" max="11" width="5.140625" style="1" customWidth="1"/>
    <col min="12" max="12" width="10.7109375" style="1" customWidth="1"/>
    <col min="13" max="13" width="5.140625" style="1" customWidth="1"/>
    <col min="14" max="14" width="10.7109375" style="1" customWidth="1"/>
    <col min="15" max="15" width="5.140625" style="1" customWidth="1"/>
    <col min="16" max="16" width="10" style="1" customWidth="1"/>
    <col min="17" max="17" width="5.140625" style="1" customWidth="1"/>
    <col min="18" max="18" width="10" style="1" customWidth="1"/>
    <col min="19" max="19" width="5.140625" style="1" customWidth="1"/>
    <col min="20" max="20" width="10" style="1" customWidth="1"/>
    <col min="21" max="21" width="5.140625" style="1" customWidth="1"/>
    <col min="22" max="22" width="10" style="1" customWidth="1"/>
    <col min="23" max="23" width="5.140625" style="1" customWidth="1"/>
    <col min="24" max="24" width="10" style="1" customWidth="1"/>
    <col min="25" max="16384" width="9.140625" style="1"/>
  </cols>
  <sheetData>
    <row r="1" spans="1:153" ht="15.75" x14ac:dyDescent="0.25">
      <c r="A1" s="606" t="s">
        <v>3871</v>
      </c>
      <c r="B1" s="606"/>
      <c r="C1" s="606"/>
      <c r="D1" s="606"/>
      <c r="E1" s="606"/>
      <c r="F1" s="606"/>
      <c r="G1" s="606"/>
      <c r="H1" s="606"/>
      <c r="I1" s="606"/>
      <c r="J1" s="288"/>
      <c r="K1" s="288"/>
      <c r="L1" s="288"/>
      <c r="M1" s="288"/>
      <c r="N1" s="288"/>
      <c r="O1" s="288"/>
      <c r="P1" s="288"/>
      <c r="Q1" s="288"/>
      <c r="R1" s="288"/>
      <c r="S1" s="288"/>
      <c r="T1" s="288"/>
      <c r="U1" s="288"/>
      <c r="V1" s="288"/>
      <c r="W1" s="288"/>
      <c r="X1" s="288"/>
      <c r="Y1" s="4"/>
      <c r="Z1" s="4"/>
      <c r="AA1" s="4"/>
      <c r="AB1" s="4"/>
      <c r="AC1" s="4"/>
      <c r="AD1" s="4"/>
      <c r="AE1" s="4"/>
      <c r="AF1" s="4"/>
      <c r="AG1" s="4"/>
      <c r="AH1" s="4"/>
      <c r="AI1" s="4"/>
      <c r="AJ1" s="4"/>
      <c r="AK1" s="4"/>
      <c r="AL1" s="4"/>
      <c r="AM1" s="4"/>
      <c r="AN1" s="4"/>
      <c r="AO1" s="4"/>
      <c r="AP1" s="10"/>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row>
    <row r="2" spans="1:153" ht="12.75" x14ac:dyDescent="0.2">
      <c r="A2" s="640" t="s">
        <v>3917</v>
      </c>
      <c r="B2" s="640"/>
      <c r="C2" s="640"/>
      <c r="D2" s="640"/>
      <c r="E2" s="640"/>
      <c r="F2" s="640"/>
      <c r="G2" s="640"/>
      <c r="H2" s="640"/>
      <c r="I2" s="640"/>
      <c r="J2" s="640"/>
      <c r="K2" s="640"/>
      <c r="L2" s="640"/>
      <c r="M2" s="640"/>
      <c r="N2" s="640"/>
      <c r="O2" s="640"/>
      <c r="P2" s="640"/>
      <c r="Q2" s="640"/>
      <c r="R2" s="640"/>
      <c r="S2" s="640"/>
      <c r="T2" s="640"/>
      <c r="U2" s="640"/>
      <c r="V2" s="640"/>
      <c r="W2" s="640"/>
      <c r="X2" s="640"/>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row>
    <row r="3" spans="1:153" x14ac:dyDescent="0.2">
      <c r="A3" s="294"/>
      <c r="B3" s="16"/>
      <c r="C3" s="16"/>
      <c r="D3" s="16"/>
      <c r="E3" s="16"/>
      <c r="F3" s="16"/>
      <c r="G3" s="16"/>
      <c r="H3" s="16"/>
      <c r="I3" s="16"/>
      <c r="J3" s="16"/>
      <c r="K3" s="16"/>
      <c r="L3" s="16"/>
      <c r="M3" s="16"/>
      <c r="N3" s="16"/>
      <c r="O3" s="16"/>
      <c r="P3" s="16"/>
      <c r="Q3" s="16"/>
      <c r="R3" s="16"/>
      <c r="S3" s="16"/>
      <c r="T3" s="16"/>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row>
    <row r="4" spans="1:153" ht="24" customHeight="1" x14ac:dyDescent="0.2">
      <c r="A4" s="807" t="s">
        <v>88</v>
      </c>
      <c r="B4" s="810"/>
      <c r="C4" s="812" t="s">
        <v>41</v>
      </c>
      <c r="D4" s="813"/>
      <c r="E4" s="816" t="s">
        <v>43</v>
      </c>
      <c r="F4" s="816"/>
      <c r="G4" s="816" t="s">
        <v>60</v>
      </c>
      <c r="H4" s="816"/>
      <c r="I4" s="812" t="s">
        <v>1021</v>
      </c>
      <c r="J4" s="813"/>
      <c r="K4" s="816" t="s">
        <v>56</v>
      </c>
      <c r="L4" s="816"/>
      <c r="M4" s="814" t="s">
        <v>3853</v>
      </c>
      <c r="N4" s="815"/>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row>
    <row r="5" spans="1:153" ht="24" customHeight="1" x14ac:dyDescent="0.2">
      <c r="A5" s="809"/>
      <c r="B5" s="811"/>
      <c r="C5" s="380" t="s">
        <v>2970</v>
      </c>
      <c r="D5" s="379" t="s">
        <v>168</v>
      </c>
      <c r="E5" s="380" t="s">
        <v>2970</v>
      </c>
      <c r="F5" s="379" t="s">
        <v>168</v>
      </c>
      <c r="G5" s="380" t="s">
        <v>2970</v>
      </c>
      <c r="H5" s="379" t="s">
        <v>168</v>
      </c>
      <c r="I5" s="380" t="s">
        <v>2970</v>
      </c>
      <c r="J5" s="379" t="s">
        <v>168</v>
      </c>
      <c r="K5" s="380" t="s">
        <v>2970</v>
      </c>
      <c r="L5" s="379" t="s">
        <v>168</v>
      </c>
      <c r="M5" s="490" t="s">
        <v>2970</v>
      </c>
      <c r="N5" s="496" t="s">
        <v>168</v>
      </c>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row>
    <row r="6" spans="1:153" ht="12" customHeight="1" x14ac:dyDescent="0.2">
      <c r="A6" s="805" t="s">
        <v>2926</v>
      </c>
      <c r="B6" s="806"/>
      <c r="C6" s="236">
        <f>IFERROR(GETPIVOTDATA("Count of D1 Gain",'3.7 Pivot'!$A$1,"Status 1 - Development","01 Completed","D1Description_Gain","Community Premises"),0)</f>
        <v>1</v>
      </c>
      <c r="D6" s="237">
        <f>IFERROR(GETPIVOTDATA("Sum of D1 Gain2",'3.7 Pivot'!$A$1,"Status 1 - Development","01 Completed","D1Description_Gain","Community Premises"),0)</f>
        <v>22</v>
      </c>
      <c r="E6" s="236">
        <f>IFERROR(GETPIVOTDATA("Count of D1 Gain",'3.7 Pivot'!$A$1,"Status 1 - Development","01 Completed","D1Description_Gain","Day Nursery"),0)</f>
        <v>4</v>
      </c>
      <c r="F6" s="237">
        <f>IFERROR(GETPIVOTDATA("Sum of D1 Gain2",'3.7 Pivot'!$A$1,"Status 1 - Development","01 Completed","D1Description_Gain","Day Nursery"),0)</f>
        <v>586</v>
      </c>
      <c r="G6" s="236">
        <f>IFERROR(GETPIVOTDATA("Count of D1 Gain",'3.7 Pivot'!$A$1,"Status 1 - Development","01 Completed","D1Description_Gain","Education or Training"),0)</f>
        <v>13</v>
      </c>
      <c r="H6" s="237">
        <f>IFERROR(GETPIVOTDATA("Sum of D1 Gain2",'3.7 Pivot'!$A$1,"Status 1 - Development","01 Completed","D1Description_Gain","Education or Training"),0)</f>
        <v>4523</v>
      </c>
      <c r="I6" s="236">
        <f>IFERROR(GETPIVOTDATA("Count of D1 Gain",'3.7 Pivot'!$A$1,"Status 1 - Development","01 Completed","D1Description_Gain","Library"),0)</f>
        <v>0</v>
      </c>
      <c r="J6" s="237">
        <f>IFERROR(GETPIVOTDATA("Sum of D1 Gain2",'3.7 Pivot'!$A$1,"Status 1 - Development","01 Completed","D1Description_Gain","Library"),0)</f>
        <v>0</v>
      </c>
      <c r="K6" s="236">
        <f>IFERROR(GETPIVOTDATA("Count of D1 Gain",'3.7 Pivot'!$A$1,"Status 1 - Development","01 Completed","D1Description_Gain","Medical Health Centre"),0)</f>
        <v>1</v>
      </c>
      <c r="L6" s="237">
        <f>IFERROR(GETPIVOTDATA("Sum of D1 Gain2",'3.7 Pivot'!$A$1,"Status 1 - Development","01 Completed","D1Description_Gain","Medical Health Centre"),0)</f>
        <v>980</v>
      </c>
      <c r="M6" s="513">
        <f>IFERROR(GETPIVOTDATA("Count of D1 Gain",'3.7 Pivot'!$A$1,"Status 1 - Development","01 Completed","D1Description_Gain","Museum"),0)</f>
        <v>0</v>
      </c>
      <c r="N6" s="493">
        <f>IFERROR(GETPIVOTDATA("Sum of D1 Gain2",'3.7 Pivot'!$A$1,"Status 1 - Development","01 Completed","D1Description_Gain","Museum"),0)</f>
        <v>0</v>
      </c>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row>
    <row r="7" spans="1:153" ht="12" customHeight="1" x14ac:dyDescent="0.2">
      <c r="A7" s="807" t="s">
        <v>2962</v>
      </c>
      <c r="B7" s="511" t="s">
        <v>96</v>
      </c>
      <c r="C7" s="236">
        <f>IFERROR(GETPIVOTDATA("Count of D1 Gain",'3.7 Pivot'!$A$1,"Status 1 - Development","02 Under Construction","D1Description_Gain","Community Premises"),0)</f>
        <v>2</v>
      </c>
      <c r="D7" s="237">
        <f>IFERROR(GETPIVOTDATA("Sum of D1 Gain2",'3.7 Pivot'!$A$1,"Status 1 - Development","02 Under Construction","D1Description_Gain","Community Premises"),0)</f>
        <v>716</v>
      </c>
      <c r="E7" s="236">
        <f>IFERROR(GETPIVOTDATA("Count of D1 Gain",'3.7 Pivot'!$A$1,"Status 1 - Development","02 Under Construction","D1Description_Gain","Day Nursery"),0)</f>
        <v>2</v>
      </c>
      <c r="F7" s="237">
        <f>IFERROR(GETPIVOTDATA("Sum of D1 Gain2",'3.7 Pivot'!$A$1,"Status 1 - Development","02 Under Construction","D1Description_Gain","Day Nursery"),0)</f>
        <v>548</v>
      </c>
      <c r="G7" s="236">
        <f>IFERROR(GETPIVOTDATA("Count of D1 Gain",'3.7 Pivot'!$A$1,"Status 1 - Development","02 Under Construction","D1Description_Gain","Education or Training"),0)</f>
        <v>12</v>
      </c>
      <c r="H7" s="237">
        <f>IFERROR(GETPIVOTDATA("Sum of D1 Gain2",'3.7 Pivot'!$A$1,"Status 1 - Development","02 Under Construction","D1Description_Gain","Education or Training"),0)</f>
        <v>39391</v>
      </c>
      <c r="I7" s="236">
        <f>IFERROR(GETPIVOTDATA("Count of D1 Gain",'3.7 Pivot'!$A$1,"Status 1 - Development","02 Under Construction","D1Description_Gain","Library"),0)</f>
        <v>0</v>
      </c>
      <c r="J7" s="237">
        <f>IFERROR(GETPIVOTDATA("Sum of D1 Gain2",'3.7 Pivot'!$A$1,"Status 1 - Development","02 Under Construction","D1Description_Gain","Library"),0)</f>
        <v>0</v>
      </c>
      <c r="K7" s="236">
        <f>IFERROR(GETPIVOTDATA("Count of D1 Gain",'3.7 Pivot'!$A$1,"Status 1 - Development","02 Under Construction","D1Description_Gain","Medical Health Centre"),0)</f>
        <v>2</v>
      </c>
      <c r="L7" s="237">
        <f>IFERROR(GETPIVOTDATA("Sum of D1 Gain2",'3.7 Pivot'!$A$1,"Status 1 - Development","02 Under Construction","D1Description_Gain","Medical Health Centre"),0)</f>
        <v>586</v>
      </c>
      <c r="M7" s="513">
        <f>IFERROR(GETPIVOTDATA("Count of D1 Gain",'3.7 Pivot'!$A$1,"Status 1 - Development","02 Under Construction","D1Description_Gain","Museum"),0)</f>
        <v>0</v>
      </c>
      <c r="N7" s="493">
        <f>IFERROR(GETPIVOTDATA("Sum of D1 Gain2",'3.7 Pivot'!$A$1,"Status 1 - Development","02 Under Construction","D1Description_Gain","Museum"),0)</f>
        <v>0</v>
      </c>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row>
    <row r="8" spans="1:153" ht="12" customHeight="1" x14ac:dyDescent="0.2">
      <c r="A8" s="808"/>
      <c r="B8" s="511" t="s">
        <v>2966</v>
      </c>
      <c r="C8" s="236">
        <f>IFERROR(GETPIVOTDATA("Count of D1 Gain",'3.7 Pivot'!$A$1,"Status 1 - Development","03 Planning","Status 2 - Permission Type","02 Full","D1Description_Gain","Community Premises"),0)</f>
        <v>3</v>
      </c>
      <c r="D8" s="237">
        <f>IFERROR(GETPIVOTDATA("Sum of D1 Gain2",'3.7 Pivot'!$A$1,"Status 1 - Development","03 Planning","Status 2 - Permission Type","02 Full","D1Description_Gain","Community Premises"),0)</f>
        <v>593</v>
      </c>
      <c r="E8" s="236">
        <f>IFERROR(GETPIVOTDATA("Count of D1 Gain",'3.7 Pivot'!$A$1,"Status 1 - Development","03 Planning","Status 2 - Permission Type","02 Full","D1Description_Gain","Day Nursery"),0)</f>
        <v>5</v>
      </c>
      <c r="F8" s="237">
        <f>IFERROR(GETPIVOTDATA("Sum of D1 Gain2",'3.7 Pivot'!$A$1,"Status 1 - Development","03 Planning","Status 2 - Permission Type","02 Full","D1Description_Gain","Day Nursery"),0)</f>
        <v>957</v>
      </c>
      <c r="G8" s="236">
        <f>IFERROR(GETPIVOTDATA("Count of D1 Gain",'3.7 Pivot'!$A$1,"Status 1 - Development","03 Planning","Status 2 - Permission Type","02 Full","D1Description_Gain","Education or Training"),0)</f>
        <v>2</v>
      </c>
      <c r="H8" s="237">
        <f>IFERROR(GETPIVOTDATA("Sum of D1 Gain2",'3.7 Pivot'!$A$1,"Status 1 - Development","03 Planning","Status 2 - Permission Type","02 Full","D1Description_Gain","Education or Training"),0)</f>
        <v>1200</v>
      </c>
      <c r="I8" s="236">
        <f>IFERROR(GETPIVOTDATA("Count of D1 Gain",'3.7 Pivot'!$A$1,"Status 1 - Development","03 Planning","Status 2 - Permission Type","02 Full","D1Description_Gain","Library"),0)</f>
        <v>1</v>
      </c>
      <c r="J8" s="237">
        <f>IFERROR(GETPIVOTDATA("Sum of D1 Gain2",'3.7 Pivot'!$A$1,"Status 1 - Development","03 Planning","Status 2 - Permission Type","02 Full","D1Description_Gain","Library"),0)</f>
        <v>20</v>
      </c>
      <c r="K8" s="236">
        <f>IFERROR(GETPIVOTDATA("Count of D1 Gain",'3.7 Pivot'!$A$1,"Status 1 - Development","03 Planning","Status 2 - Permission Type","02 Full","D1Description_Gain","Medical Health Centre"),0)</f>
        <v>1</v>
      </c>
      <c r="L8" s="237">
        <f>IFERROR(GETPIVOTDATA("Sum of D1 Gain2",'3.7 Pivot'!$A$1,"Status 1 - Development","03 Planning","Status 2 - Permission Type","02 Full","D1Description_Gain","Medical Health Centre"),0)</f>
        <v>1924</v>
      </c>
      <c r="M8" s="513">
        <f>IFERROR(GETPIVOTDATA("Count of D1 Gain",'3.7 Pivot'!$A$1,"Status 1 - Development","03 Planning","Status 2 - Permission Type","02 Full","D1Description_Gain","Museum"),0)</f>
        <v>0</v>
      </c>
      <c r="N8" s="493">
        <f>IFERROR(GETPIVOTDATA("Sum of D1 Gain2",'3.7 Pivot'!$A$1,"Status 1 - Development","03 Planning","Status 2 - Permission Type","02 Full","D1Description_Gain","Museum"),0)</f>
        <v>0</v>
      </c>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row>
    <row r="9" spans="1:153" ht="12" customHeight="1" x14ac:dyDescent="0.2">
      <c r="A9" s="808"/>
      <c r="B9" s="511" t="s">
        <v>2967</v>
      </c>
      <c r="C9" s="236">
        <f>IFERROR(GETPIVOTDATA("Count of D1 Gain",'3.7 Pivot'!$A$1,"Status 1 - Development","03 Planning","Status 2 - Permission Type","03 Outline","D1Description_Gain","Community Premises"),0)</f>
        <v>0</v>
      </c>
      <c r="D9" s="237">
        <f>IFERROR(GETPIVOTDATA("Sum of D1 Gain2",'3.7 Pivot'!$A$1,"Status 1 - Development","03 Planning","Status 2 - Permission Type","03 Outline","D1Description_Gain","Community Premises"),0)</f>
        <v>0</v>
      </c>
      <c r="E9" s="236">
        <f>IFERROR(GETPIVOTDATA("Count of D1 Gain",'3.7 Pivot'!$A$1,"Status 1 - Development","03 Planning","Status 2 - Permission Type","03 Outline","D1Description_Gain","Day Nursery"),0)</f>
        <v>0</v>
      </c>
      <c r="F9" s="237">
        <f>IFERROR(GETPIVOTDATA("Sum of D1 Gain2",'3.7 Pivot'!$A$1,"Status 1 - Development","03 Planning","Status 2 - Permission Type","03 Outline","D1Description_Gain","Day Nursery"),0)</f>
        <v>0</v>
      </c>
      <c r="G9" s="236">
        <f>IFERROR(GETPIVOTDATA("Count of D1 Gain",'3.7 Pivot'!$A$1,"Status 1 - Development","03 Planning","Status 2 - Permission Type","03 Outline","D1Description_Gain","Education or Training"),0)</f>
        <v>0</v>
      </c>
      <c r="H9" s="237">
        <f>IFERROR(GETPIVOTDATA("Sum of D1 Gain2",'3.7 Pivot'!$A$1,"Status 1 - Development","03 Planning","Status 2 - Permission Type","03 Outline","D1Description_Gain","Education or Training"),0)</f>
        <v>0</v>
      </c>
      <c r="I9" s="236">
        <f>IFERROR(GETPIVOTDATA("Count of D1 Gain",'3.7 Pivot'!$A$1,"Status 1 - Development","03 Planning","Status 2 - Permission Type","03 Outline","D1Description_Gain","Library"),0)</f>
        <v>0</v>
      </c>
      <c r="J9" s="237">
        <f>IFERROR(GETPIVOTDATA("Sum of D1 Gain2",'3.7 Pivot'!$A$1,"Status 1 - Development","03 Planning","Status 2 - Permission Type","03 Outline","D1Description_Gain","Library"),0)</f>
        <v>0</v>
      </c>
      <c r="K9" s="236">
        <f>IFERROR(GETPIVOTDATA("Count of D1 Gain",'3.7 Pivot'!$A$1,"Status 1 - Development","03 Planning","Status 2 - Permission Type","03 Outline","D1Description_Gain","Medical Health Centre"),0)</f>
        <v>1</v>
      </c>
      <c r="L9" s="237">
        <f>IFERROR(GETPIVOTDATA("Sum of D1 Gain2",'3.7 Pivot'!$A$1,"Status 1 - Development","03 Planning","Status 2 - Permission Type","03 Outline","D1Description_Gain","Medical Health Centre"),0)</f>
        <v>1511</v>
      </c>
      <c r="M9" s="513">
        <f>IFERROR(GETPIVOTDATA("Count of D1 Gain",'3.7 Pivot'!$A$1,"Status 1 - Development","03 Planning","Status 2 - Permission Type","03 Outline","D1Description_Gain","Museum"),0)</f>
        <v>0</v>
      </c>
      <c r="N9" s="493">
        <f>IFERROR(GETPIVOTDATA("Sum of D1 Gain2",'3.7 Pivot'!$A$1,"Status 1 - Development","03 Planning","Status 2 - Permission Type","03 Outline","D1Description_Gain","Museum"),0)</f>
        <v>0</v>
      </c>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row>
    <row r="10" spans="1:153" ht="12" customHeight="1" x14ac:dyDescent="0.2">
      <c r="A10" s="808"/>
      <c r="B10" s="511" t="s">
        <v>2944</v>
      </c>
      <c r="C10" s="236">
        <f>IFERROR(GETPIVOTDATA("Count of D1 Gain",'3.7 Pivot'!$A$1,"Status 1 - Development","03 Planning","Status 2 - Permission Type","04 Prior Approval","D1Description_Gain","Community Premises"),0)+IFERROR(GETPIVOTDATA("Count of D1 Gain",'3.7 Pivot'!$A$1,"Status 1 - Development","03 Planning","Status 2 - Permission Type","05 Certificate of Lawful Development","D1Description_Gain","Community Premises"),0)</f>
        <v>0</v>
      </c>
      <c r="D10" s="237">
        <f>IFERROR(GETPIVOTDATA("Sum of D1 Gain2",'3.7 Pivot'!$A$1,"Status 1 - Development","03 Planning","Status 2 - Permission Type","04 Prior Approval","D1Description_Gain","Community Premises"),0)+IFERROR(GETPIVOTDATA("Sum of D1 Gain2",'3.7 Pivot'!$A$1,"Status 1 - Development","03 Planning","Status 2 - Permission Type","05 Certificate of Lawful Development","D1Description_Gain","Community Premises"),0)</f>
        <v>0</v>
      </c>
      <c r="E10" s="236">
        <f>IFERROR(GETPIVOTDATA("Count of D1 Gain",'3.7 Pivot'!$A$1,"Status 1 - Development","03 Planning","Status 2 - Permission Type","04 Prior Approval","D1Description_Gain","Day Nursery"),0)+IFERROR(GETPIVOTDATA("Count of D1 Gain",'3.7 Pivot'!$A$1,"Status 1 - Development","03 Planning","Status 2 - Permission Type","05 Certificate of Lawful Development","D1Description_Gain","Day Nursery"),0)</f>
        <v>0</v>
      </c>
      <c r="F10" s="237">
        <f>IFERROR(GETPIVOTDATA("Sum of D1 Gain2",'3.7 Pivot'!$A$1,"Status 1 - Development","03 Planning","Status 2 - Permission Type","04 Prior Approval","D1Description_Gain","Day Nursery"),0)+IFERROR(GETPIVOTDATA("Sum of D1 Gain2",'3.7 Pivot'!$A$1,"Status 1 - Development","03 Planning","Status 2 - Permission Type","05 Certificate of Lawful Development","D1Description_Gain","Day Nursery"),0)</f>
        <v>0</v>
      </c>
      <c r="G10" s="236">
        <f>IFERROR(GETPIVOTDATA("Count of D1 Gain",'3.7 Pivot'!$A$1,"Status 1 - Development","03 Planning","Status 2 - Permission Type","04 Prior Approval","D1Description_Gain","Education or Training"),0)+IFERROR(GETPIVOTDATA("Count of D1 Gain",'3.7 Pivot'!$A$1,"Status 1 - Development","03 Planning","Status 2 - Permission Type","05 Certificate of Lawful Development","D1Description_Gain","Education or Training"),0)</f>
        <v>0</v>
      </c>
      <c r="H10" s="237">
        <f>IFERROR(GETPIVOTDATA("Sum of D1 Gain2",'3.7 Pivot'!$A$1,"Status 1 - Development","03 Planning","Status 2 - Permission Type","04 Prior Approval","D1Description_Gain","Education or Training"),0)+IFERROR(GETPIVOTDATA("Sum of D1 Gain2",'3.7 Pivot'!$A$1,"Status 1 - Development","03 Planning","Status 2 - Permission Type","05 Certificate of Lawful Development","D1Description_Gain","Education or Training"),0)</f>
        <v>0</v>
      </c>
      <c r="I10" s="236">
        <f>IFERROR(GETPIVOTDATA("Count of D1 Gain",'3.7 Pivot'!$A$1,"Status 1 - Development","03 Planning","Status 2 - Permission Type","04 Prior Approval","D1Description_Gain","Library"),0)+IFERROR(GETPIVOTDATA("Count of D1 Gain",'3.7 Pivot'!$A$1,"Status 1 - Development","03 Planning","Status 2 - Permission Type","05 Certificate of Lawful Development","D1Description_Gain","Library"),0)</f>
        <v>0</v>
      </c>
      <c r="J10" s="237">
        <f>IFERROR(GETPIVOTDATA("Sum of D1 Gain2",'3.7 Pivot'!$A$1,"Status 1 - Development","03 Planning","Status 2 - Permission Type","04 Prior Approval","D1Description_Gain","Library"),0)+IFERROR(GETPIVOTDATA("Sum of D1 Gain2",'3.7 Pivot'!$A$1,"Status 1 - Development","03 Planning","Status 2 - Permission Type","05 Certificate of Lawful Development","D1Description_Gain","Library"),0)</f>
        <v>0</v>
      </c>
      <c r="K10" s="236">
        <f>IFERROR(GETPIVOTDATA("Count of D1 Gain",'3.7 Pivot'!$A$1,"Status 1 - Development","03 Planning","Status 2 - Permission Type","04 Prior Approval","D1Description_Gain","Medical Health Centre"),0)+IFERROR(GETPIVOTDATA("Count of D1 Gain",'3.7 Pivot'!$A$1,"Status 1 - Development","03 Planning","Status 2 - Permission Type","05 Certificate of Lawful Development","D1Description_Gain","Medical Health Centre"),0)</f>
        <v>0</v>
      </c>
      <c r="L10" s="237">
        <f>IFERROR(GETPIVOTDATA("Sum of D1 Gain2",'3.7 Pivot'!$A$1,"Status 1 - Development","03 Planning","Status 2 - Permission Type","04 Prior Approval","D1Description_Gain","Medical Health Centre"),0)+IFERROR(GETPIVOTDATA("Sum of D1 Gain2",'3.7 Pivot'!$A$1,"Status 1 - Development","03 Planning","Status 2 - Permission Type","05 Certificate of Lawful Development","D1Description_Gain","Medical Health Centre"),0)</f>
        <v>0</v>
      </c>
      <c r="M10" s="513">
        <f>IFERROR(GETPIVOTDATA("Count of D1 Gain",'3.7 Pivot'!$A$1,"Status 1 - Development","03 Planning","Status 2 - Permission Type","04 Prior Approval","D1Description_Gain","Museum"),0)+IFERROR(GETPIVOTDATA("Count of D1 Gain",'3.7 Pivot'!$A$1,"Status 1 - Development","03 Planning","Status 2 - Permission Type","05 Certificate of Lawful Development","D1Description_Gain","Museum"),0)</f>
        <v>0</v>
      </c>
      <c r="N10" s="493">
        <f>IFERROR(GETPIVOTDATA("Sum of D1 Gain2",'3.7 Pivot'!$A$1,"Status 1 - Development","03 Planning","Status 2 - Permission Type","04 Prior Approval","D1Description_Gain","Museum"),0)+IFERROR(GETPIVOTDATA("Sum of D1 Gain2",'3.7 Pivot'!$A$1,"Status 1 - Development","03 Planning","Status 2 - Permission Type","05 Certificate of Lawful Development","D1Description_Gain","Museum"),0)</f>
        <v>0</v>
      </c>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row>
    <row r="11" spans="1:153" ht="12" customHeight="1" x14ac:dyDescent="0.2">
      <c r="A11" s="808"/>
      <c r="B11" s="511" t="s">
        <v>2932</v>
      </c>
      <c r="C11" s="236">
        <f>IFERROR(GETPIVOTDATA("Count of D1 Gain",'3.7 Pivot'!$A$1,"Status 1 - Development","04 Pending","Status 2 - Permission Type","01 Pending Legal Agreement","D1Description_Gain","Community Premises"),0)</f>
        <v>1</v>
      </c>
      <c r="D11" s="237">
        <f>IFERROR(GETPIVOTDATA("Sum of D1 Gain2",'3.7 Pivot'!$A$1,"Status 1 - Development","04 Pending","Status 2 - Permission Type","01 Pending Legal Agreement","D1Description_Gain","Community Premises"),0)</f>
        <v>1231</v>
      </c>
      <c r="E11" s="236">
        <f>IFERROR(GETPIVOTDATA("Count of D1 Gain",'3.7 Pivot'!$A$1,"Status 1 - Development","04 Pending","Status 2 - Permission Type","01 Pending Legal Agreement","D1Description_Gain","Day Nursery"),0)</f>
        <v>0</v>
      </c>
      <c r="F11" s="237">
        <f>IFERROR(GETPIVOTDATA("Sum of D1 Gain2",'3.7 Pivot'!$A$1,"Status 1 - Development","04 Pending","Status 2 - Permission Type","01 Pending Legal Agreement","D1Description_Gain","Day Nursery"),0)</f>
        <v>0</v>
      </c>
      <c r="G11" s="236">
        <f>IFERROR(GETPIVOTDATA("Count of D1 Gain",'3.7 Pivot'!$A$1,"Status 1 - Development","04 Pending","Status 2 - Permission Type","01 Pending Legal Agreement","D1Description_Gain","Education or Training"),0)</f>
        <v>1</v>
      </c>
      <c r="H11" s="237">
        <f>IFERROR(GETPIVOTDATA("Sum of D1 Gain2",'3.7 Pivot'!$A$1,"Status 1 - Development","04 Pending","Status 2 - Permission Type","01 Pending Legal Agreement","D1Description_Gain","Education or Training"),0)</f>
        <v>5175</v>
      </c>
      <c r="I11" s="236">
        <f>IFERROR(GETPIVOTDATA("Count of D1 Gain",'3.7 Pivot'!$A$1,"Status 1 - Development","04 Pending","Status 2 - Permission Type","01 Pending Legal Agreement","D1Description_Gain","Library"),0)</f>
        <v>0</v>
      </c>
      <c r="J11" s="237">
        <f>IFERROR(GETPIVOTDATA("Sum of D1 Gain2",'3.7 Pivot'!$A$1,"Status 1 - Development","04 Pending","Status 2 - Permission Type","01 Pending Legal Agreement","D1Description_Gain","Library"),0)</f>
        <v>0</v>
      </c>
      <c r="K11" s="236">
        <f>IFERROR(GETPIVOTDATA("Count of D1 Gain",'3.7 Pivot'!$A$1,"Status 1 - Development","04 Pending","Status 2 - Permission Type","01 Pending Legal Agreement","D1Description_Gain","Medical Health Centre"),0)</f>
        <v>0</v>
      </c>
      <c r="L11" s="237">
        <f>IFERROR(GETPIVOTDATA("Sum of D1 Gain2",'3.7 Pivot'!$A$1,"Status 1 - Development","04 Pending","Status 2 - Permission Type","01 Pending Legal Agreement","D1Description_Gain","Medical Health Centre"),0)</f>
        <v>0</v>
      </c>
      <c r="M11" s="513">
        <f>IFERROR(GETPIVOTDATA("Count of D1 Gain",'3.7 Pivot'!$A$1,"Status 1 - Development","04 Pending","Status 2 - Permission Type","01 Pending Legal Agreement","D1Description_Gain","Museum"),0)</f>
        <v>0</v>
      </c>
      <c r="N11" s="493">
        <f>IFERROR(GETPIVOTDATA("Sum of D1 Gain2",'3.7 Pivot'!$A$1,"Status 1 - Development","04 Pending","Status 2 - Permission Type","01 Pending Legal Agreement","D1Description_Gain","Museum"),0)</f>
        <v>0</v>
      </c>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row>
    <row r="12" spans="1:153" ht="12" customHeight="1" x14ac:dyDescent="0.2">
      <c r="A12" s="808"/>
      <c r="B12" s="511" t="s">
        <v>2933</v>
      </c>
      <c r="C12" s="236">
        <f>IFERROR(GETPIVOTDATA("Count of D1 Gain",'3.7 Pivot'!$A$1,"Status 1 - Development","04 Pending","Status 2 - Permission Type","06 Appeal","D1Description_Gain","Community Premises"),0)</f>
        <v>0</v>
      </c>
      <c r="D12" s="237">
        <f>IFERROR(GETPIVOTDATA("Sum of D1 Gain2",'3.7 Pivot'!$A$1,"Status 1 - Development","04 Pending","Status 2 - Permission Type","06 Appeal","D1Description_Gain","Community Premises"),0)</f>
        <v>0</v>
      </c>
      <c r="E12" s="236">
        <f>IFERROR(GETPIVOTDATA("Count of D1 Gain",'3.7 Pivot'!$A$1,"Status 1 - Development","04 Pending","Status 2 - Permission Type","06 Appeal","D1Description_Gain","Day Nursery"),0)</f>
        <v>0</v>
      </c>
      <c r="F12" s="237">
        <f>IFERROR(GETPIVOTDATA("Sum of D1 Gain2",'3.7 Pivot'!$A$1,"Status 1 - Development","04 Pending","Status 2 - Permission Type","06 Appeal","D1Description_Gain","Day Nursery"),0)</f>
        <v>0</v>
      </c>
      <c r="G12" s="236">
        <f>IFERROR(GETPIVOTDATA("Count of D1 Gain",'3.7 Pivot'!$A$1,"Status 1 - Development","04 Pending","Status 2 - Permission Type","06 Appeal","D1Description_Gain","Education or Training"),0)</f>
        <v>0</v>
      </c>
      <c r="H12" s="237">
        <f>IFERROR(GETPIVOTDATA("Sum of D1 Gain2",'3.7 Pivot'!$A$1,"Status 1 - Development","04 Pending","Status 2 - Permission Type","06 Appeal","D1Description_Gain","Education or Training"),0)</f>
        <v>0</v>
      </c>
      <c r="I12" s="236">
        <f>IFERROR(GETPIVOTDATA("Count of D1 Gain",'3.7 Pivot'!$A$1,"Status 1 - Development","04 Pending","Status 2 - Permission Type","06 Appeal","D1Description_Gain","Library"),0)</f>
        <v>0</v>
      </c>
      <c r="J12" s="237">
        <f>IFERROR(GETPIVOTDATA("Sum of D1 Gain2",'3.7 Pivot'!$A$1,"Status 1 - Development","04 Pending","Status 2 - Permission Type","06 Appeal","D1Description_Gain","Library"),0)</f>
        <v>0</v>
      </c>
      <c r="K12" s="236">
        <f>IFERROR(GETPIVOTDATA("Count of D1 Gain",'3.7 Pivot'!$A$1,"Status 1 - Development","04 Pending","Status 2 - Permission Type","06 Appeal","D1Description_Gain","Medical Health Centre"),0)</f>
        <v>0</v>
      </c>
      <c r="L12" s="237">
        <f>IFERROR(GETPIVOTDATA("Sum of D1 Gain2",'3.7 Pivot'!$A$1,"Status 1 - Development","04 Pending","Status 2 - Permission Type","06 Appeal","D1Description_Gain","Medical Health Centre"),0)</f>
        <v>0</v>
      </c>
      <c r="M12" s="513">
        <f>IFERROR(GETPIVOTDATA("Count of D1 Gain",'3.7 Pivot'!$A$1,"Status 1 - Development","04 Pending","Status 2 - Permission Type","06 Appeal","D1Description_Gain","Museum"),0)</f>
        <v>0</v>
      </c>
      <c r="N12" s="493">
        <f>IFERROR(GETPIVOTDATA("Sum of D1 Gain2",'3.7 Pivot'!$A$1,"Status 1 - Development","04 Pending","Status 2 - Permission Type","06 Appeal","D1Description_Gain","Museum"),0)</f>
        <v>0</v>
      </c>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row>
    <row r="13" spans="1:153" ht="12" customHeight="1" x14ac:dyDescent="0.2">
      <c r="A13" s="808"/>
      <c r="B13" s="511" t="s">
        <v>3800</v>
      </c>
      <c r="C13" s="266">
        <f>IFERROR(GETPIVOTDATA("Count of D1 Gain",'3.7 Pivot'!$A$1,"Status 1 - Development","04 Pending","Status 2 - Permission Type","02 Full","D1Description_Gain","Community Premises"),0)+IFERROR(GETPIVOTDATA("Count of D1 Gain",'3.7 Pivot'!$A$1,"Status 1 - Development","04 Pending","Status 2 - Permission Type","03 Outline","D1Description_Gain","Community Premises"),0)+IFERROR(GETPIVOTDATA("Count of D1 Gain",'3.7 Pivot'!$A$1,"Status 1 - Development","04 Pending","Status 2 - Permission Type","04 Prior Approval","D1Description_Gain","Community Premises"),0)+IFERROR(GETPIVOTDATA("Count of D1 Gain",'3.7 Pivot'!$A$1,"Status 1 - Development","04 Pending","Status 2 - Permission Type","05 Certificate of Lawful Development","D1Description_Gain","Community Premises"),0)</f>
        <v>0</v>
      </c>
      <c r="D13" s="268">
        <f>IFERROR(GETPIVOTDATA("Sum of D1 Gain2",'3.7 Pivot'!$A$1,"Status 1 - Development","04 Pending","Status 2 - Permission Type","02 Full","D1Description_Gain","Community Premises"),0)+IFERROR(GETPIVOTDATA("Sum of D1 Gain2",'3.7 Pivot'!$A$1,"Status 1 - Development","04 Pending","Status 2 - Permission Type","03 Outline","D1Description_Gain","Community Premises"),0)+IFERROR(GETPIVOTDATA("Sum of D1 Gain2",'3.7 Pivot'!$A$1,"Status 1 - Development","04 Pending","Status 2 - Permission Type","04 Prior Approval","D1Description_Gain","Community Premises"),0)+IFERROR(GETPIVOTDATA("Sum of D1 Gain2",'3.7 Pivot'!$A$1,"Status 1 - Development","04 Pending","Status 2 - Permission Type","05 Certificate of Lawful Development","D1Description_Gain","Community Premises"),0)</f>
        <v>0</v>
      </c>
      <c r="E13" s="266">
        <f>IFERROR(GETPIVOTDATA("Count of D1 Gain",'3.7 Pivot'!$A$1,"Status 1 - Development","04 Pending","Status 2 - Permission Type","02 Full","D1Description_Gain","Day Nursery"),0)+IFERROR(GETPIVOTDATA("Count of D1 Gain",'3.7 Pivot'!$A$1,"Status 1 - Development","04 Pending","Status 2 - Permission Type","03 Outline","D1Description_Gain","Day Nursery"),0)+IFERROR(GETPIVOTDATA("Count of D1 Gain",'3.7 Pivot'!$A$1,"Status 1 - Development","04 Pending","Status 2 - Permission Type","04 Prior Approval","D1Description_Gain","Day Nursery"),0)+IFERROR(GETPIVOTDATA("Count of D1 Gain",'3.7 Pivot'!$A$1,"Status 1 - Development","04 Pending","Status 2 - Permission Type","05 Certificate of Lawful Development","D1Description_Gain","Day Nursery"),0)</f>
        <v>1</v>
      </c>
      <c r="F13" s="268">
        <f>IFERROR(GETPIVOTDATA("Sum of D1 Gain2",'3.7 Pivot'!$A$1,"Status 1 - Development","04 Pending","Status 2 - Permission Type","02 Full","D1Description_Gain","Day Nursery"),0)+IFERROR(GETPIVOTDATA("Sum of D1 Gain2",'3.7 Pivot'!$A$1,"Status 1 - Development","04 Pending","Status 2 - Permission Type","03 Outline","D1Description_Gain","Day Nursery"),0)+IFERROR(GETPIVOTDATA("Sum of D1 Gain2",'3.7 Pivot'!$A$1,"Status 1 - Development","04 Pending","Status 2 - Permission Type","04 Prior Approval","D1Description_Gain","Day Nursery"),0)+IFERROR(GETPIVOTDATA("Sum of D1 Gain2",'3.7 Pivot'!$A$1,"Status 1 - Development","04 Pending","Status 2 - Permission Type","05 Certificate of Lawful Development","D1Description_Gain","Day Nursery"),0)</f>
        <v>115</v>
      </c>
      <c r="G13" s="266">
        <f>IFERROR(GETPIVOTDATA("Count of D1 Gain",'3.7 Pivot'!$A$1,"Status 1 - Development","04 Pending","Status 2 - Permission Type","02 Full","D1Description_Gain","Education or Training"),0)+IFERROR(GETPIVOTDATA("Count of D1 Gain",'3.7 Pivot'!$A$1,"Status 1 - Development","04 Pending","Status 2 - Permission Type","03 Outline","D1Description_Gain","Education or Training"),0)+IFERROR(GETPIVOTDATA("Count of D1 Gain",'3.7 Pivot'!$A$1,"Status 1 - Development","04 Pending","Status 2 - Permission Type","04 Prior Approval","D1Description_Gain","Education or Training"),0)+IFERROR(GETPIVOTDATA("Count of D1 Gain",'3.7 Pivot'!$A$1,"Status 1 - Development","04 Pending","Status 2 - Permission Type","05 Certificate of Lawful Development","D1Description_Gain","Education or Training"),0)</f>
        <v>4</v>
      </c>
      <c r="H13" s="268">
        <f>IFERROR(GETPIVOTDATA("Sum of D1 Gain2",'3.7 Pivot'!$A$1,"Status 1 - Development","04 Pending","Status 2 - Permission Type","02 Full","D1Description_Gain","Education or Training"),0)+IFERROR(GETPIVOTDATA("Sum of D1 Gain2",'3.7 Pivot'!$A$1,"Status 1 - Development","04 Pending","Status 2 - Permission Type","03 Outline","D1Description_Gain","Education or Training"),0)+IFERROR(GETPIVOTDATA("Sum of D1 Gain2",'3.7 Pivot'!$A$1,"Status 1 - Development","04 Pending","Status 2 - Permission Type","04 Prior Approval","D1Description_Gain","Education or Training"),0)+IFERROR(GETPIVOTDATA("Sum of D1 Gain2",'3.7 Pivot'!$A$1,"Status 1 - Development","04 Pending","Status 2 - Permission Type","05 Certificate of Lawful Development","D1Description_Gain","Education or Training"),0)</f>
        <v>1038</v>
      </c>
      <c r="I13" s="266">
        <f>IFERROR(GETPIVOTDATA("Count of D1 Gain",'3.7 Pivot'!$A$1,"Status 1 - Development","04 Pending","Status 2 - Permission Type","02 Full","D1Description_Gain","Library"),0)+IFERROR(GETPIVOTDATA("Count of D1 Gain",'3.7 Pivot'!$A$1,"Status 1 - Development","04 Pending","Status 2 - Permission Type","03 Outline","D1Description_Gain","Library"),0)+IFERROR(GETPIVOTDATA("Count of D1 Gain",'3.7 Pivot'!$A$1,"Status 1 - Development","04 Pending","Status 2 - Permission Type","04 Prior Approval","D1Description_Gain","Library"),0)+IFERROR(GETPIVOTDATA("Count of D1 Gain",'3.7 Pivot'!$A$1,"Status 1 - Development","04 Pending","Status 2 - Permission Type","05 Certificate of Lawful Development","D1Description_Gain","Library"),0)</f>
        <v>0</v>
      </c>
      <c r="J13" s="268">
        <f>IFERROR(GETPIVOTDATA("Sum of D1 Gain2",'3.7 Pivot'!$A$1,"Status 1 - Development","04 Pending","Status 2 - Permission Type","02 Full","D1Description_Gain","Library"),0)+IFERROR(GETPIVOTDATA("Sum of D1 Gain2",'3.7 Pivot'!$A$1,"Status 1 - Development","04 Pending","Status 2 - Permission Type","03 Outline","D1Description_Gain","Library"),0)+IFERROR(GETPIVOTDATA("Sum of D1 Gain2",'3.7 Pivot'!$A$1,"Status 1 - Development","04 Pending","Status 2 - Permission Type","04 Prior Approval","D1Description_Gain","Library"),0)+IFERROR(GETPIVOTDATA("Sum of D1 Gain2",'3.7 Pivot'!$A$1,"Status 1 - Development","04 Pending","Status 2 - Permission Type","05 Certificate of Lawful Development","D1Description_Gain","Library"),0)</f>
        <v>0</v>
      </c>
      <c r="K13" s="266">
        <f>IFERROR(GETPIVOTDATA("Count of D1 Gain",'3.7 Pivot'!$A$1,"Status 1 - Development","04 Pending","Status 2 - Permission Type","02 Full","D1Description_Gain","Medical Health Centre"),0)+IFERROR(GETPIVOTDATA("Count of D1 Gain",'3.7 Pivot'!$A$1,"Status 1 - Development","04 Pending","Status 2 - Permission Type","03 Outline","D1Description_Gain","Medical Health Centre"),0)+IFERROR(GETPIVOTDATA("Count of D1 Gain",'3.7 Pivot'!$A$1,"Status 1 - Development","04 Pending","Status 2 - Permission Type","04 Prior Approval","D1Description_Gain","Medical Health Centre"),0)+IFERROR(GETPIVOTDATA("Count of D1 Gain",'3.7 Pivot'!$A$1,"Status 1 - Development","04 Pending","Status 2 - Permission Type","05 Certificate of Lawful Development","D1Description_Gain","Medical Health Centre"),0)</f>
        <v>1</v>
      </c>
      <c r="L13" s="268">
        <f>IFERROR(GETPIVOTDATA("Sum of D1 Gain2",'3.7 Pivot'!$A$1,"Status 1 - Development","04 Pending","Status 2 - Permission Type","02 Full","D1Description_Gain","Medical Health Centre"),0)+IFERROR(GETPIVOTDATA("Sum of D1 Gain2",'3.7 Pivot'!$A$1,"Status 1 - Development","04 Pending","Status 2 - Permission Type","03 Outline","D1Description_Gain","Medical Health Centre"),0)+IFERROR(GETPIVOTDATA("Sum of D1 Gain2",'3.7 Pivot'!$A$1,"Status 1 - Development","04 Pending","Status 2 - Permission Type","04 Prior Approval","D1Description_Gain","Medical Health Centre"),0)+IFERROR(GETPIVOTDATA("Sum of D1 Gain2",'3.7 Pivot'!$A$1,"Status 1 - Development","04 Pending","Status 2 - Permission Type","05 Certificate of Lawful Development","D1Description_Gain","Medical Health Centre"),0)</f>
        <v>1873</v>
      </c>
      <c r="M13" s="266">
        <f>IFERROR(GETPIVOTDATA("Count of D1 Gain",'3.7 Pivot'!$A$1,"Status 1 - Development","04 Pending","Status 2 - Permission Type","02 Full","D1Description_Gain","Museum"),0)+IFERROR(GETPIVOTDATA("Count of D1 Gain",'3.7 Pivot'!$A$1,"Status 1 - Development","04 Pending","Status 2 - Permission Type","03 Outline","D1Description_Gain","Museum"),0)+IFERROR(GETPIVOTDATA("Count of D1 Gain",'3.7 Pivot'!$A$1,"Status 1 - Development","04 Pending","Status 2 - Permission Type","04 Prior Approval","D1Description_Gain","Museum"),0)+IFERROR(GETPIVOTDATA("Count of D1 Gain",'3.7 Pivot'!$A$1,"Status 1 - Development","04 Pending","Status 2 - Permission Type","05 Certificate of Lawful Development","D1Description_Gain","Museum"),0)</f>
        <v>0</v>
      </c>
      <c r="N13" s="514">
        <f>IFERROR(GETPIVOTDATA("Sum of D1 Gain2",'3.7 Pivot'!$A$1,"Status 1 - Development","04 Pending","Status 2 - Permission Type","02 Full","D1Description_Gain","Museum"),0)+IFERROR(GETPIVOTDATA("Sum of D1 Gain2",'3.7 Pivot'!$A$1,"Status 1 - Development","04 Pending","Status 2 - Permission Type","03 Outline","D1Description_Gain","Museum"),0)+IFERROR(GETPIVOTDATA("Sum of D1 Gain2",'3.7 Pivot'!$A$1,"Status 1 - Development","04 Pending","Status 2 - Permission Type","04 Prior Approval","D1Description_Gain","Museum"),0)+IFERROR(GETPIVOTDATA("Sum of D1 Gain2",'3.7 Pivot'!$A$1,"Status 1 - Development","04 Pending","Status 2 - Permission Type","05 Certificate of Lawful Development","D1Description_Gain","Museum"),0)</f>
        <v>0</v>
      </c>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row>
    <row r="14" spans="1:153" ht="12" customHeight="1" x14ac:dyDescent="0.2">
      <c r="A14" s="809"/>
      <c r="B14" s="512" t="s">
        <v>95</v>
      </c>
      <c r="C14" s="102">
        <f t="shared" ref="C14:N14" si="0">SUM(C7:C13)</f>
        <v>6</v>
      </c>
      <c r="D14" s="103">
        <f t="shared" si="0"/>
        <v>2540</v>
      </c>
      <c r="E14" s="102">
        <f t="shared" si="0"/>
        <v>8</v>
      </c>
      <c r="F14" s="103">
        <f t="shared" si="0"/>
        <v>1620</v>
      </c>
      <c r="G14" s="102">
        <f t="shared" si="0"/>
        <v>19</v>
      </c>
      <c r="H14" s="103">
        <f t="shared" si="0"/>
        <v>46804</v>
      </c>
      <c r="I14" s="102">
        <f t="shared" si="0"/>
        <v>1</v>
      </c>
      <c r="J14" s="103">
        <f t="shared" si="0"/>
        <v>20</v>
      </c>
      <c r="K14" s="102">
        <f t="shared" si="0"/>
        <v>5</v>
      </c>
      <c r="L14" s="103">
        <f t="shared" si="0"/>
        <v>5894</v>
      </c>
      <c r="M14" s="474">
        <f t="shared" si="0"/>
        <v>0</v>
      </c>
      <c r="N14" s="475">
        <f t="shared" si="0"/>
        <v>0</v>
      </c>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row>
    <row r="15" spans="1:153" x14ac:dyDescent="0.2">
      <c r="A15" s="12"/>
      <c r="B15" s="12"/>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row>
    <row r="16" spans="1:153" x14ac:dyDescent="0.2">
      <c r="A16" s="807" t="s">
        <v>88</v>
      </c>
      <c r="B16" s="810"/>
      <c r="C16" s="816" t="s">
        <v>37</v>
      </c>
      <c r="D16" s="816"/>
      <c r="E16" s="816" t="s">
        <v>47</v>
      </c>
      <c r="F16" s="816"/>
      <c r="G16" s="816" t="s">
        <v>49</v>
      </c>
      <c r="H16" s="816"/>
      <c r="I16" s="816" t="s">
        <v>31</v>
      </c>
      <c r="J16" s="816"/>
      <c r="K16" s="814" t="s">
        <v>95</v>
      </c>
      <c r="L16" s="815"/>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row>
    <row r="17" spans="1:153" ht="24" x14ac:dyDescent="0.2">
      <c r="A17" s="809"/>
      <c r="B17" s="811"/>
      <c r="C17" s="380" t="s">
        <v>2970</v>
      </c>
      <c r="D17" s="379" t="s">
        <v>168</v>
      </c>
      <c r="E17" s="380" t="s">
        <v>2970</v>
      </c>
      <c r="F17" s="379" t="s">
        <v>168</v>
      </c>
      <c r="G17" s="380" t="s">
        <v>2970</v>
      </c>
      <c r="H17" s="379" t="s">
        <v>168</v>
      </c>
      <c r="I17" s="380" t="s">
        <v>2970</v>
      </c>
      <c r="J17" s="379" t="s">
        <v>168</v>
      </c>
      <c r="K17" s="490" t="s">
        <v>2970</v>
      </c>
      <c r="L17" s="496" t="s">
        <v>168</v>
      </c>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row>
    <row r="18" spans="1:153" x14ac:dyDescent="0.2">
      <c r="A18" s="805" t="s">
        <v>2926</v>
      </c>
      <c r="B18" s="806"/>
      <c r="C18" s="236">
        <f>IFERROR(GETPIVOTDATA("Count of D1 Gain",'3.7 Pivot'!$A$1,"Status 1 - Development","01 Completed","D1Description_Gain","Religious Premises"),0)</f>
        <v>2</v>
      </c>
      <c r="D18" s="237">
        <f>IFERROR(GETPIVOTDATA("Sum of D1 Gain2",'3.7 Pivot'!$A$1,"Status 1 - Development","01 Completed","D1Description_Gain","Religious Premises"),0)</f>
        <v>523</v>
      </c>
      <c r="E18" s="236">
        <f>IFERROR(GETPIVOTDATA("Count of D1 Gain",'3.7 Pivot'!$A$1,"Status 1 - Development","01 Completed","D1Description_Gain","Vacant"),0)</f>
        <v>0</v>
      </c>
      <c r="F18" s="237">
        <f>IFERROR(GETPIVOTDATA("Sum of D1 Gain2",'3.7 Pivot'!$A$1,"Status 1 - Development","01 Completed","D1Description_Gain","Vacant"),0)</f>
        <v>0</v>
      </c>
      <c r="G18" s="236">
        <f>IFERROR(GETPIVOTDATA("Count of D1 Gain",'3.7 Pivot'!$A$1,"Status 1 - Development","01 Completed","D1Description_Gain","Other"),0)</f>
        <v>8</v>
      </c>
      <c r="H18" s="237">
        <f>IFERROR(GETPIVOTDATA("Sum of D1 Gain2",'3.7 Pivot'!$A$1,"Status 1 - Development","01 Completed","D1Description_Gain","Other"),0)</f>
        <v>1285</v>
      </c>
      <c r="I18" s="236">
        <f>IFERROR(GETPIVOTDATA("Count of D1 Gain",'3.7 Pivot'!$A$1,"Status 1 - Development","01 Completed","D1Description_Gain","-"),0)+IFERROR(GETPIVOTDATA("Count of D1 Gain",'3.7 Pivot'!$A$1,"Status 1 - Development","01 Completed","D1Description_Gain","Not Known"),0)</f>
        <v>5</v>
      </c>
      <c r="J18" s="237">
        <f>IFERROR(GETPIVOTDATA("Sum of D1 Gain2",'3.7 Pivot'!$A$1,"Status 1 - Development","01 Completed","D1Description_Gain","-"),0)+IFERROR(GETPIVOTDATA("Sum of D1 Gain2",'3.7 Pivot'!$A$1,"Status 1 - Development","01 Completed","D1Description_Gain","Not Known"),0)</f>
        <v>1915</v>
      </c>
      <c r="K18" s="515">
        <f>IFERROR(GETPIVOTDATA("Count of D1 Gain",'3.7 Pivot'!$A$1,"Status 1 - Development","01 Completed"),0)</f>
        <v>34</v>
      </c>
      <c r="L18" s="516">
        <f>IFERROR(GETPIVOTDATA("Sum of D1 Gain2",'3.7 Pivot'!$A$1,"Status 1 - Development","01 Completed"),0)</f>
        <v>9834</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row>
    <row r="19" spans="1:153" x14ac:dyDescent="0.2">
      <c r="A19" s="807" t="s">
        <v>2962</v>
      </c>
      <c r="B19" s="511" t="s">
        <v>96</v>
      </c>
      <c r="C19" s="236">
        <f>IFERROR(GETPIVOTDATA("Count of D1 Gain",'3.7 Pivot'!$A$1,"Status 1 - Development","02 Under Construction","D1Description_Gain","Religious Premises"),0)</f>
        <v>3</v>
      </c>
      <c r="D19" s="237">
        <f>IFERROR(GETPIVOTDATA("Sum of D1 Gain2",'3.7 Pivot'!$A$1,"Status 1 - Development","02 Under Construction","D1Description_Gain","Religious Premises"),0)</f>
        <v>2545</v>
      </c>
      <c r="E19" s="236">
        <f>IFERROR(GETPIVOTDATA("Count of D1 Gain",'3.7 Pivot'!$A$1,"Status 1 - Development","02 Under Construction","D1Description_Gain","Vacant"),0)</f>
        <v>0</v>
      </c>
      <c r="F19" s="237">
        <f>IFERROR(GETPIVOTDATA("Sum of D1 Gain2",'3.7 Pivot'!$A$1,"Status 1 - Development","02 Under Construction","D1Description_Gain","Vacant"),0)</f>
        <v>0</v>
      </c>
      <c r="G19" s="236">
        <f>IFERROR(GETPIVOTDATA("Count of D1 Gain",'3.7 Pivot'!$A$1,"Status 1 - Development","02 Under Construction","D1Description_Gain","Other"),0)</f>
        <v>3</v>
      </c>
      <c r="H19" s="237">
        <f>IFERROR(GETPIVOTDATA("Sum of D1 Gain2",'3.7 Pivot'!$A$1,"Status 1 - Development","02 Under Construction","D1Description_Gain","Other"),0)</f>
        <v>638</v>
      </c>
      <c r="I19" s="236">
        <f>IFERROR(GETPIVOTDATA("Count of D1 Gain",'3.7 Pivot'!$A$1,"Status 1 - Development","02 Under Construction","D1Description_Gain","-"),0)+IFERROR(GETPIVOTDATA("Count of D1 Gain",'3.7 Pivot'!$A$1,"Status 1 - Development","02 Under Construction","D1Description_Gain","Not Known"),0)</f>
        <v>13</v>
      </c>
      <c r="J19" s="237">
        <f>IFERROR(GETPIVOTDATA("Sum of D1 Gain2",'3.7 Pivot'!$A$1,"Status 1 - Development","02 Under Construction","D1Description_Gain","-"),0)+IFERROR(GETPIVOTDATA("Sum of D1 Gain2",'3.7 Pivot'!$A$1,"Status 1 - Development","02 Under Construction","D1Description_Gain","Not Known"),0)</f>
        <v>16698</v>
      </c>
      <c r="K19" s="515">
        <f>IFERROR(GETPIVOTDATA("Count of D1 Gain",'3.7 Pivot'!$A$1,"Status 1 - Development","02 Under Construction"),0)</f>
        <v>37</v>
      </c>
      <c r="L19" s="516">
        <f>IFERROR(GETPIVOTDATA("Sum of D1 Gain2",'3.7 Pivot'!$A$1,"Status 1 - Development","02 Under Construction"),0)</f>
        <v>61122</v>
      </c>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row>
    <row r="20" spans="1:153" x14ac:dyDescent="0.2">
      <c r="A20" s="808"/>
      <c r="B20" s="511" t="s">
        <v>2966</v>
      </c>
      <c r="C20" s="236">
        <f>IFERROR(GETPIVOTDATA("Count of D1 Gain",'3.7 Pivot'!$A$1,"Status 1 - Development","03 Planning","Status 2 - Permission Type","02 Full","D1Description_Gain","Religious Premises"),0)</f>
        <v>2</v>
      </c>
      <c r="D20" s="237">
        <f>IFERROR(GETPIVOTDATA("Sum of D1 Gain2",'3.7 Pivot'!$A$1,"Status 1 - Development","03 Planning","Status 2 - Permission Type","02 Full","D1Description_Gain","Religious Premises"),0)</f>
        <v>283</v>
      </c>
      <c r="E20" s="236">
        <f>IFERROR(GETPIVOTDATA("Count of D1 Gain",'3.7 Pivot'!$A$1,"Status 1 - Development","03 Planning","Status 2 - Permission Type","02 Full","D1Description_Gain","Vacant"),0)</f>
        <v>0</v>
      </c>
      <c r="F20" s="237">
        <f>IFERROR(GETPIVOTDATA("Sum of D1 Gain2",'3.7 Pivot'!$A$1,"Status 1 - Development","03 Planning","Status 2 - Permission Type","02 Full","D1Description_Gain","Vacant"),0)</f>
        <v>0</v>
      </c>
      <c r="G20" s="236">
        <f>IFERROR(GETPIVOTDATA("Count of D1 Gain",'3.7 Pivot'!$A$1,"Status 1 - Development","03 Planning","Status 2 - Permission Type","02 Full","D1Description_Gain","Other"),0)</f>
        <v>14</v>
      </c>
      <c r="H20" s="237">
        <f>IFERROR(GETPIVOTDATA("Sum of D1 Gain2",'3.7 Pivot'!$A$1,"Status 1 - Development","03 Planning","Status 2 - Permission Type","02 Full","D1Description_Gain","Other"),0)</f>
        <v>4181</v>
      </c>
      <c r="I20" s="236">
        <f>IFERROR(GETPIVOTDATA("Count of D1 Gain",'3.7 Pivot'!$A$1,"Status 1 - Development","03 Planning","Status 2 - Permission Type","02 Full","D1Description_Gain","-"),0)+IFERROR(GETPIVOTDATA("Count of D1 Gain",'3.7 Pivot'!$A$1,"Status 1 - Development","03 Planning","Status 2 - Permission Type","02 Full","D1Description_Gain","Not Known"),0)</f>
        <v>3</v>
      </c>
      <c r="J20" s="237">
        <f>IFERROR(GETPIVOTDATA("Sum of D1 Gain2",'3.7 Pivot'!$A$1,"Status 1 - Development","03 Planning","Status 2 - Permission Type","02 Full","D1Description_Gain","-"),0)+IFERROR(GETPIVOTDATA("Sum of D1 Gain2",'3.7 Pivot'!$A$1,"Status 1 - Development","03 Planning","Status 2 - Permission Type","02 Full","D1Description_Gain","Not Known"),0)</f>
        <v>499</v>
      </c>
      <c r="K20" s="515">
        <f>IFERROR(GETPIVOTDATA("Count of D1 Gain",'3.7 Pivot'!$A$1,"Status 1 - Development","03 Planning","Status 2 - Permission Type","02 Full"),0)</f>
        <v>31</v>
      </c>
      <c r="L20" s="516">
        <f>IFERROR(GETPIVOTDATA("Sum of D1 Gain2",'3.7 Pivot'!$A$1,"Status 1 - Development","03 Planning","Status 2 - Permission Type","02 Full"),0)</f>
        <v>9657</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row>
    <row r="21" spans="1:153" x14ac:dyDescent="0.2">
      <c r="A21" s="808"/>
      <c r="B21" s="511" t="s">
        <v>2967</v>
      </c>
      <c r="C21" s="236">
        <f>IFERROR(GETPIVOTDATA("Count of D1 Gain",'3.7 Pivot'!$A$1,"Status 1 - Development","03 Planning","Status 2 - Permission Type","03 Outline","D1Description_Gain","Religious Premises"),0)</f>
        <v>0</v>
      </c>
      <c r="D21" s="237">
        <f>IFERROR(GETPIVOTDATA("Sum of D1 Gain2",'3.7 Pivot'!$A$1,"Status 1 - Development","03 Planning","Status 2 - Permission Type","03 Outline","D1Description_Gain","Religious Premises"),0)</f>
        <v>0</v>
      </c>
      <c r="E21" s="236">
        <f>IFERROR(GETPIVOTDATA("Count of D1 Gain",'3.7 Pivot'!$A$1,"Status 1 - Development","03 Planning","Status 2 - Permission Type","03 Outline","D1Description_Gain","Vacant"),0)</f>
        <v>0</v>
      </c>
      <c r="F21" s="237">
        <f>IFERROR(GETPIVOTDATA("Sum of D1 Gain2",'3.7 Pivot'!$A$1,"Status 1 - Development","03 Planning","Status 2 - Permission Type","03 Outline","D1Description_Gain","Vacant"),0)</f>
        <v>0</v>
      </c>
      <c r="G21" s="236">
        <f>IFERROR(GETPIVOTDATA("Count of D1 Gain",'3.7 Pivot'!$A$1,"Status 1 - Development","03 Planning","Status 2 - Permission Type","03 Outline","D1Description_Gain","Other"),0)</f>
        <v>0</v>
      </c>
      <c r="H21" s="237">
        <f>IFERROR(GETPIVOTDATA("Sum of D1 Gain2",'3.7 Pivot'!$A$1,"Status 1 - Development","03 Planning","Status 2 - Permission Type","03 Outline","D1Description_Gain","Other"),0)</f>
        <v>0</v>
      </c>
      <c r="I21" s="236">
        <f>IFERROR(GETPIVOTDATA("Count of D1 Gain",'3.7 Pivot'!$A$1,"Status 1 - Development","03 Planning","Status 2 - Permission Type","03 Outline","D1Description_Gain","-"),0)+IFERROR(GETPIVOTDATA("Count of D1 Gain",'3.7 Pivot'!$A$1,"Status 1 - Development","03 Planning","Status 2 - Permission Type","03 Outline","D1Description_Gain","Not Known"),0)</f>
        <v>9</v>
      </c>
      <c r="J21" s="237">
        <f>IFERROR(GETPIVOTDATA("Sum of D1 Gain2",'3.7 Pivot'!$A$1,"Status 1 - Development","03 Planning","Status 2 - Permission Type","03 Outline","D1Description_Gain","-"),0)+IFERROR(GETPIVOTDATA("Sum of D1 Gain2",'3.7 Pivot'!$A$1,"Status 1 - Development","03 Planning","Status 2 - Permission Type","03 Outline","D1Description_Gain","Not Known"),0)</f>
        <v>5405</v>
      </c>
      <c r="K21" s="515">
        <f>IFERROR(GETPIVOTDATA("Count of D1 Gain",'3.7 Pivot'!$A$1,"Status 1 - Development","03 Planning","Status 2 - Permission Type","03 Outline"),0)</f>
        <v>10</v>
      </c>
      <c r="L21" s="516">
        <f>IFERROR(GETPIVOTDATA("Sum of D1 Gain2",'3.7 Pivot'!$A$1,"Status 1 - Development","03 Planning","Status 2 - Permission Type","03 Outline"),0)</f>
        <v>6916</v>
      </c>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row>
    <row r="22" spans="1:153" ht="12" customHeight="1" x14ac:dyDescent="0.2">
      <c r="A22" s="808"/>
      <c r="B22" s="511" t="s">
        <v>2944</v>
      </c>
      <c r="C22" s="236">
        <f>IFERROR(GETPIVOTDATA("Count of D1 Gain",'3.7 Pivot'!$A$1,"Status 1 - Development","03 Planning","Status 2 - Permission Type","04 Prior Approval","D1Description_Gain","Religious Premises"),0)+IFERROR(GETPIVOTDATA("Count of D1 Gain",'3.7 Pivot'!$A$1,"Status 1 - Development","03 Planning","Status 2 - Permission Type","05 Certificate of Lawful Development","D1Description_Gain","Religious Premises"),0)</f>
        <v>0</v>
      </c>
      <c r="D22" s="237">
        <f>IFERROR(GETPIVOTDATA("Sum of D1 Gain2",'3.7 Pivot'!$A$1,"Status 1 - Development","03 Planning","Status 2 - Permission Type","04 Prior Approval","D1Description_Gain","Religious Premises"),0)+IFERROR(GETPIVOTDATA("Sum of D1 Gain2",'3.7 Pivot'!$A$1,"Status 1 - Development","03 Planning","Status 2 - Permission Type","05 Certificate of Lawful Development","D1Description_Gain","Religious Premises"),0)</f>
        <v>0</v>
      </c>
      <c r="E22" s="236">
        <f>IFERROR(GETPIVOTDATA("Count of D1 Gain",'3.7 Pivot'!$A$1,"Status 1 - Development","03 Planning","Status 2 - Permission Type","04 Prior Approval","D1Description_Gain","Vacant"),0)+IFERROR(GETPIVOTDATA("Count of D1 Gain",'3.7 Pivot'!$A$1,"Status 1 - Development","03 Planning","Status 2 - Permission Type","05 Certificate of Lawful Development","D1Description_Gain","Vacant"),0)</f>
        <v>0</v>
      </c>
      <c r="F22" s="237">
        <f>IFERROR(GETPIVOTDATA("Sum of D1 Gain2",'3.7 Pivot'!$A$1,"Status 1 - Development","03 Planning","Status 2 - Permission Type","04 Prior Approval","D1Description_Gain","Vacant"),0)+IFERROR(GETPIVOTDATA("Sum of D1 Gain2",'3.7 Pivot'!$A$1,"Status 1 - Development","03 Planning","Status 2 - Permission Type","05 Certificate of Lawful Development","D1Description_Gain","Vacant"),0)</f>
        <v>0</v>
      </c>
      <c r="G22" s="236">
        <f>IFERROR(GETPIVOTDATA("Count of D1 Gain",'3.7 Pivot'!$A$1,"Status 1 - Development","03 Planning","Status 2 - Permission Type","04 Prior Approval","D1Description_Gain","Other"),0)+IFERROR(GETPIVOTDATA("Count of D1 Gain",'3.7 Pivot'!$A$1,"Status 1 - Development","03 Planning","Status 2 - Permission Type","05 Certificate of Lawful Development","D1Description_Gain","Other"),0)</f>
        <v>0</v>
      </c>
      <c r="H22" s="237">
        <f>IFERROR(GETPIVOTDATA("Sum of D1 Gain2",'3.7 Pivot'!$A$1,"Status 1 - Development","03 Planning","Status 2 - Permission Type","04 Prior Approval","D1Description_Gain","Other"),0)+IFERROR(GETPIVOTDATA("Sum of D1 Gain2",'3.7 Pivot'!$A$1,"Status 1 - Development","03 Planning","Status 2 - Permission Type","05 Certificate of Lawful Development","D1Description_Gain","Other"),0)</f>
        <v>0</v>
      </c>
      <c r="I22" s="236">
        <f>IFERROR(GETPIVOTDATA("Count of D1 Gain",'3.7 Pivot'!$A$1,"Status 1 - Development","03 Planning","Status 2 - Permission Type","04 Prior Approval","D1Description_Gain","-"),0)+IFERROR(GETPIVOTDATA("Count of D1 Gain",'3.7 Pivot'!$A$1,"Status 1 - Development","03 Planning","Status 2 - Permission Type","05 Certificate of Lawful Development","D1Description_Gain","-"),0)+IFERROR(GETPIVOTDATA("Count of D1 Gain",'3.7 Pivot'!$A$1,"Status 1 - Development","03 Planning","Status 2 - Permission Type","04 Prior Approval","D1Description_Gain","Not Known"),0)+IFERROR(GETPIVOTDATA("Count of D1 Gain",'3.7 Pivot'!$A$1,"Status 1 - Development","03 Planning","Status 2 - Permission Type","05 Certificate of Lawful Development","D1Description_Gain","Not Known"),0)</f>
        <v>0</v>
      </c>
      <c r="J22" s="237">
        <f>IFERROR(GETPIVOTDATA("Sum of D1 Gain2",'3.7 Pivot'!$A$1,"Status 1 - Development","03 Planning","Status 2 - Permission Type","04 Prior Approval","D1Description_Gain","-"),0)+IFERROR(GETPIVOTDATA("Sum of D1 Gain2",'3.7 Pivot'!$A$1,"Status 1 - Development","03 Planning","Status 2 - Permission Type","05 Certificate of Lawful Development","D1Description_Gain","-"),0)+IFERROR(GETPIVOTDATA("Sum of D1 Gain2",'3.7 Pivot'!$A$1,"Status 1 - Development","03 Planning","Status 2 - Permission Type","04 Prior Approval","D1Description_Gain","Not Known"),0)+IFERROR(GETPIVOTDATA("Sum of D1 Gain2",'3.7 Pivot'!$A$1,"Status 1 - Development","03 Planning","Status 2 - Permission Type","05 Certificate of Lawful Development","D1Description_Gain","Not Known"),0)</f>
        <v>0</v>
      </c>
      <c r="K22" s="515">
        <f>IFERROR(GETPIVOTDATA("Count of D1 Gain",'3.7 Pivot'!$A$1,"Status 1 - Development","03 Planning","Status 2 - Permission Type","04 Prior Approval"),0)+IFERROR(GETPIVOTDATA("Count of D1 Gain",'3.7 Pivot'!$A$1,"Status 1 - Development","03 Planning","Status 2 - Permission Type","05 Certificate of Lawful Development"),0)</f>
        <v>0</v>
      </c>
      <c r="L22" s="516">
        <f>IFERROR(GETPIVOTDATA("Sum of D1 Gain2",'3.7 Pivot'!$A$1,"Status 1 - Development","03 Planning","Status 2 - Permission Type","04 Prior Approval"),0)+IFERROR(GETPIVOTDATA("Sum of D1 Gain2",'3.7 Pivot'!$A$1:$A$1,"Status 1 - Development","03 Planning","Status 2 - Permission Type","05 Certificate of Lawful Development"),0)</f>
        <v>0</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row>
    <row r="23" spans="1:153" x14ac:dyDescent="0.2">
      <c r="A23" s="808"/>
      <c r="B23" s="511" t="s">
        <v>2932</v>
      </c>
      <c r="C23" s="236">
        <f>IFERROR(GETPIVOTDATA("Count of D1 Gain",'3.7 Pivot'!$A$1,"Status 1 - Development","04 Pending","Status 2 - Permission Type","01 Pending Legal Agreement","D1Description_Gain","Religious Premises"),0)</f>
        <v>0</v>
      </c>
      <c r="D23" s="237">
        <f>IFERROR(GETPIVOTDATA("Sum of D1 Gain2",'3.7 Pivot'!$A$1,"Status 1 - Development","04 Pending","Status 2 - Permission Type","01 Pending Legal Agreement","D1Description_Gain","Religious Premises"),0)</f>
        <v>0</v>
      </c>
      <c r="E23" s="236">
        <f>IFERROR(GETPIVOTDATA("Count of D1 Gain",'3.7 Pivot'!$A$1,"Status 1 - Development","04 Pending","Status 2 - Permission Type","01 Pending Legal Agreement","D1Description_Gain","Vacant"),0)</f>
        <v>0</v>
      </c>
      <c r="F23" s="237">
        <f>IFERROR(GETPIVOTDATA("Sum of D1 Gain2",'3.7 Pivot'!$A$1,"Status 1 - Development","04 Pending","Status 2 - Permission Type","01 Pending Legal Agreement","D1Description_Gain","Vacant"),0)</f>
        <v>0</v>
      </c>
      <c r="G23" s="236">
        <f>IFERROR(GETPIVOTDATA("Count of D1 Gain",'3.7 Pivot'!$A$1,"Status 1 - Development","04 Pending","Status 2 - Permission Type","01 Pending Legal Agreement","D1Description_Gain","Other"),0)</f>
        <v>0</v>
      </c>
      <c r="H23" s="237">
        <f>IFERROR(GETPIVOTDATA("Sum of D1 Gain2",'3.7 Pivot'!$A$1,"Status 1 - Development","04 Pending","Status 2 - Permission Type","01 Pending Legal Agreement","D1Description_Gain","Other"),0)</f>
        <v>0</v>
      </c>
      <c r="I23" s="236">
        <f>IFERROR(GETPIVOTDATA("Count of D1 Gain",'3.7 Pivot'!$A$1,"Status 1 - Development","04 Pending","Status 2 - Permission Type","01 Pending Legal Agreement","D1Description_Gain","-"),0)+IFERROR(GETPIVOTDATA("Count of D1 Gain",'3.7 Pivot'!$A$1,"Status 1 - Development","04 Pending","Status 2 - Permission Type","01 Pending Legal Agreement","D1Description_Gain","Not Known"),0)</f>
        <v>2</v>
      </c>
      <c r="J23" s="237">
        <f>IFERROR(GETPIVOTDATA("Sum of D1 Gain2",'3.7 Pivot'!$A$1,"Status 1 - Development","04 Pending","Status 2 - Permission Type","01 Pending Legal Agreement","D1Description_Gain","-"),0)+IFERROR(GETPIVOTDATA("Sum of D1 Gain2",'3.7 Pivot'!$A$1,"Status 1 - Development","04 Pending","Status 2 - Permission Type","01 Pending Legal Agreement","D1Description_Gain","Not Known"),0)</f>
        <v>353</v>
      </c>
      <c r="K23" s="515">
        <f>IFERROR(GETPIVOTDATA("Count of D1 Gain",'3.7 Pivot'!$A$1,"Status 1 - Development","04 Pending","Status 2 - Permission Type","01 Pending Legal Agreement"),0)</f>
        <v>4</v>
      </c>
      <c r="L23" s="516">
        <f>IFERROR(GETPIVOTDATA("Sum of D1 Gain2",'3.7 Pivot'!$A$1,"Status 1 - Development","04 Pending","Status 2 - Permission Type","01 Pending Legal Agreement"),0)</f>
        <v>6759</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row>
    <row r="24" spans="1:153" x14ac:dyDescent="0.2">
      <c r="A24" s="808"/>
      <c r="B24" s="511" t="s">
        <v>2933</v>
      </c>
      <c r="C24" s="236">
        <f>IFERROR(GETPIVOTDATA("Count of D1 Gain",'3.7 Pivot'!$A$1,"Status 1 - Development","04 Pending","Status 2 - Permission Type","06 Appeal","D1Description_Gain","Religious Premises"),0)</f>
        <v>0</v>
      </c>
      <c r="D24" s="237">
        <f>IFERROR(GETPIVOTDATA("Sum of D1 Gain2",'3.7 Pivot'!$A$1,"Status 1 - Development","04 Pending","Status 2 - Permission Type","06 Appeal","D1Description_Gain","Religious Premises"),0)</f>
        <v>0</v>
      </c>
      <c r="E24" s="236">
        <f>IFERROR(GETPIVOTDATA("Count of D1 Gain",'3.7 Pivot'!$A$1,"Status 1 - Development","04 Pending","Status 2 - Permission Type","06 Appeal","D1Description_Gain","Vacant"),0)</f>
        <v>0</v>
      </c>
      <c r="F24" s="237">
        <f>IFERROR(GETPIVOTDATA("Sum of D1 Gain2",'3.7 Pivot'!$A$1,"Status 1 - Development","04 Pending","Status 2 - Permission Type","06 Appeal","D1Description_Gain","Vacant"),0)</f>
        <v>0</v>
      </c>
      <c r="G24" s="236">
        <f>IFERROR(GETPIVOTDATA("Count of D1 Gain",'3.7 Pivot'!$A$1,"Status 1 - Development","04 Pending","Status 2 - Permission Type","06 Appeal","D1Description_Gain","Other"),0)</f>
        <v>0</v>
      </c>
      <c r="H24" s="237">
        <f>IFERROR(GETPIVOTDATA("Sum of D1 Gain2",'3.7 Pivot'!$A$1,"Status 1 - Development","04 Pending","Status 2 - Permission Type","06 Appeal","D1Description_Gain","Other"),0)</f>
        <v>0</v>
      </c>
      <c r="I24" s="236">
        <f>IFERROR(GETPIVOTDATA("Count of D1 Gain",'3.7 Pivot'!$A$1,"Status 1 - Development","04 Pending","Status 2 - Permission Type","06 Appeal","D1Description_Gain","-"),0)+IFERROR(GETPIVOTDATA("Count of D1 Gain",'3.7 Pivot'!$A$1,"Status 1 - Development","04 Pending","Status 2 - Permission Type","06 Appeal","D1Description_Gain","Not Known"),0)</f>
        <v>0</v>
      </c>
      <c r="J24" s="237">
        <f>IFERROR(GETPIVOTDATA("Sum of D1 Gain2",'3.7 Pivot'!$A$1,"Status 1 - Development","04 Pending","Status 2 - Permission Type","06 Appeal","D1Description_Gain","-"),0)+IFERROR(GETPIVOTDATA("Sum of D1 Gain2",'3.7 Pivot'!$A$1,"Status 1 - Development","04 Pending","Status 2 - Permission Type","06 Appeal","D1Description_Gain","Not Known"),0)</f>
        <v>0</v>
      </c>
      <c r="K24" s="515">
        <f>IFERROR(GETPIVOTDATA("Count of D1 Gain",'3.7 Pivot'!$A$1,"Status 1 - Development","04 Pending","Status 2 - Permission Type","06 Appeal"),0)</f>
        <v>0</v>
      </c>
      <c r="L24" s="516">
        <f>IFERROR(GETPIVOTDATA("Sum of D1 Gain2",'3.7 Pivot'!$A$1,"Status 1 - Development","04 Pending","Status 2 - Permission Type","06 Appeal"),0)</f>
        <v>0</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row>
    <row r="25" spans="1:153" x14ac:dyDescent="0.2">
      <c r="A25" s="808"/>
      <c r="B25" s="511" t="s">
        <v>3800</v>
      </c>
      <c r="C25" s="266">
        <f>IFERROR(GETPIVOTDATA("Count of D1 Gain",'3.7 Pivot'!$A$1,"Status 1 - Development","04 Pending","Status 2 - Permission Type","02 Full","D1Description_Gain","Religious Premises"),0)+IFERROR(GETPIVOTDATA("Count of D1 Gain",'3.7 Pivot'!$A$1,"Status 1 - Development","04 Pending","Status 2 - Permission Type","03 Outline","D1Description_Gain","Religious Premises"),0)+IFERROR(GETPIVOTDATA("Count of D1 Gain",'3.7 Pivot'!$A$1,"Status 1 - Development","04 Pending","Status 2 - Permission Type","04 Prior Approval","D1Description_Gain","Religious Premises"),0)+IFERROR(GETPIVOTDATA("Count of D1 Gain",'3.7 Pivot'!$A$1,"Status 1 - Development","04 Pending","Status 2 - Permission Type","05 Certificate of Lawful Development","D1Description_Gain","Religious Premises"),0)</f>
        <v>0</v>
      </c>
      <c r="D25" s="268">
        <f>IFERROR(GETPIVOTDATA("Sum of D1 Gain2",'3.7 Pivot'!$A$1,"Status 1 - Development","04 Pending","Status 2 - Permission Type","02 Full","D1Description_Gain","Religious Premises"),0)+IFERROR(GETPIVOTDATA("Sum of D1 Gain2",'3.7 Pivot'!$A$1,"Status 1 - Development","04 Pending","Status 2 - Permission Type","03 Outline","D1Description_Gain","Religious Premises"),0)+IFERROR(GETPIVOTDATA("Sum of D1 Gain2",'3.7 Pivot'!$A$1,"Status 1 - Development","04 Pending","Status 2 - Permission Type","04 Prior Approval","D1Description_Gain","Religious Premises"),0)+IFERROR(GETPIVOTDATA("Sum of D1 Gain2",'3.7 Pivot'!$A$1,"Status 1 - Development","04 Pending","Status 2 - Permission Type","05 Certificate of Lawful Development","D1Description_Gain","Religious Premises"),0)</f>
        <v>0</v>
      </c>
      <c r="E25" s="266">
        <f>IFERROR(GETPIVOTDATA("Count of D1 Gain",'3.7 Pivot'!$A$1,"Status 1 - Development","04 Pending","Status 2 - Permission Type","02 Full","D1Description_Gain","Vacant"),0)+IFERROR(GETPIVOTDATA("Count of D1 Gain",'3.7 Pivot'!$A$1,"Status 1 - Development","04 Pending","Status 2 - Permission Type","03 Outline","D1Description_Gain","Vacant"),0)+IFERROR(GETPIVOTDATA("Count of D1 Gain",'3.7 Pivot'!$A$1,"Status 1 - Development","04 Pending","Status 2 - Permission Type","04 Prior Approval","D1Description_Gain","Vacant"),0)+IFERROR(GETPIVOTDATA("Count of D1 Gain",'3.7 Pivot'!$A$1,"Status 1 - Development","04 Pending","Status 2 - Permission Type","05 Certificate of Lawful Development","D1Description_Gain","Vacant"),0)</f>
        <v>0</v>
      </c>
      <c r="F25" s="268">
        <f>IFERROR(GETPIVOTDATA("Sum of D1 Gain2",'3.7 Pivot'!$A$1,"Status 1 - Development","04 Pending","Status 2 - Permission Type","02 Full","D1Description_Gain","Vacant"),0)+IFERROR(GETPIVOTDATA("Sum of D1 Gain2",'3.7 Pivot'!$A$1,"Status 1 - Development","04 Pending","Status 2 - Permission Type","03 Outline","D1Description_Gain","Vacant"),0)+IFERROR(GETPIVOTDATA("Sum of D1 Gain2",'3.7 Pivot'!$A$1,"Status 1 - Development","04 Pending","Status 2 - Permission Type","04 Prior Approval","D1Description_Gain","Vacant"),0)+IFERROR(GETPIVOTDATA("Sum of D1 Gain2",'3.7 Pivot'!$A$1,"Status 1 - Development","04 Pending","Status 2 - Permission Type","05 Certificate of Lawful Development","D1Description_Gain","Vacant"),0)</f>
        <v>0</v>
      </c>
      <c r="G25" s="266">
        <f>IFERROR(GETPIVOTDATA("Count of D1 Gain",'3.7 Pivot'!$A$1,"Status 1 - Development","04 Pending","Status 2 - Permission Type","02 Full","D1Description_Gain","Other"),0)+IFERROR(GETPIVOTDATA("Count of D1 Gain",'3.7 Pivot'!$A$1,"Status 1 - Development","04 Pending","Status 2 - Permission Type","03 Outline","D1Description_Gain","Other"),0)+IFERROR(GETPIVOTDATA("Count of D1 Gain",'3.7 Pivot'!$A$1,"Status 1 - Development","04 Pending","Status 2 - Permission Type","04 Prior Approval","D1Description_Gain","Other"),0)+IFERROR(GETPIVOTDATA("Count of D1 Gain",'3.7 Pivot'!$A$1,"Status 1 - Development","04 Pending","Status 2 - Permission Type","05 Certificate of Lawful Development","D1Description_Gain","Other"),0)</f>
        <v>3</v>
      </c>
      <c r="H25" s="268">
        <f>IFERROR(GETPIVOTDATA("Sum of D1 Gain2",'3.7 Pivot'!$A$1,"Status 1 - Development","04 Pending","Status 2 - Permission Type","02 Full","D1Description_Gain","Other"),0)+IFERROR(GETPIVOTDATA("Sum of D1 Gain2",'3.7 Pivot'!$A$1,"Status 1 - Development","04 Pending","Status 2 - Permission Type","03 Outline","D1Description_Gain","Other"),0)+IFERROR(GETPIVOTDATA("Sum of D1 Gain2",'3.7 Pivot'!$A$1,"Status 1 - Development","04 Pending","Status 2 - Permission Type","04 Prior Approval","D1Description_Gain","Other"),0)+IFERROR(GETPIVOTDATA("Sum of D1 Gain2",'3.7 Pivot'!$A$1,"Status 1 - Development","04 Pending","Status 2 - Permission Type","05 Certificate of Lawful Development","D1Description_Gain","Other"),0)</f>
        <v>463</v>
      </c>
      <c r="I25" s="267">
        <f>IFERROR(GETPIVOTDATA("Count of D1 Gain",'3.7 Pivot'!$A$1,"Status 1 - Development","04 Pending","D1Description_Gain","-"),0)+IFERROR(GETPIVOTDATA("Count of D1 Gain",'3.7 Pivot'!$A$1,"Status 1 - Development","04 Pending","D1Description_Gain","Not Known"),0)-IFERROR(GETPIVOTDATA("Count of D1 Gain",'3.7 Pivot'!$A$1,"Status 1 - Development","04 Pending","Status 2 - Permission Type","01 Pending Legal Agreement","D1Description_Gain","-"),0)-IFERROR(GETPIVOTDATA("Count of D1 Gain",'3.7 Pivot'!$A$1,"Status 1 - Development","04 Pending","Status 2 - Permission Type","06 Appeal","D1Description_Gain","-"),0)-IFERROR(GETPIVOTDATA("Count of D1 Gain",'3.7 Pivot'!$A$1,"Status 1 - Development","04 Pending","Status 2 - Permission Type","01 Pending Legal Agreement","D1Description_Gain","Not Known"),0)-IFERROR(GETPIVOTDATA("Count of D1 Gain",'3.7 Pivot'!$A$1,"Status 1 - Development","04 Pending","Status 2 - Permission Type","06 Appeal","D1Description_Gain","Not Known"),0)</f>
        <v>3</v>
      </c>
      <c r="J25" s="237">
        <f>IFERROR(GETPIVOTDATA("Sum of D1 Gain2",'3.7 Pivot'!$A$1,"Status 1 - Development","04 Pending","D1Description_Gain","-"),0)+IFERROR(GETPIVOTDATA("Sum of D1 Gain2",'3.7 Pivot'!$A$1,"Status 1 - Development","04 Pending","D1Description_Gain","Not Known"),0)-IFERROR(GETPIVOTDATA("Sum of D1 Gain2",'3.7 Pivot'!$A$1,"Status 1 - Development","04 Pending","Status 2 - Permission Type","06 Appeal","D1Description_Gain","-"),0)-IFERROR(GETPIVOTDATA("Sum of D1 Gain2",'3.7 Pivot'!$A$1,"Status 1 - Development","04 Pending","Status 2 - Permission Type","01 Pending Legal Agreement","D1Description_Gain","-"),0)-IFERROR(GETPIVOTDATA("Sum of D1 Gain2",'3.7 Pivot'!$A$1,"Status 1 - Development","04 Pending","Status 2 - Permission Type","06 Appeal","D1Description_Gain","Not Known"),0)-IFERROR(GETPIVOTDATA("Sum of D1 Gain2",'3.7 Pivot'!$A$1,"Status 1 - Development","04 Pending","Status 2 - Permission Type","01 Pending Legal Agreement","D1Description_Gain","Not Known"),0)</f>
        <v>187</v>
      </c>
      <c r="K25" s="517">
        <f>IFERROR(GETPIVOTDATA("Count of D1 Gain",'3.7 Pivot'!$A$1,"Status 1 - Development","04 Pending"),0)-IFERROR(GETPIVOTDATA("Count of D1 Gain",'3.7 Pivot'!$A$1,"Status 1 - Development","04 Pending","Status 2 - Permission Type","06 Appeal"),0)-IFERROR(GETPIVOTDATA("Count of D1 Gain",'3.7 Pivot'!$A$1,"Status 1 - Development","04 Pending","Status 2 - Permission Type","01 Pending Legal Agreement"),0)</f>
        <v>12</v>
      </c>
      <c r="L25" s="516">
        <f>IFERROR(GETPIVOTDATA("Sum of D1 Gain2",'3.7 Pivot'!$A$1,"Status 1 - Development","04 Pending"),0)-IFERROR(GETPIVOTDATA("Sum of D1 Gain2",'3.7 Pivot'!$A$1,"Status 1 - Development","04 Pending","Status 2 - Permission Type","06 Appeal"),0)-IFERROR(GETPIVOTDATA("Sum of D1 Gain2",'3.7 Pivot'!$A$1,"Status 1 - Development","04 Pending","Status 2 - Permission Type","01 Pending Legal Agreement"),0)</f>
        <v>3676</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row>
    <row r="26" spans="1:153" x14ac:dyDescent="0.2">
      <c r="A26" s="809"/>
      <c r="B26" s="512" t="s">
        <v>95</v>
      </c>
      <c r="C26" s="102">
        <f t="shared" ref="C26:L26" si="1">SUM(C19:C25)</f>
        <v>5</v>
      </c>
      <c r="D26" s="103">
        <f t="shared" si="1"/>
        <v>2828</v>
      </c>
      <c r="E26" s="102">
        <f t="shared" si="1"/>
        <v>0</v>
      </c>
      <c r="F26" s="103">
        <f t="shared" si="1"/>
        <v>0</v>
      </c>
      <c r="G26" s="102">
        <f t="shared" si="1"/>
        <v>20</v>
      </c>
      <c r="H26" s="103">
        <f t="shared" si="1"/>
        <v>5282</v>
      </c>
      <c r="I26" s="102">
        <f t="shared" si="1"/>
        <v>30</v>
      </c>
      <c r="J26" s="103">
        <f t="shared" si="1"/>
        <v>23142</v>
      </c>
      <c r="K26" s="518">
        <f t="shared" si="1"/>
        <v>94</v>
      </c>
      <c r="L26" s="516">
        <f t="shared" si="1"/>
        <v>88130</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row>
    <row r="27" spans="1:153" x14ac:dyDescent="0.2">
      <c r="A27" s="12"/>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row>
    <row r="28" spans="1:153" x14ac:dyDescent="0.2">
      <c r="A28" s="12"/>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row>
    <row r="29" spans="1:153" x14ac:dyDescent="0.2">
      <c r="A29" s="12"/>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row>
    <row r="30" spans="1:153" x14ac:dyDescent="0.2">
      <c r="A30" s="12"/>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row>
    <row r="31" spans="1:153" x14ac:dyDescent="0.2">
      <c r="A31" s="12"/>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row>
    <row r="32" spans="1:153" x14ac:dyDescent="0.2">
      <c r="A32" s="12"/>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row>
    <row r="33" spans="1:153" x14ac:dyDescent="0.2">
      <c r="A33" s="12"/>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row>
    <row r="34" spans="1:153" x14ac:dyDescent="0.2">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row>
    <row r="35" spans="1:153" x14ac:dyDescent="0.2">
      <c r="A35" s="12"/>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row>
    <row r="36" spans="1:153" x14ac:dyDescent="0.2">
      <c r="A36" s="12"/>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row>
    <row r="37" spans="1:153" x14ac:dyDescent="0.2">
      <c r="A37" s="12"/>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row>
    <row r="38" spans="1:153" x14ac:dyDescent="0.2">
      <c r="A38" s="12"/>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row>
    <row r="39" spans="1:153" x14ac:dyDescent="0.2">
      <c r="A39" s="1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row>
    <row r="40" spans="1:153" x14ac:dyDescent="0.2">
      <c r="A40" s="12"/>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row>
    <row r="41" spans="1:153" x14ac:dyDescent="0.2">
      <c r="A41" s="12"/>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row>
    <row r="42" spans="1:153" x14ac:dyDescent="0.2">
      <c r="A42" s="12"/>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row>
    <row r="43" spans="1:153" x14ac:dyDescent="0.2">
      <c r="A43" s="12"/>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row>
    <row r="44" spans="1:153" x14ac:dyDescent="0.2">
      <c r="A44" s="12"/>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row>
    <row r="45" spans="1:153" x14ac:dyDescent="0.2">
      <c r="A45" s="12"/>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row>
    <row r="46" spans="1:153"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row>
    <row r="47" spans="1:153"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row>
    <row r="48" spans="1:153"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row>
    <row r="49" spans="1:153"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row>
    <row r="50" spans="1:153"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row>
    <row r="51" spans="1:153"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row>
    <row r="52" spans="1:153"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row>
    <row r="53" spans="1:153"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row>
    <row r="54" spans="1:153"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row>
    <row r="55" spans="1:153" x14ac:dyDescent="0.2">
      <c r="A55" s="12"/>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row>
    <row r="56" spans="1:153"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row>
    <row r="57" spans="1:153"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row>
    <row r="58" spans="1:153"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row>
    <row r="59" spans="1:153"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row>
    <row r="60" spans="1:153"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row>
    <row r="61" spans="1:153"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row>
    <row r="62" spans="1:153"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row>
    <row r="63" spans="1:153" x14ac:dyDescent="0.2">
      <c r="A63" s="12"/>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row>
    <row r="64" spans="1:153"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row>
    <row r="65" spans="1:153" x14ac:dyDescent="0.2">
      <c r="A65" s="403"/>
      <c r="B65" s="15"/>
      <c r="C65" s="15"/>
      <c r="D65" s="15"/>
      <c r="E65" s="15"/>
      <c r="F65" s="15"/>
      <c r="G65" s="15"/>
      <c r="H65" s="15"/>
      <c r="I65" s="15"/>
      <c r="J65" s="15"/>
      <c r="K65" s="15"/>
      <c r="L65" s="15"/>
      <c r="M65" s="15"/>
      <c r="N65" s="15"/>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row>
    <row r="66" spans="1:153" x14ac:dyDescent="0.2">
      <c r="A66" s="12"/>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row>
    <row r="67" spans="1:153" x14ac:dyDescent="0.2">
      <c r="A67" s="12"/>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row>
    <row r="68" spans="1:153"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row>
    <row r="69" spans="1:153"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row>
    <row r="70" spans="1:153"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row>
    <row r="71" spans="1:153"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row>
    <row r="72" spans="1:153"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row>
    <row r="73" spans="1:153"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row>
    <row r="74" spans="1:153"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row>
    <row r="75" spans="1:153"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row>
    <row r="76" spans="1:153"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row>
    <row r="77" spans="1:153"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row>
    <row r="78" spans="1:153"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row>
    <row r="79" spans="1:153"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row>
    <row r="80" spans="1:153"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row>
    <row r="81" spans="1:153"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row>
    <row r="82" spans="1:153"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row>
    <row r="83" spans="1:153"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row>
    <row r="84" spans="1:153"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row>
    <row r="85" spans="1:153"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row>
    <row r="86" spans="1:153"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row>
    <row r="87" spans="1:153"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row>
    <row r="88" spans="1:153"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row>
    <row r="89" spans="1:153"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row>
    <row r="90" spans="1:153"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row>
    <row r="91" spans="1:153"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row>
    <row r="92" spans="1:153"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row>
    <row r="93" spans="1:153"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row>
    <row r="94" spans="1:153"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row>
    <row r="95" spans="1:153"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row>
    <row r="96" spans="1:153"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row>
    <row r="97" spans="1:153"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row>
    <row r="98" spans="1:153"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row>
    <row r="99" spans="1:153"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row>
    <row r="100" spans="1:153"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row>
    <row r="101" spans="1:153"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row>
    <row r="102" spans="1:153"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row>
    <row r="103" spans="1:153"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row>
    <row r="104" spans="1:153"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row>
    <row r="105" spans="1:153"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row>
    <row r="106" spans="1:153"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row>
    <row r="107" spans="1:153"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row>
    <row r="108" spans="1:153"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row>
    <row r="109" spans="1:153"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row>
    <row r="110" spans="1:153"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row>
    <row r="111" spans="1:153"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row>
    <row r="112" spans="1:153"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row>
    <row r="113" spans="1:153"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row>
    <row r="114" spans="1:153"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row>
    <row r="115" spans="1:153"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row>
    <row r="116" spans="1:153"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row>
    <row r="117" spans="1:153"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row>
    <row r="118" spans="1:153"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row>
    <row r="119" spans="1:153"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row>
    <row r="120" spans="1:153"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row>
    <row r="121" spans="1:153"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row>
    <row r="122" spans="1:153"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row>
    <row r="123" spans="1:153"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row>
    <row r="124" spans="1:153"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row>
    <row r="125" spans="1:153"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row>
    <row r="126" spans="1:153"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row>
    <row r="127" spans="1:153"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row>
    <row r="128" spans="1:153"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row>
    <row r="129" spans="1:153"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row>
    <row r="130" spans="1:153"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row>
    <row r="131" spans="1:153"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row>
    <row r="132" spans="1:153"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row>
    <row r="133" spans="1:153"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row>
    <row r="134" spans="1:153"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row>
    <row r="135" spans="1:153"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row>
    <row r="136" spans="1:153"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row>
    <row r="137" spans="1:153"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row>
    <row r="138" spans="1:153"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row>
    <row r="139" spans="1:153"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row>
    <row r="140" spans="1:153"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row>
    <row r="141" spans="1:153"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row>
    <row r="142" spans="1:153"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row>
    <row r="143" spans="1:153"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row>
    <row r="144" spans="1:153"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row>
    <row r="145" spans="1:153"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row>
    <row r="146" spans="1:153" x14ac:dyDescent="0.2">
      <c r="A146" s="12"/>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row>
    <row r="147" spans="1:153" x14ac:dyDescent="0.2">
      <c r="A147" s="12"/>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row>
    <row r="148" spans="1:153" x14ac:dyDescent="0.2">
      <c r="A148" s="12"/>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row>
    <row r="149" spans="1:153" x14ac:dyDescent="0.2">
      <c r="A149" s="12"/>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row>
    <row r="150" spans="1:153" x14ac:dyDescent="0.2">
      <c r="A150" s="12"/>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row>
    <row r="151" spans="1:153" x14ac:dyDescent="0.2">
      <c r="A151" s="12"/>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row>
    <row r="152" spans="1:153" x14ac:dyDescent="0.2">
      <c r="A152" s="12"/>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row>
    <row r="153" spans="1:153" x14ac:dyDescent="0.2">
      <c r="A153" s="12"/>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row>
    <row r="154" spans="1:153" x14ac:dyDescent="0.2">
      <c r="A154" s="12"/>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row>
    <row r="155" spans="1:153" x14ac:dyDescent="0.2">
      <c r="A155" s="12"/>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row>
    <row r="156" spans="1:153" x14ac:dyDescent="0.2">
      <c r="A156" s="12"/>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row>
    <row r="157" spans="1:153" x14ac:dyDescent="0.2">
      <c r="A157" s="12"/>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row>
    <row r="158" spans="1:153" x14ac:dyDescent="0.2">
      <c r="A158" s="12"/>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row>
    <row r="159" spans="1:153" x14ac:dyDescent="0.2">
      <c r="A159" s="12"/>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row>
    <row r="160" spans="1:153" x14ac:dyDescent="0.2">
      <c r="A160" s="12"/>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row>
    <row r="161" spans="1:153" x14ac:dyDescent="0.2">
      <c r="A161" s="12"/>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row>
    <row r="162" spans="1:153" x14ac:dyDescent="0.2">
      <c r="A162" s="12"/>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row>
    <row r="163" spans="1:153" x14ac:dyDescent="0.2">
      <c r="A163" s="1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row>
    <row r="164" spans="1:153" x14ac:dyDescent="0.2">
      <c r="A164" s="1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row>
    <row r="165" spans="1:153" x14ac:dyDescent="0.2">
      <c r="A165" s="1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row>
    <row r="166" spans="1:153" x14ac:dyDescent="0.2">
      <c r="A166" s="1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row>
    <row r="167" spans="1:153" x14ac:dyDescent="0.2">
      <c r="A167" s="1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row>
    <row r="168" spans="1:153" x14ac:dyDescent="0.2">
      <c r="A168" s="1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row>
    <row r="169" spans="1:153" x14ac:dyDescent="0.2">
      <c r="A169" s="12"/>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row>
    <row r="170" spans="1:153" x14ac:dyDescent="0.2">
      <c r="A170" s="12"/>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row>
    <row r="171" spans="1:153" x14ac:dyDescent="0.2">
      <c r="A171" s="12"/>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row>
    <row r="172" spans="1:153" x14ac:dyDescent="0.2">
      <c r="A172" s="12"/>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row>
    <row r="173" spans="1:153" x14ac:dyDescent="0.2">
      <c r="A173" s="12"/>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row>
    <row r="174" spans="1:153" x14ac:dyDescent="0.2">
      <c r="A174" s="12"/>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row>
    <row r="175" spans="1:153" x14ac:dyDescent="0.2">
      <c r="A175" s="12"/>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row>
    <row r="176" spans="1:153" x14ac:dyDescent="0.2">
      <c r="A176" s="12"/>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row>
    <row r="177" spans="1:153" x14ac:dyDescent="0.2">
      <c r="A177" s="12"/>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row>
    <row r="178" spans="1:153" x14ac:dyDescent="0.2">
      <c r="A178" s="12"/>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row>
  </sheetData>
  <mergeCells count="19">
    <mergeCell ref="A1:I1"/>
    <mergeCell ref="G16:H16"/>
    <mergeCell ref="I16:J16"/>
    <mergeCell ref="K16:L16"/>
    <mergeCell ref="C4:D4"/>
    <mergeCell ref="E4:F4"/>
    <mergeCell ref="G4:H4"/>
    <mergeCell ref="K4:L4"/>
    <mergeCell ref="C16:D16"/>
    <mergeCell ref="A16:B17"/>
    <mergeCell ref="A18:B18"/>
    <mergeCell ref="A19:A26"/>
    <mergeCell ref="A2:X2"/>
    <mergeCell ref="A6:B6"/>
    <mergeCell ref="A7:A14"/>
    <mergeCell ref="A4:B5"/>
    <mergeCell ref="I4:J4"/>
    <mergeCell ref="M4:N4"/>
    <mergeCell ref="E16:F16"/>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1:U67"/>
  <sheetViews>
    <sheetView workbookViewId="0">
      <selection activeCell="V11" sqref="V11"/>
    </sheetView>
  </sheetViews>
  <sheetFormatPr defaultRowHeight="12" x14ac:dyDescent="0.2"/>
  <cols>
    <col min="1" max="1" width="5.42578125" style="431" customWidth="1"/>
    <col min="2" max="2" width="5.42578125" style="52" customWidth="1"/>
    <col min="3" max="3" width="22.7109375" style="52" customWidth="1"/>
    <col min="4" max="4" width="5.7109375" style="16" customWidth="1"/>
    <col min="5" max="5" width="10.7109375" style="16" customWidth="1"/>
    <col min="6" max="6" width="5.7109375" style="16" customWidth="1"/>
    <col min="7" max="7" width="10.7109375" style="16" customWidth="1"/>
    <col min="8" max="8" width="5.7109375" style="16" customWidth="1"/>
    <col min="9" max="9" width="10.7109375" style="16" customWidth="1"/>
    <col min="10" max="10" width="5.7109375" style="16" customWidth="1"/>
    <col min="11" max="11" width="10.7109375" style="16" customWidth="1"/>
    <col min="12" max="12" width="5.7109375" style="16" customWidth="1"/>
    <col min="13" max="13" width="10.7109375" style="16" customWidth="1"/>
    <col min="14" max="14" width="5.7109375" style="16" customWidth="1"/>
    <col min="15" max="15" width="10.7109375" style="16" customWidth="1"/>
    <col min="16" max="16384" width="9.140625" style="16"/>
  </cols>
  <sheetData>
    <row r="1" spans="1:21" ht="15.75" x14ac:dyDescent="0.25">
      <c r="A1" s="401" t="s">
        <v>423</v>
      </c>
      <c r="U1" s="10"/>
    </row>
    <row r="2" spans="1:21" ht="12.75" x14ac:dyDescent="0.2">
      <c r="A2" s="422" t="s">
        <v>3885</v>
      </c>
      <c r="B2" s="53"/>
      <c r="C2" s="140"/>
    </row>
    <row r="3" spans="1:21" x14ac:dyDescent="0.2">
      <c r="A3" s="429"/>
      <c r="B3" s="53"/>
    </row>
    <row r="4" spans="1:21" x14ac:dyDescent="0.2">
      <c r="A4" s="611" t="s">
        <v>88</v>
      </c>
      <c r="B4" s="611"/>
      <c r="C4" s="601"/>
      <c r="D4" s="633" t="s">
        <v>97</v>
      </c>
      <c r="E4" s="634"/>
      <c r="F4" s="633" t="s">
        <v>98</v>
      </c>
      <c r="G4" s="634"/>
      <c r="H4" s="633" t="s">
        <v>99</v>
      </c>
      <c r="I4" s="634"/>
      <c r="J4" s="633" t="s">
        <v>100</v>
      </c>
      <c r="K4" s="634"/>
      <c r="L4" s="633" t="s">
        <v>101</v>
      </c>
      <c r="M4" s="634"/>
      <c r="N4" s="635" t="s">
        <v>95</v>
      </c>
      <c r="O4" s="636"/>
    </row>
    <row r="5" spans="1:21" ht="24" customHeight="1" x14ac:dyDescent="0.2">
      <c r="A5" s="617"/>
      <c r="B5" s="617"/>
      <c r="C5" s="632"/>
      <c r="D5" s="623" t="s">
        <v>2984</v>
      </c>
      <c r="E5" s="624"/>
      <c r="F5" s="625" t="s">
        <v>2985</v>
      </c>
      <c r="G5" s="585"/>
      <c r="H5" s="623" t="s">
        <v>51</v>
      </c>
      <c r="I5" s="624"/>
      <c r="J5" s="623" t="s">
        <v>2986</v>
      </c>
      <c r="K5" s="624"/>
      <c r="L5" s="625" t="s">
        <v>2987</v>
      </c>
      <c r="M5" s="585"/>
      <c r="N5" s="623"/>
      <c r="O5" s="637"/>
    </row>
    <row r="6" spans="1:21" ht="24" x14ac:dyDescent="0.2">
      <c r="A6" s="614"/>
      <c r="B6" s="614"/>
      <c r="C6" s="602"/>
      <c r="D6" s="155" t="s">
        <v>2970</v>
      </c>
      <c r="E6" s="86" t="s">
        <v>168</v>
      </c>
      <c r="F6" s="89" t="s">
        <v>2970</v>
      </c>
      <c r="G6" s="86" t="s">
        <v>168</v>
      </c>
      <c r="H6" s="89" t="s">
        <v>2970</v>
      </c>
      <c r="I6" s="86" t="s">
        <v>168</v>
      </c>
      <c r="J6" s="89" t="s">
        <v>2970</v>
      </c>
      <c r="K6" s="86" t="s">
        <v>168</v>
      </c>
      <c r="L6" s="89" t="s">
        <v>2970</v>
      </c>
      <c r="M6" s="86" t="s">
        <v>168</v>
      </c>
      <c r="N6" s="449" t="s">
        <v>2973</v>
      </c>
      <c r="O6" s="450" t="s">
        <v>168</v>
      </c>
    </row>
    <row r="7" spans="1:21" ht="12" customHeight="1" x14ac:dyDescent="0.2">
      <c r="A7" s="621" t="s">
        <v>2926</v>
      </c>
      <c r="B7" s="621"/>
      <c r="C7" s="622"/>
      <c r="D7" s="148">
        <f>GETPIVOTDATA("Count of B1a Net",'1.3 Pivot'!$A$1,"Status 1 - Development","01 Completed")</f>
        <v>55</v>
      </c>
      <c r="E7" s="149">
        <f>GETPIVOTDATA("Sum of B1a Net2",'1.3 Pivot'!$A$1,"Status 1 - Development","01 Completed")</f>
        <v>-16515</v>
      </c>
      <c r="F7" s="148">
        <f>GETPIVOTDATA("Count of B1b Net",'1.3 Pivot'!$A$1,"Status 1 - Development","01 Completed")</f>
        <v>3</v>
      </c>
      <c r="G7" s="149">
        <f>GETPIVOTDATA("Sum of B1b Net2",'1.3 Pivot'!$A$1,"Status 1 - Development","01 Completed")</f>
        <v>-4975</v>
      </c>
      <c r="H7" s="148">
        <f>GETPIVOTDATA("Count of B1c Net",'1.3 Pivot'!$A$1,"Status 1 - Development","01 Completed")</f>
        <v>10</v>
      </c>
      <c r="I7" s="149">
        <f>GETPIVOTDATA("Sum of B1c Net2",'1.3 Pivot'!$A$1,"Status 1 - Development","01 Completed")</f>
        <v>-16689</v>
      </c>
      <c r="J7" s="123">
        <f>GETPIVOTDATA("Count of B2 Net",'1.3 Pivot'!$A$1,"Status 1 - Development","01 Completed")</f>
        <v>2</v>
      </c>
      <c r="K7" s="124">
        <f>GETPIVOTDATA("Sum of B2 Net2",'1.3 Pivot'!$A$1,"Status 1 - Development","01 Completed")</f>
        <v>-4685</v>
      </c>
      <c r="L7" s="123">
        <f>GETPIVOTDATA("Count of B8 Net",'1.3 Pivot'!$A$1,"Status 1 - Development","01 Completed")</f>
        <v>19</v>
      </c>
      <c r="M7" s="124">
        <f>GETPIVOTDATA("Sum of B8 Net2",'1.3 Pivot'!$A$1,"Status 1 - Development","01 Completed")</f>
        <v>-3156</v>
      </c>
      <c r="N7" s="451">
        <f>GETPIVOTDATA("Count of B Total Net",'1.3 Pivot'!$A$1,"Status 1 - Development","01 Completed")</f>
        <v>75</v>
      </c>
      <c r="O7" s="452">
        <f>GETPIVOTDATA("Sum of B Total Net2",'1.3 Pivot'!$A$1,"Status 1 - Development","01 Completed")</f>
        <v>-45820</v>
      </c>
      <c r="P7" s="21"/>
    </row>
    <row r="8" spans="1:21" ht="12" customHeight="1" x14ac:dyDescent="0.2">
      <c r="A8" s="607" t="s">
        <v>2962</v>
      </c>
      <c r="B8" s="626" t="s">
        <v>2964</v>
      </c>
      <c r="C8" s="60" t="s">
        <v>96</v>
      </c>
      <c r="D8" s="90">
        <f>GETPIVOTDATA("Count of B1a Net",'1.3 Pivot'!$A$1,"Status 1 - Development","02 Under Construction")</f>
        <v>57</v>
      </c>
      <c r="E8" s="87">
        <f>GETPIVOTDATA("Sum of B1a Net2",'1.3 Pivot'!$A$1,"Status 1 - Development","02 Under Construction")</f>
        <v>18813</v>
      </c>
      <c r="F8" s="90">
        <f>GETPIVOTDATA("Count of B1b Net",'1.3 Pivot'!$A$1,"Status 1 - Development","02 Under Construction")</f>
        <v>0</v>
      </c>
      <c r="G8" s="87">
        <f>GETPIVOTDATA("Sum of B1b Net2",'1.3 Pivot'!$A$1,"Status 1 - Development","02 Under Construction")</f>
        <v>0</v>
      </c>
      <c r="H8" s="90">
        <f>GETPIVOTDATA("Count of B1c Net",'1.3 Pivot'!$A$1,"Status 1 - Development","02 Under Construction")</f>
        <v>11</v>
      </c>
      <c r="I8" s="87">
        <f>GETPIVOTDATA("Sum of B1c Net2",'1.3 Pivot'!$A$1,"Status 1 - Development","02 Under Construction")</f>
        <v>-30909</v>
      </c>
      <c r="J8" s="127">
        <f>GETPIVOTDATA("Count of B2 Net",'1.3 Pivot'!$A$1,"Status 1 - Development","02 Under Construction")</f>
        <v>6</v>
      </c>
      <c r="K8" s="129">
        <f>GETPIVOTDATA("Sum of B2 Net2",'1.3 Pivot'!$A$1,"Status 1 - Development","02 Under Construction")</f>
        <v>-1091</v>
      </c>
      <c r="L8" s="127">
        <f>GETPIVOTDATA("Count of B8 Net",'1.3 Pivot'!$A$1,"Status 1 - Development","02 Under Construction")</f>
        <v>17</v>
      </c>
      <c r="M8" s="129">
        <f>GETPIVOTDATA("Sum of B8 Net2",'1.3 Pivot'!$A$1,"Status 1 - Development","02 Under Construction")</f>
        <v>-85383</v>
      </c>
      <c r="N8" s="150">
        <f>GETPIVOTDATA("Count of B Total Net",'1.3 Pivot'!$A$1,"Status 1 - Development","02 Under Construction")</f>
        <v>84</v>
      </c>
      <c r="O8" s="453">
        <f>GETPIVOTDATA("Sum of B Total Net2",'1.3 Pivot'!$A$1,"Status 1 - Development","02 Under Construction")</f>
        <v>-98570</v>
      </c>
      <c r="P8" s="21"/>
    </row>
    <row r="9" spans="1:21" ht="12" customHeight="1" x14ac:dyDescent="0.2">
      <c r="A9" s="608"/>
      <c r="B9" s="627"/>
      <c r="C9" s="61" t="s">
        <v>2966</v>
      </c>
      <c r="D9" s="90">
        <f>GETPIVOTDATA("Count of B1a Net",'1.3 Pivot'!$A$1,"Status 1 - Development","03 Planning","Status 2 - Permission Type","02 Full")</f>
        <v>63</v>
      </c>
      <c r="E9" s="87">
        <f>GETPIVOTDATA("Sum of B1a Net2",'1.3 Pivot'!$A$1,"Status 1 - Development","03 Planning","Status 2 - Permission Type","02 Full")</f>
        <v>15238</v>
      </c>
      <c r="F9" s="90">
        <f>GETPIVOTDATA("Count of B1b Net",'1.3 Pivot'!$A$1,"Status 1 - Development","03 Planning","Status 2 - Permission Type","02 Full")</f>
        <v>1</v>
      </c>
      <c r="G9" s="87">
        <f>GETPIVOTDATA("Sum of B1b Net2",'1.3 Pivot'!$A$1,"Status 1 - Development","03 Planning","Status 2 - Permission Type","02 Full")</f>
        <v>405</v>
      </c>
      <c r="H9" s="90">
        <f>GETPIVOTDATA("Count of B1c Net",'1.3 Pivot'!$A$1,"Status 1 - Development","03 Planning","Status 2 - Permission Type","02 Full")</f>
        <v>10</v>
      </c>
      <c r="I9" s="87">
        <f>GETPIVOTDATA("Sum of B1c Net2",'1.3 Pivot'!$A$1,"Status 1 - Development","03 Planning","Status 2 - Permission Type","02 Full")</f>
        <v>-1950</v>
      </c>
      <c r="J9" s="127">
        <f>GETPIVOTDATA("Count of B2 Net",'1.3 Pivot'!$A$1,"Status 1 - Development","03 Planning","Status 2 - Permission Type","02 Full")</f>
        <v>9</v>
      </c>
      <c r="K9" s="129">
        <f>GETPIVOTDATA("Sum of B2 Net2",'1.3 Pivot'!$A$1,"Status 1 - Development","03 Planning","Status 2 - Permission Type","02 Full")</f>
        <v>-1036</v>
      </c>
      <c r="L9" s="127">
        <f>GETPIVOTDATA("Count of B8 Net",'1.3 Pivot'!$A$1,"Status 1 - Development","03 Planning","Status 2 - Permission Type","02 Full")</f>
        <v>22</v>
      </c>
      <c r="M9" s="129">
        <f>GETPIVOTDATA("Sum of B8 Net2",'1.3 Pivot'!$A$1,"Status 1 - Development","03 Planning","Status 2 - Permission Type","02 Full")</f>
        <v>-1078</v>
      </c>
      <c r="N9" s="150">
        <f>GETPIVOTDATA("Count of B Total Net",'1.3 Pivot'!$A$1,"Status 1 - Development","03 Planning","Status 2 - Permission Type","02 Full")</f>
        <v>88</v>
      </c>
      <c r="O9" s="453">
        <f>GETPIVOTDATA("Sum of B Total Net2",'1.3 Pivot'!$A$1,"Status 1 - Development","03 Planning","Status 2 - Permission Type","02 Full")</f>
        <v>11579</v>
      </c>
      <c r="P9" s="21"/>
    </row>
    <row r="10" spans="1:21" ht="12" customHeight="1" x14ac:dyDescent="0.2">
      <c r="A10" s="608"/>
      <c r="B10" s="627"/>
      <c r="C10" s="61" t="s">
        <v>2967</v>
      </c>
      <c r="D10" s="90">
        <f>GETPIVOTDATA("Count of B1a Net",'1.3 Pivot'!$A$1,"Status 1 - Development","03 Planning","Status 2 - Permission Type","03 Outline")</f>
        <v>6</v>
      </c>
      <c r="E10" s="87">
        <f>GETPIVOTDATA("Sum of B1a Net2",'1.3 Pivot'!$A$1,"Status 1 - Development","03 Planning","Status 2 - Permission Type","03 Outline")</f>
        <v>100039</v>
      </c>
      <c r="F10" s="90">
        <f>GETPIVOTDATA("Count of B1b Net",'1.3 Pivot'!$A$1,"Status 1 - Development","03 Planning","Status 2 - Permission Type","03 Outline")</f>
        <v>0</v>
      </c>
      <c r="G10" s="87">
        <f>GETPIVOTDATA("Sum of B1b Net2",'1.3 Pivot'!$A$1,"Status 1 - Development","03 Planning","Status 2 - Permission Type","03 Outline")</f>
        <v>0</v>
      </c>
      <c r="H10" s="90">
        <f>GETPIVOTDATA("Count of B1c Net",'1.3 Pivot'!$A$1,"Status 1 - Development","03 Planning","Status 2 - Permission Type","03 Outline")</f>
        <v>0</v>
      </c>
      <c r="I10" s="87">
        <f>GETPIVOTDATA("Sum of B1c Net2",'1.3 Pivot'!$A$1,"Status 1 - Development","03 Planning","Status 2 - Permission Type","03 Outline")</f>
        <v>0</v>
      </c>
      <c r="J10" s="127">
        <f>GETPIVOTDATA("Count of B2 Net",'1.3 Pivot'!$A$1,"Status 1 - Development","03 Planning","Status 2 - Permission Type","03 Outline")</f>
        <v>0</v>
      </c>
      <c r="K10" s="129">
        <f>GETPIVOTDATA("Sum of B2 Net2",'1.3 Pivot'!$A$1,"Status 1 - Development","03 Planning","Status 2 - Permission Type","03 Outline")</f>
        <v>0</v>
      </c>
      <c r="L10" s="127">
        <f>GETPIVOTDATA("Count of B8 Net",'1.3 Pivot'!$A$1,"Status 1 - Development","03 Planning","Status 2 - Permission Type","03 Outline")</f>
        <v>0</v>
      </c>
      <c r="M10" s="129">
        <f>GETPIVOTDATA("Sum of B8 Net2",'1.3 Pivot'!$A$1,"Status 1 - Development","03 Planning","Status 2 - Permission Type","03 Outline")</f>
        <v>0</v>
      </c>
      <c r="N10" s="150">
        <f>GETPIVOTDATA("Count of B Total Net",'1.3 Pivot'!$A$1,"Status 1 - Development","03 Planning","Status 2 - Permission Type","03 Outline")</f>
        <v>6</v>
      </c>
      <c r="O10" s="453">
        <f>GETPIVOTDATA("Sum of B Total Net2",'1.3 Pivot'!$A$1,"Status 1 - Development","03 Planning","Status 2 - Permission Type","03 Outline")</f>
        <v>100039</v>
      </c>
      <c r="P10" s="21"/>
    </row>
    <row r="11" spans="1:21" s="55" customFormat="1" ht="24" customHeight="1" x14ac:dyDescent="0.2">
      <c r="A11" s="608"/>
      <c r="B11" s="627"/>
      <c r="C11" s="154" t="s">
        <v>3861</v>
      </c>
      <c r="D11" s="151">
        <f>GETPIVOTDATA("Count of B1a Net",'1.3 Pivot'!$A$1,"Status 1 - Development","03 Planning","Status 2 - Permission Type","04 Prior Approval")+GETPIVOTDATA("Count of B1a Net",'1.3 Pivot'!$A$1,"Status 1 - Development","03 Planning","Status 2 - Permission Type","05 Certificate of Lawful Development")</f>
        <v>58</v>
      </c>
      <c r="E11" s="152">
        <f>GETPIVOTDATA("Sum of B1a Net2",'1.3 Pivot'!$A$1,"Status 1 - Development","03 Planning","Status 2 - Permission Type","04 Prior Approval")+GETPIVOTDATA("Sum of B1a Net2",'1.3 Pivot'!$A$1,"Status 1 - Development","03 Planning","Status 2 - Permission Type","05 Certificate of Lawful Development")</f>
        <v>-20989</v>
      </c>
      <c r="F11" s="151">
        <f>GETPIVOTDATA("Count of B1b Net",'1.3 Pivot'!$A$1,"Status 1 - Development","03 Planning","Status 2 - Permission Type","04 Prior Approval")+GETPIVOTDATA("Count of B1b Net",'1.3 Pivot'!$A$1,"Status 1 - Development","03 Planning","Status 2 - Permission Type","05 Certificate of Lawful Development")</f>
        <v>0</v>
      </c>
      <c r="G11" s="152">
        <f>GETPIVOTDATA("Sum of B1b Net2",'1.3 Pivot'!$A$1,"Status 1 - Development","03 Planning","Status 2 - Permission Type","04 Prior Approval")+GETPIVOTDATA("Sum of B1b Net2",'1.3 Pivot'!$A$1,"Status 1 - Development","03 Planning","Status 2 - Permission Type","05 Certificate of Lawful Development")</f>
        <v>0</v>
      </c>
      <c r="H11" s="151">
        <f>GETPIVOTDATA("Count of B1c Net",'1.3 Pivot'!$A$1,"Status 1 - Development","03 Planning","Status 2 - Permission Type","04 Prior Approval")+GETPIVOTDATA("Count of B1c Net",'1.3 Pivot'!$A$1,"Status 1 - Development","03 Planning","Status 2 - Permission Type","05 Certificate of Lawful Development")</f>
        <v>0</v>
      </c>
      <c r="I11" s="152">
        <f>GETPIVOTDATA("Sum of B1c Net2",'1.3 Pivot'!$A$1,"Status 1 - Development","03 Planning","Status 2 - Permission Type","04 Prior Approval")+GETPIVOTDATA("Sum of B1c Net2",'1.3 Pivot'!$A$1,"Status 1 - Development","03 Planning","Status 2 - Permission Type","05 Certificate of Lawful Development")</f>
        <v>0</v>
      </c>
      <c r="J11" s="118">
        <f>GETPIVOTDATA("Count of B2 Net",'1.3 Pivot'!$A$1,"Status 1 - Development","03 Planning","Status 2 - Permission Type","04 Prior Approval")+GETPIVOTDATA("Count of B2 Net",'1.3 Pivot'!$A$1,"Status 1 - Development","03 Planning","Status 2 - Permission Type","05 Certificate of Lawful Development")</f>
        <v>1</v>
      </c>
      <c r="K11" s="120">
        <f>GETPIVOTDATA("Sum of B2 Net2",'1.3 Pivot'!$A$1,"Status 1 - Development","03 Planning","Status 2 - Permission Type","04 Prior Approval")+GETPIVOTDATA("Sum of B2 Net2",'1.3 Pivot'!$A$1,"Status 1 - Development","03 Planning","Status 2 - Permission Type","05 Certificate of Lawful Development")</f>
        <v>-1261</v>
      </c>
      <c r="L11" s="118">
        <f>GETPIVOTDATA("Count of B8 Net",'1.3 Pivot'!$A$1,"Status 1 - Development","03 Planning","Status 2 - Permission Type","04 Prior Approval")+GETPIVOTDATA("Count of B8 Net",'1.3 Pivot'!$A$1,"Status 1 - Development","03 Planning","Status 2 - Permission Type","05 Certificate of Lawful Development")</f>
        <v>2</v>
      </c>
      <c r="M11" s="120">
        <f>GETPIVOTDATA("Sum of B8 Net2",'1.3 Pivot'!$A$1,"Status 1 - Development","03 Planning","Status 2 - Permission Type","04 Prior Approval")+GETPIVOTDATA("Sum of B8 Net2",'1.3 Pivot'!$A$1,"Status 1 - Development","03 Planning","Status 2 - Permission Type","05 Certificate of Lawful Development")</f>
        <v>-1279</v>
      </c>
      <c r="N11" s="153">
        <f>GETPIVOTDATA("Count of B Total Net",'1.3 Pivot'!$A$1,"Status 1 - Development","03 Planning","Status 2 - Permission Type","04 Prior Approval")+GETPIVOTDATA("Count of B Total Net",'1.3 Pivot'!$A$1,"Status 1 - Development","03 Planning","Status 2 - Permission Type","05 Certificate of Lawful Development")</f>
        <v>59</v>
      </c>
      <c r="O11" s="454">
        <f>GETPIVOTDATA("Sum of B Total Net2",'1.3 Pivot'!$A$1,"Status 1 - Development","03 Planning","Status 2 - Permission Type","04 Prior Approval")+GETPIVOTDATA("Sum of B Total Net2",'1.3 Pivot'!$A$1,"Status 1 - Development","03 Planning","Status 2 - Permission Type","05 Certificate of Lawful Development")</f>
        <v>-23529</v>
      </c>
      <c r="P11" s="54"/>
    </row>
    <row r="12" spans="1:21" ht="12" customHeight="1" x14ac:dyDescent="0.2">
      <c r="A12" s="608"/>
      <c r="B12" s="628"/>
      <c r="C12" s="31" t="s">
        <v>95</v>
      </c>
      <c r="D12" s="94">
        <f>SUM(D8:D11)</f>
        <v>184</v>
      </c>
      <c r="E12" s="96">
        <f t="shared" ref="E12:O12" si="0">SUM(E8:E11)</f>
        <v>113101</v>
      </c>
      <c r="F12" s="94">
        <f t="shared" si="0"/>
        <v>1</v>
      </c>
      <c r="G12" s="96">
        <f t="shared" si="0"/>
        <v>405</v>
      </c>
      <c r="H12" s="94">
        <f t="shared" si="0"/>
        <v>21</v>
      </c>
      <c r="I12" s="96">
        <f t="shared" si="0"/>
        <v>-32859</v>
      </c>
      <c r="J12" s="94">
        <f t="shared" si="0"/>
        <v>16</v>
      </c>
      <c r="K12" s="96">
        <f t="shared" si="0"/>
        <v>-3388</v>
      </c>
      <c r="L12" s="94">
        <f t="shared" si="0"/>
        <v>41</v>
      </c>
      <c r="M12" s="96">
        <f t="shared" si="0"/>
        <v>-87740</v>
      </c>
      <c r="N12" s="455">
        <f t="shared" si="0"/>
        <v>237</v>
      </c>
      <c r="O12" s="456">
        <f t="shared" si="0"/>
        <v>-10481</v>
      </c>
      <c r="P12" s="21"/>
    </row>
    <row r="13" spans="1:21" ht="12" customHeight="1" x14ac:dyDescent="0.2">
      <c r="A13" s="608"/>
      <c r="B13" s="629" t="s">
        <v>424</v>
      </c>
      <c r="C13" s="60" t="s">
        <v>2932</v>
      </c>
      <c r="D13" s="80">
        <f>GETPIVOTDATA("Count of B1a Net",'1.3 Pivot'!$A$1,"Status 1 - Development","04 Pending","Status 2 - Permission Type","01 Pending Legal Agreement")</f>
        <v>11</v>
      </c>
      <c r="E13" s="81">
        <f>GETPIVOTDATA("Sum of B1a Net2",'1.3 Pivot'!$A$1,"Status 1 - Development","04 Pending","Status 2 - Permission Type","01 Pending Legal Agreement")</f>
        <v>26820</v>
      </c>
      <c r="F13" s="80">
        <f>GETPIVOTDATA("Count of B1b Net",'1.3 Pivot'!$A$1,"Status 1 - Development","04 Pending","Status 2 - Permission Type","01 Pending Legal Agreement")</f>
        <v>0</v>
      </c>
      <c r="G13" s="81">
        <f>GETPIVOTDATA("Sum of B1b Net2",'1.3 Pivot'!$A$1,"Status 1 - Development","04 Pending","Status 2 - Permission Type","01 Pending Legal Agreement")</f>
        <v>0</v>
      </c>
      <c r="H13" s="80">
        <f>GETPIVOTDATA("Count of B1c Net",'1.3 Pivot'!$A$1,"Status 1 - Development","04 Pending","Status 2 - Permission Type","01 Pending Legal Agreement")</f>
        <v>3</v>
      </c>
      <c r="I13" s="81">
        <f>GETPIVOTDATA("Sum of B1c Net2",'1.3 Pivot'!$A$1,"Status 1 - Development","04 Pending","Status 2 - Permission Type","01 Pending Legal Agreement")</f>
        <v>1410</v>
      </c>
      <c r="J13" s="115">
        <f>GETPIVOTDATA("Count of B2 Net",'1.3 Pivot'!$A$1,"Status 1 - Development","04 Pending","Status 2 - Permission Type","01 Pending Legal Agreement")</f>
        <v>0</v>
      </c>
      <c r="K13" s="117">
        <f>GETPIVOTDATA("Sum of B2 Net2",'1.3 Pivot'!$A$1,"Status 1 - Development","04 Pending","Status 2 - Permission Type","01 Pending Legal Agreement")</f>
        <v>0</v>
      </c>
      <c r="L13" s="115">
        <f>GETPIVOTDATA("Count of B8 Net",'1.3 Pivot'!$A$1,"Status 1 - Development","04 Pending","Status 2 - Permission Type","01 Pending Legal Agreement")</f>
        <v>0</v>
      </c>
      <c r="M13" s="117">
        <f>GETPIVOTDATA("Sum of B8 Net2",'1.3 Pivot'!$A$1,"Status 1 - Development","04 Pending","Status 2 - Permission Type","01 Pending Legal Agreement")</f>
        <v>0</v>
      </c>
      <c r="N13" s="457">
        <f>GETPIVOTDATA("Count of B Total Net",'1.3 Pivot'!$A$1,"Status 1 - Development","04 Pending","Status 2 - Permission Type","01 Pending Legal Agreement")</f>
        <v>12</v>
      </c>
      <c r="O13" s="458">
        <f>GETPIVOTDATA("Sum of B Total Net2",'1.3 Pivot'!$A$1,"Status 1 - Development","04 Pending","Status 2 - Permission Type","01 Pending Legal Agreement")</f>
        <v>28230</v>
      </c>
      <c r="P13" s="21"/>
    </row>
    <row r="14" spans="1:21" ht="12" customHeight="1" x14ac:dyDescent="0.2">
      <c r="A14" s="608"/>
      <c r="B14" s="630"/>
      <c r="C14" s="61" t="s">
        <v>2963</v>
      </c>
      <c r="D14" s="90">
        <f>GETPIVOTDATA("Count of B1a Net",'1.3 Pivot'!$A$1,"Status 1 - Development","04 Pending","Status 2 - Permission Type","02 Full")+GETPIVOTDATA("Count of B1a Net",'1.3 Pivot'!$A$1,"Status 1 - Development","04 Pending","Status 2 - Permission Type","03 Outline")</f>
        <v>18</v>
      </c>
      <c r="E14" s="87">
        <f>GETPIVOTDATA("Sum of B1a Net2",'1.3 Pivot'!$A$1,"Status 1 - Development","04 Pending","Status 2 - Permission Type","02 Full")+GETPIVOTDATA("Sum of B1a Net2",'1.3 Pivot'!$A$1,"Status 1 - Development","04 Pending","Status 2 - Permission Type","03 Outline")</f>
        <v>1031</v>
      </c>
      <c r="F14" s="90">
        <f>GETPIVOTDATA("Count of B1b Net",'1.3 Pivot'!$A$1,"Status 1 - Development","04 Pending","Status 2 - Permission Type","02 Full")+GETPIVOTDATA("Count of B1b Net",'1.3 Pivot'!$A$1,"Status 1 - Development","04 Pending","Status 2 - Permission Type","03 Outline")</f>
        <v>0</v>
      </c>
      <c r="G14" s="87">
        <f>GETPIVOTDATA("Sum of B1b Net2",'1.3 Pivot'!$A$1,"Status 1 - Development","04 Pending","Status 2 - Permission Type","02 Full")+GETPIVOTDATA("Sum of B1b Net2",'1.3 Pivot'!$A$1,"Status 1 - Development","04 Pending","Status 2 - Permission Type","03 Outline")</f>
        <v>0</v>
      </c>
      <c r="H14" s="90">
        <f>GETPIVOTDATA("Count of B1c Net",'1.3 Pivot'!$A$1,"Status 1 - Development","04 Pending","Status 2 - Permission Type","02 Full")+GETPIVOTDATA("Count of B1c Net",'1.3 Pivot'!$A$1,"Status 1 - Development","04 Pending","Status 2 - Permission Type","03 Outline")</f>
        <v>3</v>
      </c>
      <c r="I14" s="87">
        <f>GETPIVOTDATA("Sum of B1c Net2",'1.3 Pivot'!$A$1,"Status 1 - Development","04 Pending","Status 2 - Permission Type","02 Full")+GETPIVOTDATA("Sum of B1c Net2",'1.3 Pivot'!$A$1,"Status 1 - Development","04 Pending","Status 2 - Permission Type","03 Outline")</f>
        <v>-319</v>
      </c>
      <c r="J14" s="127">
        <f>GETPIVOTDATA("Count of B2 Net",'1.3 Pivot'!$A$1,"Status 1 - Development","04 Pending","Status 2 - Permission Type","02 Full")+GETPIVOTDATA("Count of B2 Net",'1.3 Pivot'!$A$1,"Status 1 - Development","04 Pending","Status 2 - Permission Type","03 Outline")</f>
        <v>1</v>
      </c>
      <c r="K14" s="129">
        <f>GETPIVOTDATA("Sum of B2 Net2",'1.3 Pivot'!$A$1,"Status 1 - Development","04 Pending","Status 2 - Permission Type","02 Full")+GETPIVOTDATA("Sum of B2 Net2",'1.3 Pivot'!$A$1,"Status 1 - Development","04 Pending","Status 2 - Permission Type","03 Outline")</f>
        <v>-88</v>
      </c>
      <c r="L14" s="127">
        <f>GETPIVOTDATA("Count of B8 Net",'1.3 Pivot'!$A$1,"Status 1 - Development","04 Pending","Status 2 - Permission Type","02 Full")+GETPIVOTDATA("Count of B8 Net",'1.3 Pivot'!$A$1,"Status 1 - Development","04 Pending","Status 2 - Permission Type","03 Outline")</f>
        <v>7</v>
      </c>
      <c r="M14" s="129">
        <f>GETPIVOTDATA("Sum of B8 Net2",'1.3 Pivot'!$A$1,"Status 1 - Development","04 Pending","Status 2 - Permission Type","02 Full")+GETPIVOTDATA("Sum of B8 Net2",'1.3 Pivot'!$A$1,"Status 1 - Development","04 Pending","Status 2 - Permission Type","03 Outline")</f>
        <v>-1141</v>
      </c>
      <c r="N14" s="150">
        <f>GETPIVOTDATA("Count of B Total Net",'1.3 Pivot'!$A$1,"Status 1 - Development","04 Pending","Status 2 - Permission Type","02 Full")+GETPIVOTDATA("Count of B Total Net",'1.3 Pivot'!$A$1,"Status 1 - Development","04 Pending","Status 2 - Permission Type","03 Outline")</f>
        <v>27</v>
      </c>
      <c r="O14" s="453">
        <f>GETPIVOTDATA("Sum of B Total Net2",'1.3 Pivot'!$A$1,"Status 1 - Development","04 Pending","Status 2 - Permission Type","02 Full")+GETPIVOTDATA("Sum of B Total Net2",'1.3 Pivot'!$A$1,"Status 1 - Development","04 Pending","Status 2 - Permission Type","03 Outline")</f>
        <v>-517</v>
      </c>
      <c r="P14" s="21"/>
    </row>
    <row r="15" spans="1:21" ht="24" customHeight="1" x14ac:dyDescent="0.2">
      <c r="A15" s="608"/>
      <c r="B15" s="630"/>
      <c r="C15" s="61" t="s">
        <v>3861</v>
      </c>
      <c r="D15" s="90">
        <f>GETPIVOTDATA("Count of B1a Net",'1.3 Pivot'!$A$1,"Status 1 - Development","04 Pending","Status 2 - Permission Type","04 Prior Approval")+GETPIVOTDATA("Count of B1a Net",'1.3 Pivot'!$A$1,"Status 1 - Development","04 Pending","Status 2 - Permission Type","05 Certificate of Lawful Development")</f>
        <v>11</v>
      </c>
      <c r="E15" s="87">
        <f>GETPIVOTDATA("Sum of B1a Net2",'1.3 Pivot'!$A$1,"Status 1 - Development","04 Pending","Status 2 - Permission Type","04 Prior Approval")+GETPIVOTDATA("Sum of B1a Net2",'1.3 Pivot'!$A$1,"Status 1 - Development","04 Pending","Status 2 - Permission Type","05 Certificate of Lawful Development")</f>
        <v>-5006</v>
      </c>
      <c r="F15" s="90">
        <f>GETPIVOTDATA("Count of B1b Net",'1.3 Pivot'!$A$1,"Status 1 - Development","04 Pending","Status 2 - Permission Type","04 Prior Approval")+GETPIVOTDATA("Count of B1b Net",'1.3 Pivot'!$A$1,"Status 1 - Development","04 Pending","Status 2 - Permission Type","05 Certificate of Lawful Development")</f>
        <v>0</v>
      </c>
      <c r="G15" s="87">
        <f>GETPIVOTDATA("Sum of B1b Net2",'1.3 Pivot'!$A$1,"Status 1 - Development","04 Pending","Status 2 - Permission Type","04 Prior Approval")+GETPIVOTDATA("Sum of B1b Net2",'1.3 Pivot'!$A$1,"Status 1 - Development","04 Pending","Status 2 - Permission Type","05 Certificate of Lawful Development")</f>
        <v>0</v>
      </c>
      <c r="H15" s="90">
        <f>GETPIVOTDATA("Count of B1c Net",'1.3 Pivot'!$A$1,"Status 1 - Development","04 Pending","Status 2 - Permission Type","04 Prior Approval")+GETPIVOTDATA("Count of B1c Net",'1.3 Pivot'!$A$1,"Status 1 - Development","04 Pending","Status 2 - Permission Type","05 Certificate of Lawful Development")</f>
        <v>0</v>
      </c>
      <c r="I15" s="87">
        <f>GETPIVOTDATA("Sum of B1c Net2",'1.3 Pivot'!$A$1,"Status 1 - Development","04 Pending","Status 2 - Permission Type","04 Prior Approval")+GETPIVOTDATA("Sum of B1c Net2",'1.3 Pivot'!$A$1,"Status 1 - Development","04 Pending","Status 2 - Permission Type","05 Certificate of Lawful Development")</f>
        <v>0</v>
      </c>
      <c r="J15" s="127">
        <f>GETPIVOTDATA("Count of B2 Net",'1.3 Pivot'!$A$1,"Status 1 - Development","04 Pending","Status 2 - Permission Type","04 Prior Approval")+GETPIVOTDATA("Count of B2 Net",'1.3 Pivot'!$A$1,"Status 1 - Development","04 Pending","Status 2 - Permission Type","05 Certificate of Lawful Development")</f>
        <v>0</v>
      </c>
      <c r="K15" s="129">
        <f>GETPIVOTDATA("Sum of B2 Net2",'1.3 Pivot'!$A$1,"Status 1 - Development","04 Pending","Status 2 - Permission Type","04 Prior Approval")+GETPIVOTDATA("Sum of B2 Net2",'1.3 Pivot'!$A$1,"Status 1 - Development","04 Pending","Status 2 - Permission Type","05 Certificate of Lawful Development")</f>
        <v>0</v>
      </c>
      <c r="L15" s="127">
        <f>GETPIVOTDATA("Count of B8 Net",'1.3 Pivot'!$A$1,"Status 1 - Development","04 Pending","Status 2 - Permission Type","04 Prior Approval")+GETPIVOTDATA("Count of B8 Net",'1.3 Pivot'!$A$1,"Status 1 - Development","04 Pending","Status 2 - Permission Type","05 Certificate of Lawful Development")</f>
        <v>0</v>
      </c>
      <c r="M15" s="129">
        <f>GETPIVOTDATA("Sum of B8 Net2",'1.3 Pivot'!$A$1,"Status 1 - Development","04 Pending","Status 2 - Permission Type","04 Prior Approval")+GETPIVOTDATA("Sum of B8 Net2",'1.3 Pivot'!$A$1,"Status 1 - Development","04 Pending","Status 2 - Permission Type","05 Certificate of Lawful Development")</f>
        <v>0</v>
      </c>
      <c r="N15" s="150">
        <f>GETPIVOTDATA("Count of B Total Net",'1.3 Pivot'!$A$1,"Status 1 - Development","04 Pending","Status 2 - Permission Type","04 Prior Approval")+GETPIVOTDATA("Count of B Total Net",'1.3 Pivot'!$A$1,"Status 1 - Development","04 Pending","Status 2 - Permission Type","05 Certificate of Lawful Development")</f>
        <v>11</v>
      </c>
      <c r="O15" s="453">
        <f>GETPIVOTDATA("Sum of B Total Net2",'1.3 Pivot'!$A$1,"Status 1 - Development","04 Pending","Status 2 - Permission Type","04 Prior Approval")+GETPIVOTDATA("Sum of B Total Net2",'1.3 Pivot'!$A$1,"Status 1 - Development","04 Pending","Status 2 - Permission Type","05 Certificate of Lawful Development")</f>
        <v>-5006</v>
      </c>
      <c r="P15" s="21"/>
    </row>
    <row r="16" spans="1:21" ht="12" customHeight="1" x14ac:dyDescent="0.2">
      <c r="A16" s="608"/>
      <c r="B16" s="630"/>
      <c r="C16" s="154" t="s">
        <v>2933</v>
      </c>
      <c r="D16" s="151">
        <f>GETPIVOTDATA("Count of B1a Net",'1.3 Pivot'!$A$1,"Status 1 - Development","04 Pending","Status 2 - Permission Type","06 Appeal")</f>
        <v>1</v>
      </c>
      <c r="E16" s="152">
        <f>GETPIVOTDATA("Sum of B1a Net2",'1.3 Pivot'!$A$1,"Status 1 - Development","04 Pending","Status 2 - Permission Type","06 Appeal")</f>
        <v>-63</v>
      </c>
      <c r="F16" s="151">
        <f>GETPIVOTDATA("Count of B1b Net",'1.3 Pivot'!$A$1,"Status 1 - Development","04 Pending","Status 2 - Permission Type","06 Appeal")</f>
        <v>0</v>
      </c>
      <c r="G16" s="152">
        <f>GETPIVOTDATA("Sum of B1b Net2",'1.3 Pivot'!$A$1,"Status 1 - Development","04 Pending","Status 2 - Permission Type","06 Appeal")</f>
        <v>0</v>
      </c>
      <c r="H16" s="151">
        <f>GETPIVOTDATA("Count of B1c Net",'1.3 Pivot'!$A$1,"Status 1 - Development","04 Pending","Status 2 - Permission Type","06 Appeal")</f>
        <v>1</v>
      </c>
      <c r="I16" s="152">
        <f>GETPIVOTDATA("Sum of B1c Net2",'1.3 Pivot'!$A$1,"Status 1 - Development","04 Pending","Status 2 - Permission Type","06 Appeal")</f>
        <v>-84</v>
      </c>
      <c r="J16" s="118">
        <f>GETPIVOTDATA("Count of B2 Net",'1.3 Pivot'!$A$1,"Status 1 - Development","04 Pending","Status 2 - Permission Type","06 Appeal")</f>
        <v>0</v>
      </c>
      <c r="K16" s="120">
        <f>GETPIVOTDATA("Sum of B2 Net2",'1.3 Pivot'!$A$1,"Status 1 - Development","04 Pending","Status 2 - Permission Type","06 Appeal")</f>
        <v>0</v>
      </c>
      <c r="L16" s="118">
        <f>GETPIVOTDATA("Count of B8 Net",'1.3 Pivot'!$A$1,"Status 1 - Development","04 Pending","Status 2 - Permission Type","06 Appeal")</f>
        <v>0</v>
      </c>
      <c r="M16" s="120">
        <f>GETPIVOTDATA("Sum of B8 Net2",'1.3 Pivot'!$A$1,"Status 1 - Development","04 Pending","Status 2 - Permission Type","06 Appeal")</f>
        <v>0</v>
      </c>
      <c r="N16" s="153">
        <f>GETPIVOTDATA("Count of B Total Net",'1.3 Pivot'!$A$1,"Status 1 - Development","04 Pending","Status 2 - Permission Type","06 Appeal")</f>
        <v>2</v>
      </c>
      <c r="O16" s="454">
        <f>GETPIVOTDATA("Sum of B Total Net2",'1.3 Pivot'!$A$1,"Status 1 - Development","04 Pending","Status 2 - Permission Type","06 Appeal")</f>
        <v>-147</v>
      </c>
      <c r="P16" s="21"/>
    </row>
    <row r="17" spans="1:16" ht="12" customHeight="1" x14ac:dyDescent="0.2">
      <c r="A17" s="608"/>
      <c r="B17" s="631"/>
      <c r="C17" s="147" t="s">
        <v>95</v>
      </c>
      <c r="D17" s="102">
        <f>SUM(D13:D16)</f>
        <v>41</v>
      </c>
      <c r="E17" s="103">
        <f t="shared" ref="E17:O17" si="1">SUM(E13:E16)</f>
        <v>22782</v>
      </c>
      <c r="F17" s="102">
        <f t="shared" si="1"/>
        <v>0</v>
      </c>
      <c r="G17" s="103">
        <f t="shared" si="1"/>
        <v>0</v>
      </c>
      <c r="H17" s="102">
        <f t="shared" si="1"/>
        <v>7</v>
      </c>
      <c r="I17" s="103">
        <f t="shared" si="1"/>
        <v>1007</v>
      </c>
      <c r="J17" s="102">
        <f t="shared" si="1"/>
        <v>1</v>
      </c>
      <c r="K17" s="103">
        <f t="shared" si="1"/>
        <v>-88</v>
      </c>
      <c r="L17" s="102">
        <f t="shared" si="1"/>
        <v>7</v>
      </c>
      <c r="M17" s="103">
        <f t="shared" si="1"/>
        <v>-1141</v>
      </c>
      <c r="N17" s="455">
        <f t="shared" si="1"/>
        <v>52</v>
      </c>
      <c r="O17" s="456">
        <f t="shared" si="1"/>
        <v>22560</v>
      </c>
      <c r="P17" s="21"/>
    </row>
    <row r="18" spans="1:16" ht="12" customHeight="1" x14ac:dyDescent="0.2">
      <c r="A18" s="609"/>
      <c r="B18" s="590" t="s">
        <v>95</v>
      </c>
      <c r="C18" s="590"/>
      <c r="D18" s="102">
        <f>D17+D12</f>
        <v>225</v>
      </c>
      <c r="E18" s="103">
        <f t="shared" ref="E18:O18" si="2">E17+E12</f>
        <v>135883</v>
      </c>
      <c r="F18" s="102">
        <f t="shared" si="2"/>
        <v>1</v>
      </c>
      <c r="G18" s="103">
        <f t="shared" si="2"/>
        <v>405</v>
      </c>
      <c r="H18" s="102">
        <f t="shared" si="2"/>
        <v>28</v>
      </c>
      <c r="I18" s="103">
        <f t="shared" si="2"/>
        <v>-31852</v>
      </c>
      <c r="J18" s="102">
        <f t="shared" si="2"/>
        <v>17</v>
      </c>
      <c r="K18" s="103">
        <f t="shared" si="2"/>
        <v>-3476</v>
      </c>
      <c r="L18" s="102">
        <f t="shared" si="2"/>
        <v>48</v>
      </c>
      <c r="M18" s="103">
        <f t="shared" si="2"/>
        <v>-88881</v>
      </c>
      <c r="N18" s="455">
        <f t="shared" si="2"/>
        <v>289</v>
      </c>
      <c r="O18" s="456">
        <f t="shared" si="2"/>
        <v>12079</v>
      </c>
      <c r="P18" s="21"/>
    </row>
    <row r="19" spans="1:16" x14ac:dyDescent="0.2">
      <c r="A19" s="294"/>
      <c r="P19" s="21"/>
    </row>
    <row r="20" spans="1:16" ht="14.25" x14ac:dyDescent="0.2">
      <c r="A20" s="430" t="s">
        <v>4005</v>
      </c>
      <c r="P20" s="21"/>
    </row>
    <row r="21" spans="1:16" x14ac:dyDescent="0.2">
      <c r="B21" s="16"/>
    </row>
    <row r="22" spans="1:16" ht="12.75" x14ac:dyDescent="0.2">
      <c r="A22" s="422" t="s">
        <v>3926</v>
      </c>
    </row>
    <row r="25" spans="1:16" x14ac:dyDescent="0.2">
      <c r="F25" s="21"/>
      <c r="J25" s="21"/>
    </row>
    <row r="26" spans="1:16" x14ac:dyDescent="0.2">
      <c r="K26" s="21"/>
    </row>
    <row r="27" spans="1:16" x14ac:dyDescent="0.2">
      <c r="K27" s="21"/>
    </row>
    <row r="67" spans="1:9" x14ac:dyDescent="0.2">
      <c r="A67" s="425"/>
      <c r="B67" s="37"/>
      <c r="C67" s="37"/>
      <c r="D67" s="18"/>
      <c r="E67" s="18"/>
      <c r="F67" s="18"/>
      <c r="G67" s="18"/>
      <c r="H67" s="18"/>
      <c r="I67" s="18"/>
    </row>
  </sheetData>
  <mergeCells count="17">
    <mergeCell ref="J4:K4"/>
    <mergeCell ref="L4:M4"/>
    <mergeCell ref="N4:O5"/>
    <mergeCell ref="L5:M5"/>
    <mergeCell ref="J5:K5"/>
    <mergeCell ref="A7:C7"/>
    <mergeCell ref="D5:E5"/>
    <mergeCell ref="F5:G5"/>
    <mergeCell ref="H5:I5"/>
    <mergeCell ref="B8:B12"/>
    <mergeCell ref="A8:A18"/>
    <mergeCell ref="B13:B17"/>
    <mergeCell ref="B18:C18"/>
    <mergeCell ref="A4:C6"/>
    <mergeCell ref="D4:E4"/>
    <mergeCell ref="F4:G4"/>
    <mergeCell ref="H4:I4"/>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X18"/>
  <sheetViews>
    <sheetView workbookViewId="0"/>
  </sheetViews>
  <sheetFormatPr defaultRowHeight="12" x14ac:dyDescent="0.2"/>
  <cols>
    <col min="1" max="1" width="20.140625" bestFit="1" customWidth="1"/>
    <col min="2" max="2" width="30.28515625" bestFit="1" customWidth="1"/>
    <col min="3" max="3" width="19.5703125" bestFit="1" customWidth="1"/>
    <col min="4" max="4" width="19.5703125" customWidth="1"/>
    <col min="5" max="5" width="19.5703125" bestFit="1" customWidth="1"/>
    <col min="6" max="6" width="19.5703125" customWidth="1"/>
    <col min="7" max="22" width="19.5703125" bestFit="1" customWidth="1"/>
    <col min="23" max="24" width="19" bestFit="1" customWidth="1"/>
  </cols>
  <sheetData>
    <row r="1" spans="1:24" x14ac:dyDescent="0.2">
      <c r="C1" s="77" t="s">
        <v>208</v>
      </c>
      <c r="D1" s="77" t="s">
        <v>415</v>
      </c>
    </row>
    <row r="2" spans="1:24" x14ac:dyDescent="0.2">
      <c r="C2" s="446" t="s">
        <v>41</v>
      </c>
      <c r="E2" s="446" t="s">
        <v>43</v>
      </c>
      <c r="G2" s="446" t="s">
        <v>60</v>
      </c>
      <c r="I2" s="446" t="s">
        <v>1021</v>
      </c>
      <c r="K2" s="446" t="s">
        <v>56</v>
      </c>
      <c r="M2" s="446" t="s">
        <v>37</v>
      </c>
      <c r="O2" s="446" t="s">
        <v>49</v>
      </c>
      <c r="Q2" s="446" t="s">
        <v>25</v>
      </c>
      <c r="S2" s="446" t="s">
        <v>31</v>
      </c>
      <c r="U2" s="446" t="s">
        <v>153</v>
      </c>
      <c r="W2" s="446" t="s">
        <v>3844</v>
      </c>
      <c r="X2" s="446" t="s">
        <v>3845</v>
      </c>
    </row>
    <row r="3" spans="1:24" x14ac:dyDescent="0.2">
      <c r="A3" s="77" t="s">
        <v>2939</v>
      </c>
      <c r="B3" s="77" t="s">
        <v>2940</v>
      </c>
      <c r="C3" s="446" t="s">
        <v>3838</v>
      </c>
      <c r="D3" s="446" t="s">
        <v>3839</v>
      </c>
      <c r="E3" s="446" t="s">
        <v>3838</v>
      </c>
      <c r="F3" s="446" t="s">
        <v>3839</v>
      </c>
      <c r="G3" s="446" t="s">
        <v>3838</v>
      </c>
      <c r="H3" s="446" t="s">
        <v>3839</v>
      </c>
      <c r="I3" s="446" t="s">
        <v>3838</v>
      </c>
      <c r="J3" s="446" t="s">
        <v>3839</v>
      </c>
      <c r="K3" s="446" t="s">
        <v>3838</v>
      </c>
      <c r="L3" s="446" t="s">
        <v>3839</v>
      </c>
      <c r="M3" s="446" t="s">
        <v>3838</v>
      </c>
      <c r="N3" s="446" t="s">
        <v>3839</v>
      </c>
      <c r="O3" s="446" t="s">
        <v>3838</v>
      </c>
      <c r="P3" s="446" t="s">
        <v>3839</v>
      </c>
      <c r="Q3" s="446" t="s">
        <v>3838</v>
      </c>
      <c r="R3" s="446" t="s">
        <v>3839</v>
      </c>
      <c r="S3" s="446" t="s">
        <v>3838</v>
      </c>
      <c r="T3" s="446" t="s">
        <v>3839</v>
      </c>
      <c r="U3" s="446" t="s">
        <v>3838</v>
      </c>
      <c r="V3" s="446" t="s">
        <v>3839</v>
      </c>
    </row>
    <row r="4" spans="1:24" x14ac:dyDescent="0.2">
      <c r="A4" s="446" t="s">
        <v>2936</v>
      </c>
      <c r="C4" s="74">
        <v>1</v>
      </c>
      <c r="D4" s="74">
        <v>22</v>
      </c>
      <c r="E4" s="74">
        <v>4</v>
      </c>
      <c r="F4" s="74">
        <v>586</v>
      </c>
      <c r="G4" s="74">
        <v>13</v>
      </c>
      <c r="H4" s="74">
        <v>4523</v>
      </c>
      <c r="I4" s="74">
        <v>0</v>
      </c>
      <c r="J4" s="74">
        <v>0</v>
      </c>
      <c r="K4" s="74">
        <v>1</v>
      </c>
      <c r="L4" s="74">
        <v>980</v>
      </c>
      <c r="M4" s="74">
        <v>2</v>
      </c>
      <c r="N4" s="74">
        <v>523</v>
      </c>
      <c r="O4" s="74">
        <v>8</v>
      </c>
      <c r="P4" s="74">
        <v>1285</v>
      </c>
      <c r="Q4" s="74">
        <v>3</v>
      </c>
      <c r="R4" s="74">
        <v>1335</v>
      </c>
      <c r="S4" s="74">
        <v>2</v>
      </c>
      <c r="T4" s="74">
        <v>580</v>
      </c>
      <c r="U4" s="74">
        <v>0</v>
      </c>
      <c r="V4" s="74">
        <v>0</v>
      </c>
      <c r="W4" s="74">
        <v>34</v>
      </c>
      <c r="X4" s="74">
        <v>9834</v>
      </c>
    </row>
    <row r="5" spans="1:24" x14ac:dyDescent="0.2">
      <c r="A5" s="446" t="s">
        <v>2935</v>
      </c>
      <c r="C5" s="74">
        <v>2</v>
      </c>
      <c r="D5" s="74">
        <v>716</v>
      </c>
      <c r="E5" s="74">
        <v>2</v>
      </c>
      <c r="F5" s="74">
        <v>548</v>
      </c>
      <c r="G5" s="74">
        <v>12</v>
      </c>
      <c r="H5" s="74">
        <v>39391</v>
      </c>
      <c r="I5" s="74">
        <v>0</v>
      </c>
      <c r="J5" s="74">
        <v>0</v>
      </c>
      <c r="K5" s="74">
        <v>2</v>
      </c>
      <c r="L5" s="74">
        <v>586</v>
      </c>
      <c r="M5" s="74">
        <v>3</v>
      </c>
      <c r="N5" s="74">
        <v>2545</v>
      </c>
      <c r="O5" s="74">
        <v>3</v>
      </c>
      <c r="P5" s="74">
        <v>638</v>
      </c>
      <c r="Q5" s="74">
        <v>4</v>
      </c>
      <c r="R5" s="74">
        <v>9669</v>
      </c>
      <c r="S5" s="74">
        <v>9</v>
      </c>
      <c r="T5" s="74">
        <v>7029</v>
      </c>
      <c r="U5" s="74">
        <v>0</v>
      </c>
      <c r="V5" s="74">
        <v>0</v>
      </c>
      <c r="W5" s="74">
        <v>37</v>
      </c>
      <c r="X5" s="74">
        <v>61122</v>
      </c>
    </row>
    <row r="6" spans="1:24" x14ac:dyDescent="0.2">
      <c r="A6" s="446" t="s">
        <v>2937</v>
      </c>
      <c r="B6" s="446" t="s">
        <v>2946</v>
      </c>
      <c r="C6" s="74">
        <v>3</v>
      </c>
      <c r="D6" s="74">
        <v>593</v>
      </c>
      <c r="E6" s="74">
        <v>5</v>
      </c>
      <c r="F6" s="74">
        <v>957</v>
      </c>
      <c r="G6" s="74">
        <v>2</v>
      </c>
      <c r="H6" s="74">
        <v>1200</v>
      </c>
      <c r="I6" s="74">
        <v>1</v>
      </c>
      <c r="J6" s="74">
        <v>20</v>
      </c>
      <c r="K6" s="74">
        <v>1</v>
      </c>
      <c r="L6" s="74">
        <v>1924</v>
      </c>
      <c r="M6" s="74">
        <v>2</v>
      </c>
      <c r="N6" s="74">
        <v>283</v>
      </c>
      <c r="O6" s="74">
        <v>14</v>
      </c>
      <c r="P6" s="74">
        <v>4181</v>
      </c>
      <c r="Q6" s="74">
        <v>0</v>
      </c>
      <c r="R6" s="74">
        <v>0</v>
      </c>
      <c r="S6" s="74">
        <v>3</v>
      </c>
      <c r="T6" s="74">
        <v>499</v>
      </c>
      <c r="U6" s="74">
        <v>0</v>
      </c>
      <c r="V6" s="74">
        <v>0</v>
      </c>
      <c r="W6" s="74">
        <v>31</v>
      </c>
      <c r="X6" s="74">
        <v>9657</v>
      </c>
    </row>
    <row r="7" spans="1:24" x14ac:dyDescent="0.2">
      <c r="B7" s="446" t="s">
        <v>2947</v>
      </c>
      <c r="C7" s="74">
        <v>0</v>
      </c>
      <c r="D7" s="74">
        <v>0</v>
      </c>
      <c r="E7" s="74">
        <v>0</v>
      </c>
      <c r="F7" s="74">
        <v>0</v>
      </c>
      <c r="G7" s="74">
        <v>0</v>
      </c>
      <c r="H7" s="74">
        <v>0</v>
      </c>
      <c r="I7" s="74">
        <v>0</v>
      </c>
      <c r="J7" s="74">
        <v>0</v>
      </c>
      <c r="K7" s="74">
        <v>1</v>
      </c>
      <c r="L7" s="74">
        <v>1511</v>
      </c>
      <c r="M7" s="74">
        <v>0</v>
      </c>
      <c r="N7" s="74">
        <v>0</v>
      </c>
      <c r="O7" s="74">
        <v>0</v>
      </c>
      <c r="P7" s="74">
        <v>0</v>
      </c>
      <c r="Q7" s="74">
        <v>8</v>
      </c>
      <c r="R7" s="74">
        <v>5361</v>
      </c>
      <c r="S7" s="74">
        <v>1</v>
      </c>
      <c r="T7" s="74">
        <v>44</v>
      </c>
      <c r="U7" s="74">
        <v>0</v>
      </c>
      <c r="V7" s="74">
        <v>0</v>
      </c>
      <c r="W7" s="74">
        <v>10</v>
      </c>
      <c r="X7" s="74">
        <v>6916</v>
      </c>
    </row>
    <row r="8" spans="1:24" x14ac:dyDescent="0.2">
      <c r="B8" s="446" t="s">
        <v>2948</v>
      </c>
      <c r="C8" s="74">
        <v>0</v>
      </c>
      <c r="D8" s="74">
        <v>0</v>
      </c>
      <c r="E8" s="74">
        <v>0</v>
      </c>
      <c r="F8" s="74">
        <v>0</v>
      </c>
      <c r="G8" s="74">
        <v>0</v>
      </c>
      <c r="H8" s="74">
        <v>0</v>
      </c>
      <c r="I8" s="74">
        <v>0</v>
      </c>
      <c r="J8" s="74">
        <v>0</v>
      </c>
      <c r="K8" s="74">
        <v>0</v>
      </c>
      <c r="L8" s="74">
        <v>0</v>
      </c>
      <c r="M8" s="74">
        <v>0</v>
      </c>
      <c r="N8" s="74">
        <v>0</v>
      </c>
      <c r="O8" s="74">
        <v>0</v>
      </c>
      <c r="P8" s="74">
        <v>0</v>
      </c>
      <c r="Q8" s="74">
        <v>0</v>
      </c>
      <c r="R8" s="74">
        <v>0</v>
      </c>
      <c r="S8" s="74">
        <v>0</v>
      </c>
      <c r="T8" s="74">
        <v>0</v>
      </c>
      <c r="U8" s="74">
        <v>0</v>
      </c>
      <c r="V8" s="74">
        <v>0</v>
      </c>
      <c r="W8" s="74">
        <v>0</v>
      </c>
      <c r="X8" s="74">
        <v>0</v>
      </c>
    </row>
    <row r="9" spans="1:24" x14ac:dyDescent="0.2">
      <c r="B9" s="446" t="s">
        <v>2949</v>
      </c>
      <c r="C9" s="74">
        <v>0</v>
      </c>
      <c r="D9" s="74">
        <v>0</v>
      </c>
      <c r="E9" s="74">
        <v>0</v>
      </c>
      <c r="F9" s="74">
        <v>0</v>
      </c>
      <c r="G9" s="74">
        <v>0</v>
      </c>
      <c r="H9" s="74">
        <v>0</v>
      </c>
      <c r="I9" s="74">
        <v>0</v>
      </c>
      <c r="J9" s="74">
        <v>0</v>
      </c>
      <c r="K9" s="74">
        <v>0</v>
      </c>
      <c r="L9" s="74">
        <v>0</v>
      </c>
      <c r="M9" s="74">
        <v>0</v>
      </c>
      <c r="N9" s="74">
        <v>0</v>
      </c>
      <c r="O9" s="74">
        <v>0</v>
      </c>
      <c r="P9" s="74">
        <v>0</v>
      </c>
      <c r="Q9" s="74">
        <v>0</v>
      </c>
      <c r="R9" s="74">
        <v>0</v>
      </c>
      <c r="S9" s="74">
        <v>0</v>
      </c>
      <c r="T9" s="74">
        <v>0</v>
      </c>
      <c r="U9" s="74">
        <v>0</v>
      </c>
      <c r="V9" s="74">
        <v>0</v>
      </c>
      <c r="W9" s="74">
        <v>0</v>
      </c>
      <c r="X9" s="74">
        <v>0</v>
      </c>
    </row>
    <row r="10" spans="1:24" x14ac:dyDescent="0.2">
      <c r="A10" s="446" t="s">
        <v>2956</v>
      </c>
      <c r="B10" s="446"/>
      <c r="C10" s="74">
        <v>3</v>
      </c>
      <c r="D10" s="74">
        <v>593</v>
      </c>
      <c r="E10" s="74">
        <v>5</v>
      </c>
      <c r="F10" s="74">
        <v>957</v>
      </c>
      <c r="G10" s="74">
        <v>2</v>
      </c>
      <c r="H10" s="74">
        <v>1200</v>
      </c>
      <c r="I10" s="74">
        <v>1</v>
      </c>
      <c r="J10" s="74">
        <v>20</v>
      </c>
      <c r="K10" s="74">
        <v>2</v>
      </c>
      <c r="L10" s="74">
        <v>3435</v>
      </c>
      <c r="M10" s="74">
        <v>2</v>
      </c>
      <c r="N10" s="74">
        <v>283</v>
      </c>
      <c r="O10" s="74">
        <v>14</v>
      </c>
      <c r="P10" s="74">
        <v>4181</v>
      </c>
      <c r="Q10" s="74">
        <v>8</v>
      </c>
      <c r="R10" s="74">
        <v>5361</v>
      </c>
      <c r="S10" s="74">
        <v>4</v>
      </c>
      <c r="T10" s="74">
        <v>543</v>
      </c>
      <c r="U10" s="74">
        <v>0</v>
      </c>
      <c r="V10" s="74">
        <v>0</v>
      </c>
      <c r="W10" s="74">
        <v>41</v>
      </c>
      <c r="X10" s="74">
        <v>16573</v>
      </c>
    </row>
    <row r="11" spans="1:24" x14ac:dyDescent="0.2">
      <c r="A11" s="446" t="s">
        <v>2938</v>
      </c>
      <c r="B11" s="446" t="s">
        <v>2945</v>
      </c>
      <c r="C11" s="74">
        <v>1</v>
      </c>
      <c r="D11" s="74">
        <v>1231</v>
      </c>
      <c r="E11" s="74">
        <v>0</v>
      </c>
      <c r="F11" s="74">
        <v>0</v>
      </c>
      <c r="G11" s="74">
        <v>1</v>
      </c>
      <c r="H11" s="74">
        <v>5175</v>
      </c>
      <c r="I11" s="74">
        <v>0</v>
      </c>
      <c r="J11" s="74">
        <v>0</v>
      </c>
      <c r="K11" s="74">
        <v>0</v>
      </c>
      <c r="L11" s="74">
        <v>0</v>
      </c>
      <c r="M11" s="74">
        <v>0</v>
      </c>
      <c r="N11" s="74">
        <v>0</v>
      </c>
      <c r="O11" s="74">
        <v>0</v>
      </c>
      <c r="P11" s="74">
        <v>0</v>
      </c>
      <c r="Q11" s="74">
        <v>1</v>
      </c>
      <c r="R11" s="74">
        <v>164</v>
      </c>
      <c r="S11" s="74">
        <v>1</v>
      </c>
      <c r="T11" s="74">
        <v>189</v>
      </c>
      <c r="U11" s="74">
        <v>0</v>
      </c>
      <c r="V11" s="74">
        <v>0</v>
      </c>
      <c r="W11" s="74">
        <v>4</v>
      </c>
      <c r="X11" s="74">
        <v>6759</v>
      </c>
    </row>
    <row r="12" spans="1:24" x14ac:dyDescent="0.2">
      <c r="B12" s="446" t="s">
        <v>2946</v>
      </c>
      <c r="C12" s="74">
        <v>0</v>
      </c>
      <c r="D12" s="74">
        <v>0</v>
      </c>
      <c r="E12" s="74">
        <v>1</v>
      </c>
      <c r="F12" s="74">
        <v>115</v>
      </c>
      <c r="G12" s="74">
        <v>4</v>
      </c>
      <c r="H12" s="74">
        <v>1038</v>
      </c>
      <c r="I12" s="74">
        <v>0</v>
      </c>
      <c r="J12" s="74">
        <v>0</v>
      </c>
      <c r="K12" s="74">
        <v>1</v>
      </c>
      <c r="L12" s="74">
        <v>1873</v>
      </c>
      <c r="M12" s="74">
        <v>0</v>
      </c>
      <c r="N12" s="74">
        <v>0</v>
      </c>
      <c r="O12" s="74">
        <v>3</v>
      </c>
      <c r="P12" s="74">
        <v>463</v>
      </c>
      <c r="Q12" s="74">
        <v>0</v>
      </c>
      <c r="R12" s="74">
        <v>0</v>
      </c>
      <c r="S12" s="74">
        <v>3</v>
      </c>
      <c r="T12" s="74">
        <v>187</v>
      </c>
      <c r="U12" s="74">
        <v>0</v>
      </c>
      <c r="V12" s="74">
        <v>0</v>
      </c>
      <c r="W12" s="74">
        <v>12</v>
      </c>
      <c r="X12" s="74">
        <v>3676</v>
      </c>
    </row>
    <row r="13" spans="1:24" x14ac:dyDescent="0.2">
      <c r="B13" s="446" t="s">
        <v>2947</v>
      </c>
      <c r="C13" s="74">
        <v>0</v>
      </c>
      <c r="D13" s="74">
        <v>0</v>
      </c>
      <c r="E13" s="74">
        <v>0</v>
      </c>
      <c r="F13" s="74">
        <v>0</v>
      </c>
      <c r="G13" s="74">
        <v>0</v>
      </c>
      <c r="H13" s="74">
        <v>0</v>
      </c>
      <c r="I13" s="74">
        <v>0</v>
      </c>
      <c r="J13" s="74">
        <v>0</v>
      </c>
      <c r="K13" s="74">
        <v>0</v>
      </c>
      <c r="L13" s="74">
        <v>0</v>
      </c>
      <c r="M13" s="74">
        <v>0</v>
      </c>
      <c r="N13" s="74">
        <v>0</v>
      </c>
      <c r="O13" s="74">
        <v>0</v>
      </c>
      <c r="P13" s="74">
        <v>0</v>
      </c>
      <c r="Q13" s="74">
        <v>0</v>
      </c>
      <c r="R13" s="74">
        <v>0</v>
      </c>
      <c r="S13" s="74">
        <v>0</v>
      </c>
      <c r="T13" s="74">
        <v>0</v>
      </c>
      <c r="U13" s="74">
        <v>0</v>
      </c>
      <c r="V13" s="74">
        <v>0</v>
      </c>
      <c r="W13" s="74">
        <v>0</v>
      </c>
      <c r="X13" s="74">
        <v>0</v>
      </c>
    </row>
    <row r="14" spans="1:24" x14ac:dyDescent="0.2">
      <c r="B14" s="446" t="s">
        <v>2948</v>
      </c>
      <c r="C14" s="74">
        <v>0</v>
      </c>
      <c r="D14" s="74">
        <v>0</v>
      </c>
      <c r="E14" s="74">
        <v>0</v>
      </c>
      <c r="F14" s="74">
        <v>0</v>
      </c>
      <c r="G14" s="74">
        <v>0</v>
      </c>
      <c r="H14" s="74">
        <v>0</v>
      </c>
      <c r="I14" s="74">
        <v>0</v>
      </c>
      <c r="J14" s="74">
        <v>0</v>
      </c>
      <c r="K14" s="74">
        <v>0</v>
      </c>
      <c r="L14" s="74">
        <v>0</v>
      </c>
      <c r="M14" s="74">
        <v>0</v>
      </c>
      <c r="N14" s="74">
        <v>0</v>
      </c>
      <c r="O14" s="74">
        <v>0</v>
      </c>
      <c r="P14" s="74">
        <v>0</v>
      </c>
      <c r="Q14" s="74">
        <v>0</v>
      </c>
      <c r="R14" s="74">
        <v>0</v>
      </c>
      <c r="S14" s="74">
        <v>0</v>
      </c>
      <c r="T14" s="74">
        <v>0</v>
      </c>
      <c r="U14" s="74">
        <v>0</v>
      </c>
      <c r="V14" s="74">
        <v>0</v>
      </c>
      <c r="W14" s="74">
        <v>0</v>
      </c>
      <c r="X14" s="74">
        <v>0</v>
      </c>
    </row>
    <row r="15" spans="1:24" x14ac:dyDescent="0.2">
      <c r="B15" s="446" t="s">
        <v>2949</v>
      </c>
      <c r="C15" s="74">
        <v>0</v>
      </c>
      <c r="D15" s="74">
        <v>0</v>
      </c>
      <c r="E15" s="74">
        <v>0</v>
      </c>
      <c r="F15" s="74">
        <v>0</v>
      </c>
      <c r="G15" s="74">
        <v>0</v>
      </c>
      <c r="H15" s="74">
        <v>0</v>
      </c>
      <c r="I15" s="74">
        <v>0</v>
      </c>
      <c r="J15" s="74">
        <v>0</v>
      </c>
      <c r="K15" s="74">
        <v>0</v>
      </c>
      <c r="L15" s="74">
        <v>0</v>
      </c>
      <c r="M15" s="74">
        <v>0</v>
      </c>
      <c r="N15" s="74">
        <v>0</v>
      </c>
      <c r="O15" s="74">
        <v>0</v>
      </c>
      <c r="P15" s="74">
        <v>0</v>
      </c>
      <c r="Q15" s="74">
        <v>0</v>
      </c>
      <c r="R15" s="74">
        <v>0</v>
      </c>
      <c r="S15" s="74">
        <v>0</v>
      </c>
      <c r="T15" s="74">
        <v>0</v>
      </c>
      <c r="U15" s="74">
        <v>0</v>
      </c>
      <c r="V15" s="74">
        <v>0</v>
      </c>
      <c r="W15" s="74">
        <v>0</v>
      </c>
      <c r="X15" s="74">
        <v>0</v>
      </c>
    </row>
    <row r="16" spans="1:24" x14ac:dyDescent="0.2">
      <c r="B16" s="446" t="s">
        <v>2959</v>
      </c>
      <c r="C16" s="74">
        <v>0</v>
      </c>
      <c r="D16" s="74">
        <v>0</v>
      </c>
      <c r="E16" s="74">
        <v>0</v>
      </c>
      <c r="F16" s="74">
        <v>0</v>
      </c>
      <c r="G16" s="74">
        <v>0</v>
      </c>
      <c r="H16" s="74">
        <v>0</v>
      </c>
      <c r="I16" s="74">
        <v>0</v>
      </c>
      <c r="J16" s="74">
        <v>0</v>
      </c>
      <c r="K16" s="74">
        <v>0</v>
      </c>
      <c r="L16" s="74">
        <v>0</v>
      </c>
      <c r="M16" s="74">
        <v>0</v>
      </c>
      <c r="N16" s="74">
        <v>0</v>
      </c>
      <c r="O16" s="74">
        <v>0</v>
      </c>
      <c r="P16" s="74">
        <v>0</v>
      </c>
      <c r="Q16" s="74">
        <v>0</v>
      </c>
      <c r="R16" s="74">
        <v>0</v>
      </c>
      <c r="S16" s="74">
        <v>0</v>
      </c>
      <c r="T16" s="74">
        <v>0</v>
      </c>
      <c r="U16" s="74">
        <v>0</v>
      </c>
      <c r="V16" s="74">
        <v>0</v>
      </c>
      <c r="W16" s="74">
        <v>0</v>
      </c>
      <c r="X16" s="74">
        <v>0</v>
      </c>
    </row>
    <row r="17" spans="1:24" x14ac:dyDescent="0.2">
      <c r="A17" s="446" t="s">
        <v>2958</v>
      </c>
      <c r="B17" s="446"/>
      <c r="C17" s="74">
        <v>1</v>
      </c>
      <c r="D17" s="74">
        <v>1231</v>
      </c>
      <c r="E17" s="74">
        <v>1</v>
      </c>
      <c r="F17" s="74">
        <v>115</v>
      </c>
      <c r="G17" s="74">
        <v>5</v>
      </c>
      <c r="H17" s="74">
        <v>6213</v>
      </c>
      <c r="I17" s="74">
        <v>0</v>
      </c>
      <c r="J17" s="74">
        <v>0</v>
      </c>
      <c r="K17" s="74">
        <v>1</v>
      </c>
      <c r="L17" s="74">
        <v>1873</v>
      </c>
      <c r="M17" s="74">
        <v>0</v>
      </c>
      <c r="N17" s="74">
        <v>0</v>
      </c>
      <c r="O17" s="74">
        <v>3</v>
      </c>
      <c r="P17" s="74">
        <v>463</v>
      </c>
      <c r="Q17" s="74">
        <v>1</v>
      </c>
      <c r="R17" s="74">
        <v>164</v>
      </c>
      <c r="S17" s="74">
        <v>4</v>
      </c>
      <c r="T17" s="74">
        <v>376</v>
      </c>
      <c r="U17" s="74">
        <v>0</v>
      </c>
      <c r="V17" s="74">
        <v>0</v>
      </c>
      <c r="W17" s="74">
        <v>16</v>
      </c>
      <c r="X17" s="74">
        <v>10435</v>
      </c>
    </row>
    <row r="18" spans="1:24" x14ac:dyDescent="0.2">
      <c r="A18" s="446" t="s">
        <v>115</v>
      </c>
      <c r="C18" s="74">
        <v>7</v>
      </c>
      <c r="D18" s="74">
        <v>2562</v>
      </c>
      <c r="E18" s="74">
        <v>12</v>
      </c>
      <c r="F18" s="74">
        <v>2206</v>
      </c>
      <c r="G18" s="74">
        <v>32</v>
      </c>
      <c r="H18" s="74">
        <v>51327</v>
      </c>
      <c r="I18" s="74">
        <v>1</v>
      </c>
      <c r="J18" s="74">
        <v>20</v>
      </c>
      <c r="K18" s="74">
        <v>6</v>
      </c>
      <c r="L18" s="74">
        <v>6874</v>
      </c>
      <c r="M18" s="74">
        <v>7</v>
      </c>
      <c r="N18" s="74">
        <v>3351</v>
      </c>
      <c r="O18" s="74">
        <v>28</v>
      </c>
      <c r="P18" s="74">
        <v>6567</v>
      </c>
      <c r="Q18" s="74">
        <v>16</v>
      </c>
      <c r="R18" s="74">
        <v>16529</v>
      </c>
      <c r="S18" s="74">
        <v>19</v>
      </c>
      <c r="T18" s="74">
        <v>8528</v>
      </c>
      <c r="U18" s="74">
        <v>0</v>
      </c>
      <c r="V18" s="74">
        <v>0</v>
      </c>
      <c r="W18" s="74">
        <v>128</v>
      </c>
      <c r="X18" s="74">
        <v>97964</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48"/>
  <dimension ref="A1:ET168"/>
  <sheetViews>
    <sheetView workbookViewId="0">
      <selection sqref="A1:I1"/>
    </sheetView>
  </sheetViews>
  <sheetFormatPr defaultRowHeight="12" x14ac:dyDescent="0.2"/>
  <cols>
    <col min="1" max="1" width="7.42578125" style="404" customWidth="1"/>
    <col min="2" max="2" width="27.7109375" style="1" customWidth="1"/>
    <col min="3" max="3" width="5.140625" style="1" customWidth="1"/>
    <col min="4" max="4" width="10.7109375" style="1" customWidth="1"/>
    <col min="5" max="5" width="5.140625" style="1" customWidth="1"/>
    <col min="6" max="6" width="10.7109375" style="1" customWidth="1"/>
    <col min="7" max="7" width="5.140625" style="1" customWidth="1"/>
    <col min="8" max="8" width="10.7109375" style="1" customWidth="1"/>
    <col min="9" max="9" width="5.140625" style="1" customWidth="1"/>
    <col min="10" max="10" width="10.7109375" style="1" customWidth="1"/>
    <col min="11" max="11" width="5.140625" style="1" customWidth="1"/>
    <col min="12" max="12" width="10.7109375" style="1" customWidth="1"/>
    <col min="13" max="13" width="5.140625" style="1" customWidth="1"/>
    <col min="14" max="14" width="10.7109375" style="1" customWidth="1"/>
    <col min="15" max="15" width="5.140625" style="1" customWidth="1"/>
    <col min="16" max="16" width="10" style="1" customWidth="1"/>
    <col min="17" max="17" width="5.140625" style="1" customWidth="1"/>
    <col min="18" max="18" width="10" style="1" customWidth="1"/>
    <col min="19" max="19" width="5.140625" style="1" customWidth="1"/>
    <col min="20" max="20" width="10" style="1" customWidth="1"/>
    <col min="21" max="21" width="5.140625" style="1" customWidth="1"/>
    <col min="22" max="22" width="10" style="1" customWidth="1"/>
    <col min="23" max="23" width="5.140625" style="1" customWidth="1"/>
    <col min="24" max="24" width="10" style="1" customWidth="1"/>
    <col min="25" max="16384" width="9.140625" style="1"/>
  </cols>
  <sheetData>
    <row r="1" spans="1:150" ht="15.75" x14ac:dyDescent="0.25">
      <c r="A1" s="606" t="s">
        <v>3871</v>
      </c>
      <c r="B1" s="606"/>
      <c r="C1" s="606"/>
      <c r="D1" s="606"/>
      <c r="E1" s="606"/>
      <c r="F1" s="606"/>
      <c r="G1" s="606"/>
      <c r="H1" s="606"/>
      <c r="I1" s="606"/>
      <c r="J1" s="288"/>
      <c r="K1" s="288"/>
      <c r="L1" s="288"/>
      <c r="M1" s="288"/>
      <c r="N1" s="288"/>
      <c r="O1" s="288"/>
      <c r="P1" s="288"/>
      <c r="Q1" s="288"/>
      <c r="R1" s="288"/>
      <c r="S1" s="288"/>
      <c r="T1" s="288"/>
      <c r="U1" s="288"/>
      <c r="V1" s="288"/>
      <c r="W1" s="288"/>
      <c r="X1" s="4"/>
      <c r="Y1" s="4"/>
      <c r="Z1" s="4"/>
      <c r="AA1" s="4"/>
      <c r="AB1" s="4"/>
      <c r="AC1" s="4"/>
      <c r="AD1" s="4"/>
      <c r="AE1" s="4"/>
      <c r="AF1" s="4"/>
      <c r="AG1" s="4"/>
      <c r="AH1" s="4"/>
      <c r="AI1" s="4"/>
      <c r="AJ1" s="4"/>
      <c r="AK1" s="4"/>
      <c r="AL1" s="4"/>
      <c r="AM1" s="10"/>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row>
    <row r="2" spans="1:150" ht="12.75" x14ac:dyDescent="0.2">
      <c r="A2" s="640" t="s">
        <v>3918</v>
      </c>
      <c r="B2" s="640"/>
      <c r="C2" s="640"/>
      <c r="D2" s="640"/>
      <c r="E2" s="640"/>
      <c r="F2" s="640"/>
      <c r="G2" s="640"/>
      <c r="H2" s="640"/>
      <c r="I2" s="640"/>
      <c r="J2" s="640"/>
      <c r="K2" s="640"/>
      <c r="L2" s="640"/>
      <c r="M2" s="640"/>
      <c r="N2" s="640"/>
      <c r="O2" s="640"/>
      <c r="P2" s="640"/>
      <c r="Q2" s="640"/>
      <c r="R2" s="640"/>
      <c r="S2" s="640"/>
      <c r="T2" s="640"/>
      <c r="U2" s="640"/>
      <c r="V2" s="640"/>
      <c r="W2" s="640"/>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row>
    <row r="3" spans="1:150" x14ac:dyDescent="0.2">
      <c r="A3" s="294"/>
      <c r="B3" s="16"/>
      <c r="C3" s="16"/>
      <c r="D3" s="16"/>
      <c r="E3" s="16"/>
      <c r="F3" s="16"/>
      <c r="G3" s="16"/>
      <c r="H3" s="16"/>
      <c r="I3" s="16"/>
      <c r="J3" s="16"/>
      <c r="K3" s="16"/>
      <c r="L3" s="16"/>
      <c r="M3" s="16"/>
      <c r="N3" s="16"/>
      <c r="O3" s="16"/>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row>
    <row r="4" spans="1:150" ht="24" customHeight="1" x14ac:dyDescent="0.2">
      <c r="A4" s="807" t="s">
        <v>88</v>
      </c>
      <c r="B4" s="810"/>
      <c r="C4" s="812" t="s">
        <v>41</v>
      </c>
      <c r="D4" s="813"/>
      <c r="E4" s="816" t="s">
        <v>43</v>
      </c>
      <c r="F4" s="816"/>
      <c r="G4" s="816" t="s">
        <v>60</v>
      </c>
      <c r="H4" s="816"/>
      <c r="I4" s="812" t="s">
        <v>1021</v>
      </c>
      <c r="J4" s="813"/>
      <c r="K4" s="816" t="s">
        <v>56</v>
      </c>
      <c r="L4" s="816"/>
      <c r="M4" s="814" t="s">
        <v>3853</v>
      </c>
      <c r="N4" s="815"/>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row>
    <row r="5" spans="1:150" ht="24" x14ac:dyDescent="0.2">
      <c r="A5" s="809"/>
      <c r="B5" s="811"/>
      <c r="C5" s="380" t="s">
        <v>2970</v>
      </c>
      <c r="D5" s="379" t="s">
        <v>168</v>
      </c>
      <c r="E5" s="380" t="s">
        <v>2970</v>
      </c>
      <c r="F5" s="379" t="s">
        <v>168</v>
      </c>
      <c r="G5" s="380" t="s">
        <v>2970</v>
      </c>
      <c r="H5" s="379" t="s">
        <v>168</v>
      </c>
      <c r="I5" s="380" t="s">
        <v>2970</v>
      </c>
      <c r="J5" s="379" t="s">
        <v>168</v>
      </c>
      <c r="K5" s="380" t="s">
        <v>2970</v>
      </c>
      <c r="L5" s="379" t="s">
        <v>168</v>
      </c>
      <c r="M5" s="490" t="s">
        <v>2970</v>
      </c>
      <c r="N5" s="496" t="s">
        <v>168</v>
      </c>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row>
    <row r="6" spans="1:150" x14ac:dyDescent="0.2">
      <c r="A6" s="805" t="s">
        <v>2926</v>
      </c>
      <c r="B6" s="806"/>
      <c r="C6" s="236">
        <f>IFERROR(GETPIVOTDATA("Count of D1 Loss",'3.8 Pivot'!$A$1,"Status 1 - Development","01 Completed","D1Description_Loss","Community Premises"),0)</f>
        <v>0</v>
      </c>
      <c r="D6" s="237">
        <f>IFERROR(GETPIVOTDATA("Sum of D1 Loss2",'3.8 Pivot'!$A$1,"Status 1 - Development","01 Completed","D1Description_Loss","Community Premises"),0)</f>
        <v>0</v>
      </c>
      <c r="E6" s="236">
        <f>IFERROR(GETPIVOTDATA("Count of D1 Loss",'3.8 Pivot'!$A$1,"Status 1 - Development","01 Completed","D1Description_Loss","Day Nursery"),0)</f>
        <v>0</v>
      </c>
      <c r="F6" s="237">
        <f>IFERROR(GETPIVOTDATA("Sum of D1 Loss2",'3.8 Pivot'!$A$1,"Status 1 - Development","01 Completed","D1Description_Loss","Day Nursery"),0)</f>
        <v>0</v>
      </c>
      <c r="G6" s="236">
        <f>IFERROR(GETPIVOTDATA("Count of D1 Loss",'3.8 Pivot'!$A$1,"Status 1 - Development","01 Completed","D1Description_Loss","Education or Training"),0)</f>
        <v>7</v>
      </c>
      <c r="H6" s="237">
        <f>IFERROR(GETPIVOTDATA("Sum of D1 Loss2",'3.8 Pivot'!$A$1,"Status 1 - Development","01 Completed","D1Description_Loss","Education or Training"),0)</f>
        <v>1433</v>
      </c>
      <c r="I6" s="236">
        <f>IFERROR(GETPIVOTDATA("Count of D1 Loss",'3.8 Pivot'!$A$1,"Status 1 - Development","01 Completed","D1Description_Loss","Library"),0)</f>
        <v>0</v>
      </c>
      <c r="J6" s="237">
        <f>IFERROR(GETPIVOTDATA("Sum of D1 Loss2",'3.8 Pivot'!$A$1,"Status 1 - Development","01 Completed","D1Description_Loss","Library"),0)</f>
        <v>0</v>
      </c>
      <c r="K6" s="236">
        <f>IFERROR(GETPIVOTDATA("Count of D1 Loss",'3.8 Pivot'!$A$1,"Status 1 - Development","01 Completed","D1Description_Loss","Medical Health Centre"),0)</f>
        <v>0</v>
      </c>
      <c r="L6" s="237">
        <f>IFERROR(GETPIVOTDATA("Sum of D1 Loss2",'3.8 Pivot'!$A$1,"Status 1 - Development","01 Completed","D1Description_Loss","Medical Health Centre"),0)</f>
        <v>0</v>
      </c>
      <c r="M6" s="513">
        <f>IFERROR(GETPIVOTDATA("Count of D1 Loss",'3.8 Pivot'!$A$1,"Status 1 - Development","01 Completed","D1Description_Loss","Museum"),0)</f>
        <v>0</v>
      </c>
      <c r="N6" s="493">
        <f>IFERROR(GETPIVOTDATA("Sum of D1 Loss2",'3.8 Pivot'!$A$1,"Status 1 - Development","01 Completed","D1Description_Loss","Museum"),0)</f>
        <v>0</v>
      </c>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row>
    <row r="7" spans="1:150" x14ac:dyDescent="0.2">
      <c r="A7" s="807" t="s">
        <v>2962</v>
      </c>
      <c r="B7" s="511" t="s">
        <v>96</v>
      </c>
      <c r="C7" s="236">
        <f>IFERROR(GETPIVOTDATA("Count of D1 Loss",'3.8 Pivot'!$A$1,"Status 1 - Development","02 Under Construction","D1Description_Loss","Community Premises"),0)</f>
        <v>1</v>
      </c>
      <c r="D7" s="237">
        <f>IFERROR(GETPIVOTDATA("Sum of D1 Loss2",'3.8 Pivot'!$A$1,"Status 1 - Development","02 Under Construction","D1Description_Loss","Community Premises"),0)</f>
        <v>190</v>
      </c>
      <c r="E7" s="236">
        <f>IFERROR(GETPIVOTDATA("Count of D1 Loss",'3.8 Pivot'!$A$1,"Status 1 - Development","02 Under Construction","D1Description_Loss","Day Nursery"),0)</f>
        <v>0</v>
      </c>
      <c r="F7" s="237">
        <f>IFERROR(GETPIVOTDATA("Sum of D1 Loss2",'3.8 Pivot'!$A$1,"Status 1 - Development","02 Under Construction","D1Description_Loss","Day Nursery"),0)</f>
        <v>0</v>
      </c>
      <c r="G7" s="236">
        <f>IFERROR(GETPIVOTDATA("Count of D1 Loss",'3.8 Pivot'!$A$1,"Status 1 - Development","02 Under Construction","D1Description_Loss","Education or Training"),0)</f>
        <v>10</v>
      </c>
      <c r="H7" s="237">
        <f>IFERROR(GETPIVOTDATA("Sum of D1 Loss2",'3.8 Pivot'!$A$1,"Status 1 - Development","02 Under Construction","D1Description_Loss","Education or Training"),0)</f>
        <v>32574</v>
      </c>
      <c r="I7" s="236">
        <f>IFERROR(GETPIVOTDATA("Count of D1 Loss",'3.8 Pivot'!$A$1,"Status 1 - Development","02 Under Construction","D1Description_Loss","Library"),0)</f>
        <v>0</v>
      </c>
      <c r="J7" s="237">
        <f>IFERROR(GETPIVOTDATA("Sum of D1 Loss2",'3.8 Pivot'!$A$1,"Status 1 - Development","02 Under Construction","D1Description_Loss","Library"),0)</f>
        <v>0</v>
      </c>
      <c r="K7" s="236">
        <f>IFERROR(GETPIVOTDATA("Count of D1 Loss",'3.8 Pivot'!$A$1,"Status 1 - Development","02 Under Construction","D1Description_Loss","Medical Health Centre"),0)</f>
        <v>1</v>
      </c>
      <c r="L7" s="237">
        <f>IFERROR(GETPIVOTDATA("Sum of D1 Loss2",'3.8 Pivot'!$A$1,"Status 1 - Development","02 Under Construction","D1Description_Loss","Medical Health Centre"),0)</f>
        <v>136</v>
      </c>
      <c r="M7" s="513">
        <f>IFERROR(GETPIVOTDATA("Count of D1 Loss",'3.8 Pivot'!$A$1,"Status 1 - Development","02 Under Construction","D1Description_Loss","Museum"),0)</f>
        <v>0</v>
      </c>
      <c r="N7" s="493">
        <f>IFERROR(GETPIVOTDATA("Sum of D1 Loss2",'3.8 Pivot'!$A$1,"Status 1 - Development","02 Under Construction","D1Description_Loss","Museum"),0)</f>
        <v>0</v>
      </c>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row>
    <row r="8" spans="1:150" x14ac:dyDescent="0.2">
      <c r="A8" s="808"/>
      <c r="B8" s="511" t="s">
        <v>2966</v>
      </c>
      <c r="C8" s="236">
        <f>IFERROR(GETPIVOTDATA("Count of D1 Loss",'3.8 Pivot'!$A$1,"Status 1 - Development","03 Planning","Status 2 - Permission Type","02 Full","D1Description_Loss","Community Premises"),0)</f>
        <v>1</v>
      </c>
      <c r="D8" s="237">
        <f>IFERROR(GETPIVOTDATA("Sum of D1 Loss2",'3.8 Pivot'!$A$1,"Status 1 - Development","03 Planning","Status 2 - Permission Type","02 Full","D1Description_Loss","Community Premises"),0)</f>
        <v>237</v>
      </c>
      <c r="E8" s="236">
        <f>IFERROR(GETPIVOTDATA("Count of D1 Loss",'3.8 Pivot'!$A$1,"Status 1 - Development","03 Planning","Status 2 - Permission Type","02 Full","D1Description_Loss","Day Nursery"),0)</f>
        <v>0</v>
      </c>
      <c r="F8" s="237">
        <f>IFERROR(GETPIVOTDATA("Sum of D1 Loss2",'3.8 Pivot'!$A$1,"Status 1 - Development","03 Planning","Status 2 - Permission Type","02 Full","D1Description_Loss","Day Nursery"),0)</f>
        <v>0</v>
      </c>
      <c r="G8" s="236">
        <f>IFERROR(GETPIVOTDATA("Count of D1 Loss",'3.8 Pivot'!$A$1,"Status 1 - Development","03 Planning","Status 2 - Permission Type","02 Full","D1Description_Loss","Education or Training"),0)</f>
        <v>0</v>
      </c>
      <c r="H8" s="237">
        <f>IFERROR(GETPIVOTDATA("Sum of D1 Loss2",'3.8 Pivot'!$A$1,"Status 1 - Development","03 Planning","Status 2 - Permission Type","02 Full","D1Description_Loss","Education or Training"),0)</f>
        <v>0</v>
      </c>
      <c r="I8" s="236">
        <f>IFERROR(GETPIVOTDATA("Count of D1 Loss",'3.8 Pivot'!$A$1,"Status 1 - Development","03 Planning","Status 2 - Permission Type","02 Full","D1Description_Loss","Library"),0)</f>
        <v>0</v>
      </c>
      <c r="J8" s="237">
        <f>IFERROR(GETPIVOTDATA("Sum of D1 Loss2",'3.8 Pivot'!$A$1,"Status 1 - Development","03 Planning","Status 2 - Permission Type","02 Full","D1Description_Loss","Library"),0)</f>
        <v>0</v>
      </c>
      <c r="K8" s="236">
        <f>IFERROR(GETPIVOTDATA("Count of D1 Loss",'3.8 Pivot'!$A$1,"Status 1 - Development","03 Planning","Status 2 - Permission Type","02 Full","D1Description_Loss","Medical Health Centre"),0)</f>
        <v>0</v>
      </c>
      <c r="L8" s="237">
        <f>IFERROR(GETPIVOTDATA("Sum of D1 Loss2",'3.8 Pivot'!$A$1,"Status 1 - Development","03 Planning","Status 2 - Permission Type","02 Full","D1Description_Loss","Medical Health Centre"),0)</f>
        <v>0</v>
      </c>
      <c r="M8" s="513">
        <f>IFERROR(GETPIVOTDATA("Count of D1 Loss",'3.8 Pivot'!$A$1,"Status 1 - Development","03 Planning","Status 2 - Permission Type","02 Full","D1Description_Loss","Museum"),0)</f>
        <v>0</v>
      </c>
      <c r="N8" s="493">
        <f>IFERROR(GETPIVOTDATA("Sum of D1 Loss2",'3.8 Pivot'!$A$1,"Status 1 - Development","03 Planning","Status 2 - Permission Type","02 Full","D1Description_Loss","Museum"),0)</f>
        <v>0</v>
      </c>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row>
    <row r="9" spans="1:150" x14ac:dyDescent="0.2">
      <c r="A9" s="808"/>
      <c r="B9" s="511" t="s">
        <v>2967</v>
      </c>
      <c r="C9" s="236">
        <f>IFERROR(GETPIVOTDATA("Count of D1 Loss",'3.8 Pivot'!$A$1,"Status 1 - Development","03 Planning","Status 2 - Permission Type","03 Outline","D1Description_Loss","Community Premises"),0)</f>
        <v>0</v>
      </c>
      <c r="D9" s="237">
        <f>IFERROR(GETPIVOTDATA("Sum of D1 Loss2",'3.8 Pivot'!$A$1,"Status 1 - Development","03 Planning","Status 2 - Permission Type","03 Outline","D1Description_Loss","Community Premises"),0)</f>
        <v>0</v>
      </c>
      <c r="E9" s="236">
        <f>IFERROR(GETPIVOTDATA("Count of D1 Loss",'3.8 Pivot'!$A$1,"Status 1 - Development","03 Planning","Status 2 - Permission Type","03 Outline","D1Description_Loss","Day Nursery"),0)</f>
        <v>0</v>
      </c>
      <c r="F9" s="237">
        <f>IFERROR(GETPIVOTDATA("Sum of D1 Loss2",'3.8 Pivot'!$A$1,"Status 1 - Development","03 Planning","Status 2 - Permission Type","03 Outline","D1Description_Loss","Day Nursery"),0)</f>
        <v>0</v>
      </c>
      <c r="G9" s="236">
        <f>IFERROR(GETPIVOTDATA("Count of D1 Loss",'3.8 Pivot'!$A$1,"Status 1 - Development","03 Planning","Status 2 - Permission Type","03 Outline","D1Description_Loss","Education or Training"),0)</f>
        <v>0</v>
      </c>
      <c r="H9" s="237">
        <f>IFERROR(GETPIVOTDATA("Sum of D1 Loss2",'3.8 Pivot'!$A$1,"Status 1 - Development","03 Planning","Status 2 - Permission Type","03 Outline","D1Description_Loss","Education or Training"),0)</f>
        <v>0</v>
      </c>
      <c r="I9" s="236">
        <f>IFERROR(GETPIVOTDATA("Count of D1 Loss",'3.8 Pivot'!$A$1,"Status 1 - Development","03 Planning","Status 2 - Permission Type","03 Outline","D1Description_Loss","Library"),0)</f>
        <v>0</v>
      </c>
      <c r="J9" s="237">
        <f>IFERROR(GETPIVOTDATA("Sum of D1 Loss2",'3.8 Pivot'!$A$1,"Status 1 - Development","03 Planning","Status 2 - Permission Type","03 Outline","D1Description_Loss","Library"),0)</f>
        <v>0</v>
      </c>
      <c r="K9" s="236">
        <f>IFERROR(GETPIVOTDATA("Count of D1 Loss",'3.8 Pivot'!$A$1,"Status 1 - Development","03 Planning","Status 2 - Permission Type","03 Outline","D1Description_Loss","Medical Health Centre"),0)</f>
        <v>0</v>
      </c>
      <c r="L9" s="237">
        <f>IFERROR(GETPIVOTDATA("Sum of D1 Loss2",'3.8 Pivot'!$A$1,"Status 1 - Development","03 Planning","Status 2 - Permission Type","03 Outline","D1Description_Loss","Medical Health Centre"),0)</f>
        <v>0</v>
      </c>
      <c r="M9" s="513">
        <f>IFERROR(GETPIVOTDATA("Count of D1 Loss",'3.8 Pivot'!$A$1,"Status 1 - Development","03 Planning","Status 2 - Permission Type","03 Outline","D1Description_Loss","Museum"),0)</f>
        <v>0</v>
      </c>
      <c r="N9" s="493">
        <f>IFERROR(GETPIVOTDATA("Sum of D1 Loss2",'3.8 Pivot'!$A$1,"Status 1 - Development","03 Planning","Status 2 - Permission Type","03 Outline","D1Description_Loss","Museum"),0)</f>
        <v>0</v>
      </c>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row>
    <row r="10" spans="1:150" ht="12" customHeight="1" x14ac:dyDescent="0.2">
      <c r="A10" s="808"/>
      <c r="B10" s="511" t="s">
        <v>2944</v>
      </c>
      <c r="C10" s="236">
        <f>IFERROR(GETPIVOTDATA("Count of D1 Loss",'3.8 Pivot'!$A$1,"Status 1 - Development","03 Planning","Status 2 - Permission Type","04 Prior Approval","D1Description_Loss","Community Premises"),0)+IFERROR(GETPIVOTDATA("Count of D1 Loss",'3.8 Pivot'!$A$1,"Status 1 - Development","03 Planning","Status 2 - Permission Type","05 Certificate of Lawful Development","D1Description_Loss","Community Premises"),0)</f>
        <v>0</v>
      </c>
      <c r="D10" s="237">
        <f>IFERROR(GETPIVOTDATA("Sum of D1 Loss2",'3.8 Pivot'!$A$1,"Status 1 - Development","03 Planning","Status 2 - Permission Type","04 Prior Approval","D1Description_Loss","Community Premises"),0)+IFERROR(GETPIVOTDATA("Sum of D1 Loss2",'3.8 Pivot'!$A$1,"Status 1 - Development","03 Planning","Status 2 - Permission Type","05 Certificate of Lawful Development","D1Description_Loss","Community Premises"),0)</f>
        <v>0</v>
      </c>
      <c r="E10" s="236">
        <f>IFERROR(GETPIVOTDATA("Count of D1 Loss",'3.8 Pivot'!$A$1,"Status 1 - Development","03 Planning","Status 2 - Permission Type","04 Prior Approval","D1Description_Loss","Day Nursery"),0)+IFERROR(GETPIVOTDATA("Count of D1 Loss",'3.8 Pivot'!$A$1,"Status 1 - Development","03 Planning","Status 2 - Permission Type","05 Certificate of Lawful Development","D1Description_Loss","Day Nursery"),0)</f>
        <v>0</v>
      </c>
      <c r="F10" s="237">
        <f>IFERROR(GETPIVOTDATA("Sum of D1 Loss2",'3.8 Pivot'!$A$1,"Status 1 - Development","03 Planning","Status 2 - Permission Type","04 Prior Approval","D1Description_Loss","Day Nursery"),0)+IFERROR(GETPIVOTDATA("Sum of D1 Loss2",'3.8 Pivot'!$A$1,"Status 1 - Development","03 Planning","Status 2 - Permission Type","05 Certificate of Lawful Development","D1Description_Loss","Day Nursery"),0)</f>
        <v>0</v>
      </c>
      <c r="G10" s="236">
        <f>IFERROR(GETPIVOTDATA("Count of D1 Loss",'3.8 Pivot'!$A$1,"Status 1 - Development","03 Planning","Status 2 - Permission Type","04 Prior Approval","D1Description_Loss","Education or Training"),0)+IFERROR(GETPIVOTDATA("Count of D1 Loss",'3.8 Pivot'!$A$1,"Status 1 - Development","03 Planning","Status 2 - Permission Type","05 Certificate of Lawful Development","D1Description_Loss","Education or Training"),0)</f>
        <v>0</v>
      </c>
      <c r="H10" s="237">
        <f>IFERROR(GETPIVOTDATA("Sum of D1 Loss2",'3.8 Pivot'!$A$1,"Status 1 - Development","03 Planning","Status 2 - Permission Type","04 Prior Approval","D1Description_Loss","Education or Training"),0)+IFERROR(GETPIVOTDATA("Sum of D1 Loss2",'3.8 Pivot'!$A$1,"Status 1 - Development","03 Planning","Status 2 - Permission Type","05 Certificate of Lawful Development","D1Description_Loss","Education or Training"),0)</f>
        <v>0</v>
      </c>
      <c r="I10" s="236">
        <f>IFERROR(GETPIVOTDATA("Count of D1 Loss",'3.8 Pivot'!$A$1,"Status 1 - Development","03 Planning","Status 2 - Permission Type","04 Prior Approval","D1Description_Loss","Library"),0)+IFERROR(GETPIVOTDATA("Count of D1 Loss",'3.8 Pivot'!$A$1,"Status 1 - Development","03 Planning","Status 2 - Permission Type","05 Certificate of Lawful Development","D1Description_Loss","Library"),0)</f>
        <v>0</v>
      </c>
      <c r="J10" s="237">
        <f>IFERROR(GETPIVOTDATA("Sum of D1 Loss2",'3.8 Pivot'!$A$1,"Status 1 - Development","03 Planning","Status 2 - Permission Type","04 Prior Approval","D1Description_Loss","Library"),0)+IFERROR(GETPIVOTDATA("Sum of D1 Loss2",'3.8 Pivot'!$A$1,"Status 1 - Development","03 Planning","Status 2 - Permission Type","05 Certificate of Lawful Development","D1Description_Loss","Library"),0)</f>
        <v>0</v>
      </c>
      <c r="K10" s="236">
        <f>IFERROR(GETPIVOTDATA("Count of D1 Loss",'3.8 Pivot'!$A$1,"Status 1 - Development","03 Planning","Status 2 - Permission Type","04 Prior Approval","D1Description_Loss","Medical Health Centre"),0)+IFERROR(GETPIVOTDATA("Count of D1 Loss",'3.8 Pivot'!$A$1,"Status 1 - Development","03 Planning","Status 2 - Permission Type","05 Certificate of Lawful Development","D1Description_Loss","Medical Health Centre"),0)</f>
        <v>0</v>
      </c>
      <c r="L10" s="237">
        <f>IFERROR(GETPIVOTDATA("Sum of D1 Loss2",'3.8 Pivot'!$A$1,"Status 1 - Development","03 Planning","Status 2 - Permission Type","04 Prior Approval","D1Description_Loss","Medical Health Centre"),0)+IFERROR(GETPIVOTDATA("Sum of D1 Loss2",'3.8 Pivot'!$A$1,"Status 1 - Development","03 Planning","Status 2 - Permission Type","05 Certificate of Lawful Development","D1Description_Loss","Medical Health Centre"),0)</f>
        <v>0</v>
      </c>
      <c r="M10" s="513">
        <f>IFERROR(GETPIVOTDATA("Count of D1 Loss",'3.8 Pivot'!$A$1,"Status 1 - Development","03 Planning","Status 2 - Permission Type","04 Prior Approval","D1Description_Loss","Museum"),0)+IFERROR(GETPIVOTDATA("Count of D1 Loss",'3.8 Pivot'!$A$1,"Status 1 - Development","03 Planning","Status 2 - Permission Type","05 Certificate of Lawful Development","D1Description_Loss","Museum"),0)</f>
        <v>0</v>
      </c>
      <c r="N10" s="493">
        <f>IFERROR(GETPIVOTDATA("Sum of D1 Loss2",'3.8 Pivot'!$A$1,"Status 1 - Development","03 Planning","Status 2 - Permission Type","04 Prior Approval","D1Description_Loss","Museum"),0)+IFERROR(GETPIVOTDATA("Sum of D1 Loss2",'3.8 Pivot'!$A$1,"Status 1 - Development","03 Planning","Status 2 - Permission Type","05 Certificate of Lawful Development","D1Description_Loss","Museum"),0)</f>
        <v>0</v>
      </c>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row>
    <row r="11" spans="1:150" x14ac:dyDescent="0.2">
      <c r="A11" s="808"/>
      <c r="B11" s="511" t="s">
        <v>2932</v>
      </c>
      <c r="C11" s="236">
        <f>IFERROR(GETPIVOTDATA("Count of D1 Loss",'3.8 Pivot'!$A$1,"Status 1 - Development","04 Pending","Status 2 - Permission Type","01 Pending Legal Agreement","D1Description_Loss","Community Premises"),0)</f>
        <v>1</v>
      </c>
      <c r="D11" s="237">
        <f>IFERROR(GETPIVOTDATA("Sum of D1 Loss2",'3.8 Pivot'!$A$1,"Status 1 - Development","04 Pending","Status 2 - Permission Type","01 Pending Legal Agreement","D1Description_Loss","Community Premises"),0)</f>
        <v>954</v>
      </c>
      <c r="E11" s="236">
        <f>IFERROR(GETPIVOTDATA("Count of D1 Loss",'3.8 Pivot'!$A$1,"Status 1 - Development","04 Pending","Status 2 - Permission Type","01 Pending Legal Agreement","D1Description_Loss","Day Nursery"),0)</f>
        <v>0</v>
      </c>
      <c r="F11" s="237">
        <f>IFERROR(GETPIVOTDATA("Sum of D1 Loss2",'3.8 Pivot'!$A$1,"Status 1 - Development","04 Pending","Status 2 - Permission Type","01 Pending Legal Agreement","D1Description_Loss","Day Nursery"),0)</f>
        <v>0</v>
      </c>
      <c r="G11" s="236">
        <f>IFERROR(GETPIVOTDATA("Count of D1 Loss",'3.8 Pivot'!$A$1,"Status 1 - Development","04 Pending","Status 2 - Permission Type","01 Pending Legal Agreement","D1Description_Loss","Education or Training"),0)</f>
        <v>0</v>
      </c>
      <c r="H11" s="237">
        <f>IFERROR(GETPIVOTDATA("Sum of D1 Loss2",'3.8 Pivot'!$A$1,"Status 1 - Development","04 Pending","Status 2 - Permission Type","01 Pending Legal Agreement","D1Description_Loss","Education or Training"),0)</f>
        <v>0</v>
      </c>
      <c r="I11" s="236">
        <f>IFERROR(GETPIVOTDATA("Count of D1 Loss",'3.8 Pivot'!$A$1,"Status 1 - Development","04 Pending","Status 2 - Permission Type","01 Pending Legal Agreement","D1Description_Loss","Library"),0)</f>
        <v>0</v>
      </c>
      <c r="J11" s="237">
        <f>IFERROR(GETPIVOTDATA("Sum of D1 Loss2",'3.8 Pivot'!$A$1,"Status 1 - Development","04 Pending","Status 2 - Permission Type","01 Pending Legal Agreement","D1Description_Loss","Library"),0)</f>
        <v>0</v>
      </c>
      <c r="K11" s="236">
        <f>IFERROR(GETPIVOTDATA("Count of D1 Loss",'3.8 Pivot'!$A$1,"Status 1 - Development","04 Pending","Status 2 - Permission Type","01 Pending Legal Agreement","D1Description_Loss","Medical Health Centre"),0)</f>
        <v>0</v>
      </c>
      <c r="L11" s="237">
        <f>IFERROR(GETPIVOTDATA("Sum of D1 Loss2",'3.8 Pivot'!$A$1,"Status 1 - Development","04 Pending","Status 2 - Permission Type","01 Pending Legal Agreement","D1Description_Loss","Medical Health Centre"),0)</f>
        <v>0</v>
      </c>
      <c r="M11" s="513">
        <f>IFERROR(GETPIVOTDATA("Count of D1 Loss",'3.8 Pivot'!$A$1,"Status 1 - Development","04 Pending","Status 2 - Permission Type","01 Pending Legal Agreement","D1Description_Loss","Museum"),0)</f>
        <v>0</v>
      </c>
      <c r="N11" s="493">
        <f>IFERROR(GETPIVOTDATA("Sum of D1 Loss2",'3.8 Pivot'!$A$1,"Status 1 - Development","04 Pending","Status 2 - Permission Type","01 Pending Legal Agreement","D1Description_Loss","Museum"),0)</f>
        <v>0</v>
      </c>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row>
    <row r="12" spans="1:150" x14ac:dyDescent="0.2">
      <c r="A12" s="808"/>
      <c r="B12" s="511" t="s">
        <v>2933</v>
      </c>
      <c r="C12" s="236">
        <f>IFERROR(GETPIVOTDATA("Count of D1 Loss",'3.8 Pivot'!$A$1,"Status 1 - Development","04 Pending","Status 2 - Permission Type","06 Appeal","D1Description_Loss","Community Premises"),0)</f>
        <v>0</v>
      </c>
      <c r="D12" s="237">
        <f>IFERROR(GETPIVOTDATA("Sum of D1 Loss2",'3.8 Pivot'!$A$1,"Status 1 - Development","04 Pending","Status 2 - Permission Type","06 Appeal","D1Description_Loss","Community Premises"),0)</f>
        <v>0</v>
      </c>
      <c r="E12" s="236">
        <f>IFERROR(GETPIVOTDATA("Count of D1 Loss",'3.8 Pivot'!$A$1,"Status 1 - Development","04 Pending","Status 2 - Permission Type","06 Appeal","D1Description_Loss","Day Nursery"),0)</f>
        <v>0</v>
      </c>
      <c r="F12" s="237">
        <f>IFERROR(GETPIVOTDATA("Sum of D1 Loss2",'3.8 Pivot'!$A$1,"Status 1 - Development","04 Pending","Status 2 - Permission Type","06 Appeal","D1Description_Loss","Day Nursery"),0)</f>
        <v>0</v>
      </c>
      <c r="G12" s="236">
        <f>IFERROR(GETPIVOTDATA("Count of D1 Loss",'3.8 Pivot'!$A$1,"Status 1 - Development","04 Pending","Status 2 - Permission Type","06 Appeal","D1Description_Loss","Education or Training"),0)</f>
        <v>0</v>
      </c>
      <c r="H12" s="237">
        <f>IFERROR(GETPIVOTDATA("Sum of D1 Loss2",'3.8 Pivot'!$A$1,"Status 1 - Development","04 Pending","Status 2 - Permission Type","06 Appeal","D1Description_Loss","Education or Training"),0)</f>
        <v>0</v>
      </c>
      <c r="I12" s="236">
        <f>IFERROR(GETPIVOTDATA("Count of D1 Loss",'3.8 Pivot'!$A$1,"Status 1 - Development","04 Pending","Status 2 - Permission Type","06 Appeal","D1Description_Loss","Library"),0)</f>
        <v>0</v>
      </c>
      <c r="J12" s="237">
        <f>IFERROR(GETPIVOTDATA("Sum of D1 Loss2",'3.8 Pivot'!$A$1,"Status 1 - Development","04 Pending","Status 2 - Permission Type","06 Appeal","D1Description_Loss","Library"),0)</f>
        <v>0</v>
      </c>
      <c r="K12" s="236">
        <f>IFERROR(GETPIVOTDATA("Count of D1 Loss",'3.8 Pivot'!$A$1,"Status 1 - Development","04 Pending","Status 2 - Permission Type","06 Appeal","D1Description_Loss","Medical Health Centre"),0)</f>
        <v>0</v>
      </c>
      <c r="L12" s="237">
        <f>IFERROR(GETPIVOTDATA("Sum of D1 Loss2",'3.8 Pivot'!$A$1,"Status 1 - Development","04 Pending","Status 2 - Permission Type","06 Appeal","D1Description_Loss","Medical Health Centre"),0)</f>
        <v>0</v>
      </c>
      <c r="M12" s="513">
        <f>IFERROR(GETPIVOTDATA("Count of D1 Loss",'3.8 Pivot'!$A$1,"Status 1 - Development","04 Pending","Status 2 - Permission Type","06 Appeal","D1Description_Loss","Museum"),0)</f>
        <v>0</v>
      </c>
      <c r="N12" s="493">
        <f>IFERROR(GETPIVOTDATA("Sum of D1 Loss2",'3.8 Pivot'!$A$1,"Status 1 - Development","04 Pending","Status 2 - Permission Type","06 Appeal","D1Description_Loss","Museum"),0)</f>
        <v>0</v>
      </c>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row>
    <row r="13" spans="1:150" x14ac:dyDescent="0.2">
      <c r="A13" s="808"/>
      <c r="B13" s="511" t="s">
        <v>3800</v>
      </c>
      <c r="C13" s="266">
        <f>IFERROR(GETPIVOTDATA("Count of D1 Loss",'3.8 Pivot'!$A$1,"Status 1 - Development","04 Pending","Status 2 - Permission Type","02 Full","D1Description_Loss","Community Premises"),0)+IFERROR(GETPIVOTDATA("Count of D1 Loss",'3.8 Pivot'!$A$1,"Status 1 - Development","04 Pending","Status 2 - Permission Type","03 Outline","D1Description_Loss","Community Premises"),0)+IFERROR(GETPIVOTDATA("Count of D1 Loss",'3.8 Pivot'!$A$1,"Status 1 - Development","04 Pending","Status 2 - Permission Type","04 Prior Approval","D1Description_Loss","Community Premises"),0)+IFERROR(GETPIVOTDATA("Count of D1 Loss",'3.8 Pivot'!$A$1,"Status 1 - Development","04 Pending","Status 2 - Permission Type","05 Certificate of Lawful Development","D1Description_Loss","Community Premises"),0)</f>
        <v>1</v>
      </c>
      <c r="D13" s="268">
        <f>IFERROR(GETPIVOTDATA("Sum of D1 Loss2",'3.8 Pivot'!$A$1,"Status 1 - Development","04 Pending","Status 2 - Permission Type","02 Full","D1Description_Loss","Community Premises"),0)+IFERROR(GETPIVOTDATA("Sum of D1 Loss2",'3.8 Pivot'!$A$1,"Status 1 - Development","04 Pending","Status 2 - Permission Type","03 Outline","D1Description_Loss","Community Premises"),0)+IFERROR(GETPIVOTDATA("Sum of D1 Loss2",'3.8 Pivot'!$A$1,"Status 1 - Development","04 Pending","Status 2 - Permission Type","04 Prior Approval","D1Description_Loss","Community Premises"),0)+IFERROR(GETPIVOTDATA("Sum of D1 Loss2",'3.8 Pivot'!$A$1,"Status 1 - Development","04 Pending","Status 2 - Permission Type","05 Certificate of Lawful Development","D1Description_Loss","Community Premises"),0)</f>
        <v>530</v>
      </c>
      <c r="E13" s="266">
        <f>IFERROR(GETPIVOTDATA("Count of D1 Loss",'3.8 Pivot'!$A$1,"Status 1 - Development","04 Pending","Status 2 - Permission Type","02 Full","D1Description_Loss","Day Nursery"),0)+IFERROR(GETPIVOTDATA("Count of D1 Loss",'3.8 Pivot'!$A$1,"Status 1 - Development","04 Pending","Status 2 - Permission Type","03 Outline","D1Description_Loss","Day Nursery"),0)+IFERROR(GETPIVOTDATA("Count of D1 Loss",'3.8 Pivot'!$A$1,"Status 1 - Development","04 Pending","Status 2 - Permission Type","04 Prior Approval","D1Description_Loss","Day Nursery"),0)+IFERROR(GETPIVOTDATA("Count of D1 Loss",'3.8 Pivot'!$A$1,"Status 1 - Development","04 Pending","Status 2 - Permission Type","05 Certificate of Lawful Development","D1Description_Loss","Day Nursery"),0)</f>
        <v>0</v>
      </c>
      <c r="F13" s="268">
        <f>IFERROR(GETPIVOTDATA("Sum of D1 Loss2",'3.8 Pivot'!$A$1,"Status 1 - Development","04 Pending","Status 2 - Permission Type","02 Full","D1Description_Loss","Day Nursery"),0)+IFERROR(GETPIVOTDATA("Sum of D1 Loss2",'3.8 Pivot'!$A$1,"Status 1 - Development","04 Pending","Status 2 - Permission Type","03 Outline","D1Description_Loss","Day Nursery"),0)+IFERROR(GETPIVOTDATA("Sum of D1 Loss2",'3.8 Pivot'!$A$1,"Status 1 - Development","04 Pending","Status 2 - Permission Type","04 Prior Approval","D1Description_Loss","Day Nursery"),0)+IFERROR(GETPIVOTDATA("Sum of D1 Loss2",'3.8 Pivot'!$A$1,"Status 1 - Development","04 Pending","Status 2 - Permission Type","05 Certificate of Lawful Development","D1Description_Loss","Day Nursery"),0)</f>
        <v>0</v>
      </c>
      <c r="G13" s="266">
        <f>IFERROR(GETPIVOTDATA("Count of D1 Loss",'3.8 Pivot'!$A$1,"Status 1 - Development","04 Pending","Status 2 - Permission Type","02 Full","D1Description_Loss","Education or Training"),0)+IFERROR(GETPIVOTDATA("Count of D1 Loss",'3.8 Pivot'!$A$1,"Status 1 - Development","04 Pending","Status 2 - Permission Type","03 Outline","D1Description_Loss","Education or Training"),0)+IFERROR(GETPIVOTDATA("Count of D1 Loss",'3.8 Pivot'!$A$1,"Status 1 - Development","04 Pending","Status 2 - Permission Type","04 Prior Approval","D1Description_Loss","Education or Training"),0)+IFERROR(GETPIVOTDATA("Count of D1 Loss",'3.8 Pivot'!$A$1,"Status 1 - Development","04 Pending","Status 2 - Permission Type","05 Certificate of Lawful Development","D1Description_Loss","Education or Training"),0)</f>
        <v>1</v>
      </c>
      <c r="H13" s="268">
        <f>IFERROR(GETPIVOTDATA("Sum of D1 Loss2",'3.8 Pivot'!$A$1,"Status 1 - Development","04 Pending","Status 2 - Permission Type","02 Full","D1Description_Loss","Education or Training"),0)+IFERROR(GETPIVOTDATA("Sum of D1 Loss2",'3.8 Pivot'!$A$1,"Status 1 - Development","04 Pending","Status 2 - Permission Type","03 Outline","D1Description_Loss","Education or Training"),0)+IFERROR(GETPIVOTDATA("Sum of D1 Loss2",'3.8 Pivot'!$A$1,"Status 1 - Development","04 Pending","Status 2 - Permission Type","04 Prior Approval","D1Description_Loss","Education or Training"),0)+IFERROR(GETPIVOTDATA("Sum of D1 Loss2",'3.8 Pivot'!$A$1,"Status 1 - Development","04 Pending","Status 2 - Permission Type","05 Certificate of Lawful Development","D1Description_Loss","Education or Training"),0)</f>
        <v>1273</v>
      </c>
      <c r="I13" s="266">
        <f>IFERROR(GETPIVOTDATA("Count of D1 Loss",'3.8 Pivot'!$A$1,"Status 1 - Development","04 Pending","Status 2 - Permission Type","02 Full","D1Description_Loss","Library"),0)+IFERROR(GETPIVOTDATA("Count of D1 Loss",'3.8 Pivot'!$A$1,"Status 1 - Development","04 Pending","Status 2 - Permission Type","03 Outline","D1Description_Loss","Library"),0)+IFERROR(GETPIVOTDATA("Count of D1 Loss",'3.8 Pivot'!$A$1,"Status 1 - Development","04 Pending","Status 2 - Permission Type","04 Prior Approval","D1Description_Loss","Library"),0)+IFERROR(GETPIVOTDATA("Count of D1 Loss",'3.8 Pivot'!$A$1,"Status 1 - Development","04 Pending","Status 2 - Permission Type","05 Certificate of Lawful Development","D1Description_Loss","Library"),0)</f>
        <v>0</v>
      </c>
      <c r="J13" s="268">
        <f>IFERROR(GETPIVOTDATA("Sum of D1 Loss2",'3.8 Pivot'!$A$1,"Status 1 - Development","04 Pending","Status 2 - Permission Type","02 Full","D1Description_Loss","Library"),0)+IFERROR(GETPIVOTDATA("Sum of D1 Loss2",'3.8 Pivot'!$A$1,"Status 1 - Development","04 Pending","Status 2 - Permission Type","03 Outline","D1Description_Loss","Library"),0)+IFERROR(GETPIVOTDATA("Sum of D1 Loss2",'3.8 Pivot'!$A$1,"Status 1 - Development","04 Pending","Status 2 - Permission Type","04 Prior Approval","D1Description_Loss","Library"),0)+IFERROR(GETPIVOTDATA("Sum of D1 Loss2",'3.8 Pivot'!$A$1,"Status 1 - Development","04 Pending","Status 2 - Permission Type","05 Certificate of Lawful Development","D1Description_Loss","Library"),0)</f>
        <v>0</v>
      </c>
      <c r="K13" s="266">
        <f>IFERROR(GETPIVOTDATA("Count of D1 Loss",'3.8 Pivot'!$A$1,"Status 1 - Development","04 Pending","Status 2 - Permission Type","02 Full","D1Description_Loss","Medical Health Centre"),0)+IFERROR(GETPIVOTDATA("Count of D1 Loss",'3.8 Pivot'!$A$1,"Status 1 - Development","04 Pending","Status 2 - Permission Type","03 Outline","D1Description_Loss","Medical Health Centre"),0)+IFERROR(GETPIVOTDATA("Count of D1 Loss",'3.8 Pivot'!$A$1,"Status 1 - Development","04 Pending","Status 2 - Permission Type","04 Prior Approval","D1Description_Loss","Medical Health Centre"),0)+IFERROR(GETPIVOTDATA("Count of D1 Loss",'3.8 Pivot'!$A$1,"Status 1 - Development","04 Pending","Status 2 - Permission Type","05 Certificate of Lawful Development","D1Description_Loss","Medical Health Centre"),0)</f>
        <v>1</v>
      </c>
      <c r="L13" s="268">
        <f>IFERROR(GETPIVOTDATA("Sum of D1 Loss2",'3.8 Pivot'!$A$1,"Status 1 - Development","04 Pending","Status 2 - Permission Type","02 Full","D1Description_Loss","Medical Health Centre"),0)+IFERROR(GETPIVOTDATA("Sum of D1 Loss2",'3.8 Pivot'!$A$1,"Status 1 - Development","04 Pending","Status 2 - Permission Type","03 Outline","D1Description_Loss","Medical Health Centre"),0)+IFERROR(GETPIVOTDATA("Sum of D1 Loss2",'3.8 Pivot'!$A$1,"Status 1 - Development","04 Pending","Status 2 - Permission Type","04 Prior Approval","D1Description_Loss","Medical Health Centre"),0)+IFERROR(GETPIVOTDATA("Sum of D1 Loss2",'3.8 Pivot'!$A$1,"Status 1 - Development","04 Pending","Status 2 - Permission Type","05 Certificate of Lawful Development","D1Description_Loss","Medical Health Centre"),0)</f>
        <v>4313</v>
      </c>
      <c r="M13" s="266">
        <f>IFERROR(GETPIVOTDATA("Count of D1 Loss",'3.8 Pivot'!$A$1,"Status 1 - Development","04 Pending","Status 2 - Permission Type","02 Full","D1Description_Loss","Museum"),0)+IFERROR(GETPIVOTDATA("Count of D1 Loss",'3.8 Pivot'!$A$1,"Status 1 - Development","04 Pending","Status 2 - Permission Type","03 Outline","D1Description_Loss","Museum"),0)+IFERROR(GETPIVOTDATA("Count of D1 Loss",'3.8 Pivot'!$A$1,"Status 1 - Development","04 Pending","Status 2 - Permission Type","04 Prior Approval","D1Description_Loss","Museum"),0)+IFERROR(GETPIVOTDATA("Count of D1 Loss",'3.8 Pivot'!$A$1,"Status 1 - Development","04 Pending","Status 2 - Permission Type","05 Certificate of Lawful Development","D1Description_Loss","Museum"),0)</f>
        <v>0</v>
      </c>
      <c r="N13" s="514">
        <f>IFERROR(GETPIVOTDATA("Sum of D1 Loss2",'3.8 Pivot'!$A$1,"Status 1 - Development","04 Pending","Status 2 - Permission Type","02 Full","D1Description_Loss","Museum"),0)+IFERROR(GETPIVOTDATA("Sum of D1 Loss2",'3.8 Pivot'!$A$1,"Status 1 - Development","04 Pending","Status 2 - Permission Type","03 Outline","D1Description_Loss","Museum"),0)+IFERROR(GETPIVOTDATA("Sum of D1 Loss2",'3.8 Pivot'!$A$1,"Status 1 - Development","04 Pending","Status 2 - Permission Type","04 Prior Approval","D1Description_Loss","Museum"),0)+IFERROR(GETPIVOTDATA("Sum of D1 Loss2",'3.8 Pivot'!$A$1,"Status 1 - Development","04 Pending","Status 2 - Permission Type","05 Certificate of Lawful Development","D1Description_Loss","Museum"),0)</f>
        <v>0</v>
      </c>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row>
    <row r="14" spans="1:150" x14ac:dyDescent="0.2">
      <c r="A14" s="809"/>
      <c r="B14" s="512" t="s">
        <v>95</v>
      </c>
      <c r="C14" s="102">
        <f t="shared" ref="C14:N14" si="0">SUM(C7:C13)</f>
        <v>4</v>
      </c>
      <c r="D14" s="103">
        <f t="shared" si="0"/>
        <v>1911</v>
      </c>
      <c r="E14" s="102">
        <f t="shared" si="0"/>
        <v>0</v>
      </c>
      <c r="F14" s="103">
        <f t="shared" si="0"/>
        <v>0</v>
      </c>
      <c r="G14" s="102">
        <f t="shared" si="0"/>
        <v>11</v>
      </c>
      <c r="H14" s="103">
        <f t="shared" si="0"/>
        <v>33847</v>
      </c>
      <c r="I14" s="102">
        <f t="shared" si="0"/>
        <v>0</v>
      </c>
      <c r="J14" s="103">
        <f t="shared" si="0"/>
        <v>0</v>
      </c>
      <c r="K14" s="102">
        <f t="shared" si="0"/>
        <v>2</v>
      </c>
      <c r="L14" s="103">
        <f t="shared" si="0"/>
        <v>4449</v>
      </c>
      <c r="M14" s="474">
        <f t="shared" si="0"/>
        <v>0</v>
      </c>
      <c r="N14" s="475">
        <f t="shared" si="0"/>
        <v>0</v>
      </c>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row>
    <row r="15" spans="1:150" x14ac:dyDescent="0.2">
      <c r="A15" s="12"/>
      <c r="B15" s="12"/>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row>
    <row r="16" spans="1:150" x14ac:dyDescent="0.2">
      <c r="A16" s="807" t="s">
        <v>88</v>
      </c>
      <c r="B16" s="810"/>
      <c r="C16" s="816" t="s">
        <v>37</v>
      </c>
      <c r="D16" s="816"/>
      <c r="E16" s="812" t="s">
        <v>47</v>
      </c>
      <c r="F16" s="813"/>
      <c r="G16" s="816" t="s">
        <v>49</v>
      </c>
      <c r="H16" s="816"/>
      <c r="I16" s="816" t="s">
        <v>31</v>
      </c>
      <c r="J16" s="816"/>
      <c r="K16" s="814" t="s">
        <v>95</v>
      </c>
      <c r="L16" s="815"/>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row>
    <row r="17" spans="1:150" ht="24" x14ac:dyDescent="0.2">
      <c r="A17" s="809"/>
      <c r="B17" s="811"/>
      <c r="C17" s="380" t="s">
        <v>2970</v>
      </c>
      <c r="D17" s="379" t="s">
        <v>168</v>
      </c>
      <c r="E17" s="380" t="s">
        <v>2970</v>
      </c>
      <c r="F17" s="379" t="s">
        <v>168</v>
      </c>
      <c r="G17" s="380" t="s">
        <v>2970</v>
      </c>
      <c r="H17" s="379" t="s">
        <v>168</v>
      </c>
      <c r="I17" s="380" t="s">
        <v>2970</v>
      </c>
      <c r="J17" s="379" t="s">
        <v>168</v>
      </c>
      <c r="K17" s="490" t="s">
        <v>2970</v>
      </c>
      <c r="L17" s="496" t="s">
        <v>168</v>
      </c>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row>
    <row r="18" spans="1:150" x14ac:dyDescent="0.2">
      <c r="A18" s="805" t="s">
        <v>2926</v>
      </c>
      <c r="B18" s="806"/>
      <c r="C18" s="236">
        <f>IFERROR(GETPIVOTDATA("Count of D1 Loss",'3.8 Pivot'!$A$1,"Status 1 - Development","01 Completed","D1Description_Loss","Religious Premises"),0)</f>
        <v>0</v>
      </c>
      <c r="D18" s="237">
        <f>IFERROR(GETPIVOTDATA("Sum of D1 Loss2",'3.8 Pivot'!$A$1,"Status 1 - Development","01 Completed","D1Description_Loss","Religious Premises"),0)</f>
        <v>0</v>
      </c>
      <c r="E18" s="236">
        <f>IFERROR(GETPIVOTDATA("Count of D1 Loss",'3.8 Pivot'!$A$1,"Status 1 - Development","01 Completed","D1Description_Loss","Vacant"),0)</f>
        <v>2</v>
      </c>
      <c r="F18" s="237">
        <f>IFERROR(GETPIVOTDATA("Sum of D1 Loss2",'3.8 Pivot'!$A$1,"Status 1 - Development","01 Completed","D1Description_Loss","Vacant"),0)</f>
        <v>243</v>
      </c>
      <c r="G18" s="236">
        <f>IFERROR(GETPIVOTDATA("Count of D1 Loss",'3.8 Pivot'!$A$1,"Status 1 - Development","01 Completed","D1Description_Loss","Other"),0)</f>
        <v>2</v>
      </c>
      <c r="H18" s="237">
        <f>IFERROR(GETPIVOTDATA("Sum of D1 Loss2",'3.8 Pivot'!$A$1,"Status 1 - Development","01 Completed","D1Description_Loss","Other"),0)</f>
        <v>267</v>
      </c>
      <c r="I18" s="236">
        <f>IFERROR(GETPIVOTDATA("Count of D1 Loss",'3.8 Pivot'!$A$1,"Status 1 - Development","01 Completed","D1Description_Loss","-"),0)+IFERROR(GETPIVOTDATA("Count of D1 Loss",'3.8 Pivot'!$A$1,"Status 1 - Development","01 Completed","D1Description_Loss","Not Known"),0)</f>
        <v>0</v>
      </c>
      <c r="J18" s="237">
        <f>IFERROR(GETPIVOTDATA("Sum of D1 Loss2",'3.8 Pivot'!$A$1,"Status 1 - Development","01 Completed","D1Description_Loss","-"),0)+IFERROR(GETPIVOTDATA("Sum of D1 Loss2",'3.8 Pivot'!$A$1,"Status 1 - Development","01 Completed","D1Description_Loss","Not Known"),0)</f>
        <v>0</v>
      </c>
      <c r="K18" s="515">
        <f>IFERROR(GETPIVOTDATA("Count of D1 Loss",'3.8 Pivot'!$A$1,"Status 1 - Development","01 Completed"),0)</f>
        <v>11</v>
      </c>
      <c r="L18" s="516">
        <f>IFERROR(GETPIVOTDATA("Sum of D1 Loss2",'3.8 Pivot'!$A$1,"Status 1 - Development","01 Completed"),0)</f>
        <v>1943</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row>
    <row r="19" spans="1:150" x14ac:dyDescent="0.2">
      <c r="A19" s="807" t="s">
        <v>2962</v>
      </c>
      <c r="B19" s="511" t="s">
        <v>96</v>
      </c>
      <c r="C19" s="236">
        <f>IFERROR(GETPIVOTDATA("Count of D1 Loss",'3.8 Pivot'!$A$1,"Status 1 - Development","02 Under Construction","D1Description_Loss","Religious Premises"),0)</f>
        <v>3</v>
      </c>
      <c r="D19" s="237">
        <f>IFERROR(GETPIVOTDATA("Sum of D1 Loss2",'3.8 Pivot'!$A$1,"Status 1 - Development","02 Under Construction","D1Description_Loss","Religious Premises"),0)</f>
        <v>2027</v>
      </c>
      <c r="E19" s="236">
        <f>IFERROR(GETPIVOTDATA("Count of D1 Loss",'3.8 Pivot'!$A$1,"Status 1 - Development","02 Under Construction","D1Description_Loss","Vacant"),0)</f>
        <v>4</v>
      </c>
      <c r="F19" s="237">
        <f>IFERROR(GETPIVOTDATA("Sum of D1 Loss2",'3.8 Pivot'!$A$1,"Status 1 - Development","02 Under Construction","D1Description_Loss","Vacant"),0)</f>
        <v>677</v>
      </c>
      <c r="G19" s="236">
        <f>IFERROR(GETPIVOTDATA("Count of D1 Loss",'3.8 Pivot'!$A$1,"Status 1 - Development","02 Under Construction","D1Description_Loss","Other"),0)</f>
        <v>4</v>
      </c>
      <c r="H19" s="237">
        <f>IFERROR(GETPIVOTDATA("Sum of D1 Loss2",'3.8 Pivot'!$A$1,"Status 1 - Development","02 Under Construction","D1Description_Loss","Other"),0)</f>
        <v>1973</v>
      </c>
      <c r="I19" s="236">
        <f>IFERROR(GETPIVOTDATA("Count of D1 Loss",'3.8 Pivot'!$A$1,"Status 1 - Development","02 Under Construction","D1Description_Loss","-"),0)+IFERROR(GETPIVOTDATA("Count of D1 Loss",'3.8 Pivot'!$A$1,"Status 1 - Development","02 Under Construction","D1Description_Loss","Not Known"),0)</f>
        <v>2</v>
      </c>
      <c r="J19" s="237">
        <f>IFERROR(GETPIVOTDATA("Sum of D1 Loss2",'3.8 Pivot'!$A$1,"Status 1 - Development","02 Under Construction","D1Description_Loss","-"),0)+IFERROR(GETPIVOTDATA("Sum of D1 Loss2",'3.8 Pivot'!$A$1,"Status 1 - Development","02 Under Construction","D1Description_Loss","Not Known"),0)</f>
        <v>499</v>
      </c>
      <c r="K19" s="515">
        <f>IFERROR(GETPIVOTDATA("Count of D1 Loss",'3.8 Pivot'!$A$1,"Status 1 - Development","02 Under Construction"),0)</f>
        <v>25</v>
      </c>
      <c r="L19" s="516">
        <f>IFERROR(GETPIVOTDATA("Sum of D1 Loss2",'3.8 Pivot'!$A$1,"Status 1 - Development","02 Under Construction"),0)</f>
        <v>38076</v>
      </c>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row>
    <row r="20" spans="1:150" x14ac:dyDescent="0.2">
      <c r="A20" s="808"/>
      <c r="B20" s="511" t="s">
        <v>2966</v>
      </c>
      <c r="C20" s="236">
        <f>IFERROR(GETPIVOTDATA("Count of D1 Loss",'3.8 Pivot'!$A$1,"Status 1 - Development","03 Planning","Status 2 - Permission Type","02 Full","D1Description_Loss","Religious Premises"),0)</f>
        <v>1</v>
      </c>
      <c r="D20" s="237">
        <f>IFERROR(GETPIVOTDATA("Sum of D1 Loss2",'3.8 Pivot'!$A$1,"Status 1 - Development","03 Planning","Status 2 - Permission Type","02 Full","D1Description_Loss","Religious Premises"),0)</f>
        <v>126</v>
      </c>
      <c r="E20" s="236">
        <f>IFERROR(GETPIVOTDATA("Count of D1 Loss",'3.8 Pivot'!$A$1,"Status 1 - Development","03 Planning","Status 2 - Permission Type","02 Full","D1Description_Loss","Vacant"),0)</f>
        <v>6</v>
      </c>
      <c r="F20" s="237">
        <f>IFERROR(GETPIVOTDATA("Sum of D1 Loss2",'3.8 Pivot'!$A$1,"Status 1 - Development","03 Planning","Status 2 - Permission Type","02 Full","D1Description_Loss","Vacant"),0)</f>
        <v>2334</v>
      </c>
      <c r="G20" s="236">
        <f>IFERROR(GETPIVOTDATA("Count of D1 Loss",'3.8 Pivot'!$A$1,"Status 1 - Development","03 Planning","Status 2 - Permission Type","02 Full","D1Description_Loss","Other"),0)</f>
        <v>4</v>
      </c>
      <c r="H20" s="237">
        <f>IFERROR(GETPIVOTDATA("Sum of D1 Loss2",'3.8 Pivot'!$A$1,"Status 1 - Development","03 Planning","Status 2 - Permission Type","02 Full","D1Description_Loss","Other"),0)</f>
        <v>3795</v>
      </c>
      <c r="I20" s="236">
        <f>IFERROR(GETPIVOTDATA("Count of D1 Loss",'3.8 Pivot'!$A$1,"Status 1 - Development","03 Planning","Status 2 - Permission Type","02 Full","D1Description_Loss","-"),0)+IFERROR(GETPIVOTDATA("Count of D1 Loss",'3.8 Pivot'!$A$1,"Status 1 - Development","03 Planning","Status 2 - Permission Type","02 Full","D1Description_Loss","Not Known"),0)</f>
        <v>1</v>
      </c>
      <c r="J20" s="237">
        <f>IFERROR(GETPIVOTDATA("Sum of D1 Loss2",'3.8 Pivot'!$A$1,"Status 1 - Development","03 Planning","Status 2 - Permission Type","02 Full","D1Description_Loss","-"),0)+IFERROR(GETPIVOTDATA("Sum of D1 Loss2",'3.8 Pivot'!$A$1,"Status 1 - Development","03 Planning","Status 2 - Permission Type","02 Full","D1Description_Loss","Not Known"),0)</f>
        <v>251</v>
      </c>
      <c r="K20" s="515">
        <f>IFERROR(GETPIVOTDATA("Count of D1 Loss",'3.8 Pivot'!$A$1,"Status 1 - Development","03 Planning","Status 2 - Permission Type","02 Full"),0)</f>
        <v>13</v>
      </c>
      <c r="L20" s="516">
        <f>IFERROR(GETPIVOTDATA("Sum of D1 Loss2",'3.8 Pivot'!$A$1,"Status 1 - Development","03 Planning","Status 2 - Permission Type","02 Full"),0)</f>
        <v>6743</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row>
    <row r="21" spans="1:150" x14ac:dyDescent="0.2">
      <c r="A21" s="808"/>
      <c r="B21" s="511" t="s">
        <v>2967</v>
      </c>
      <c r="C21" s="236">
        <f>IFERROR(GETPIVOTDATA("Count of D1 Loss",'3.8 Pivot'!$A$1,"Status 1 - Development","03 Planning","Status 2 - Permission Type","03 Outline","D1Description_Loss","Religious Premises"),0)</f>
        <v>0</v>
      </c>
      <c r="D21" s="237">
        <f>IFERROR(GETPIVOTDATA("Sum of D1 Loss2",'3.8 Pivot'!$A$1,"Status 1 - Development","03 Planning","Status 2 - Permission Type","03 Outline","D1Description_Loss","Religious Premises"),0)</f>
        <v>0</v>
      </c>
      <c r="E21" s="236">
        <f>IFERROR(GETPIVOTDATA("Count of D1 Loss",'3.8 Pivot'!$A$1,"Status 1 - Development","03 Planning","Status 2 - Permission Type","03 Outline","D1Description_Loss","Vacant"),0)</f>
        <v>0</v>
      </c>
      <c r="F21" s="237">
        <f>IFERROR(GETPIVOTDATA("Sum of D1 Loss2",'3.8 Pivot'!$A$1,"Status 1 - Development","03 Planning","Status 2 - Permission Type","03 Outline","D1Description_Loss","Vacant"),0)</f>
        <v>0</v>
      </c>
      <c r="G21" s="236">
        <f>IFERROR(GETPIVOTDATA("Count of D1 Loss",'3.8 Pivot'!$A$1,"Status 1 - Development","03 Planning","Status 2 - Permission Type","03 Outline","D1Description_Loss","Other"),0)</f>
        <v>0</v>
      </c>
      <c r="H21" s="237">
        <f>IFERROR(GETPIVOTDATA("Sum of D1 Loss2",'3.8 Pivot'!$A$1,"Status 1 - Development","03 Planning","Status 2 - Permission Type","03 Outline","D1Description_Loss","Other"),0)</f>
        <v>0</v>
      </c>
      <c r="I21" s="236">
        <f>IFERROR(GETPIVOTDATA("Count of D1 Loss",'3.8 Pivot'!$A$1,"Status 1 - Development","03 Planning","Status 2 - Permission Type","03 Outline","D1Description_Loss","-"),0)+IFERROR(GETPIVOTDATA("Count of D1 Loss",'3.8 Pivot'!$A$1,"Status 1 - Development","03 Planning","Status 2 - Permission Type","03 Outline","D1Description_Loss","Not Known"),0)</f>
        <v>0</v>
      </c>
      <c r="J21" s="237">
        <f>IFERROR(GETPIVOTDATA("Sum of D1 Loss2",'3.8 Pivot'!$A$1,"Status 1 - Development","03 Planning","Status 2 - Permission Type","03 Outline","D1Description_Loss","-"),0)+IFERROR(GETPIVOTDATA("Sum of D1 Loss2",'3.8 Pivot'!$A$1,"Status 1 - Development","03 Planning","Status 2 - Permission Type","03 Outline","D1Description_Loss","Not Known"),0)</f>
        <v>0</v>
      </c>
      <c r="K21" s="515">
        <f>IFERROR(GETPIVOTDATA("Count of D1 Loss",'3.8 Pivot'!$A$1,"Status 1 - Development","03 Planning","Status 2 - Permission Type","03 Outline"),0)</f>
        <v>0</v>
      </c>
      <c r="L21" s="516">
        <f>IFERROR(GETPIVOTDATA("Sum of D1 Loss2",'3.8 Pivot'!$A$1,"Status 1 - Development","03 Planning","Status 2 - Permission Type","03 Outline"),0)</f>
        <v>0</v>
      </c>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row>
    <row r="22" spans="1:150" x14ac:dyDescent="0.2">
      <c r="A22" s="808"/>
      <c r="B22" s="511" t="s">
        <v>2944</v>
      </c>
      <c r="C22" s="236">
        <f>IFERROR(GETPIVOTDATA("Count of D1 Loss",'3.8 Pivot'!$A$1,"Status 1 - Development","03 Planning","Status 2 - Permission Type","04 Prior Approval","D1Description_Loss","Religious Premises"),0)+IFERROR(GETPIVOTDATA("Count of D1 Loss",'3.8 Pivot'!$A$1,"Status 1 - Development","03 Planning","Status 2 - Permission Type","05 Certificate of Lawful Development","D1Description_Loss","Religious Premises"),0)</f>
        <v>0</v>
      </c>
      <c r="D22" s="237">
        <f>IFERROR(GETPIVOTDATA("Sum of D1 Loss2",'3.8 Pivot'!$A$1,"Status 1 - Development","03 Planning","Status 2 - Permission Type","04 Prior Approval","D1Description_Loss","Religious Premises"),0)+IFERROR(GETPIVOTDATA("Sum of D1 Loss2",'3.8 Pivot'!$A$1,"Status 1 - Development","03 Planning","Status 2 - Permission Type","05 Certificate of Lawful Development","D1Description_Loss","Religious Premises"),0)</f>
        <v>0</v>
      </c>
      <c r="E22" s="236">
        <f>IFERROR(GETPIVOTDATA("Count of D1 Loss",'3.8 Pivot'!$A$1,"Status 1 - Development","03 Planning","Status 2 - Permission Type","04 Prior Approval","D1Description_Loss","Vacant"),0)+IFERROR(GETPIVOTDATA("Count of D1 Loss",'3.8 Pivot'!$A$1,"Status 1 - Development","03 Planning","Status 2 - Permission Type","05 Certificate of Lawful Development","D1Description_Loss","Vacant"),0)</f>
        <v>0</v>
      </c>
      <c r="F22" s="237">
        <f>IFERROR(GETPIVOTDATA("Sum of D1 Loss2",'3.8 Pivot'!$A$1,"Status 1 - Development","03 Planning","Status 2 - Permission Type","04 Prior Approval","D1Description_Loss","Vacant"),0)+IFERROR(GETPIVOTDATA("Sum of D1 Loss2",'3.8 Pivot'!$A$1,"Status 1 - Development","03 Planning","Status 2 - Permission Type","05 Certificate of Lawful Development","D1Description_Loss","Vacant"),0)</f>
        <v>0</v>
      </c>
      <c r="G22" s="236">
        <f>IFERROR(GETPIVOTDATA("Count of D1 Loss",'3.8 Pivot'!$A$1,"Status 1 - Development","03 Planning","Status 2 - Permission Type","04 Prior Approval","D1Description_Loss","Other"),0)+IFERROR(GETPIVOTDATA("Count of D1 Loss",'3.8 Pivot'!$A$1,"Status 1 - Development","03 Planning","Status 2 - Permission Type","05 Certificate of Lawful Development","D1Description_Loss","Other"),0)</f>
        <v>0</v>
      </c>
      <c r="H22" s="237">
        <f>IFERROR(GETPIVOTDATA("Sum of D1 Loss2",'3.8 Pivot'!$A$1,"Status 1 - Development","03 Planning","Status 2 - Permission Type","04 Prior Approval","D1Description_Loss","Other"),0)+IFERROR(GETPIVOTDATA("Sum of D1 Loss2",'3.8 Pivot'!$A$1,"Status 1 - Development","03 Planning","Status 2 - Permission Type","05 Certificate of Lawful Development","D1Description_Loss","Other"),0)</f>
        <v>0</v>
      </c>
      <c r="I22" s="236">
        <f>IFERROR(GETPIVOTDATA("Count of D1 Loss",'3.8 Pivot'!$A$1,"Status 1 - Development","03 Planning","Status 2 - Permission Type","04 Prior Approval","D1Description_Loss","-"),0)+IFERROR(GETPIVOTDATA("Count of D1 Loss",'3.8 Pivot'!$A$1,"Status 1 - Development","03 Planning","Status 2 - Permission Type","05 Certificate of Lawful Development","D1Description_Loss","-"),0)+IFERROR(GETPIVOTDATA("Count of D1 Loss",'3.8 Pivot'!$A$1,"Status 1 - Development","03 Planning","Status 2 - Permission Type","04 Prior Approval","D1Description_Loss","Not Known"),0)+IFERROR(GETPIVOTDATA("Count of D1 Loss",'3.8 Pivot'!$A$1,"Status 1 - Development","03 Planning","Status 2 - Permission Type","05 Certificate of Lawful Development","D1Description_Loss","Not Known"),0)</f>
        <v>0</v>
      </c>
      <c r="J22" s="237">
        <f>IFERROR(GETPIVOTDATA("Sum of D1 Loss2",'3.8 Pivot'!$A$1,"Status 1 - Development","03 Planning","Status 2 - Permission Type","04 Prior Approval","D1Description_Loss","-"),0)+IFERROR(GETPIVOTDATA("Sum of D1 Loss2",'3.8 Pivot'!$A$1,"Status 1 - Development","03 Planning","Status 2 - Permission Type","05 Certificate of Lawful Development","D1Description_Loss","-"),0)+IFERROR(GETPIVOTDATA("Sum of D1 Loss2",'3.8 Pivot'!$A$1,"Status 1 - Development","03 Planning","Status 2 - Permission Type","04 Prior Approval","D1Description_Loss","Not Known"),0)+IFERROR(GETPIVOTDATA("Sum of D1 Loss2",'3.8 Pivot'!$A$1,"Status 1 - Development","03 Planning","Status 2 - Permission Type","05 Certificate of Lawful Development","D1Description_Loss","Not Known"),0)</f>
        <v>0</v>
      </c>
      <c r="K22" s="515">
        <f>IFERROR(GETPIVOTDATA("Count of D1 Loss",'3.8 Pivot'!$A$1,"Status 1 - Development","03 Planning","Status 2 - Permission Type","04 Prior Approval"),0)+IFERROR(GETPIVOTDATA("Count of D1 Loss",'3.8 Pivot'!$A$1,"Status 1 - Development","03 Planning","Status 2 - Permission Type","05 Certificate of Lawful Development"),0)</f>
        <v>0</v>
      </c>
      <c r="L22" s="516">
        <f>IFERROR(GETPIVOTDATA("Sum of D1 Loss2",'3.8 Pivot'!$A$1,"Status 1 - Development","03 Planning","Status 2 - Permission Type","04 Prior Approval"),0)+IFERROR(GETPIVOTDATA("Sum of D1 Loss2",'3.8 Pivot'!$A$1:$A$1,"Status 1 - Development","03 Planning","Status 2 - Permission Type","05 Certificate of Lawful Development"),0)</f>
        <v>0</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row>
    <row r="23" spans="1:150" x14ac:dyDescent="0.2">
      <c r="A23" s="808"/>
      <c r="B23" s="511" t="s">
        <v>2932</v>
      </c>
      <c r="C23" s="236">
        <f>IFERROR(GETPIVOTDATA("Count of D1 Loss",'3.8 Pivot'!$A$1,"Status 1 - Development","04 Pending","Status 2 - Permission Type","01 Pending Legal Agreement","D1Description_Loss","Religious Premises"),0)</f>
        <v>0</v>
      </c>
      <c r="D23" s="237">
        <f>IFERROR(GETPIVOTDATA("Sum of D1 Loss2",'3.8 Pivot'!$A$1,"Status 1 - Development","04 Pending","Status 2 - Permission Type","01 Pending Legal Agreement","D1Description_Loss","Religious Premises"),0)</f>
        <v>0</v>
      </c>
      <c r="E23" s="236">
        <f>IFERROR(GETPIVOTDATA("Count of D1 Loss",'3.8 Pivot'!$A$1,"Status 1 - Development","04 Pending","Status 2 - Permission Type","01 Pending Legal Agreement","D1Description_Loss","Vacant"),0)</f>
        <v>0</v>
      </c>
      <c r="F23" s="237">
        <f>IFERROR(GETPIVOTDATA("Sum of D1 Loss2",'3.8 Pivot'!$A$1,"Status 1 - Development","04 Pending","Status 2 - Permission Type","01 Pending Legal Agreement","D1Description_Loss","Vacant"),0)</f>
        <v>0</v>
      </c>
      <c r="G23" s="236">
        <f>IFERROR(GETPIVOTDATA("Count of D1 Loss",'3.8 Pivot'!$A$1,"Status 1 - Development","04 Pending","Status 2 - Permission Type","01 Pending Legal Agreement","D1Description_Loss","Other"),0)</f>
        <v>0</v>
      </c>
      <c r="H23" s="237">
        <f>IFERROR(GETPIVOTDATA("Sum of D1 Loss2",'3.8 Pivot'!$A$1,"Status 1 - Development","04 Pending","Status 2 - Permission Type","01 Pending Legal Agreement","D1Description_Loss","Other"),0)</f>
        <v>0</v>
      </c>
      <c r="I23" s="236">
        <f>IFERROR(GETPIVOTDATA("Count of D1 Loss",'3.8 Pivot'!$A$1,"Status 1 - Development","04 Pending","Status 2 - Permission Type","01 Pending Legal Agreement","D1Description_Loss","-"),0)+IFERROR(GETPIVOTDATA("Count of D1 Loss",'3.8 Pivot'!$A$1,"Status 1 - Development","04 Pending","Status 2 - Permission Type","01 Pending Legal Agreement","D1Description_Loss","Not Known"),0)</f>
        <v>0</v>
      </c>
      <c r="J23" s="237">
        <f>IFERROR(GETPIVOTDATA("Sum of D1 Loss2",'3.8 Pivot'!$A$1,"Status 1 - Development","04 Pending","Status 2 - Permission Type","01 Pending Legal Agreement","D1Description_Loss","-"),0)+IFERROR(GETPIVOTDATA("Sum of D1 Loss2",'3.8 Pivot'!$A$1,"Status 1 - Development","04 Pending","Status 2 - Permission Type","01 Pending Legal Agreement","D1Description_Loss","Not Known"),0)</f>
        <v>0</v>
      </c>
      <c r="K23" s="515">
        <f>IFERROR(GETPIVOTDATA("Count of D1 Loss",'3.8 Pivot'!$A$1,"Status 1 - Development","04 Pending","Status 2 - Permission Type","01 Pending Legal Agreement"),0)</f>
        <v>1</v>
      </c>
      <c r="L23" s="516">
        <f>IFERROR(GETPIVOTDATA("Sum of D1 Loss2",'3.8 Pivot'!$A$1,"Status 1 - Development","04 Pending","Status 2 - Permission Type","01 Pending Legal Agreement"),0)</f>
        <v>954</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row>
    <row r="24" spans="1:150" x14ac:dyDescent="0.2">
      <c r="A24" s="808"/>
      <c r="B24" s="511" t="s">
        <v>2933</v>
      </c>
      <c r="C24" s="236">
        <f>IFERROR(GETPIVOTDATA("Count of D1 Loss",'3.8 Pivot'!$A$1,"Status 1 - Development","04 Pending","Status 2 - Permission Type","06 Appeal","D1Description_Loss","Religious Premises"),0)</f>
        <v>0</v>
      </c>
      <c r="D24" s="237">
        <f>IFERROR(GETPIVOTDATA("Sum of D1 Loss2",'3.8 Pivot'!$A$1,"Status 1 - Development","04 Pending","Status 2 - Permission Type","06 Appeal","D1Description_Loss","Religious Premises"),0)</f>
        <v>0</v>
      </c>
      <c r="E24" s="236">
        <f>IFERROR(GETPIVOTDATA("Count of D1 Loss",'3.8 Pivot'!$A$1,"Status 1 - Development","04 Pending","Status 2 - Permission Type","06 Appeal","D1Description_Loss","Vacant"),0)</f>
        <v>0</v>
      </c>
      <c r="F24" s="237">
        <f>IFERROR(GETPIVOTDATA("Sum of D1 Loss2",'3.8 Pivot'!$A$1,"Status 1 - Development","04 Pending","Status 2 - Permission Type","06 Appeal","D1Description_Loss","Vacant"),0)</f>
        <v>0</v>
      </c>
      <c r="G24" s="236">
        <f>IFERROR(GETPIVOTDATA("Count of D1 Loss",'3.8 Pivot'!$A$1,"Status 1 - Development","04 Pending","Status 2 - Permission Type","06 Appeal","D1Description_Loss","Other"),0)</f>
        <v>0</v>
      </c>
      <c r="H24" s="237">
        <f>IFERROR(GETPIVOTDATA("Sum of D1 Loss2",'3.8 Pivot'!$A$1,"Status 1 - Development","04 Pending","Status 2 - Permission Type","06 Appeal","D1Description_Loss","Other"),0)</f>
        <v>0</v>
      </c>
      <c r="I24" s="236">
        <f>IFERROR(GETPIVOTDATA("Count of D1 Loss",'3.8 Pivot'!$A$1,"Status 1 - Development","04 Pending","Status 2 - Permission Type","06 Appeal","D1Description_Loss","-"),0)+IFERROR(GETPIVOTDATA("Count of D1 Loss",'3.8 Pivot'!$A$1,"Status 1 - Development","04 Pending","Status 2 - Permission Type","06 Appeal","D1Description_Loss","Not Known"),0)</f>
        <v>0</v>
      </c>
      <c r="J24" s="237">
        <f>IFERROR(GETPIVOTDATA("Sum of D1 Loss2",'3.8 Pivot'!$A$1,"Status 1 - Development","04 Pending","Status 2 - Permission Type","06 Appeal","D1Description_Loss","-"),0)+IFERROR(GETPIVOTDATA("Sum of D1 Loss2",'3.8 Pivot'!$A$1,"Status 1 - Development","04 Pending","Status 2 - Permission Type","06 Appeal","D1Description_Loss","Not Known"),0)</f>
        <v>0</v>
      </c>
      <c r="K24" s="515">
        <f>IFERROR(GETPIVOTDATA("Count of D1 Loss",'3.8 Pivot'!$A$1,"Status 1 - Development","04 Pending","Status 2 - Permission Type","06 Appeal"),0)</f>
        <v>0</v>
      </c>
      <c r="L24" s="516">
        <f>IFERROR(GETPIVOTDATA("Sum of D1 Loss2",'3.8 Pivot'!$A$1,"Status 1 - Development","04 Pending","Status 2 - Permission Type","06 Appeal"),0)</f>
        <v>0</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row>
    <row r="25" spans="1:150" x14ac:dyDescent="0.2">
      <c r="A25" s="808"/>
      <c r="B25" s="511" t="s">
        <v>3800</v>
      </c>
      <c r="C25" s="266">
        <f>IFERROR(GETPIVOTDATA("Count of D1 Loss",'3.8 Pivot'!$A$1,"Status 1 - Development","04 Pending","Status 2 - Permission Type","02 Full","D1Description_Loss","Religious Premises"),0)+IFERROR(GETPIVOTDATA("Count of D1 Loss",'3.8 Pivot'!$A$1,"Status 1 - Development","04 Pending","Status 2 - Permission Type","03 Outline","D1Description_Loss","Religious Premises"),0)+IFERROR(GETPIVOTDATA("Count of D1 Loss",'3.8 Pivot'!$A$1,"Status 1 - Development","04 Pending","Status 2 - Permission Type","04 Prior Approval","D1Description_Loss","Religious Premises"),0)+IFERROR(GETPIVOTDATA("Count of D1 Loss",'3.8 Pivot'!$A$1,"Status 1 - Development","04 Pending","Status 2 - Permission Type","05 Certificate of Lawful Development","D1Description_Loss","Religious Premises"),0)</f>
        <v>0</v>
      </c>
      <c r="D25" s="268">
        <f>IFERROR(GETPIVOTDATA("Sum of D1 Loss2",'3.8 Pivot'!$A$1,"Status 1 - Development","04 Pending","Status 2 - Permission Type","02 Full","D1Description_Loss","Religious Premises"),0)+IFERROR(GETPIVOTDATA("Sum of D1 Loss2",'3.8 Pivot'!$A$1,"Status 1 - Development","04 Pending","Status 2 - Permission Type","03 Outline","D1Description_Loss","Religious Premises"),0)+IFERROR(GETPIVOTDATA("Sum of D1 Loss2",'3.8 Pivot'!$A$1,"Status 1 - Development","04 Pending","Status 2 - Permission Type","04 Prior Approval","D1Description_Loss","Religious Premises"),0)+IFERROR(GETPIVOTDATA("Sum of D1 Loss2",'3.8 Pivot'!$A$1,"Status 1 - Development","04 Pending","Status 2 - Permission Type","05 Certificate of Lawful Development","D1Description_Loss","Religious Premises"),0)</f>
        <v>0</v>
      </c>
      <c r="E25" s="266">
        <f>IFERROR(GETPIVOTDATA("Count of D1 Loss",'3.8 Pivot'!$A$1,"Status 1 - Development","04 Pending","Status 2 - Permission Type","02 Full","D1Description_Loss","Vacant"),0)+IFERROR(GETPIVOTDATA("Count of D1 Loss",'3.8 Pivot'!$A$1,"Status 1 - Development","04 Pending","Status 2 - Permission Type","03 Outline","D1Description_Loss","Vacant"),0)+IFERROR(GETPIVOTDATA("Count of D1 Loss",'3.8 Pivot'!$A$1,"Status 1 - Development","04 Pending","Status 2 - Permission Type","04 Prior Approval","D1Description_Loss","Vacant"),0)+IFERROR(GETPIVOTDATA("Count of D1 Loss",'3.8 Pivot'!$A$1,"Status 1 - Development","04 Pending","Status 2 - Permission Type","05 Certificate of Lawful Development","D1Description_Loss","Vacant"),0)</f>
        <v>2</v>
      </c>
      <c r="F25" s="268">
        <f>IFERROR(GETPIVOTDATA("Sum of D1 Loss2",'3.8 Pivot'!$A$1,"Status 1 - Development","04 Pending","Status 2 - Permission Type","02 Full","D1Description_Loss","Vacant"),0)+IFERROR(GETPIVOTDATA("Sum of D1 Loss2",'3.8 Pivot'!$A$1,"Status 1 - Development","04 Pending","Status 2 - Permission Type","03 Outline","D1Description_Loss","Vacant"),0)+IFERROR(GETPIVOTDATA("Sum of D1 Loss2",'3.8 Pivot'!$A$1,"Status 1 - Development","04 Pending","Status 2 - Permission Type","04 Prior Approval","D1Description_Loss","Vacant"),0)+IFERROR(GETPIVOTDATA("Sum of D1 Loss2",'3.8 Pivot'!$A$1,"Status 1 - Development","04 Pending","Status 2 - Permission Type","05 Certificate of Lawful Development","D1Description_Loss","Vacant"),0)</f>
        <v>166</v>
      </c>
      <c r="G25" s="266">
        <f>IFERROR(GETPIVOTDATA("Count of D1 Loss",'3.8 Pivot'!$A$1,"Status 1 - Development","04 Pending","Status 2 - Permission Type","02 Full","D1Description_Loss","Other"),0)+IFERROR(GETPIVOTDATA("Count of D1 Loss",'3.8 Pivot'!$A$1,"Status 1 - Development","04 Pending","Status 2 - Permission Type","03 Outline","D1Description_Loss","Other"),0)+IFERROR(GETPIVOTDATA("Count of D1 Loss",'3.8 Pivot'!$A$1,"Status 1 - Development","04 Pending","Status 2 - Permission Type","04 Prior Approval","D1Description_Loss","Other"),0)+IFERROR(GETPIVOTDATA("Count of D1 Loss",'3.8 Pivot'!$A$1,"Status 1 - Development","04 Pending","Status 2 - Permission Type","05 Certificate of Lawful Development","D1Description_Loss","Other"),0)</f>
        <v>1</v>
      </c>
      <c r="H25" s="268">
        <f>IFERROR(GETPIVOTDATA("Sum of D1 Loss2",'3.8 Pivot'!$A$1,"Status 1 - Development","04 Pending","Status 2 - Permission Type","02 Full","D1Description_Loss","Other"),0)+IFERROR(GETPIVOTDATA("Sum of D1 Loss2",'3.8 Pivot'!$A$1,"Status 1 - Development","04 Pending","Status 2 - Permission Type","03 Outline","D1Description_Loss","Other"),0)+IFERROR(GETPIVOTDATA("Sum of D1 Loss2",'3.8 Pivot'!$A$1,"Status 1 - Development","04 Pending","Status 2 - Permission Type","04 Prior Approval","D1Description_Loss","Other"),0)+IFERROR(GETPIVOTDATA("Sum of D1 Loss2",'3.8 Pivot'!$A$1,"Status 1 - Development","04 Pending","Status 2 - Permission Type","05 Certificate of Lawful Development","D1Description_Loss","Other"),0)</f>
        <v>92</v>
      </c>
      <c r="I25" s="267">
        <f>IFERROR(GETPIVOTDATA("Count of D1 Loss",'3.8 Pivot'!$A$1,"Status 1 - Development","04 Pending","D1Description_Loss","-"),0)+IFERROR(GETPIVOTDATA("Count of D1 Loss",'3.8 Pivot'!$A$1,"Status 1 - Development","04 Pending","D1Description_Loss","Not Known"),0)-IFERROR(GETPIVOTDATA("Count of D1 Loss",'3.8 Pivot'!$A$1,"Status 1 - Development","04 Pending","Status 2 - Permission Type","01 Pending Legal Agreement","D1Description_Loss","-"),0)-IFERROR(GETPIVOTDATA("Count of D1 Loss",'3.8 Pivot'!$A$1,"Status 1 - Development","04 Pending","Status 2 - Permission Type","06 Appeal","D1Description_Loss","-"),0)-IFERROR(GETPIVOTDATA("Count of D1 Loss",'3.8 Pivot'!$A$1,"Status 1 - Development","04 Pending","Status 2 - Permission Type","01 Pending Legal Agreement","D1Description_Loss","Not Known"),0)-IFERROR(GETPIVOTDATA("Count of D1 Loss",'3.8 Pivot'!$A$1,"Status 1 - Development","04 Pending","Status 2 - Permission Type","06 Appeal","D1Description_Loss","Not Known"),0)</f>
        <v>0</v>
      </c>
      <c r="J25" s="237">
        <f>IFERROR(GETPIVOTDATA("Sum of D1 Loss2",'3.8 Pivot'!$A$1,"Status 1 - Development","04 Pending","D1Description_Loss","-"),0)+IFERROR(GETPIVOTDATA("Sum of D1 Loss2",'3.8 Pivot'!$A$1,"Status 1 - Development","04 Pending","D1Description_Loss","Not Known"),0)-IFERROR(GETPIVOTDATA("Sum of D1 Loss2",'3.8 Pivot'!$A$1,"Status 1 - Development","04 Pending","Status 2 - Permission Type","06 Appeal","D1Description_Loss","-"),0)-IFERROR(GETPIVOTDATA("Sum of D1 Loss2",'3.8 Pivot'!$A$1,"Status 1 - Development","04 Pending","Status 2 - Permission Type","01 Pending Legal Agreement","D1Description_Loss","-"),0)-IFERROR(GETPIVOTDATA("Sum of D1 Loss2",'3.8 Pivot'!$A$1,"Status 1 - Development","04 Pending","Status 2 - Permission Type","06 Appeal","D1Description_Loss","Not Known"),0)-IFERROR(GETPIVOTDATA("Sum of D1 Loss2",'3.8 Pivot'!$A$1,"Status 1 - Development","04 Pending","Status 2 - Permission Type","01 Pending Legal Agreement","D1Description_Loss","Not Known"),0)</f>
        <v>0</v>
      </c>
      <c r="K25" s="517">
        <f>IFERROR(GETPIVOTDATA("Count of D1 Loss",'3.8 Pivot'!$A$1,"Status 1 - Development","04 Pending"),0)-IFERROR(GETPIVOTDATA("Count of D1 Loss",'3.8 Pivot'!$A$1,"Status 1 - Development","04 Pending","Status 2 - Permission Type","06 Appeal"),0)-IFERROR(GETPIVOTDATA("Count of D1 Loss",'3.8 Pivot'!$A$1,"Status 1 - Development","04 Pending","Status 2 - Permission Type","01 Pending Legal Agreement"),0)</f>
        <v>6</v>
      </c>
      <c r="L25" s="516">
        <f>IFERROR(GETPIVOTDATA("Sum of D1 Loss2",'3.8 Pivot'!$A$1,"Status 1 - Development","04 Pending"),0)-IFERROR(GETPIVOTDATA("Sum of D1 Loss2",'3.8 Pivot'!$A$1,"Status 1 - Development","04 Pending","Status 2 - Permission Type","06 Appeal"),0)-IFERROR(GETPIVOTDATA("Sum of D1 Loss2",'3.8 Pivot'!$A$1,"Status 1 - Development","04 Pending","Status 2 - Permission Type","01 Pending Legal Agreement"),0)</f>
        <v>6374</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row>
    <row r="26" spans="1:150" x14ac:dyDescent="0.2">
      <c r="A26" s="809"/>
      <c r="B26" s="512" t="s">
        <v>95</v>
      </c>
      <c r="C26" s="102">
        <f t="shared" ref="C26:L26" si="1">SUM(C19:C25)</f>
        <v>4</v>
      </c>
      <c r="D26" s="103">
        <f t="shared" si="1"/>
        <v>2153</v>
      </c>
      <c r="E26" s="102">
        <f t="shared" si="1"/>
        <v>12</v>
      </c>
      <c r="F26" s="103">
        <f t="shared" si="1"/>
        <v>3177</v>
      </c>
      <c r="G26" s="102">
        <f t="shared" si="1"/>
        <v>9</v>
      </c>
      <c r="H26" s="103">
        <f t="shared" si="1"/>
        <v>5860</v>
      </c>
      <c r="I26" s="102">
        <f t="shared" si="1"/>
        <v>3</v>
      </c>
      <c r="J26" s="103">
        <f t="shared" si="1"/>
        <v>750</v>
      </c>
      <c r="K26" s="518">
        <f t="shared" si="1"/>
        <v>45</v>
      </c>
      <c r="L26" s="516">
        <f t="shared" si="1"/>
        <v>52147</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row>
    <row r="27" spans="1:150" x14ac:dyDescent="0.2">
      <c r="A27" s="12"/>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row>
    <row r="28" spans="1:150" x14ac:dyDescent="0.2">
      <c r="A28" s="12"/>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row>
    <row r="29" spans="1:150" x14ac:dyDescent="0.2">
      <c r="A29" s="12"/>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row>
    <row r="30" spans="1:150" x14ac:dyDescent="0.2">
      <c r="A30" s="12"/>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row>
    <row r="31" spans="1:150" x14ac:dyDescent="0.2">
      <c r="A31" s="12"/>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row>
    <row r="32" spans="1:150" x14ac:dyDescent="0.2">
      <c r="A32" s="12"/>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row>
    <row r="33" spans="1:150" x14ac:dyDescent="0.2">
      <c r="A33" s="12"/>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row>
    <row r="34" spans="1:150" x14ac:dyDescent="0.2">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row>
    <row r="35" spans="1:150" x14ac:dyDescent="0.2">
      <c r="A35" s="12"/>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row>
    <row r="36" spans="1:150" x14ac:dyDescent="0.2">
      <c r="A36" s="12"/>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row>
    <row r="37" spans="1:150" x14ac:dyDescent="0.2">
      <c r="A37" s="12"/>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row>
    <row r="38" spans="1:150" x14ac:dyDescent="0.2">
      <c r="A38" s="12"/>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row>
    <row r="39" spans="1:150" x14ac:dyDescent="0.2">
      <c r="A39" s="1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row>
    <row r="40" spans="1:150" x14ac:dyDescent="0.2">
      <c r="A40" s="12"/>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row>
    <row r="41" spans="1:150" x14ac:dyDescent="0.2">
      <c r="A41" s="12"/>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row>
    <row r="42" spans="1:150" x14ac:dyDescent="0.2">
      <c r="A42" s="12"/>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row>
    <row r="43" spans="1:150" x14ac:dyDescent="0.2">
      <c r="A43" s="12"/>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row>
    <row r="44" spans="1:150" x14ac:dyDescent="0.2">
      <c r="A44" s="12"/>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row>
    <row r="45" spans="1:150" x14ac:dyDescent="0.2">
      <c r="A45" s="12"/>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row>
    <row r="46" spans="1:150"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row>
    <row r="47" spans="1:150"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row>
    <row r="48" spans="1:150"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row>
    <row r="49" spans="1:150"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row>
    <row r="50" spans="1:150"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row>
    <row r="51" spans="1:150"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row>
    <row r="52" spans="1:150"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row>
    <row r="53" spans="1:150"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row>
    <row r="54" spans="1:150"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row>
    <row r="55" spans="1:150" x14ac:dyDescent="0.2">
      <c r="A55" s="403"/>
      <c r="B55" s="15"/>
      <c r="C55" s="15"/>
      <c r="D55" s="15"/>
      <c r="E55" s="15"/>
      <c r="F55" s="15"/>
      <c r="G55" s="15"/>
      <c r="H55" s="15"/>
      <c r="I55" s="15"/>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row>
    <row r="56" spans="1:150"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row>
    <row r="57" spans="1:150"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row>
    <row r="58" spans="1:150"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row>
    <row r="59" spans="1:150"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row>
    <row r="60" spans="1:150"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row>
    <row r="61" spans="1:150"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row>
    <row r="62" spans="1:150"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row>
    <row r="63" spans="1:150" x14ac:dyDescent="0.2">
      <c r="A63" s="12"/>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row>
    <row r="64" spans="1:150"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row>
    <row r="65" spans="1:150" x14ac:dyDescent="0.2">
      <c r="A65" s="1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row>
    <row r="66" spans="1:150" x14ac:dyDescent="0.2">
      <c r="A66" s="12"/>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row>
    <row r="67" spans="1:150" x14ac:dyDescent="0.2">
      <c r="A67" s="12"/>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row>
    <row r="68" spans="1:150"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row>
    <row r="69" spans="1:150"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row>
    <row r="70" spans="1:150"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row>
    <row r="71" spans="1:150"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row>
    <row r="72" spans="1:150"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row>
    <row r="73" spans="1:150"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row>
    <row r="74" spans="1:150"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row>
    <row r="75" spans="1:150"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row>
    <row r="76" spans="1:150"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row>
    <row r="77" spans="1:150"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row>
    <row r="78" spans="1:150"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row>
    <row r="79" spans="1:150"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row>
    <row r="80" spans="1:150"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row>
    <row r="81" spans="1:150"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row>
    <row r="82" spans="1:150"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row>
    <row r="83" spans="1:150"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row>
    <row r="84" spans="1:150"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row>
    <row r="85" spans="1:150"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row>
    <row r="86" spans="1:150"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row>
    <row r="87" spans="1:150"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row>
    <row r="88" spans="1:150"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row>
    <row r="89" spans="1:150"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row>
    <row r="90" spans="1:150"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row>
    <row r="91" spans="1:150"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row>
    <row r="92" spans="1:150"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row>
    <row r="93" spans="1:150"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row>
    <row r="94" spans="1:150"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row>
    <row r="95" spans="1:150"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row>
    <row r="96" spans="1:150"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row>
    <row r="97" spans="1:150"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row>
    <row r="98" spans="1:150"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row>
    <row r="99" spans="1:150"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row>
    <row r="100" spans="1:150"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row>
    <row r="101" spans="1:150"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row>
    <row r="102" spans="1:150"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row>
    <row r="103" spans="1:150"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row>
    <row r="104" spans="1:150"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row>
    <row r="105" spans="1:150"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row>
    <row r="106" spans="1:150"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row>
    <row r="107" spans="1:150"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row>
    <row r="108" spans="1:150"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row>
    <row r="109" spans="1:150"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row>
    <row r="110" spans="1:150"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row>
    <row r="111" spans="1:150"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row>
    <row r="112" spans="1:150"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row>
    <row r="113" spans="1:150"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row>
    <row r="114" spans="1:150"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row>
    <row r="115" spans="1:150"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row>
    <row r="116" spans="1:150"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row>
    <row r="117" spans="1:150"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row>
    <row r="118" spans="1:150"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row>
    <row r="119" spans="1:150"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row>
    <row r="120" spans="1:150"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row>
    <row r="121" spans="1:150"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row>
    <row r="122" spans="1:150"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row>
    <row r="123" spans="1:150"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row>
    <row r="124" spans="1:150"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row>
    <row r="125" spans="1:150"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row>
    <row r="126" spans="1:150"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row>
    <row r="127" spans="1:150"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row>
    <row r="128" spans="1:150"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row>
    <row r="129" spans="1:150"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row>
    <row r="130" spans="1:150"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row>
    <row r="131" spans="1:150"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row>
    <row r="132" spans="1:150"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row>
    <row r="133" spans="1:150"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row>
    <row r="134" spans="1:150"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row>
    <row r="135" spans="1:150"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row>
    <row r="136" spans="1:150"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row>
    <row r="137" spans="1:150"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row>
    <row r="138" spans="1:150"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row>
    <row r="139" spans="1:150"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row>
    <row r="140" spans="1:150"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row>
    <row r="141" spans="1:150"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row>
    <row r="142" spans="1:150"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row>
    <row r="143" spans="1:150"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row>
    <row r="144" spans="1:150"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row>
    <row r="145" spans="1:150"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row>
    <row r="146" spans="1:150" x14ac:dyDescent="0.2">
      <c r="A146" s="12"/>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row>
    <row r="147" spans="1:150" x14ac:dyDescent="0.2">
      <c r="A147" s="12"/>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row>
    <row r="148" spans="1:150" x14ac:dyDescent="0.2">
      <c r="A148" s="12"/>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row>
    <row r="149" spans="1:150" x14ac:dyDescent="0.2">
      <c r="A149" s="12"/>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row>
    <row r="150" spans="1:150" x14ac:dyDescent="0.2">
      <c r="A150" s="12"/>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row>
    <row r="151" spans="1:150" x14ac:dyDescent="0.2">
      <c r="A151" s="12"/>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row>
    <row r="152" spans="1:150" x14ac:dyDescent="0.2">
      <c r="A152" s="12"/>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row>
    <row r="153" spans="1:150" x14ac:dyDescent="0.2">
      <c r="A153" s="12"/>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row>
    <row r="154" spans="1:150" x14ac:dyDescent="0.2">
      <c r="A154" s="12"/>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row>
    <row r="155" spans="1:150" x14ac:dyDescent="0.2">
      <c r="A155" s="12"/>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row>
    <row r="156" spans="1:150" x14ac:dyDescent="0.2">
      <c r="A156" s="12"/>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row>
    <row r="157" spans="1:150" x14ac:dyDescent="0.2">
      <c r="A157" s="12"/>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row>
    <row r="158" spans="1:150" x14ac:dyDescent="0.2">
      <c r="A158" s="12"/>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row>
    <row r="159" spans="1:150" x14ac:dyDescent="0.2">
      <c r="A159" s="12"/>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row>
    <row r="160" spans="1:150" x14ac:dyDescent="0.2">
      <c r="A160" s="12"/>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row>
    <row r="161" spans="1:150" x14ac:dyDescent="0.2">
      <c r="A161" s="12"/>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row>
    <row r="162" spans="1:150" x14ac:dyDescent="0.2">
      <c r="A162" s="12"/>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row>
    <row r="163" spans="1:150" x14ac:dyDescent="0.2">
      <c r="A163" s="1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row>
    <row r="164" spans="1:150" x14ac:dyDescent="0.2">
      <c r="A164" s="1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row>
    <row r="165" spans="1:150" x14ac:dyDescent="0.2">
      <c r="A165" s="1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row>
    <row r="166" spans="1:150" x14ac:dyDescent="0.2">
      <c r="A166" s="1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row>
    <row r="167" spans="1:150" x14ac:dyDescent="0.2">
      <c r="A167" s="1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row>
    <row r="168" spans="1:150" x14ac:dyDescent="0.2">
      <c r="A168" s="1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row>
  </sheetData>
  <mergeCells count="19">
    <mergeCell ref="G16:H16"/>
    <mergeCell ref="I16:J16"/>
    <mergeCell ref="K16:L16"/>
    <mergeCell ref="A16:B17"/>
    <mergeCell ref="M4:N4"/>
    <mergeCell ref="A1:I1"/>
    <mergeCell ref="A2:W2"/>
    <mergeCell ref="A4:B5"/>
    <mergeCell ref="C4:D4"/>
    <mergeCell ref="E4:F4"/>
    <mergeCell ref="G4:H4"/>
    <mergeCell ref="I4:J4"/>
    <mergeCell ref="K4:L4"/>
    <mergeCell ref="A18:B18"/>
    <mergeCell ref="A19:A26"/>
    <mergeCell ref="A6:B6"/>
    <mergeCell ref="A7:A14"/>
    <mergeCell ref="E16:F16"/>
    <mergeCell ref="C16:D16"/>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V18"/>
  <sheetViews>
    <sheetView workbookViewId="0"/>
  </sheetViews>
  <sheetFormatPr defaultRowHeight="12" x14ac:dyDescent="0.2"/>
  <cols>
    <col min="1" max="1" width="20.140625" bestFit="1" customWidth="1"/>
    <col min="2" max="2" width="30.28515625" bestFit="1" customWidth="1"/>
    <col min="3" max="11" width="20" bestFit="1" customWidth="1"/>
    <col min="12" max="12" width="20" customWidth="1"/>
    <col min="13" max="20" width="20" bestFit="1" customWidth="1"/>
    <col min="21" max="21" width="19.42578125" bestFit="1" customWidth="1"/>
    <col min="22" max="22" width="19.42578125" customWidth="1"/>
    <col min="23" max="26" width="20.5703125" bestFit="1" customWidth="1"/>
    <col min="27" max="28" width="32.85546875" bestFit="1" customWidth="1"/>
    <col min="29" max="36" width="20.28515625" bestFit="1" customWidth="1"/>
    <col min="37" max="38" width="32.5703125" bestFit="1" customWidth="1"/>
    <col min="39" max="40" width="20.85546875" bestFit="1" customWidth="1"/>
    <col min="41" max="42" width="33.140625" bestFit="1" customWidth="1"/>
    <col min="43" max="46" width="14.42578125" bestFit="1" customWidth="1"/>
    <col min="47" max="48" width="23.85546875" bestFit="1" customWidth="1"/>
    <col min="49" max="54" width="14.42578125" bestFit="1" customWidth="1"/>
    <col min="55" max="56" width="19.5703125" bestFit="1" customWidth="1"/>
    <col min="57" max="58" width="18.7109375" bestFit="1" customWidth="1"/>
    <col min="59" max="60" width="31.140625" bestFit="1" customWidth="1"/>
    <col min="61" max="68" width="14.42578125" bestFit="1" customWidth="1"/>
    <col min="69" max="70" width="20.7109375" bestFit="1" customWidth="1"/>
    <col min="71" max="72" width="14.42578125" bestFit="1" customWidth="1"/>
    <col min="73" max="74" width="20.5703125" bestFit="1" customWidth="1"/>
    <col min="75" max="76" width="19" bestFit="1" customWidth="1"/>
  </cols>
  <sheetData>
    <row r="1" spans="1:22" x14ac:dyDescent="0.2">
      <c r="C1" s="77" t="s">
        <v>221</v>
      </c>
      <c r="D1" s="77" t="s">
        <v>415</v>
      </c>
    </row>
    <row r="2" spans="1:22" x14ac:dyDescent="0.2">
      <c r="C2" s="446" t="s">
        <v>25</v>
      </c>
      <c r="E2" s="446" t="s">
        <v>41</v>
      </c>
      <c r="G2" s="446" t="s">
        <v>60</v>
      </c>
      <c r="I2" s="446" t="s">
        <v>56</v>
      </c>
      <c r="K2" s="446" t="s">
        <v>31</v>
      </c>
      <c r="M2" s="446" t="s">
        <v>49</v>
      </c>
      <c r="O2" s="446" t="s">
        <v>37</v>
      </c>
      <c r="Q2" s="446" t="s">
        <v>47</v>
      </c>
      <c r="S2" s="446" t="s">
        <v>153</v>
      </c>
      <c r="U2" s="446" t="s">
        <v>3847</v>
      </c>
      <c r="V2" s="446" t="s">
        <v>3848</v>
      </c>
    </row>
    <row r="3" spans="1:22" x14ac:dyDescent="0.2">
      <c r="A3" s="77" t="s">
        <v>2939</v>
      </c>
      <c r="B3" s="77" t="s">
        <v>2940</v>
      </c>
      <c r="C3" s="446" t="s">
        <v>3846</v>
      </c>
      <c r="D3" s="446" t="s">
        <v>3849</v>
      </c>
      <c r="E3" s="446" t="s">
        <v>3846</v>
      </c>
      <c r="F3" s="446" t="s">
        <v>3849</v>
      </c>
      <c r="G3" s="446" t="s">
        <v>3846</v>
      </c>
      <c r="H3" s="446" t="s">
        <v>3849</v>
      </c>
      <c r="I3" s="446" t="s">
        <v>3846</v>
      </c>
      <c r="J3" s="446" t="s">
        <v>3849</v>
      </c>
      <c r="K3" s="446" t="s">
        <v>3846</v>
      </c>
      <c r="L3" s="446" t="s">
        <v>3849</v>
      </c>
      <c r="M3" s="446" t="s">
        <v>3846</v>
      </c>
      <c r="N3" s="446" t="s">
        <v>3849</v>
      </c>
      <c r="O3" s="446" t="s">
        <v>3846</v>
      </c>
      <c r="P3" s="446" t="s">
        <v>3849</v>
      </c>
      <c r="Q3" s="446" t="s">
        <v>3846</v>
      </c>
      <c r="R3" s="446" t="s">
        <v>3849</v>
      </c>
      <c r="S3" s="446" t="s">
        <v>3846</v>
      </c>
      <c r="T3" s="446" t="s">
        <v>3849</v>
      </c>
    </row>
    <row r="4" spans="1:22" x14ac:dyDescent="0.2">
      <c r="A4" s="446" t="s">
        <v>2936</v>
      </c>
      <c r="C4" s="74">
        <v>0</v>
      </c>
      <c r="D4" s="74">
        <v>0</v>
      </c>
      <c r="E4" s="74">
        <v>0</v>
      </c>
      <c r="F4" s="74">
        <v>0</v>
      </c>
      <c r="G4" s="74">
        <v>7</v>
      </c>
      <c r="H4" s="74">
        <v>1433</v>
      </c>
      <c r="I4" s="74">
        <v>0</v>
      </c>
      <c r="J4" s="74">
        <v>0</v>
      </c>
      <c r="K4" s="74">
        <v>0</v>
      </c>
      <c r="L4" s="74">
        <v>0</v>
      </c>
      <c r="M4" s="74">
        <v>2</v>
      </c>
      <c r="N4" s="74">
        <v>267</v>
      </c>
      <c r="O4" s="74">
        <v>0</v>
      </c>
      <c r="P4" s="74">
        <v>0</v>
      </c>
      <c r="Q4" s="74">
        <v>2</v>
      </c>
      <c r="R4" s="74">
        <v>243</v>
      </c>
      <c r="S4" s="74">
        <v>0</v>
      </c>
      <c r="T4" s="74">
        <v>0</v>
      </c>
      <c r="U4" s="74">
        <v>11</v>
      </c>
      <c r="V4" s="74">
        <v>1943</v>
      </c>
    </row>
    <row r="5" spans="1:22" x14ac:dyDescent="0.2">
      <c r="A5" s="446" t="s">
        <v>2935</v>
      </c>
      <c r="C5" s="74">
        <v>1</v>
      </c>
      <c r="D5" s="74">
        <v>104</v>
      </c>
      <c r="E5" s="74">
        <v>1</v>
      </c>
      <c r="F5" s="74">
        <v>190</v>
      </c>
      <c r="G5" s="74">
        <v>10</v>
      </c>
      <c r="H5" s="74">
        <v>32574</v>
      </c>
      <c r="I5" s="74">
        <v>1</v>
      </c>
      <c r="J5" s="74">
        <v>136</v>
      </c>
      <c r="K5" s="74">
        <v>1</v>
      </c>
      <c r="L5" s="74">
        <v>395</v>
      </c>
      <c r="M5" s="74">
        <v>4</v>
      </c>
      <c r="N5" s="74">
        <v>1973</v>
      </c>
      <c r="O5" s="74">
        <v>3</v>
      </c>
      <c r="P5" s="74">
        <v>2027</v>
      </c>
      <c r="Q5" s="74">
        <v>4</v>
      </c>
      <c r="R5" s="74">
        <v>677</v>
      </c>
      <c r="S5" s="74">
        <v>0</v>
      </c>
      <c r="T5" s="74">
        <v>0</v>
      </c>
      <c r="U5" s="74">
        <v>25</v>
      </c>
      <c r="V5" s="74">
        <v>38076</v>
      </c>
    </row>
    <row r="6" spans="1:22" x14ac:dyDescent="0.2">
      <c r="A6" s="446" t="s">
        <v>2937</v>
      </c>
      <c r="B6" s="446" t="s">
        <v>2946</v>
      </c>
      <c r="C6" s="74">
        <v>0</v>
      </c>
      <c r="D6" s="74">
        <v>0</v>
      </c>
      <c r="E6" s="74">
        <v>1</v>
      </c>
      <c r="F6" s="74">
        <v>237</v>
      </c>
      <c r="G6" s="74">
        <v>0</v>
      </c>
      <c r="H6" s="74">
        <v>0</v>
      </c>
      <c r="I6" s="74">
        <v>0</v>
      </c>
      <c r="J6" s="74">
        <v>0</v>
      </c>
      <c r="K6" s="74">
        <v>1</v>
      </c>
      <c r="L6" s="74">
        <v>251</v>
      </c>
      <c r="M6" s="74">
        <v>4</v>
      </c>
      <c r="N6" s="74">
        <v>3795</v>
      </c>
      <c r="O6" s="74">
        <v>1</v>
      </c>
      <c r="P6" s="74">
        <v>126</v>
      </c>
      <c r="Q6" s="74">
        <v>6</v>
      </c>
      <c r="R6" s="74">
        <v>2334</v>
      </c>
      <c r="S6" s="74">
        <v>0</v>
      </c>
      <c r="T6" s="74">
        <v>0</v>
      </c>
      <c r="U6" s="74">
        <v>13</v>
      </c>
      <c r="V6" s="74">
        <v>6743</v>
      </c>
    </row>
    <row r="7" spans="1:22" x14ac:dyDescent="0.2">
      <c r="B7" s="446" t="s">
        <v>2947</v>
      </c>
      <c r="C7" s="74">
        <v>0</v>
      </c>
      <c r="D7" s="74">
        <v>0</v>
      </c>
      <c r="E7" s="74">
        <v>0</v>
      </c>
      <c r="F7" s="74">
        <v>0</v>
      </c>
      <c r="G7" s="74">
        <v>0</v>
      </c>
      <c r="H7" s="74">
        <v>0</v>
      </c>
      <c r="I7" s="74">
        <v>0</v>
      </c>
      <c r="J7" s="74">
        <v>0</v>
      </c>
      <c r="K7" s="74">
        <v>0</v>
      </c>
      <c r="L7" s="74">
        <v>0</v>
      </c>
      <c r="M7" s="74">
        <v>0</v>
      </c>
      <c r="N7" s="74">
        <v>0</v>
      </c>
      <c r="O7" s="74">
        <v>0</v>
      </c>
      <c r="P7" s="74">
        <v>0</v>
      </c>
      <c r="Q7" s="74">
        <v>0</v>
      </c>
      <c r="R7" s="74">
        <v>0</v>
      </c>
      <c r="S7" s="74">
        <v>0</v>
      </c>
      <c r="T7" s="74">
        <v>0</v>
      </c>
      <c r="U7" s="74">
        <v>0</v>
      </c>
      <c r="V7" s="74">
        <v>0</v>
      </c>
    </row>
    <row r="8" spans="1:22" x14ac:dyDescent="0.2">
      <c r="B8" s="446" t="s">
        <v>2948</v>
      </c>
      <c r="C8" s="74">
        <v>0</v>
      </c>
      <c r="D8" s="74">
        <v>0</v>
      </c>
      <c r="E8" s="74">
        <v>0</v>
      </c>
      <c r="F8" s="74">
        <v>0</v>
      </c>
      <c r="G8" s="74">
        <v>0</v>
      </c>
      <c r="H8" s="74">
        <v>0</v>
      </c>
      <c r="I8" s="74">
        <v>0</v>
      </c>
      <c r="J8" s="74">
        <v>0</v>
      </c>
      <c r="K8" s="74">
        <v>0</v>
      </c>
      <c r="L8" s="74">
        <v>0</v>
      </c>
      <c r="M8" s="74">
        <v>0</v>
      </c>
      <c r="N8" s="74">
        <v>0</v>
      </c>
      <c r="O8" s="74">
        <v>0</v>
      </c>
      <c r="P8" s="74">
        <v>0</v>
      </c>
      <c r="Q8" s="74">
        <v>0</v>
      </c>
      <c r="R8" s="74">
        <v>0</v>
      </c>
      <c r="S8" s="74">
        <v>0</v>
      </c>
      <c r="T8" s="74">
        <v>0</v>
      </c>
      <c r="U8" s="74">
        <v>0</v>
      </c>
      <c r="V8" s="74">
        <v>0</v>
      </c>
    </row>
    <row r="9" spans="1:22" x14ac:dyDescent="0.2">
      <c r="B9" s="446" t="s">
        <v>2949</v>
      </c>
      <c r="C9" s="74">
        <v>0</v>
      </c>
      <c r="D9" s="74">
        <v>0</v>
      </c>
      <c r="E9" s="74">
        <v>0</v>
      </c>
      <c r="F9" s="74">
        <v>0</v>
      </c>
      <c r="G9" s="74">
        <v>0</v>
      </c>
      <c r="H9" s="74">
        <v>0</v>
      </c>
      <c r="I9" s="74">
        <v>0</v>
      </c>
      <c r="J9" s="74">
        <v>0</v>
      </c>
      <c r="K9" s="74">
        <v>0</v>
      </c>
      <c r="L9" s="74">
        <v>0</v>
      </c>
      <c r="M9" s="74">
        <v>0</v>
      </c>
      <c r="N9" s="74">
        <v>0</v>
      </c>
      <c r="O9" s="74">
        <v>0</v>
      </c>
      <c r="P9" s="74">
        <v>0</v>
      </c>
      <c r="Q9" s="74">
        <v>0</v>
      </c>
      <c r="R9" s="74">
        <v>0</v>
      </c>
      <c r="S9" s="74">
        <v>0</v>
      </c>
      <c r="T9" s="74">
        <v>0</v>
      </c>
      <c r="U9" s="74">
        <v>0</v>
      </c>
      <c r="V9" s="74">
        <v>0</v>
      </c>
    </row>
    <row r="10" spans="1:22" x14ac:dyDescent="0.2">
      <c r="A10" s="446" t="s">
        <v>2956</v>
      </c>
      <c r="B10" s="446"/>
      <c r="C10" s="74">
        <v>0</v>
      </c>
      <c r="D10" s="74">
        <v>0</v>
      </c>
      <c r="E10" s="74">
        <v>1</v>
      </c>
      <c r="F10" s="74">
        <v>237</v>
      </c>
      <c r="G10" s="74">
        <v>0</v>
      </c>
      <c r="H10" s="74">
        <v>0</v>
      </c>
      <c r="I10" s="74">
        <v>0</v>
      </c>
      <c r="J10" s="74">
        <v>0</v>
      </c>
      <c r="K10" s="74">
        <v>1</v>
      </c>
      <c r="L10" s="74">
        <v>251</v>
      </c>
      <c r="M10" s="74">
        <v>4</v>
      </c>
      <c r="N10" s="74">
        <v>3795</v>
      </c>
      <c r="O10" s="74">
        <v>1</v>
      </c>
      <c r="P10" s="74">
        <v>126</v>
      </c>
      <c r="Q10" s="74">
        <v>6</v>
      </c>
      <c r="R10" s="74">
        <v>2334</v>
      </c>
      <c r="S10" s="74">
        <v>0</v>
      </c>
      <c r="T10" s="74">
        <v>0</v>
      </c>
      <c r="U10" s="74">
        <v>13</v>
      </c>
      <c r="V10" s="74">
        <v>6743</v>
      </c>
    </row>
    <row r="11" spans="1:22" x14ac:dyDescent="0.2">
      <c r="A11" s="446" t="s">
        <v>2938</v>
      </c>
      <c r="B11" s="446" t="s">
        <v>2945</v>
      </c>
      <c r="C11" s="74">
        <v>0</v>
      </c>
      <c r="D11" s="74">
        <v>0</v>
      </c>
      <c r="E11" s="74">
        <v>1</v>
      </c>
      <c r="F11" s="74">
        <v>954</v>
      </c>
      <c r="G11" s="74">
        <v>0</v>
      </c>
      <c r="H11" s="74">
        <v>0</v>
      </c>
      <c r="I11" s="74">
        <v>0</v>
      </c>
      <c r="J11" s="74">
        <v>0</v>
      </c>
      <c r="K11" s="74">
        <v>0</v>
      </c>
      <c r="L11" s="74">
        <v>0</v>
      </c>
      <c r="M11" s="74">
        <v>0</v>
      </c>
      <c r="N11" s="74">
        <v>0</v>
      </c>
      <c r="O11" s="74">
        <v>0</v>
      </c>
      <c r="P11" s="74">
        <v>0</v>
      </c>
      <c r="Q11" s="74">
        <v>0</v>
      </c>
      <c r="R11" s="74">
        <v>0</v>
      </c>
      <c r="S11" s="74">
        <v>0</v>
      </c>
      <c r="T11" s="74">
        <v>0</v>
      </c>
      <c r="U11" s="74">
        <v>1</v>
      </c>
      <c r="V11" s="74">
        <v>954</v>
      </c>
    </row>
    <row r="12" spans="1:22" x14ac:dyDescent="0.2">
      <c r="B12" s="446" t="s">
        <v>2946</v>
      </c>
      <c r="C12" s="74">
        <v>0</v>
      </c>
      <c r="D12" s="74">
        <v>0</v>
      </c>
      <c r="E12" s="74">
        <v>1</v>
      </c>
      <c r="F12" s="74">
        <v>530</v>
      </c>
      <c r="G12" s="74">
        <v>1</v>
      </c>
      <c r="H12" s="74">
        <v>1273</v>
      </c>
      <c r="I12" s="74">
        <v>1</v>
      </c>
      <c r="J12" s="74">
        <v>4313</v>
      </c>
      <c r="K12" s="74">
        <v>0</v>
      </c>
      <c r="L12" s="74">
        <v>0</v>
      </c>
      <c r="M12" s="74">
        <v>1</v>
      </c>
      <c r="N12" s="74">
        <v>92</v>
      </c>
      <c r="O12" s="74">
        <v>0</v>
      </c>
      <c r="P12" s="74">
        <v>0</v>
      </c>
      <c r="Q12" s="74">
        <v>2</v>
      </c>
      <c r="R12" s="74">
        <v>166</v>
      </c>
      <c r="S12" s="74">
        <v>0</v>
      </c>
      <c r="T12" s="74">
        <v>0</v>
      </c>
      <c r="U12" s="74">
        <v>6</v>
      </c>
      <c r="V12" s="74">
        <v>6374</v>
      </c>
    </row>
    <row r="13" spans="1:22" x14ac:dyDescent="0.2">
      <c r="B13" s="446" t="s">
        <v>2947</v>
      </c>
      <c r="C13" s="74">
        <v>0</v>
      </c>
      <c r="D13" s="74">
        <v>0</v>
      </c>
      <c r="E13" s="74">
        <v>0</v>
      </c>
      <c r="F13" s="74">
        <v>0</v>
      </c>
      <c r="G13" s="74">
        <v>0</v>
      </c>
      <c r="H13" s="74">
        <v>0</v>
      </c>
      <c r="I13" s="74">
        <v>0</v>
      </c>
      <c r="J13" s="74">
        <v>0</v>
      </c>
      <c r="K13" s="74">
        <v>0</v>
      </c>
      <c r="L13" s="74">
        <v>0</v>
      </c>
      <c r="M13" s="74">
        <v>0</v>
      </c>
      <c r="N13" s="74">
        <v>0</v>
      </c>
      <c r="O13" s="74">
        <v>0</v>
      </c>
      <c r="P13" s="74">
        <v>0</v>
      </c>
      <c r="Q13" s="74">
        <v>0</v>
      </c>
      <c r="R13" s="74">
        <v>0</v>
      </c>
      <c r="S13" s="74">
        <v>0</v>
      </c>
      <c r="T13" s="74">
        <v>0</v>
      </c>
      <c r="U13" s="74">
        <v>0</v>
      </c>
      <c r="V13" s="74">
        <v>0</v>
      </c>
    </row>
    <row r="14" spans="1:22" x14ac:dyDescent="0.2">
      <c r="B14" s="446" t="s">
        <v>2948</v>
      </c>
      <c r="C14" s="74">
        <v>0</v>
      </c>
      <c r="D14" s="74">
        <v>0</v>
      </c>
      <c r="E14" s="74">
        <v>0</v>
      </c>
      <c r="F14" s="74">
        <v>0</v>
      </c>
      <c r="G14" s="74">
        <v>0</v>
      </c>
      <c r="H14" s="74">
        <v>0</v>
      </c>
      <c r="I14" s="74">
        <v>0</v>
      </c>
      <c r="J14" s="74">
        <v>0</v>
      </c>
      <c r="K14" s="74">
        <v>0</v>
      </c>
      <c r="L14" s="74">
        <v>0</v>
      </c>
      <c r="M14" s="74">
        <v>0</v>
      </c>
      <c r="N14" s="74">
        <v>0</v>
      </c>
      <c r="O14" s="74">
        <v>0</v>
      </c>
      <c r="P14" s="74">
        <v>0</v>
      </c>
      <c r="Q14" s="74">
        <v>0</v>
      </c>
      <c r="R14" s="74">
        <v>0</v>
      </c>
      <c r="S14" s="74">
        <v>0</v>
      </c>
      <c r="T14" s="74">
        <v>0</v>
      </c>
      <c r="U14" s="74">
        <v>0</v>
      </c>
      <c r="V14" s="74">
        <v>0</v>
      </c>
    </row>
    <row r="15" spans="1:22" x14ac:dyDescent="0.2">
      <c r="B15" s="446" t="s">
        <v>2949</v>
      </c>
      <c r="C15" s="74">
        <v>0</v>
      </c>
      <c r="D15" s="74">
        <v>0</v>
      </c>
      <c r="E15" s="74">
        <v>0</v>
      </c>
      <c r="F15" s="74">
        <v>0</v>
      </c>
      <c r="G15" s="74">
        <v>0</v>
      </c>
      <c r="H15" s="74">
        <v>0</v>
      </c>
      <c r="I15" s="74">
        <v>0</v>
      </c>
      <c r="J15" s="74">
        <v>0</v>
      </c>
      <c r="K15" s="74">
        <v>0</v>
      </c>
      <c r="L15" s="74">
        <v>0</v>
      </c>
      <c r="M15" s="74">
        <v>0</v>
      </c>
      <c r="N15" s="74">
        <v>0</v>
      </c>
      <c r="O15" s="74">
        <v>0</v>
      </c>
      <c r="P15" s="74">
        <v>0</v>
      </c>
      <c r="Q15" s="74">
        <v>0</v>
      </c>
      <c r="R15" s="74">
        <v>0</v>
      </c>
      <c r="S15" s="74">
        <v>0</v>
      </c>
      <c r="T15" s="74">
        <v>0</v>
      </c>
      <c r="U15" s="74">
        <v>0</v>
      </c>
      <c r="V15" s="74">
        <v>0</v>
      </c>
    </row>
    <row r="16" spans="1:22" x14ac:dyDescent="0.2">
      <c r="B16" s="446" t="s">
        <v>2959</v>
      </c>
      <c r="C16" s="74">
        <v>0</v>
      </c>
      <c r="D16" s="74">
        <v>0</v>
      </c>
      <c r="E16" s="74">
        <v>0</v>
      </c>
      <c r="F16" s="74">
        <v>0</v>
      </c>
      <c r="G16" s="74">
        <v>0</v>
      </c>
      <c r="H16" s="74">
        <v>0</v>
      </c>
      <c r="I16" s="74">
        <v>0</v>
      </c>
      <c r="J16" s="74">
        <v>0</v>
      </c>
      <c r="K16" s="74">
        <v>0</v>
      </c>
      <c r="L16" s="74">
        <v>0</v>
      </c>
      <c r="M16" s="74">
        <v>0</v>
      </c>
      <c r="N16" s="74">
        <v>0</v>
      </c>
      <c r="O16" s="74">
        <v>0</v>
      </c>
      <c r="P16" s="74">
        <v>0</v>
      </c>
      <c r="Q16" s="74">
        <v>0</v>
      </c>
      <c r="R16" s="74">
        <v>0</v>
      </c>
      <c r="S16" s="74">
        <v>0</v>
      </c>
      <c r="T16" s="74">
        <v>0</v>
      </c>
      <c r="U16" s="74">
        <v>0</v>
      </c>
      <c r="V16" s="74">
        <v>0</v>
      </c>
    </row>
    <row r="17" spans="1:22" x14ac:dyDescent="0.2">
      <c r="A17" s="446" t="s">
        <v>2958</v>
      </c>
      <c r="B17" s="446"/>
      <c r="C17" s="74">
        <v>0</v>
      </c>
      <c r="D17" s="74">
        <v>0</v>
      </c>
      <c r="E17" s="74">
        <v>2</v>
      </c>
      <c r="F17" s="74">
        <v>1484</v>
      </c>
      <c r="G17" s="74">
        <v>1</v>
      </c>
      <c r="H17" s="74">
        <v>1273</v>
      </c>
      <c r="I17" s="74">
        <v>1</v>
      </c>
      <c r="J17" s="74">
        <v>4313</v>
      </c>
      <c r="K17" s="74">
        <v>0</v>
      </c>
      <c r="L17" s="74">
        <v>0</v>
      </c>
      <c r="M17" s="74">
        <v>1</v>
      </c>
      <c r="N17" s="74">
        <v>92</v>
      </c>
      <c r="O17" s="74">
        <v>0</v>
      </c>
      <c r="P17" s="74">
        <v>0</v>
      </c>
      <c r="Q17" s="74">
        <v>2</v>
      </c>
      <c r="R17" s="74">
        <v>166</v>
      </c>
      <c r="S17" s="74">
        <v>0</v>
      </c>
      <c r="T17" s="74">
        <v>0</v>
      </c>
      <c r="U17" s="74">
        <v>7</v>
      </c>
      <c r="V17" s="74">
        <v>7328</v>
      </c>
    </row>
    <row r="18" spans="1:22" x14ac:dyDescent="0.2">
      <c r="A18" s="446" t="s">
        <v>115</v>
      </c>
      <c r="C18" s="74">
        <v>1</v>
      </c>
      <c r="D18" s="74">
        <v>104</v>
      </c>
      <c r="E18" s="74">
        <v>4</v>
      </c>
      <c r="F18" s="74">
        <v>1911</v>
      </c>
      <c r="G18" s="74">
        <v>18</v>
      </c>
      <c r="H18" s="74">
        <v>35280</v>
      </c>
      <c r="I18" s="74">
        <v>2</v>
      </c>
      <c r="J18" s="74">
        <v>4449</v>
      </c>
      <c r="K18" s="74">
        <v>2</v>
      </c>
      <c r="L18" s="74">
        <v>646</v>
      </c>
      <c r="M18" s="74">
        <v>11</v>
      </c>
      <c r="N18" s="74">
        <v>6127</v>
      </c>
      <c r="O18" s="74">
        <v>4</v>
      </c>
      <c r="P18" s="74">
        <v>2153</v>
      </c>
      <c r="Q18" s="74">
        <v>14</v>
      </c>
      <c r="R18" s="74">
        <v>3420</v>
      </c>
      <c r="S18" s="74">
        <v>0</v>
      </c>
      <c r="T18" s="74">
        <v>0</v>
      </c>
      <c r="U18" s="74">
        <v>56</v>
      </c>
      <c r="V18" s="74">
        <v>54090</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0"/>
  <dimension ref="A1:EL168"/>
  <sheetViews>
    <sheetView workbookViewId="0">
      <selection sqref="A1:I1"/>
    </sheetView>
  </sheetViews>
  <sheetFormatPr defaultRowHeight="12" x14ac:dyDescent="0.2"/>
  <cols>
    <col min="1" max="1" width="7.42578125" style="404" customWidth="1"/>
    <col min="2" max="2" width="27.7109375" style="1" customWidth="1"/>
    <col min="3" max="3" width="5.140625" style="1" customWidth="1"/>
    <col min="4" max="4" width="10.7109375" style="1" customWidth="1"/>
    <col min="5" max="5" width="5.140625" style="1" customWidth="1"/>
    <col min="6" max="6" width="10.7109375" style="1" customWidth="1"/>
    <col min="7" max="7" width="5.140625" style="1" customWidth="1"/>
    <col min="8" max="8" width="10.7109375" style="1" customWidth="1"/>
    <col min="9" max="9" width="5.140625" style="1" customWidth="1"/>
    <col min="10" max="10" width="10.7109375" style="404" customWidth="1"/>
    <col min="11" max="11" width="5.140625" style="1" customWidth="1"/>
    <col min="12" max="12" width="10" style="1" customWidth="1"/>
    <col min="13" max="13" width="5.140625" style="1" customWidth="1"/>
    <col min="14" max="14" width="10" style="1" customWidth="1"/>
    <col min="15" max="15" width="5.140625" style="1" customWidth="1"/>
    <col min="16" max="16" width="10" style="1" customWidth="1"/>
    <col min="17" max="17" width="5.140625" style="1" customWidth="1"/>
    <col min="18" max="18" width="10" style="1" customWidth="1"/>
    <col min="19" max="16384" width="9.140625" style="1"/>
  </cols>
  <sheetData>
    <row r="1" spans="1:142" ht="15.75" x14ac:dyDescent="0.25">
      <c r="A1" s="606" t="s">
        <v>3871</v>
      </c>
      <c r="B1" s="606"/>
      <c r="C1" s="606"/>
      <c r="D1" s="606"/>
      <c r="E1" s="606"/>
      <c r="F1" s="606"/>
      <c r="G1" s="606"/>
      <c r="H1" s="606"/>
      <c r="I1" s="606"/>
      <c r="J1" s="519"/>
      <c r="K1" s="288"/>
      <c r="L1" s="288"/>
      <c r="M1" s="288"/>
      <c r="N1" s="288"/>
      <c r="O1" s="288"/>
      <c r="P1" s="288"/>
      <c r="Q1" s="288"/>
      <c r="R1" s="288"/>
      <c r="S1" s="4"/>
      <c r="T1" s="4"/>
      <c r="U1" s="4"/>
      <c r="V1" s="4"/>
      <c r="W1" s="4"/>
      <c r="X1" s="4"/>
      <c r="Y1" s="4"/>
      <c r="Z1" s="4"/>
      <c r="AA1" s="4"/>
      <c r="AB1" s="4"/>
      <c r="AC1" s="4"/>
      <c r="AD1" s="4"/>
      <c r="AE1" s="10"/>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row>
    <row r="2" spans="1:142" ht="12.75" x14ac:dyDescent="0.2">
      <c r="A2" s="640" t="s">
        <v>3919</v>
      </c>
      <c r="B2" s="640"/>
      <c r="C2" s="640"/>
      <c r="D2" s="640"/>
      <c r="E2" s="640"/>
      <c r="F2" s="640"/>
      <c r="G2" s="640"/>
      <c r="H2" s="640"/>
      <c r="I2" s="640"/>
      <c r="J2" s="640"/>
      <c r="K2" s="640"/>
      <c r="L2" s="640"/>
      <c r="M2" s="640"/>
      <c r="N2" s="640"/>
      <c r="O2" s="640"/>
      <c r="P2" s="640"/>
      <c r="Q2" s="640"/>
      <c r="R2" s="640"/>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row>
    <row r="3" spans="1:142" x14ac:dyDescent="0.2">
      <c r="A3" s="294"/>
      <c r="B3" s="16"/>
      <c r="C3" s="16"/>
      <c r="D3" s="16"/>
      <c r="E3" s="16"/>
      <c r="F3" s="16"/>
      <c r="G3" s="16"/>
      <c r="H3" s="16"/>
      <c r="I3" s="16"/>
      <c r="J3" s="12"/>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row>
    <row r="4" spans="1:142" ht="24" customHeight="1" x14ac:dyDescent="0.2">
      <c r="A4" s="807" t="s">
        <v>88</v>
      </c>
      <c r="B4" s="810"/>
      <c r="C4" s="812" t="s">
        <v>3854</v>
      </c>
      <c r="D4" s="813"/>
      <c r="E4" s="816" t="s">
        <v>3855</v>
      </c>
      <c r="F4" s="816"/>
      <c r="G4" s="816" t="s">
        <v>2832</v>
      </c>
      <c r="H4" s="816"/>
      <c r="I4" s="815" t="s">
        <v>3856</v>
      </c>
      <c r="J4" s="817"/>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row>
    <row r="5" spans="1:142" ht="24" x14ac:dyDescent="0.2">
      <c r="A5" s="809"/>
      <c r="B5" s="811"/>
      <c r="C5" s="380" t="s">
        <v>2970</v>
      </c>
      <c r="D5" s="379" t="s">
        <v>168</v>
      </c>
      <c r="E5" s="380" t="s">
        <v>2970</v>
      </c>
      <c r="F5" s="379" t="s">
        <v>168</v>
      </c>
      <c r="G5" s="380" t="s">
        <v>2970</v>
      </c>
      <c r="H5" s="379" t="s">
        <v>168</v>
      </c>
      <c r="I5" s="490" t="s">
        <v>2970</v>
      </c>
      <c r="J5" s="496" t="s">
        <v>168</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row>
    <row r="6" spans="1:142" x14ac:dyDescent="0.2">
      <c r="A6" s="805" t="s">
        <v>2926</v>
      </c>
      <c r="B6" s="806"/>
      <c r="C6" s="236">
        <f>IFERROR(GETPIVOTDATA("Count of D2 Gain",'3.9 Pivot'!$A$1,"Status 1 - Development","01 Completed","D2Description_Gain","Casino or Bingo Hall"),0)</f>
        <v>0</v>
      </c>
      <c r="D6" s="237">
        <f>IFERROR(GETPIVOTDATA("Sum of D2 Gain2",'3.9 Pivot'!$A$1,"Status 1 - Development","01 Completed","D2Description_Gain","Casino or Bingo Hall"),0)</f>
        <v>0</v>
      </c>
      <c r="E6" s="236">
        <f>IFERROR(GETPIVOTDATA("Count of D2 Gain",'3.9 Pivot'!$A$1,"Status 1 - Development","01 Completed","D2Description_Gain","Childrens Play Facilities"),0)</f>
        <v>0</v>
      </c>
      <c r="F6" s="237">
        <f>IFERROR(GETPIVOTDATA("Sum of D2 Gain2",'3.9 Pivot'!$A$1,"Status 1 - Development","01 Completed","D2Description_Gain","Childrens Play Facilities"),0)</f>
        <v>0</v>
      </c>
      <c r="G6" s="236">
        <f>IFERROR(GETPIVOTDATA("Count of D2 Gain",'3.9 Pivot'!$A$1,"Status 1 - Development","01 Completed","D2Description_Gain","Cinema or Music Hall"),0)</f>
        <v>0</v>
      </c>
      <c r="H6" s="237">
        <f>IFERROR(GETPIVOTDATA("Sum of D2 Gain2",'3.9 Pivot'!$A$1,"Status 1 - Development","01 Completed","D2Description_Gain","Cinema or Music Hall"),0)</f>
        <v>0</v>
      </c>
      <c r="I6" s="513">
        <f>IFERROR(GETPIVOTDATA("Count of D2 Gain",'3.9 Pivot'!$A$1,"Status 1 - Development","01 Completed","D2Description_Gain","Sports Facilities"),0)</f>
        <v>4</v>
      </c>
      <c r="J6" s="493">
        <f>IFERROR(GETPIVOTDATA("Sum of D2 Gain2",'3.9 Pivot'!$A$1,"Status 1 - Development","01 Completed","D2Description_Gain","Sports Facilities"),0)</f>
        <v>841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row>
    <row r="7" spans="1:142" x14ac:dyDescent="0.2">
      <c r="A7" s="807" t="s">
        <v>2962</v>
      </c>
      <c r="B7" s="511" t="s">
        <v>96</v>
      </c>
      <c r="C7" s="236">
        <f>IFERROR(GETPIVOTDATA("Count of D2 Gain",'3.9 Pivot'!$A$1,"Status 1 - Development","02 Under Construction","D2Description_Gain","Casino or Bingo Hall"),0)</f>
        <v>0</v>
      </c>
      <c r="D7" s="237">
        <f>IFERROR(GETPIVOTDATA("Sum of D2 Gain2",'3.9 Pivot'!$A$1,"Status 1 - Development","02 Under Construction","D2Description_Gain","Casino or Bingo Hall"),0)</f>
        <v>0</v>
      </c>
      <c r="E7" s="236">
        <f>IFERROR(GETPIVOTDATA("Count of D2 Gain",'3.9 Pivot'!$A$1,"Status 1 - Development","02 Under Construction","D2Description_Gain","Childrens Play Facilities"),0)</f>
        <v>0</v>
      </c>
      <c r="F7" s="237">
        <f>IFERROR(GETPIVOTDATA("Sum of D2 Gain2",'3.9 Pivot'!$A$1,"Status 1 - Development","02 Under Construction","D2Description_Gain","Childrens Play Facilities"),0)</f>
        <v>0</v>
      </c>
      <c r="G7" s="236">
        <f>IFERROR(GETPIVOTDATA("Count of D2 Gain",'3.9 Pivot'!$A$1,"Status 1 - Development","02 Under Construction","D2Description_Gain","Cinema or Music Hall"),0)</f>
        <v>2</v>
      </c>
      <c r="H7" s="237">
        <f>IFERROR(GETPIVOTDATA("Sum of D2 Gain2",'3.9 Pivot'!$A$1,"Status 1 - Development","02 Under Construction","D2Description_Gain","Cinema or Music Hall"),0)</f>
        <v>299</v>
      </c>
      <c r="I7" s="513">
        <f>IFERROR(GETPIVOTDATA("Count of D2 Gain",'3.9 Pivot'!$A$1,"Status 1 - Development","02 Under Construction","D2Description_Gain","Sports Facilities"),0)</f>
        <v>5</v>
      </c>
      <c r="J7" s="493">
        <f>IFERROR(GETPIVOTDATA("Sum of D2 Gain2",'3.9 Pivot'!$A$1,"Status 1 - Development","02 Under Construction","D2Description_Gain","Sports Facilities"),0)</f>
        <v>3586</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row>
    <row r="8" spans="1:142" x14ac:dyDescent="0.2">
      <c r="A8" s="808"/>
      <c r="B8" s="511" t="s">
        <v>2966</v>
      </c>
      <c r="C8" s="236">
        <f>IFERROR(GETPIVOTDATA("Count of D2 Gain",'3.9 Pivot'!$A$1,"Status 1 - Development","03 Planning","Status 2 - Permission Type","02 Full","D2Description_Gain","Casino or Bingo Hall"),0)</f>
        <v>0</v>
      </c>
      <c r="D8" s="237">
        <f>IFERROR(GETPIVOTDATA("Sum of D2 Gain2",'3.9 Pivot'!$A$1,"Status 1 - Development","03 Planning","Status 2 - Permission Type","02 Full","D2Description_Gain","Casino or Bingo Hall"),0)</f>
        <v>0</v>
      </c>
      <c r="E8" s="236">
        <f>IFERROR(GETPIVOTDATA("Count of D2 Gain",'3.9 Pivot'!$A$1,"Status 1 - Development","03 Planning","Status 2 - Permission Type","02 Full","D2Description_Gain","Childrens Play Facilities"),0)</f>
        <v>0</v>
      </c>
      <c r="F8" s="237">
        <f>IFERROR(GETPIVOTDATA("Sum of D2 Gain2",'3.9 Pivot'!$A$1,"Status 1 - Development","03 Planning","Status 2 - Permission Type","02 Full","D2Description_Gain","Childrens Play Facilities"),0)</f>
        <v>0</v>
      </c>
      <c r="G8" s="236">
        <f>IFERROR(GETPIVOTDATA("Count of D2 Gain",'3.9 Pivot'!$A$1,"Status 1 - Development","03 Planning","Status 2 - Permission Type","02 Full","D2Description_Gain","Cinema or Music Hall"),0)</f>
        <v>0</v>
      </c>
      <c r="H8" s="237">
        <f>IFERROR(GETPIVOTDATA("Sum of D2 Gain2",'3.9 Pivot'!$A$1,"Status 1 - Development","03 Planning","Status 2 - Permission Type","02 Full","D2Description_Gain","Cinema or Music Hall"),0)</f>
        <v>0</v>
      </c>
      <c r="I8" s="513">
        <f>IFERROR(GETPIVOTDATA("Count of D2 Gain",'3.9 Pivot'!$A$1,"Status 1 - Development","03 Planning","Status 2 - Permission Type","02 Full","D2Description_Gain","Sports Facilities"),0)</f>
        <v>4</v>
      </c>
      <c r="J8" s="493">
        <f>IFERROR(GETPIVOTDATA("Sum of D2 Gain2",'3.9 Pivot'!$A$1,"Status 1 - Development","03 Planning","Status 2 - Permission Type","02 Full","D2Description_Gain","Sports Facilities"),0)</f>
        <v>2497</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row>
    <row r="9" spans="1:142" x14ac:dyDescent="0.2">
      <c r="A9" s="808"/>
      <c r="B9" s="511" t="s">
        <v>2967</v>
      </c>
      <c r="C9" s="236">
        <f>IFERROR(GETPIVOTDATA("Count of D2 Gain",'3.9 Pivot'!$A$1,"Status 1 - Development","03 Planning","Status 2 - Permission Type","03 Outline","D2Description_Gain","Casino or Bingo Hall"),0)</f>
        <v>0</v>
      </c>
      <c r="D9" s="237">
        <f>IFERROR(GETPIVOTDATA("Sum of D2 Gain2",'3.9 Pivot'!$A$1,"Status 1 - Development","03 Planning","Status 2 - Permission Type","03 Outline","D2Description_Gain","Casino or Bingo Hall"),0)</f>
        <v>0</v>
      </c>
      <c r="E9" s="236">
        <f>IFERROR(GETPIVOTDATA("Count of D2 Gain",'3.9 Pivot'!$A$1,"Status 1 - Development","03 Planning","Status 2 - Permission Type","03 Outline","D2Description_Gain","Childrens Play Facilities"),0)</f>
        <v>0</v>
      </c>
      <c r="F9" s="237">
        <f>IFERROR(GETPIVOTDATA("Sum of D2 Gain2",'3.9 Pivot'!$A$1,"Status 1 - Development","03 Planning","Status 2 - Permission Type","03 Outline","D2Description_Gain","Childrens Play Facilities"),0)</f>
        <v>0</v>
      </c>
      <c r="G9" s="236">
        <f>IFERROR(GETPIVOTDATA("Count of D2 Gain",'3.9 Pivot'!$A$1,"Status 1 - Development","03 Planning","Status 2 - Permission Type","03 Outline","D2Description_Gain","Cinema or Music Hall"),0)</f>
        <v>0</v>
      </c>
      <c r="H9" s="237">
        <f>IFERROR(GETPIVOTDATA("Sum of D2 Gain2",'3.9 Pivot'!$A$1,"Status 1 - Development","03 Planning","Status 2 - Permission Type","03 Outline","D2Description_Gain","Cinema or Music Hall"),0)</f>
        <v>0</v>
      </c>
      <c r="I9" s="513">
        <f>IFERROR(GETPIVOTDATA("Count of D2 Gain",'3.9 Pivot'!$A$1,"Status 1 - Development","03 Planning","Status 2 - Permission Type","03 Outline","D2Description_Gain","Sports Facilities"),0)</f>
        <v>0</v>
      </c>
      <c r="J9" s="493">
        <f>IFERROR(GETPIVOTDATA("Sum of D2 Gain2",'3.9 Pivot'!$A$1,"Status 1 - Development","03 Planning","Status 2 - Permission Type","03 Outline","D2Description_Gain","Sports Facilities"),0)</f>
        <v>0</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row>
    <row r="10" spans="1:142" ht="12" customHeight="1" x14ac:dyDescent="0.2">
      <c r="A10" s="808"/>
      <c r="B10" s="511" t="s">
        <v>2944</v>
      </c>
      <c r="C10" s="236">
        <f>IFERROR(GETPIVOTDATA("Count of D2 Gain",'3.9 Pivot'!$A$1,"Status 1 - Development","03 Planning","Status 2 - Permission Type","04 Prior Approval","D2Description_Gain","Casino or Bingo Hall"),0)+IFERROR(GETPIVOTDATA("Count of D2 Gain",'3.9 Pivot'!$A$1,"Status 1 - Development","03 Planning","Status 2 - Permission Type","05 Certificate of Lawful Development","D2Description_Gain","Casino or Bingo Hall"),0)</f>
        <v>0</v>
      </c>
      <c r="D10" s="237">
        <f>IFERROR(GETPIVOTDATA("Sum of D2 Gain2",'3.9 Pivot'!$A$1,"Status 1 - Development","03 Planning","Status 2 - Permission Type","04 Prior Approval","D2Description_Gain","Casino or Bingo Hall"),0)+IFERROR(GETPIVOTDATA("Sum of D2 Gain2",'3.9 Pivot'!$A$1,"Status 1 - Development","03 Planning","Status 2 - Permission Type","05 Certificate of Lawful Development","D2Description_Gain","Casino or Bingo Hall"),0)</f>
        <v>0</v>
      </c>
      <c r="E10" s="236">
        <f>IFERROR(GETPIVOTDATA("Count of D2 Gain",'3.9 Pivot'!$A$1,"Status 1 - Development","03 Planning","Status 2 - Permission Type","04 Prior Approval","D2Description_Gain","Childrens Play Facilities"),0)+IFERROR(GETPIVOTDATA("Count of D2 Gain",'3.9 Pivot'!$A$1,"Status 1 - Development","03 Planning","Status 2 - Permission Type","05 Certificate of Lawful Development","D2Description_Gain","Childrens Play Facilities"),0)</f>
        <v>0</v>
      </c>
      <c r="F10" s="237">
        <f>IFERROR(GETPIVOTDATA("Sum of D2 Gain2",'3.9 Pivot'!$A$1,"Status 1 - Development","03 Planning","Status 2 - Permission Type","04 Prior Approval","D2Description_Gain","Childrens Play Facilities"),0)+IFERROR(GETPIVOTDATA("Sum of D2 Gain2",'3.9 Pivot'!$A$1,"Status 1 - Development","03 Planning","Status 2 - Permission Type","05 Certificate of Lawful Development","D2Description_Gain","Childrens Play Facilities"),0)</f>
        <v>0</v>
      </c>
      <c r="G10" s="236">
        <f>IFERROR(GETPIVOTDATA("Count of D2 Gain",'3.9 Pivot'!$A$1,"Status 1 - Development","03 Planning","Status 2 - Permission Type","04 Prior Approval","D2Description_Gain","Cinema or Music Hall"),0)+IFERROR(GETPIVOTDATA("Count of D2 Gain",'3.9 Pivot'!$A$1,"Status 1 - Development","03 Planning","Status 2 - Permission Type","05 Certificate of Lawful Development","D2Description_Gain","Cinema or Music Hall"),0)</f>
        <v>0</v>
      </c>
      <c r="H10" s="237">
        <f>IFERROR(GETPIVOTDATA("Sum of D2 Gain2",'3.9 Pivot'!$A$1,"Status 1 - Development","03 Planning","Status 2 - Permission Type","04 Prior Approval","D2Description_Gain","Cinema or Music Hall"),0)+IFERROR(GETPIVOTDATA("Sum of D2 Gain2",'3.9 Pivot'!$A$1,"Status 1 - Development","03 Planning","Status 2 - Permission Type","05 Certificate of Lawful Development","D2Description_Gain","Cinema or Music Hall"),0)</f>
        <v>0</v>
      </c>
      <c r="I10" s="513">
        <f>IFERROR(GETPIVOTDATA("Count of D2 Gain",'3.9 Pivot'!$A$1,"Status 1 - Development","03 Planning","Status 2 - Permission Type","04 Prior Approval","D2Description_Gain","Sports Facilities"),0)+IFERROR(GETPIVOTDATA("Count of D2 Gain",'3.9 Pivot'!$A$1,"Status 1 - Development","03 Planning","Status 2 - Permission Type","05 Certificate of Lawful Development","D2Description_Gain","Sports Facilities"),0)</f>
        <v>0</v>
      </c>
      <c r="J10" s="493">
        <f>IFERROR(GETPIVOTDATA("Sum of D2 Gain2",'3.9 Pivot'!$A$1,"Status 1 - Development","03 Planning","Status 2 - Permission Type","04 Prior Approval","D2Description_Gain","Sports Facilities"),0)+IFERROR(GETPIVOTDATA("Sum of D2 Gain2",'3.9 Pivot'!$A$1,"Status 1 - Development","03 Planning","Status 2 - Permission Type","05 Certificate of Lawful Development","D2Description_Gain","Sports Facilities"),0)</f>
        <v>0</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row>
    <row r="11" spans="1:142" x14ac:dyDescent="0.2">
      <c r="A11" s="808"/>
      <c r="B11" s="511" t="s">
        <v>2932</v>
      </c>
      <c r="C11" s="236">
        <f>IFERROR(GETPIVOTDATA("Count of D2 Gain",'3.9 Pivot'!$A$1,"Status 1 - Development","04 Pending","Status 2 - Permission Type","01 Pending Legal Agreement","D2Description_Gain","Casino or Bingo Hall"),0)</f>
        <v>0</v>
      </c>
      <c r="D11" s="237">
        <f>IFERROR(GETPIVOTDATA("Sum of D2 Gain2",'3.9 Pivot'!$A$1,"Status 1 - Development","04 Pending","Status 2 - Permission Type","01 Pending Legal Agreement","D2Description_Gain","Casino or Bingo Hall"),0)</f>
        <v>0</v>
      </c>
      <c r="E11" s="236">
        <f>IFERROR(GETPIVOTDATA("Count of D2 Gain",'3.9 Pivot'!$A$1,"Status 1 - Development","04 Pending","Status 2 - Permission Type","01 Pending Legal Agreement","D2Description_Gain","Childrens Play Facilities"),0)</f>
        <v>0</v>
      </c>
      <c r="F11" s="237">
        <f>IFERROR(GETPIVOTDATA("Sum of D2 Gain2",'3.9 Pivot'!$A$1,"Status 1 - Development","04 Pending","Status 2 - Permission Type","01 Pending Legal Agreement","D2Description_Gain","Childrens Play Facilities"),0)</f>
        <v>0</v>
      </c>
      <c r="G11" s="236">
        <f>IFERROR(GETPIVOTDATA("Count of D2 Gain",'3.9 Pivot'!$A$1,"Status 1 - Development","04 Pending","Status 2 - Permission Type","01 Pending Legal Agreement","D2Description_Gain","Cinema or Music Hall"),0)</f>
        <v>0</v>
      </c>
      <c r="H11" s="237">
        <f>IFERROR(GETPIVOTDATA("Sum of D2 Gain2",'3.9 Pivot'!$A$1,"Status 1 - Development","04 Pending","Status 2 - Permission Type","01 Pending Legal Agreement","D2Description_Gain","Cinema or Music Hall"),0)</f>
        <v>0</v>
      </c>
      <c r="I11" s="513">
        <f>IFERROR(GETPIVOTDATA("Count of D2 Gain",'3.9 Pivot'!$A$1,"Status 1 - Development","04 Pending","Status 2 - Permission Type","01 Pending Legal Agreement","D2Description_Gain","Sports Facilities"),0)</f>
        <v>0</v>
      </c>
      <c r="J11" s="493">
        <f>IFERROR(GETPIVOTDATA("Sum of D2 Gain2",'3.9 Pivot'!$A$1,"Status 1 - Development","04 Pending","Status 2 - Permission Type","01 Pending Legal Agreement","D2Description_Gain","Sports Facilities"),0)</f>
        <v>0</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row>
    <row r="12" spans="1:142" x14ac:dyDescent="0.2">
      <c r="A12" s="808"/>
      <c r="B12" s="511" t="s">
        <v>2933</v>
      </c>
      <c r="C12" s="236">
        <f>IFERROR(GETPIVOTDATA("Count of D2 Gain",'3.9 Pivot'!$A$1,"Status 1 - Development","04 Pending","Status 2 - Permission Type","06 Appeal","D2Description_Gain","Casino or Bingo Hall"),0)</f>
        <v>0</v>
      </c>
      <c r="D12" s="237">
        <f>IFERROR(GETPIVOTDATA("Sum of D2 Gain2",'3.9 Pivot'!$A$1,"Status 1 - Development","04 Pending","Status 2 - Permission Type","06 Appeal","D2Description_Gain","Casino or Bingo Hall"),0)</f>
        <v>0</v>
      </c>
      <c r="E12" s="236">
        <f>IFERROR(GETPIVOTDATA("Count of D2 Gain",'3.9 Pivot'!$A$1,"Status 1 - Development","04 Pending","Status 2 - Permission Type","06 Appeal","D2Description_Gain","Childrens Play Facilities"),0)</f>
        <v>0</v>
      </c>
      <c r="F12" s="237">
        <f>IFERROR(GETPIVOTDATA("Sum of D2 Gain2",'3.9 Pivot'!$A$1,"Status 1 - Development","04 Pending","Status 2 - Permission Type","06 Appeal","D2Description_Gain","Childrens Play Facilities"),0)</f>
        <v>0</v>
      </c>
      <c r="G12" s="236">
        <f>IFERROR(GETPIVOTDATA("Count of D2 Gain",'3.9 Pivot'!$A$1,"Status 1 - Development","04 Pending","Status 2 - Permission Type","06 Appeal","D2Description_Gain","Cinema or Music Hall"),0)</f>
        <v>0</v>
      </c>
      <c r="H12" s="237">
        <f>IFERROR(GETPIVOTDATA("Sum of D2 Gain2",'3.9 Pivot'!$A$1,"Status 1 - Development","04 Pending","Status 2 - Permission Type","06 Appeal","D2Description_Gain","Cinema or Music Hall"),0)</f>
        <v>0</v>
      </c>
      <c r="I12" s="513">
        <f>IFERROR(GETPIVOTDATA("Count of D2 Gain",'3.9 Pivot'!$A$1,"Status 1 - Development","04 Pending","Status 2 - Permission Type","06 Appeal","D2Description_Gain","Sports Facilities"),0)</f>
        <v>0</v>
      </c>
      <c r="J12" s="493">
        <f>IFERROR(GETPIVOTDATA("Sum of D2 Gain2",'3.9 Pivot'!$A$1,"Status 1 - Development","04 Pending","Status 2 - Permission Type","06 Appeal","D2Description_Gain","Sports Facilities"),0)</f>
        <v>0</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row>
    <row r="13" spans="1:142" x14ac:dyDescent="0.2">
      <c r="A13" s="808"/>
      <c r="B13" s="511" t="s">
        <v>3800</v>
      </c>
      <c r="C13" s="266">
        <f>IFERROR(GETPIVOTDATA("Count of D2 Gain",'3.9 Pivot'!$A$1,"Status 1 - Development","04 Pending","Status 2 - Permission Type","02 Full","D2Description_Gain","Casino or Bingo Hall"),0)+IFERROR(GETPIVOTDATA("Count of D2 Gain",'3.9 Pivot'!$A$1,"Status 1 - Development","04 Pending","Status 2 - Permission Type","03 Outline","D2Description_Gain","Casino or Bingo Hall"),0)+IFERROR(GETPIVOTDATA("Count of D2 Gain",'3.9 Pivot'!$A$1,"Status 1 - Development","04 Pending","Status 2 - Permission Type","04 Prior Approval","D2Description_Gain","Casino or Bingo Hall"),0)+IFERROR(GETPIVOTDATA("Count of D2 Gain",'3.9 Pivot'!$A$1,"Status 1 - Development","04 Pending","Status 2 - Permission Type","05 Certificate of Lawful Development","D2Description_Gain","Casino or Bingo Hall"),0)</f>
        <v>0</v>
      </c>
      <c r="D13" s="268">
        <f>IFERROR(GETPIVOTDATA("Sum of D2 Gain2",'3.9 Pivot'!$A$1,"Status 1 - Development","04 Pending","Status 2 - Permission Type","02 Full","D2Description_Gain","Casino or Bingo Hall"),0)+IFERROR(GETPIVOTDATA("Sum of D2 Gain2",'3.9 Pivot'!$A$1,"Status 1 - Development","04 Pending","Status 2 - Permission Type","03 Outline","D2Description_Gain","Casino or Bingo Hall"),0)+IFERROR(GETPIVOTDATA("Sum of D2 Gain2",'3.9 Pivot'!$A$1,"Status 1 - Development","04 Pending","Status 2 - Permission Type","04 Prior Approval","D2Description_Gain","Casino or Bingo Hall"),0)+IFERROR(GETPIVOTDATA("Sum of D2 Gain2",'3.9 Pivot'!$A$1,"Status 1 - Development","04 Pending","Status 2 - Permission Type","05 Certificate of Lawful Development","D2Description_Gain","Casino or Bingo Hall"),0)</f>
        <v>0</v>
      </c>
      <c r="E13" s="266">
        <f>IFERROR(GETPIVOTDATA("Count of D2 Gain",'3.9 Pivot'!$A$1,"Status 1 - Development","04 Pending","Status 2 - Permission Type","02 Full","D2Description_Gain","Childrens Play Facilities"),0)+IFERROR(GETPIVOTDATA("Count of D2 Gain",'3.9 Pivot'!$A$1,"Status 1 - Development","04 Pending","Status 2 - Permission Type","03 Outline","D2Description_Gain","Childrens Play Facilities"),0)+IFERROR(GETPIVOTDATA("Count of D2 Gain",'3.9 Pivot'!$A$1,"Status 1 - Development","04 Pending","Status 2 - Permission Type","04 Prior Approval","D2Description_Gain","Childrens Play Facilities"),0)+IFERROR(GETPIVOTDATA("Count of D2 Gain",'3.9 Pivot'!$A$1,"Status 1 - Development","04 Pending","Status 2 - Permission Type","05 Certificate of Lawful Development","D2Description_Gain","Childrens Play Facilities"),0)</f>
        <v>0</v>
      </c>
      <c r="F13" s="268">
        <f>IFERROR(GETPIVOTDATA("Sum of D2 Gain2",'3.9 Pivot'!$A$1,"Status 1 - Development","04 Pending","Status 2 - Permission Type","02 Full","D2Description_Gain","Childrens Play Facilities"),0)+IFERROR(GETPIVOTDATA("Sum of D2 Gain2",'3.9 Pivot'!$A$1,"Status 1 - Development","04 Pending","Status 2 - Permission Type","03 Outline","D2Description_Gain","Childrens Play Facilities"),0)+IFERROR(GETPIVOTDATA("Sum of D2 Gain2",'3.9 Pivot'!$A$1,"Status 1 - Development","04 Pending","Status 2 - Permission Type","04 Prior Approval","D2Description_Gain","Childrens Play Facilities"),0)+IFERROR(GETPIVOTDATA("Sum of D2 Gain2",'3.9 Pivot'!$A$1,"Status 1 - Development","04 Pending","Status 2 - Permission Type","05 Certificate of Lawful Development","D2Description_Gain","Childrens Play Facilities"),0)</f>
        <v>0</v>
      </c>
      <c r="G13" s="266">
        <f>IFERROR(GETPIVOTDATA("Count of D2 Gain",'3.9 Pivot'!$A$1,"Status 1 - Development","04 Pending","Status 2 - Permission Type","02 Full","D2Description_Gain","Cinema or Music Hall"),0)+IFERROR(GETPIVOTDATA("Count of D2 Gain",'3.9 Pivot'!$A$1,"Status 1 - Development","04 Pending","Status 2 - Permission Type","03 Outline","D2Description_Gain","Cinema or Music Hall"),0)+IFERROR(GETPIVOTDATA("Count of D2 Gain",'3.9 Pivot'!$A$1,"Status 1 - Development","04 Pending","Status 2 - Permission Type","04 Prior Approval","D2Description_Gain","Cinema or Music Hall"),0)+IFERROR(GETPIVOTDATA("Count of D2 Gain",'3.9 Pivot'!$A$1,"Status 1 - Development","04 Pending","Status 2 - Permission Type","05 Certificate of Lawful Development","D2Description_Gain","Cinema or Music Hall"),0)</f>
        <v>0</v>
      </c>
      <c r="H13" s="268">
        <f>IFERROR(GETPIVOTDATA("Sum of D2 Gain2",'3.9 Pivot'!$A$1,"Status 1 - Development","04 Pending","Status 2 - Permission Type","02 Full","D2Description_Gain","Cinema or Music Hall"),0)+IFERROR(GETPIVOTDATA("Sum of D2 Gain2",'3.9 Pivot'!$A$1,"Status 1 - Development","04 Pending","Status 2 - Permission Type","03 Outline","D2Description_Gain","Cinema or Music Hall"),0)+IFERROR(GETPIVOTDATA("Sum of D2 Gain2",'3.9 Pivot'!$A$1,"Status 1 - Development","04 Pending","Status 2 - Permission Type","04 Prior Approval","D2Description_Gain","Cinema or Music Hall"),0)+IFERROR(GETPIVOTDATA("Sum of D2 Gain2",'3.9 Pivot'!$A$1,"Status 1 - Development","04 Pending","Status 2 - Permission Type","05 Certificate of Lawful Development","D2Description_Gain","Cinema or Music Hall"),0)</f>
        <v>0</v>
      </c>
      <c r="I13" s="266">
        <f>IFERROR(GETPIVOTDATA("Count of D2 Gain",'3.9 Pivot'!$A$1,"Status 1 - Development","04 Pending","Status 2 - Permission Type","02 Full","D2Description_Gain","Sports Facilities"),0)+IFERROR(GETPIVOTDATA("Count of D2 Gain",'3.9 Pivot'!$A$1,"Status 1 - Development","04 Pending","Status 2 - Permission Type","03 Outline","D2Description_Gain","Sports Facilities"),0)+IFERROR(GETPIVOTDATA("Count of D2 Gain",'3.9 Pivot'!$A$1,"Status 1 - Development","04 Pending","Status 2 - Permission Type","04 Prior Approval","D2Description_Gain","Sports Facilities"),0)+IFERROR(GETPIVOTDATA("Count of D2 Gain",'3.9 Pivot'!$A$1,"Status 1 - Development","04 Pending","Status 2 - Permission Type","05 Certificate of Lawful Development","D2Description_Gain","Sports Facilities"),0)</f>
        <v>1</v>
      </c>
      <c r="J13" s="514">
        <f>IFERROR(GETPIVOTDATA("Sum of D2 Gain2",'3.9 Pivot'!$A$1,"Status 1 - Development","04 Pending","Status 2 - Permission Type","02 Full","D2Description_Gain","Sports Facilities"),0)+IFERROR(GETPIVOTDATA("Sum of D2 Gain2",'3.9 Pivot'!$A$1,"Status 1 - Development","04 Pending","Status 2 - Permission Type","03 Outline","D2Description_Gain","Sports Facilities"),0)+IFERROR(GETPIVOTDATA("Sum of D2 Gain2",'3.9 Pivot'!$A$1,"Status 1 - Development","04 Pending","Status 2 - Permission Type","04 Prior Approval","D2Description_Gain","Sports Facilities"),0)+IFERROR(GETPIVOTDATA("Sum of D2 Gain2",'3.9 Pivot'!$A$1,"Status 1 - Development","04 Pending","Status 2 - Permission Type","05 Certificate of Lawful Development","D2Description_Gain","Sports Facilities"),0)</f>
        <v>301</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row>
    <row r="14" spans="1:142" x14ac:dyDescent="0.2">
      <c r="A14" s="809"/>
      <c r="B14" s="512" t="s">
        <v>95</v>
      </c>
      <c r="C14" s="102">
        <f t="shared" ref="C14:J14" si="0">SUM(C7:C13)</f>
        <v>0</v>
      </c>
      <c r="D14" s="103">
        <f t="shared" si="0"/>
        <v>0</v>
      </c>
      <c r="E14" s="102">
        <f t="shared" si="0"/>
        <v>0</v>
      </c>
      <c r="F14" s="103">
        <f t="shared" si="0"/>
        <v>0</v>
      </c>
      <c r="G14" s="102">
        <f t="shared" si="0"/>
        <v>2</v>
      </c>
      <c r="H14" s="103">
        <f t="shared" si="0"/>
        <v>299</v>
      </c>
      <c r="I14" s="474">
        <f t="shared" si="0"/>
        <v>10</v>
      </c>
      <c r="J14" s="475">
        <f t="shared" si="0"/>
        <v>6384</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row>
    <row r="15" spans="1:142" x14ac:dyDescent="0.2">
      <c r="A15" s="12"/>
      <c r="B15" s="12"/>
      <c r="C15" s="4"/>
      <c r="D15" s="4"/>
      <c r="E15" s="4"/>
      <c r="F15" s="4"/>
      <c r="G15" s="4"/>
      <c r="H15" s="4"/>
      <c r="I15" s="12"/>
      <c r="J15" s="1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row>
    <row r="16" spans="1:142" x14ac:dyDescent="0.2">
      <c r="A16" s="807" t="s">
        <v>88</v>
      </c>
      <c r="B16" s="810"/>
      <c r="C16" s="812" t="s">
        <v>47</v>
      </c>
      <c r="D16" s="813"/>
      <c r="E16" s="816" t="s">
        <v>49</v>
      </c>
      <c r="F16" s="816"/>
      <c r="G16" s="816" t="s">
        <v>31</v>
      </c>
      <c r="H16" s="816"/>
      <c r="I16" s="814" t="s">
        <v>95</v>
      </c>
      <c r="J16" s="81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row>
    <row r="17" spans="1:142" ht="24" x14ac:dyDescent="0.2">
      <c r="A17" s="809"/>
      <c r="B17" s="811"/>
      <c r="C17" s="380" t="s">
        <v>2970</v>
      </c>
      <c r="D17" s="379" t="s">
        <v>168</v>
      </c>
      <c r="E17" s="380" t="s">
        <v>2970</v>
      </c>
      <c r="F17" s="379" t="s">
        <v>168</v>
      </c>
      <c r="G17" s="380" t="s">
        <v>2970</v>
      </c>
      <c r="H17" s="379" t="s">
        <v>168</v>
      </c>
      <c r="I17" s="490" t="s">
        <v>2970</v>
      </c>
      <c r="J17" s="496" t="s">
        <v>168</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row>
    <row r="18" spans="1:142" x14ac:dyDescent="0.2">
      <c r="A18" s="805" t="s">
        <v>2926</v>
      </c>
      <c r="B18" s="806"/>
      <c r="C18" s="236">
        <f>IFERROR(GETPIVOTDATA("Count of D2 Gain",'3.9 Pivot'!$A$1,"Status 1 - Development","01 Completed","D2Description_Gain","Vacant"),0)</f>
        <v>0</v>
      </c>
      <c r="D18" s="237">
        <f>IFERROR(GETPIVOTDATA("Sum of D2 Gain2",'3.9 Pivot'!$A$1,"Status 1 - Development","01 Completed","D2Description_Gain","Vacant"),0)</f>
        <v>0</v>
      </c>
      <c r="E18" s="236">
        <f>IFERROR(GETPIVOTDATA("Count of D2 Gain",'3.9 Pivot'!$A$1,"Status 1 - Development","01 Completed","D2Description_Gain","Other"),0)</f>
        <v>6</v>
      </c>
      <c r="F18" s="237">
        <f>IFERROR(GETPIVOTDATA("Sum of D2 Gain2",'3.9 Pivot'!$A$1,"Status 1 - Development","01 Completed","D2Description_Gain","Other"),0)</f>
        <v>549</v>
      </c>
      <c r="G18" s="236">
        <f>IFERROR(GETPIVOTDATA("Count of D2 Gain",'3.9 Pivot'!$A$1,"Status 1 - Development","01 Completed","D2Description_Gain","-"),0)+IFERROR(GETPIVOTDATA("Count of D2 Gain",'3.9 Pivot'!$A$1,"Status 1 - Development","01 Completed","D2Description_Gain","Not Known"),0)</f>
        <v>3</v>
      </c>
      <c r="H18" s="237">
        <f>IFERROR(GETPIVOTDATA("Sum of D2 Gain2",'3.9 Pivot'!$A$1,"Status 1 - Development","01 Completed","D2Description_Gain","-"),0)+IFERROR(GETPIVOTDATA("Sum of D2 Gain2",'3.9 Pivot'!$A$1,"Status 1 - Development","01 Completed","D2Description_Gain","Not Known"),0)</f>
        <v>2953</v>
      </c>
      <c r="I18" s="515">
        <f>IFERROR(GETPIVOTDATA("Count of D2 Gain",'3.9 Pivot'!$A$1,"Status 1 - Development","01 Completed"),0)</f>
        <v>13</v>
      </c>
      <c r="J18" s="516">
        <f>IFERROR(GETPIVOTDATA("Sum of D2 Gain2",'3.9 Pivot'!$A$1,"Status 1 - Development","01 Completed"),0)</f>
        <v>4343</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row>
    <row r="19" spans="1:142" x14ac:dyDescent="0.2">
      <c r="A19" s="807" t="s">
        <v>2962</v>
      </c>
      <c r="B19" s="511" t="s">
        <v>96</v>
      </c>
      <c r="C19" s="236">
        <f>IFERROR(GETPIVOTDATA("Count of D2 Gain",'3.9 Pivot'!$A$1,"Status 1 - Development","02 Under Construction","D2Description_Gain","Vacant"),0)</f>
        <v>0</v>
      </c>
      <c r="D19" s="237">
        <f>IFERROR(GETPIVOTDATA("Sum of D2 Gain2",'3.9 Pivot'!$A$1,"Status 1 - Development","02 Under Construction","D2Description_Gain","Vacant"),0)</f>
        <v>0</v>
      </c>
      <c r="E19" s="236">
        <f>IFERROR(GETPIVOTDATA("Count of D2 Gain",'3.9 Pivot'!$A$1,"Status 1 - Development","02 Under Construction","D2Description_Gain","Other"),0)</f>
        <v>5</v>
      </c>
      <c r="F19" s="237">
        <f>IFERROR(GETPIVOTDATA("Sum of D2 Gain2",'3.9 Pivot'!$A$1,"Status 1 - Development","02 Under Construction","D2Description_Gain","Other"),0)</f>
        <v>1655</v>
      </c>
      <c r="G19" s="236">
        <f>IFERROR(GETPIVOTDATA("Count of D2 Gain",'3.9 Pivot'!$A$1,"Status 1 - Development","02 Under Construction","D2Description_Gain","-"),0)+IFERROR(GETPIVOTDATA("Count of D2 Gain",'3.9 Pivot'!$A$1,"Status 1 - Development","02 Under Construction","D2Description_Gain","Not Known"),0)</f>
        <v>10</v>
      </c>
      <c r="H19" s="237">
        <f>IFERROR(GETPIVOTDATA("Sum of D2 Gain2",'3.9 Pivot'!$A$1,"Status 1 - Development","02 Under Construction","D2Description_Gain","-"),0)+IFERROR(GETPIVOTDATA("Sum of D2 Gain2",'3.9 Pivot'!$A$1,"Status 1 - Development","02 Under Construction","D2Description_Gain","Not Known"),0)</f>
        <v>11602</v>
      </c>
      <c r="I19" s="515">
        <f>IFERROR(GETPIVOTDATA("Count of D2 Gain",'3.9 Pivot'!$A$1,"Status 1 - Development","02 Under Construction"),0)</f>
        <v>22</v>
      </c>
      <c r="J19" s="516">
        <f>IFERROR(GETPIVOTDATA("Sum of D2 Gain2",'3.9 Pivot'!$A$1,"Status 1 - Development","02 Under Construction"),0)</f>
        <v>17142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row>
    <row r="20" spans="1:142" x14ac:dyDescent="0.2">
      <c r="A20" s="808"/>
      <c r="B20" s="511" t="s">
        <v>2966</v>
      </c>
      <c r="C20" s="236">
        <f>IFERROR(GETPIVOTDATA("Count of D2 Gain",'3.9 Pivot'!$A$1,"Status 1 - Development","03 Planning","Status 2 - Permission Type","02 Full","D2Description_Gain","Vacant"),0)</f>
        <v>0</v>
      </c>
      <c r="D20" s="237">
        <f>IFERROR(GETPIVOTDATA("Sum of D2 Gain2",'3.9 Pivot'!$A$1,"Status 1 - Development","03 Planning","Status 2 - Permission Type","02 Full","D2Description_Gain","Vacant"),0)</f>
        <v>0</v>
      </c>
      <c r="E20" s="236">
        <f>IFERROR(GETPIVOTDATA("Count of D2 Gain",'3.9 Pivot'!$A$1,"Status 1 - Development","03 Planning","Status 2 - Permission Type","02 Full","D2Description_Gain","Other"),0)</f>
        <v>10</v>
      </c>
      <c r="F20" s="237">
        <f>IFERROR(GETPIVOTDATA("Sum of D2 Gain2",'3.9 Pivot'!$A$1,"Status 1 - Development","03 Planning","Status 2 - Permission Type","02 Full","D2Description_Gain","Other"),0)</f>
        <v>2832</v>
      </c>
      <c r="G20" s="236">
        <f>IFERROR(GETPIVOTDATA("Count of D2 Gain",'3.9 Pivot'!$A$1,"Status 1 - Development","03 Planning","Status 2 - Permission Type","02 Full","D2Description_Gain","-"),0)+IFERROR(GETPIVOTDATA("Count of D2 Gain",'3.9 Pivot'!$A$1,"Status 1 - Development","03 Planning","Status 2 - Permission Type","02 Full","D2Description_Gain","Not Known"),0)</f>
        <v>5</v>
      </c>
      <c r="H20" s="237">
        <f>IFERROR(GETPIVOTDATA("Sum of D2 Gain2",'3.9 Pivot'!$A$1,"Status 1 - Development","03 Planning","Status 2 - Permission Type","02 Full","D2Description_Gain","-"),0)+IFERROR(GETPIVOTDATA("Sum of D2 Gain2",'3.9 Pivot'!$A$1,"Status 1 - Development","03 Planning","Status 2 - Permission Type","02 Full","D2Description_Gain","Not Known"),0)</f>
        <v>2248</v>
      </c>
      <c r="I20" s="515">
        <f>IFERROR(GETPIVOTDATA("Count of D2 Gain",'3.9 Pivot'!$A$1,"Status 1 - Development","03 Planning","Status 2 - Permission Type","02 Full"),0)</f>
        <v>19</v>
      </c>
      <c r="J20" s="516">
        <f>IFERROR(GETPIVOTDATA("Sum of D2 Gain2",'3.9 Pivot'!$A$1,"Status 1 - Development","03 Planning","Status 2 - Permission Type","02 Full"),0)</f>
        <v>7577</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row>
    <row r="21" spans="1:142" x14ac:dyDescent="0.2">
      <c r="A21" s="808"/>
      <c r="B21" s="511" t="s">
        <v>2967</v>
      </c>
      <c r="C21" s="236">
        <f>IFERROR(GETPIVOTDATA("Count of D2 Gain",'3.9 Pivot'!$A$1,"Status 1 - Development","03 Planning","Status 2 - Permission Type","03 Outline","D2Description_Gain","Vacant"),0)</f>
        <v>0</v>
      </c>
      <c r="D21" s="237">
        <f>IFERROR(GETPIVOTDATA("Sum of D2 Gain2",'3.9 Pivot'!$A$1,"Status 1 - Development","03 Planning","Status 2 - Permission Type","03 Outline","D2Description_Gain","Vacant"),0)</f>
        <v>0</v>
      </c>
      <c r="E21" s="236">
        <f>IFERROR(GETPIVOTDATA("Count of D2 Gain",'3.9 Pivot'!$A$1,"Status 1 - Development","03 Planning","Status 2 - Permission Type","03 Outline","D2Description_Gain","Other"),0)</f>
        <v>1</v>
      </c>
      <c r="F21" s="237">
        <f>IFERROR(GETPIVOTDATA("Sum of D2 Gain2",'3.9 Pivot'!$A$1,"Status 1 - Development","03 Planning","Status 2 - Permission Type","03 Outline","D2Description_Gain","Other"),0)</f>
        <v>1678</v>
      </c>
      <c r="G21" s="236">
        <f>IFERROR(GETPIVOTDATA("Count of D2 Gain",'3.9 Pivot'!$A$1,"Status 1 - Development","03 Planning","Status 2 - Permission Type","03 Outline","D2Description_Gain","-"),0)+IFERROR(GETPIVOTDATA("Count of D2 Gain",'3.9 Pivot'!$A$1,"Status 1 - Development","03 Planning","Status 2 - Permission Type","03 Outline","D2Description_Gain","Not Known"),0)</f>
        <v>9</v>
      </c>
      <c r="H21" s="237">
        <f>IFERROR(GETPIVOTDATA("Sum of D2 Gain2",'3.9 Pivot'!$A$1,"Status 1 - Development","03 Planning","Status 2 - Permission Type","03 Outline","D2Description_Gain","-"),0)+IFERROR(GETPIVOTDATA("Sum of D2 Gain2",'3.9 Pivot'!$A$1,"Status 1 - Development","03 Planning","Status 2 - Permission Type","03 Outline","D2Description_Gain","Not Known"),0)</f>
        <v>5408</v>
      </c>
      <c r="I21" s="515">
        <f>IFERROR(GETPIVOTDATA("Count of D2 Gain",'3.9 Pivot'!$A$1,"Status 1 - Development","03 Planning","Status 2 - Permission Type","03 Outline"),0)</f>
        <v>10</v>
      </c>
      <c r="J21" s="516">
        <f>IFERROR(GETPIVOTDATA("Sum of D2 Gain2",'3.9 Pivot'!$A$1,"Status 1 - Development","03 Planning","Status 2 - Permission Type","03 Outline"),0)</f>
        <v>7086</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row>
    <row r="22" spans="1:142" x14ac:dyDescent="0.2">
      <c r="A22" s="808"/>
      <c r="B22" s="511" t="s">
        <v>2944</v>
      </c>
      <c r="C22" s="236">
        <f>IFERROR(GETPIVOTDATA("Count of D2 Gain",'3.9 Pivot'!$A$1,"Status 1 - Development","03 Planning","Status 2 - Permission Type","04 Prior Approval","D2Description_Gain","Vacant"),0)+IFERROR(GETPIVOTDATA("Count of D2 Gain",'3.9 Pivot'!$A$1,"Status 1 - Development","03 Planning","Status 2 - Permission Type","05 Certificate of Lawful Development","D2Description_Gain","Vacant"),0)</f>
        <v>0</v>
      </c>
      <c r="D22" s="237">
        <f>IFERROR(GETPIVOTDATA("Sum of D2 Gain2",'3.9 Pivot'!$A$1,"Status 1 - Development","03 Planning","Status 2 - Permission Type","04 Prior Approval","D2Description_Gain","Vacant"),0)+IFERROR(GETPIVOTDATA("Sum of D2 Gain2",'3.9 Pivot'!$A$1,"Status 1 - Development","03 Planning","Status 2 - Permission Type","05 Certificate of Lawful Development","D2Description_Gain","Vacant"),0)</f>
        <v>0</v>
      </c>
      <c r="E22" s="236">
        <f>IFERROR(GETPIVOTDATA("Count of D2 Gain",'3.9 Pivot'!$A$1,"Status 1 - Development","03 Planning","Status 2 - Permission Type","04 Prior Approval","D2Description_Gain","Other"),0)+IFERROR(GETPIVOTDATA("Count of D2 Gain",'3.9 Pivot'!$A$1,"Status 1 - Development","03 Planning","Status 2 - Permission Type","05 Certificate of Lawful Development","D2Description_Gain","Other"),0)</f>
        <v>0</v>
      </c>
      <c r="F22" s="237">
        <f>IFERROR(GETPIVOTDATA("Sum of D2 Gain2",'3.9 Pivot'!$A$1,"Status 1 - Development","03 Planning","Status 2 - Permission Type","04 Prior Approval","D2Description_Gain","Other"),0)+IFERROR(GETPIVOTDATA("Sum of D2 Gain2",'3.9 Pivot'!$A$1,"Status 1 - Development","03 Planning","Status 2 - Permission Type","05 Certificate of Lawful Development","D2Description_Gain","Other"),0)</f>
        <v>0</v>
      </c>
      <c r="G22" s="236">
        <f>IFERROR(GETPIVOTDATA("Count of D2 Gain",'3.9 Pivot'!$A$1,"Status 1 - Development","03 Planning","Status 2 - Permission Type","04 Prior Approval","D2Description_Gain","-"),0)+IFERROR(GETPIVOTDATA("Count of D2 Gain",'3.9 Pivot'!$A$1,"Status 1 - Development","03 Planning","Status 2 - Permission Type","05 Certificate of Lawful Development","D2Description_Gain","-"),0)+IFERROR(GETPIVOTDATA("Count of D2 Gain",'3.9 Pivot'!$A$1,"Status 1 - Development","03 Planning","Status 2 - Permission Type","04 Prior Approval","D2Description_Gain","Not Known"),0)+IFERROR(GETPIVOTDATA("Count of D2 Gain",'3.9 Pivot'!$A$1,"Status 1 - Development","03 Planning","Status 2 - Permission Type","05 Certificate of Lawful Development","D2Description_Gain","Not Known"),0)</f>
        <v>0</v>
      </c>
      <c r="H22" s="237">
        <f>IFERROR(GETPIVOTDATA("Sum of D2 Gain2",'3.9 Pivot'!$A$1,"Status 1 - Development","03 Planning","Status 2 - Permission Type","04 Prior Approval","D2Description_Gain","-"),0)+IFERROR(GETPIVOTDATA("Sum of D2 Gain2",'3.9 Pivot'!$A$1,"Status 1 - Development","03 Planning","Status 2 - Permission Type","05 Certificate of Lawful Development","D2Description_Gain","-"),0)+IFERROR(GETPIVOTDATA("Sum of D2 Gain2",'3.9 Pivot'!$A$1,"Status 1 - Development","03 Planning","Status 2 - Permission Type","04 Prior Approval","D2Description_Gain","Not Known"),0)+IFERROR(GETPIVOTDATA("Sum of D2 Gain2",'3.9 Pivot'!$A$1,"Status 1 - Development","03 Planning","Status 2 - Permission Type","05 Certificate of Lawful Development","D2Description_Gain","Not Known"),0)</f>
        <v>0</v>
      </c>
      <c r="I22" s="515">
        <f>IFERROR(GETPIVOTDATA("Count of D2 Gain",'3.9 Pivot'!$A$1,"Status 1 - Development","03 Planning","Status 2 - Permission Type","04 Prior Approval"),0)+IFERROR(GETPIVOTDATA("Count of D2 Gain",'3.9 Pivot'!$A$1,"Status 1 - Development","03 Planning","Status 2 - Permission Type","05 Certificate of Lawful Development"),0)</f>
        <v>0</v>
      </c>
      <c r="J22" s="516">
        <f>IFERROR(GETPIVOTDATA("Sum of D2 Gain2",'3.9 Pivot'!$A$1,"Status 1 - Development","03 Planning","Status 2 - Permission Type","04 Prior Approval"),0)+IFERROR(GETPIVOTDATA("Sum of D2 Gain2",'3.9 Pivot'!$A$1:$A$1,"Status 1 - Development","03 Planning","Status 2 - Permission Type","05 Certificate of Lawful Development"),0)</f>
        <v>0</v>
      </c>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row>
    <row r="23" spans="1:142" x14ac:dyDescent="0.2">
      <c r="A23" s="808"/>
      <c r="B23" s="511" t="s">
        <v>2932</v>
      </c>
      <c r="C23" s="236">
        <f>IFERROR(GETPIVOTDATA("Count of D2 Gain",'3.9 Pivot'!$A$1,"Status 1 - Development","04 Pending","Status 2 - Permission Type","01 Pending Legal Agreement","D2Description_Gain","Vacant"),0)</f>
        <v>0</v>
      </c>
      <c r="D23" s="237">
        <f>IFERROR(GETPIVOTDATA("Sum of D2 Gain2",'3.9 Pivot'!$A$1,"Status 1 - Development","04 Pending","Status 2 - Permission Type","01 Pending Legal Agreement","D2Description_Gain","Vacant"),0)</f>
        <v>0</v>
      </c>
      <c r="E23" s="236">
        <f>IFERROR(GETPIVOTDATA("Count of D2 Gain",'3.9 Pivot'!$A$1,"Status 1 - Development","04 Pending","Status 2 - Permission Type","01 Pending Legal Agreement","D2Description_Gain","Other"),0)</f>
        <v>0</v>
      </c>
      <c r="F23" s="237">
        <f>IFERROR(GETPIVOTDATA("Sum of D2 Gain2",'3.9 Pivot'!$A$1,"Status 1 - Development","04 Pending","Status 2 - Permission Type","01 Pending Legal Agreement","D2Description_Gain","Other"),0)</f>
        <v>0</v>
      </c>
      <c r="G23" s="236">
        <f>IFERROR(GETPIVOTDATA("Count of D2 Gain",'3.9 Pivot'!$A$1,"Status 1 - Development","04 Pending","Status 2 - Permission Type","01 Pending Legal Agreement","D2Description_Gain","-"),0)+IFERROR(GETPIVOTDATA("Count of D2 Gain",'3.9 Pivot'!$A$1,"Status 1 - Development","04 Pending","Status 2 - Permission Type","01 Pending Legal Agreement","D2Description_Gain","Not Known"),0)</f>
        <v>2</v>
      </c>
      <c r="H23" s="237">
        <f>IFERROR(GETPIVOTDATA("Sum of D2 Gain2",'3.9 Pivot'!$A$1,"Status 1 - Development","04 Pending","Status 2 - Permission Type","01 Pending Legal Agreement","D2Description_Gain","-"),0)+IFERROR(GETPIVOTDATA("Sum of D2 Gain2",'3.9 Pivot'!$A$1,"Status 1 - Development","04 Pending","Status 2 - Permission Type","01 Pending Legal Agreement","D2Description_Gain","Not Known"),0)</f>
        <v>241</v>
      </c>
      <c r="I23" s="515">
        <f>IFERROR(GETPIVOTDATA("Count of D2 Gain",'3.9 Pivot'!$A$1,"Status 1 - Development","04 Pending","Status 2 - Permission Type","01 Pending Legal Agreement"),0)</f>
        <v>2</v>
      </c>
      <c r="J23" s="516">
        <f>IFERROR(GETPIVOTDATA("Sum of D2 Gain2",'3.9 Pivot'!$A$1,"Status 1 - Development","04 Pending","Status 2 - Permission Type","01 Pending Legal Agreement"),0)</f>
        <v>241</v>
      </c>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row>
    <row r="24" spans="1:142" x14ac:dyDescent="0.2">
      <c r="A24" s="808"/>
      <c r="B24" s="511" t="s">
        <v>2933</v>
      </c>
      <c r="C24" s="236">
        <f>IFERROR(GETPIVOTDATA("Count of D2 Gain",'3.9 Pivot'!$A$1,"Status 1 - Development","04 Pending","Status 2 - Permission Type","06 Appeal","D2Description_Gain","Vacant"),0)</f>
        <v>0</v>
      </c>
      <c r="D24" s="237">
        <f>IFERROR(GETPIVOTDATA("Sum of D2 Gain2",'3.9 Pivot'!$A$1,"Status 1 - Development","04 Pending","Status 2 - Permission Type","06 Appeal","D2Description_Gain","Vacant"),0)</f>
        <v>0</v>
      </c>
      <c r="E24" s="236">
        <f>IFERROR(GETPIVOTDATA("Count of D2 Gain",'3.9 Pivot'!$A$1,"Status 1 - Development","04 Pending","Status 2 - Permission Type","06 Appeal","D2Description_Gain","Other"),0)</f>
        <v>1</v>
      </c>
      <c r="F24" s="237">
        <f>IFERROR(GETPIVOTDATA("Sum of D2 Gain2",'3.9 Pivot'!$A$1,"Status 1 - Development","04 Pending","Status 2 - Permission Type","06 Appeal","D2Description_Gain","Other"),0)</f>
        <v>44</v>
      </c>
      <c r="G24" s="236">
        <f>IFERROR(GETPIVOTDATA("Count of D2 Gain",'3.9 Pivot'!$A$1,"Status 1 - Development","04 Pending","Status 2 - Permission Type","06 Appeal","D2Description_Gain","-"),0)+IFERROR(GETPIVOTDATA("Count of D2 Gain",'3.9 Pivot'!$A$1,"Status 1 - Development","04 Pending","Status 2 - Permission Type","06 Appeal","D2Description_Gain","Not Known"),0)</f>
        <v>0</v>
      </c>
      <c r="H24" s="237">
        <f>IFERROR(GETPIVOTDATA("Sum of D2 Gain2",'3.9 Pivot'!$A$1,"Status 1 - Development","04 Pending","Status 2 - Permission Type","06 Appeal","D2Description_Gain","-"),0)+IFERROR(GETPIVOTDATA("Sum of D2 Gain2",'3.9 Pivot'!$A$1,"Status 1 - Development","04 Pending","Status 2 - Permission Type","06 Appeal","D2Description_Gain","Not Known"),0)</f>
        <v>0</v>
      </c>
      <c r="I24" s="515">
        <f>IFERROR(GETPIVOTDATA("Count of D2 Gain",'3.9 Pivot'!$A$1,"Status 1 - Development","04 Pending","Status 2 - Permission Type","06 Appeal"),0)</f>
        <v>1</v>
      </c>
      <c r="J24" s="516">
        <f>IFERROR(GETPIVOTDATA("Sum of D2 Gain2",'3.9 Pivot'!$A$1,"Status 1 - Development","04 Pending","Status 2 - Permission Type","06 Appeal"),0)</f>
        <v>44</v>
      </c>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row>
    <row r="25" spans="1:142" x14ac:dyDescent="0.2">
      <c r="A25" s="808"/>
      <c r="B25" s="511" t="s">
        <v>3800</v>
      </c>
      <c r="C25" s="266">
        <f>IFERROR(GETPIVOTDATA("Count of D2 Gain",'3.9 Pivot'!$A$1,"Status 1 - Development","04 Pending","Status 2 - Permission Type","02 Full","D2Description_Gain","Vacant"),0)+IFERROR(GETPIVOTDATA("Count of D2 Gain",'3.9 Pivot'!$A$1,"Status 1 - Development","04 Pending","Status 2 - Permission Type","03 Outline","D2Description_Gain","Vacant"),0)+IFERROR(GETPIVOTDATA("Count of D2 Gain",'3.9 Pivot'!$A$1,"Status 1 - Development","04 Pending","Status 2 - Permission Type","04 Prior Approval","D2Description_Gain","Vacant"),0)+IFERROR(GETPIVOTDATA("Count of D2 Gain",'3.9 Pivot'!$A$1,"Status 1 - Development","04 Pending","Status 2 - Permission Type","05 Certificate of Lawful Development","D2Description_Gain","Vacant"),0)</f>
        <v>0</v>
      </c>
      <c r="D25" s="268">
        <f>IFERROR(GETPIVOTDATA("Sum of D2 Gain2",'3.9 Pivot'!$A$1,"Status 1 - Development","04 Pending","Status 2 - Permission Type","02 Full","D2Description_Gain","Vacant"),0)+IFERROR(GETPIVOTDATA("Sum of D2 Gain2",'3.9 Pivot'!$A$1,"Status 1 - Development","04 Pending","Status 2 - Permission Type","03 Outline","D2Description_Gain","Vacant"),0)+IFERROR(GETPIVOTDATA("Sum of D2 Gain2",'3.9 Pivot'!$A$1,"Status 1 - Development","04 Pending","Status 2 - Permission Type","04 Prior Approval","D2Description_Gain","Vacant"),0)+IFERROR(GETPIVOTDATA("Sum of D2 Gain2",'3.9 Pivot'!$A$1,"Status 1 - Development","04 Pending","Status 2 - Permission Type","05 Certificate of Lawful Development","D2Description_Gain","Vacant"),0)</f>
        <v>0</v>
      </c>
      <c r="E25" s="266">
        <f>IFERROR(GETPIVOTDATA("Count of D2 Gain",'3.9 Pivot'!$A$1,"Status 1 - Development","04 Pending","Status 2 - Permission Type","02 Full","D2Description_Gain","Other"),0)+IFERROR(GETPIVOTDATA("Count of D2 Gain",'3.9 Pivot'!$A$1,"Status 1 - Development","04 Pending","Status 2 - Permission Type","03 Outline","D2Description_Gain","Other"),0)+IFERROR(GETPIVOTDATA("Count of D2 Gain",'3.9 Pivot'!$A$1,"Status 1 - Development","04 Pending","Status 2 - Permission Type","04 Prior Approval","D2Description_Gain","Other"),0)+IFERROR(GETPIVOTDATA("Count of D2 Gain",'3.9 Pivot'!$A$1,"Status 1 - Development","04 Pending","Status 2 - Permission Type","05 Certificate of Lawful Development","D2Description_Gain","Other"),0)</f>
        <v>7</v>
      </c>
      <c r="F25" s="268">
        <f>IFERROR(GETPIVOTDATA("Sum of D2 Gain2",'3.9 Pivot'!$A$1,"Status 1 - Development","04 Pending","Status 2 - Permission Type","02 Full","D2Description_Gain","Other"),0)+IFERROR(GETPIVOTDATA("Sum of D2 Gain2",'3.9 Pivot'!$A$1,"Status 1 - Development","04 Pending","Status 2 - Permission Type","03 Outline","D2Description_Gain","Other"),0)+IFERROR(GETPIVOTDATA("Sum of D2 Gain2",'3.9 Pivot'!$A$1,"Status 1 - Development","04 Pending","Status 2 - Permission Type","04 Prior Approval","D2Description_Gain","Other"),0)+IFERROR(GETPIVOTDATA("Sum of D2 Gain2",'3.9 Pivot'!$A$1,"Status 1 - Development","04 Pending","Status 2 - Permission Type","05 Certificate of Lawful Development","D2Description_Gain","Other"),0)</f>
        <v>1427</v>
      </c>
      <c r="G25" s="267">
        <f>IFERROR(GETPIVOTDATA("Count of D2 Gain",'3.9 Pivot'!$A$1,"Status 1 - Development","04 Pending","D2Description_Gain","-"),0)+IFERROR(GETPIVOTDATA("Count of D2 Gain",'3.9 Pivot'!$A$1,"Status 1 - Development","04 Pending","D2Description_Gain","Not Known"),0)-IFERROR(GETPIVOTDATA("Count of D2 Gain",'3.9 Pivot'!$A$1,"Status 1 - Development","04 Pending","Status 2 - Permission Type","01 Pending Legal Agreement","D2Description_Gain","-"),0)-IFERROR(GETPIVOTDATA("Count of D2 Gain",'3.9 Pivot'!$A$1,"Status 1 - Development","04 Pending","Status 2 - Permission Type","06 Appeal","D2Description_Gain","-"),0)-IFERROR(GETPIVOTDATA("Count of D2 Gain",'3.9 Pivot'!$A$1,"Status 1 - Development","04 Pending","Status 2 - Permission Type","01 Pending Legal Agreement","D2Description_Gain","Not Known"),0)-IFERROR(GETPIVOTDATA("Count of D2 Gain",'3.9 Pivot'!$A$1,"Status 1 - Development","04 Pending","Status 2 - Permission Type","06 Appeal","D2Description_Gain","Not Known"),0)</f>
        <v>1</v>
      </c>
      <c r="H25" s="237">
        <f>IFERROR(GETPIVOTDATA("Sum of D2 Gain2",'3.9 Pivot'!$A$1,"Status 1 - Development","04 Pending","D2Description_Gain","-"),0)+IFERROR(GETPIVOTDATA("Sum of D2 Gain2",'3.9 Pivot'!$A$1,"Status 1 - Development","04 Pending","D2Description_Gain","Not Known"),0)-IFERROR(GETPIVOTDATA("Sum of D2 Gain2",'3.9 Pivot'!$A$1,"Status 1 - Development","04 Pending","Status 2 - Permission Type","06 Appeal","D2Description_Gain","-"),0)-IFERROR(GETPIVOTDATA("Sum of D2 Gain2",'3.9 Pivot'!$A$1,"Status 1 - Development","04 Pending","Status 2 - Permission Type","01 Pending Legal Agreement","D2Description_Gain","-"),0)-IFERROR(GETPIVOTDATA("Sum of D2 Gain2",'3.9 Pivot'!$A$1,"Status 1 - Development","04 Pending","Status 2 - Permission Type","06 Appeal","D2Description_Gain","Not Known"),0)-IFERROR(GETPIVOTDATA("Sum of D2 Gain2",'3.9 Pivot'!$A$1,"Status 1 - Development","04 Pending","Status 2 - Permission Type","01 Pending Legal Agreement","D2Description_Gain","Not Known"),0)</f>
        <v>86</v>
      </c>
      <c r="I25" s="396">
        <f>IFERROR(GETPIVOTDATA("Count of D2 Gain",'3.9 Pivot'!$A$1,"Status 1 - Development","04 Pending"),0)-IFERROR(GETPIVOTDATA("Count of D2 Gain",'3.9 Pivot'!$A$1,"Status 1 - Development","04 Pending","Status 2 - Permission Type","06 Appeal"),0)-IFERROR(GETPIVOTDATA("Count of D2 Gain",'3.9 Pivot'!$A$1,"Status 1 - Development","04 Pending","Status 2 - Permission Type","01 Pending Legal Agreement"),0)</f>
        <v>9</v>
      </c>
      <c r="J25" s="516">
        <f>IFERROR(GETPIVOTDATA("Sum of D2 Gain2",'3.9 Pivot'!$A$1,"Status 1 - Development","04 Pending"),0)-IFERROR(GETPIVOTDATA("Sum of D2 Gain2",'3.9 Pivot'!$A$1,"Status 1 - Development","04 Pending","Status 2 - Permission Type","06 Appeal"),0)-IFERROR(GETPIVOTDATA("Sum of D2 Gain2",'3.9 Pivot'!$A$1,"Status 1 - Development","04 Pending","Status 2 - Permission Type","01 Pending Legal Agreement"),0)</f>
        <v>1814</v>
      </c>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row>
    <row r="26" spans="1:142" x14ac:dyDescent="0.2">
      <c r="A26" s="809"/>
      <c r="B26" s="512" t="s">
        <v>95</v>
      </c>
      <c r="C26" s="102">
        <f t="shared" ref="C26:J26" si="1">SUM(C19:C25)</f>
        <v>0</v>
      </c>
      <c r="D26" s="103">
        <f t="shared" si="1"/>
        <v>0</v>
      </c>
      <c r="E26" s="102">
        <f t="shared" si="1"/>
        <v>24</v>
      </c>
      <c r="F26" s="103">
        <f t="shared" si="1"/>
        <v>7636</v>
      </c>
      <c r="G26" s="102">
        <f t="shared" si="1"/>
        <v>27</v>
      </c>
      <c r="H26" s="103">
        <f t="shared" si="1"/>
        <v>19585</v>
      </c>
      <c r="I26" s="518">
        <f t="shared" si="1"/>
        <v>63</v>
      </c>
      <c r="J26" s="516">
        <f t="shared" si="1"/>
        <v>33904</v>
      </c>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row>
    <row r="27" spans="1:142" x14ac:dyDescent="0.2">
      <c r="A27" s="12"/>
      <c r="B27" s="4"/>
      <c r="C27" s="4"/>
      <c r="D27" s="4"/>
      <c r="E27" s="4"/>
      <c r="F27" s="4"/>
      <c r="G27" s="4"/>
      <c r="H27" s="4"/>
      <c r="I27" s="4"/>
      <c r="J27" s="1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row>
    <row r="28" spans="1:142" x14ac:dyDescent="0.2">
      <c r="A28" s="12"/>
      <c r="B28" s="4"/>
      <c r="C28" s="4"/>
      <c r="D28" s="4"/>
      <c r="E28" s="4"/>
      <c r="F28" s="4"/>
      <c r="G28" s="4"/>
      <c r="H28" s="4"/>
      <c r="I28" s="4"/>
      <c r="J28" s="1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row>
    <row r="29" spans="1:142" x14ac:dyDescent="0.2">
      <c r="A29" s="12"/>
      <c r="B29" s="4"/>
      <c r="C29" s="4"/>
      <c r="D29" s="4"/>
      <c r="E29" s="4"/>
      <c r="F29" s="4"/>
      <c r="G29" s="4"/>
      <c r="H29" s="4"/>
      <c r="I29" s="4"/>
      <c r="J29" s="12"/>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row>
    <row r="30" spans="1:142" x14ac:dyDescent="0.2">
      <c r="A30" s="12"/>
      <c r="B30" s="4"/>
      <c r="C30" s="4"/>
      <c r="D30" s="4"/>
      <c r="E30" s="4"/>
      <c r="F30" s="4"/>
      <c r="G30" s="4"/>
      <c r="H30" s="4"/>
      <c r="I30" s="4"/>
      <c r="J30" s="12"/>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row>
    <row r="31" spans="1:142" x14ac:dyDescent="0.2">
      <c r="A31" s="12"/>
      <c r="B31" s="4"/>
      <c r="C31" s="4"/>
      <c r="D31" s="4"/>
      <c r="E31" s="4"/>
      <c r="F31" s="4"/>
      <c r="G31" s="4"/>
      <c r="H31" s="4"/>
      <c r="I31" s="4"/>
      <c r="J31" s="12"/>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row>
    <row r="32" spans="1:142" x14ac:dyDescent="0.2">
      <c r="A32" s="12"/>
      <c r="B32" s="4"/>
      <c r="C32" s="4"/>
      <c r="D32" s="4"/>
      <c r="E32" s="4"/>
      <c r="F32" s="4"/>
      <c r="G32" s="4"/>
      <c r="H32" s="4"/>
      <c r="I32" s="4"/>
      <c r="J32" s="12"/>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row>
    <row r="33" spans="1:142" x14ac:dyDescent="0.2">
      <c r="A33" s="12"/>
      <c r="B33" s="4"/>
      <c r="C33" s="4"/>
      <c r="D33" s="4"/>
      <c r="E33" s="4"/>
      <c r="F33" s="4"/>
      <c r="G33" s="4"/>
      <c r="H33" s="4"/>
      <c r="I33" s="4"/>
      <c r="J33" s="12"/>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row>
    <row r="34" spans="1:142" x14ac:dyDescent="0.2">
      <c r="A34" s="12"/>
      <c r="B34" s="4"/>
      <c r="C34" s="4"/>
      <c r="D34" s="4"/>
      <c r="E34" s="4"/>
      <c r="F34" s="4"/>
      <c r="G34" s="4"/>
      <c r="H34" s="4"/>
      <c r="I34" s="4"/>
      <c r="J34" s="12"/>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row>
    <row r="35" spans="1:142" x14ac:dyDescent="0.2">
      <c r="A35" s="12"/>
      <c r="B35" s="4"/>
      <c r="C35" s="4"/>
      <c r="D35" s="4"/>
      <c r="E35" s="4"/>
      <c r="F35" s="4"/>
      <c r="G35" s="4"/>
      <c r="H35" s="4"/>
      <c r="I35" s="4"/>
      <c r="J35" s="12"/>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row>
    <row r="36" spans="1:142" x14ac:dyDescent="0.2">
      <c r="A36" s="12"/>
      <c r="B36" s="4"/>
      <c r="C36" s="4"/>
      <c r="D36" s="4"/>
      <c r="E36" s="4"/>
      <c r="F36" s="4"/>
      <c r="G36" s="4"/>
      <c r="H36" s="4"/>
      <c r="I36" s="4"/>
      <c r="J36" s="12"/>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row>
    <row r="37" spans="1:142" x14ac:dyDescent="0.2">
      <c r="A37" s="12"/>
      <c r="B37" s="4"/>
      <c r="C37" s="4"/>
      <c r="D37" s="4"/>
      <c r="E37" s="4"/>
      <c r="F37" s="4"/>
      <c r="G37" s="4"/>
      <c r="H37" s="4"/>
      <c r="I37" s="4"/>
      <c r="J37" s="12"/>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row>
    <row r="38" spans="1:142" x14ac:dyDescent="0.2">
      <c r="A38" s="12"/>
      <c r="B38" s="4"/>
      <c r="C38" s="4"/>
      <c r="D38" s="4"/>
      <c r="E38" s="4"/>
      <c r="F38" s="4"/>
      <c r="G38" s="4"/>
      <c r="H38" s="4"/>
      <c r="I38" s="4"/>
      <c r="J38" s="12"/>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row>
    <row r="39" spans="1:142" x14ac:dyDescent="0.2">
      <c r="A39" s="12"/>
      <c r="B39" s="4"/>
      <c r="C39" s="4"/>
      <c r="D39" s="4"/>
      <c r="E39" s="4"/>
      <c r="F39" s="4"/>
      <c r="G39" s="4"/>
      <c r="H39" s="4"/>
      <c r="I39" s="4"/>
      <c r="J39" s="12"/>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row>
    <row r="40" spans="1:142" x14ac:dyDescent="0.2">
      <c r="A40" s="12"/>
      <c r="B40" s="4"/>
      <c r="C40" s="4"/>
      <c r="D40" s="4"/>
      <c r="E40" s="4"/>
      <c r="F40" s="4"/>
      <c r="G40" s="4"/>
      <c r="H40" s="4"/>
      <c r="I40" s="4"/>
      <c r="J40" s="12"/>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row>
    <row r="41" spans="1:142" x14ac:dyDescent="0.2">
      <c r="A41" s="12"/>
      <c r="B41" s="4"/>
      <c r="C41" s="4"/>
      <c r="D41" s="4"/>
      <c r="E41" s="4"/>
      <c r="F41" s="4"/>
      <c r="G41" s="4"/>
      <c r="H41" s="4"/>
      <c r="I41" s="4"/>
      <c r="J41" s="12"/>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row>
    <row r="42" spans="1:142" x14ac:dyDescent="0.2">
      <c r="A42" s="12"/>
      <c r="B42" s="4"/>
      <c r="C42" s="4"/>
      <c r="D42" s="4"/>
      <c r="E42" s="4"/>
      <c r="F42" s="4"/>
      <c r="G42" s="4"/>
      <c r="H42" s="4"/>
      <c r="I42" s="4"/>
      <c r="J42" s="12"/>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row>
    <row r="43" spans="1:142" x14ac:dyDescent="0.2">
      <c r="A43" s="12"/>
      <c r="B43" s="4"/>
      <c r="C43" s="4"/>
      <c r="D43" s="4"/>
      <c r="E43" s="4"/>
      <c r="F43" s="4"/>
      <c r="G43" s="4"/>
      <c r="H43" s="4"/>
      <c r="I43" s="4"/>
      <c r="J43" s="12"/>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row>
    <row r="44" spans="1:142" x14ac:dyDescent="0.2">
      <c r="A44" s="12"/>
      <c r="B44" s="4"/>
      <c r="C44" s="4"/>
      <c r="D44" s="4"/>
      <c r="E44" s="4"/>
      <c r="F44" s="4"/>
      <c r="G44" s="4"/>
      <c r="H44" s="4"/>
      <c r="I44" s="4"/>
      <c r="J44" s="12"/>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row>
    <row r="45" spans="1:142" x14ac:dyDescent="0.2">
      <c r="A45" s="12"/>
      <c r="B45" s="4"/>
      <c r="C45" s="4"/>
      <c r="D45" s="4"/>
      <c r="E45" s="4"/>
      <c r="F45" s="4"/>
      <c r="G45" s="4"/>
      <c r="H45" s="4"/>
      <c r="I45" s="4"/>
      <c r="J45" s="12"/>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row>
    <row r="46" spans="1:142" x14ac:dyDescent="0.2">
      <c r="A46" s="12"/>
      <c r="B46" s="4"/>
      <c r="C46" s="4"/>
      <c r="D46" s="4"/>
      <c r="E46" s="4"/>
      <c r="F46" s="4"/>
      <c r="G46" s="4"/>
      <c r="H46" s="4"/>
      <c r="I46" s="4"/>
      <c r="J46" s="12"/>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row>
    <row r="47" spans="1:142" x14ac:dyDescent="0.2">
      <c r="A47" s="12"/>
      <c r="B47" s="4"/>
      <c r="C47" s="4"/>
      <c r="D47" s="4"/>
      <c r="E47" s="4"/>
      <c r="F47" s="4"/>
      <c r="G47" s="4"/>
      <c r="H47" s="4"/>
      <c r="I47" s="4"/>
      <c r="J47" s="12"/>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row>
    <row r="48" spans="1:142" x14ac:dyDescent="0.2">
      <c r="A48" s="12"/>
      <c r="B48" s="4"/>
      <c r="C48" s="4"/>
      <c r="D48" s="4"/>
      <c r="E48" s="4"/>
      <c r="F48" s="4"/>
      <c r="G48" s="4"/>
      <c r="H48" s="4"/>
      <c r="I48" s="4"/>
      <c r="J48" s="12"/>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row>
    <row r="49" spans="1:142" x14ac:dyDescent="0.2">
      <c r="A49" s="12"/>
      <c r="B49" s="4"/>
      <c r="C49" s="4"/>
      <c r="D49" s="4"/>
      <c r="E49" s="4"/>
      <c r="F49" s="4"/>
      <c r="G49" s="4"/>
      <c r="H49" s="4"/>
      <c r="I49" s="4"/>
      <c r="J49" s="12"/>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row>
    <row r="50" spans="1:142" x14ac:dyDescent="0.2">
      <c r="A50" s="12"/>
      <c r="B50" s="4"/>
      <c r="C50" s="4"/>
      <c r="D50" s="4"/>
      <c r="E50" s="4"/>
      <c r="F50" s="4"/>
      <c r="G50" s="4"/>
      <c r="H50" s="4"/>
      <c r="I50" s="4"/>
      <c r="J50" s="12"/>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row>
    <row r="51" spans="1:142" x14ac:dyDescent="0.2">
      <c r="A51" s="12"/>
      <c r="B51" s="4"/>
      <c r="C51" s="4"/>
      <c r="D51" s="4"/>
      <c r="E51" s="4"/>
      <c r="F51" s="4"/>
      <c r="G51" s="4"/>
      <c r="H51" s="4"/>
      <c r="I51" s="4"/>
      <c r="J51" s="12"/>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row>
    <row r="52" spans="1:142" x14ac:dyDescent="0.2">
      <c r="A52" s="12"/>
      <c r="B52" s="4"/>
      <c r="C52" s="4"/>
      <c r="D52" s="4"/>
      <c r="E52" s="4"/>
      <c r="F52" s="4"/>
      <c r="G52" s="4"/>
      <c r="H52" s="4"/>
      <c r="I52" s="4"/>
      <c r="J52" s="12"/>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row>
    <row r="53" spans="1:142" x14ac:dyDescent="0.2">
      <c r="A53" s="12"/>
      <c r="B53" s="4"/>
      <c r="C53" s="4"/>
      <c r="D53" s="4"/>
      <c r="E53" s="4"/>
      <c r="F53" s="4"/>
      <c r="G53" s="4"/>
      <c r="H53" s="4"/>
      <c r="I53" s="4"/>
      <c r="J53" s="12"/>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row>
    <row r="54" spans="1:142" x14ac:dyDescent="0.2">
      <c r="A54" s="12"/>
      <c r="B54" s="4"/>
      <c r="C54" s="4"/>
      <c r="D54" s="4"/>
      <c r="E54" s="4"/>
      <c r="F54" s="4"/>
      <c r="G54" s="4"/>
      <c r="H54" s="4"/>
      <c r="I54" s="4"/>
      <c r="J54" s="12"/>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row>
    <row r="55" spans="1:142" x14ac:dyDescent="0.2">
      <c r="A55" s="403"/>
      <c r="B55" s="15"/>
      <c r="C55" s="15"/>
      <c r="D55" s="15"/>
      <c r="E55" s="15"/>
      <c r="F55" s="15"/>
      <c r="G55" s="15"/>
      <c r="H55" s="15"/>
      <c r="I55" s="15"/>
      <c r="J55" s="12"/>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row>
    <row r="56" spans="1:142" x14ac:dyDescent="0.2">
      <c r="A56" s="12"/>
      <c r="B56" s="4"/>
      <c r="C56" s="4"/>
      <c r="D56" s="4"/>
      <c r="E56" s="4"/>
      <c r="F56" s="4"/>
      <c r="G56" s="4"/>
      <c r="H56" s="4"/>
      <c r="I56" s="4"/>
      <c r="J56" s="12"/>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row>
    <row r="57" spans="1:142" x14ac:dyDescent="0.2">
      <c r="A57" s="12"/>
      <c r="B57" s="4"/>
      <c r="C57" s="4"/>
      <c r="D57" s="4"/>
      <c r="E57" s="4"/>
      <c r="F57" s="4"/>
      <c r="G57" s="4"/>
      <c r="H57" s="4"/>
      <c r="I57" s="4"/>
      <c r="J57" s="12"/>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row>
    <row r="58" spans="1:142" x14ac:dyDescent="0.2">
      <c r="A58" s="12"/>
      <c r="B58" s="4"/>
      <c r="C58" s="4"/>
      <c r="D58" s="4"/>
      <c r="E58" s="4"/>
      <c r="F58" s="4"/>
      <c r="G58" s="4"/>
      <c r="H58" s="4"/>
      <c r="I58" s="4"/>
      <c r="J58" s="12"/>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row>
    <row r="59" spans="1:142" x14ac:dyDescent="0.2">
      <c r="A59" s="12"/>
      <c r="B59" s="4"/>
      <c r="C59" s="4"/>
      <c r="D59" s="4"/>
      <c r="E59" s="4"/>
      <c r="F59" s="4"/>
      <c r="G59" s="4"/>
      <c r="H59" s="4"/>
      <c r="I59" s="4"/>
      <c r="J59" s="12"/>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row>
    <row r="60" spans="1:142" x14ac:dyDescent="0.2">
      <c r="A60" s="12"/>
      <c r="B60" s="4"/>
      <c r="C60" s="4"/>
      <c r="D60" s="4"/>
      <c r="E60" s="4"/>
      <c r="F60" s="4"/>
      <c r="G60" s="4"/>
      <c r="H60" s="4"/>
      <c r="I60" s="4"/>
      <c r="J60" s="12"/>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row>
    <row r="61" spans="1:142" x14ac:dyDescent="0.2">
      <c r="A61" s="12"/>
      <c r="B61" s="4"/>
      <c r="C61" s="4"/>
      <c r="D61" s="4"/>
      <c r="E61" s="4"/>
      <c r="F61" s="4"/>
      <c r="G61" s="4"/>
      <c r="H61" s="4"/>
      <c r="I61" s="4"/>
      <c r="J61" s="12"/>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row>
    <row r="62" spans="1:142" x14ac:dyDescent="0.2">
      <c r="A62" s="12"/>
      <c r="B62" s="4"/>
      <c r="C62" s="4"/>
      <c r="D62" s="4"/>
      <c r="E62" s="4"/>
      <c r="F62" s="4"/>
      <c r="G62" s="4"/>
      <c r="H62" s="4"/>
      <c r="I62" s="4"/>
      <c r="J62" s="12"/>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row>
    <row r="63" spans="1:142" x14ac:dyDescent="0.2">
      <c r="A63" s="12"/>
      <c r="B63" s="4"/>
      <c r="C63" s="4"/>
      <c r="D63" s="4"/>
      <c r="E63" s="4"/>
      <c r="F63" s="4"/>
      <c r="G63" s="4"/>
      <c r="H63" s="4"/>
      <c r="I63" s="4"/>
      <c r="J63" s="12"/>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row>
    <row r="64" spans="1:142" x14ac:dyDescent="0.2">
      <c r="A64" s="12"/>
      <c r="B64" s="4"/>
      <c r="C64" s="4"/>
      <c r="D64" s="4"/>
      <c r="E64" s="4"/>
      <c r="F64" s="4"/>
      <c r="G64" s="4"/>
      <c r="H64" s="4"/>
      <c r="I64" s="4"/>
      <c r="J64" s="12"/>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row>
    <row r="65" spans="1:142" x14ac:dyDescent="0.2">
      <c r="A65" s="12"/>
      <c r="B65" s="4"/>
      <c r="C65" s="4"/>
      <c r="D65" s="4"/>
      <c r="E65" s="4"/>
      <c r="F65" s="4"/>
      <c r="G65" s="4"/>
      <c r="H65" s="4"/>
      <c r="I65" s="4"/>
      <c r="J65" s="12"/>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row>
    <row r="66" spans="1:142" x14ac:dyDescent="0.2">
      <c r="A66" s="12"/>
      <c r="B66" s="4"/>
      <c r="C66" s="4"/>
      <c r="D66" s="4"/>
      <c r="E66" s="4"/>
      <c r="F66" s="4"/>
      <c r="G66" s="4"/>
      <c r="H66" s="4"/>
      <c r="I66" s="4"/>
      <c r="J66" s="12"/>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row>
    <row r="67" spans="1:142" x14ac:dyDescent="0.2">
      <c r="A67" s="12"/>
      <c r="B67" s="4"/>
      <c r="C67" s="4"/>
      <c r="D67" s="4"/>
      <c r="E67" s="4"/>
      <c r="F67" s="4"/>
      <c r="G67" s="4"/>
      <c r="H67" s="4"/>
      <c r="I67" s="4"/>
      <c r="J67" s="12"/>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row>
    <row r="68" spans="1:142" x14ac:dyDescent="0.2">
      <c r="A68" s="12"/>
      <c r="B68" s="4"/>
      <c r="C68" s="4"/>
      <c r="D68" s="4"/>
      <c r="E68" s="4"/>
      <c r="F68" s="4"/>
      <c r="G68" s="4"/>
      <c r="H68" s="4"/>
      <c r="I68" s="4"/>
      <c r="J68" s="12"/>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row>
    <row r="69" spans="1:142" x14ac:dyDescent="0.2">
      <c r="A69" s="12"/>
      <c r="B69" s="4"/>
      <c r="C69" s="4"/>
      <c r="D69" s="4"/>
      <c r="E69" s="4"/>
      <c r="F69" s="4"/>
      <c r="G69" s="4"/>
      <c r="H69" s="4"/>
      <c r="I69" s="4"/>
      <c r="J69" s="12"/>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row>
    <row r="70" spans="1:142" x14ac:dyDescent="0.2">
      <c r="A70" s="12"/>
      <c r="B70" s="4"/>
      <c r="C70" s="4"/>
      <c r="D70" s="4"/>
      <c r="E70" s="4"/>
      <c r="F70" s="4"/>
      <c r="G70" s="4"/>
      <c r="H70" s="4"/>
      <c r="I70" s="4"/>
      <c r="J70" s="12"/>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row>
    <row r="71" spans="1:142" x14ac:dyDescent="0.2">
      <c r="A71" s="12"/>
      <c r="B71" s="4"/>
      <c r="C71" s="4"/>
      <c r="D71" s="4"/>
      <c r="E71" s="4"/>
      <c r="F71" s="4"/>
      <c r="G71" s="4"/>
      <c r="H71" s="4"/>
      <c r="I71" s="4"/>
      <c r="J71" s="12"/>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row>
    <row r="72" spans="1:142" x14ac:dyDescent="0.2">
      <c r="A72" s="12"/>
      <c r="B72" s="4"/>
      <c r="C72" s="4"/>
      <c r="D72" s="4"/>
      <c r="E72" s="4"/>
      <c r="F72" s="4"/>
      <c r="G72" s="4"/>
      <c r="H72" s="4"/>
      <c r="I72" s="4"/>
      <c r="J72" s="12"/>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row>
    <row r="73" spans="1:142" x14ac:dyDescent="0.2">
      <c r="A73" s="12"/>
      <c r="B73" s="4"/>
      <c r="C73" s="4"/>
      <c r="D73" s="4"/>
      <c r="E73" s="4"/>
      <c r="F73" s="4"/>
      <c r="G73" s="4"/>
      <c r="H73" s="4"/>
      <c r="I73" s="4"/>
      <c r="J73" s="12"/>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row>
    <row r="74" spans="1:142" x14ac:dyDescent="0.2">
      <c r="A74" s="12"/>
      <c r="B74" s="4"/>
      <c r="C74" s="4"/>
      <c r="D74" s="4"/>
      <c r="E74" s="4"/>
      <c r="F74" s="4"/>
      <c r="G74" s="4"/>
      <c r="H74" s="4"/>
      <c r="I74" s="4"/>
      <c r="J74" s="12"/>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row>
    <row r="75" spans="1:142" x14ac:dyDescent="0.2">
      <c r="A75" s="12"/>
      <c r="B75" s="4"/>
      <c r="C75" s="4"/>
      <c r="D75" s="4"/>
      <c r="E75" s="4"/>
      <c r="F75" s="4"/>
      <c r="G75" s="4"/>
      <c r="H75" s="4"/>
      <c r="I75" s="4"/>
      <c r="J75" s="12"/>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row>
    <row r="76" spans="1:142" x14ac:dyDescent="0.2">
      <c r="A76" s="12"/>
      <c r="B76" s="4"/>
      <c r="C76" s="4"/>
      <c r="D76" s="4"/>
      <c r="E76" s="4"/>
      <c r="F76" s="4"/>
      <c r="G76" s="4"/>
      <c r="H76" s="4"/>
      <c r="I76" s="4"/>
      <c r="J76" s="12"/>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row>
    <row r="77" spans="1:142" x14ac:dyDescent="0.2">
      <c r="A77" s="12"/>
      <c r="B77" s="4"/>
      <c r="C77" s="4"/>
      <c r="D77" s="4"/>
      <c r="E77" s="4"/>
      <c r="F77" s="4"/>
      <c r="G77" s="4"/>
      <c r="H77" s="4"/>
      <c r="I77" s="4"/>
      <c r="J77" s="12"/>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row>
    <row r="78" spans="1:142" x14ac:dyDescent="0.2">
      <c r="A78" s="12"/>
      <c r="B78" s="4"/>
      <c r="C78" s="4"/>
      <c r="D78" s="4"/>
      <c r="E78" s="4"/>
      <c r="F78" s="4"/>
      <c r="G78" s="4"/>
      <c r="H78" s="4"/>
      <c r="I78" s="4"/>
      <c r="J78" s="12"/>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row>
    <row r="79" spans="1:142" x14ac:dyDescent="0.2">
      <c r="A79" s="12"/>
      <c r="B79" s="4"/>
      <c r="C79" s="4"/>
      <c r="D79" s="4"/>
      <c r="E79" s="4"/>
      <c r="F79" s="4"/>
      <c r="G79" s="4"/>
      <c r="H79" s="4"/>
      <c r="I79" s="4"/>
      <c r="J79" s="12"/>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row>
    <row r="80" spans="1:142" x14ac:dyDescent="0.2">
      <c r="A80" s="12"/>
      <c r="B80" s="4"/>
      <c r="C80" s="4"/>
      <c r="D80" s="4"/>
      <c r="E80" s="4"/>
      <c r="F80" s="4"/>
      <c r="G80" s="4"/>
      <c r="H80" s="4"/>
      <c r="I80" s="4"/>
      <c r="J80" s="12"/>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row>
    <row r="81" spans="1:142" x14ac:dyDescent="0.2">
      <c r="A81" s="12"/>
      <c r="B81" s="4"/>
      <c r="C81" s="4"/>
      <c r="D81" s="4"/>
      <c r="E81" s="4"/>
      <c r="F81" s="4"/>
      <c r="G81" s="4"/>
      <c r="H81" s="4"/>
      <c r="I81" s="4"/>
      <c r="J81" s="12"/>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row>
    <row r="82" spans="1:142" x14ac:dyDescent="0.2">
      <c r="A82" s="12"/>
      <c r="B82" s="4"/>
      <c r="C82" s="4"/>
      <c r="D82" s="4"/>
      <c r="E82" s="4"/>
      <c r="F82" s="4"/>
      <c r="G82" s="4"/>
      <c r="H82" s="4"/>
      <c r="I82" s="4"/>
      <c r="J82" s="12"/>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row>
    <row r="83" spans="1:142" x14ac:dyDescent="0.2">
      <c r="A83" s="12"/>
      <c r="B83" s="4"/>
      <c r="C83" s="4"/>
      <c r="D83" s="4"/>
      <c r="E83" s="4"/>
      <c r="F83" s="4"/>
      <c r="G83" s="4"/>
      <c r="H83" s="4"/>
      <c r="I83" s="4"/>
      <c r="J83" s="12"/>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row>
    <row r="84" spans="1:142" x14ac:dyDescent="0.2">
      <c r="A84" s="12"/>
      <c r="B84" s="4"/>
      <c r="C84" s="4"/>
      <c r="D84" s="4"/>
      <c r="E84" s="4"/>
      <c r="F84" s="4"/>
      <c r="G84" s="4"/>
      <c r="H84" s="4"/>
      <c r="I84" s="4"/>
      <c r="J84" s="12"/>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row>
    <row r="85" spans="1:142" x14ac:dyDescent="0.2">
      <c r="A85" s="12"/>
      <c r="B85" s="4"/>
      <c r="C85" s="4"/>
      <c r="D85" s="4"/>
      <c r="E85" s="4"/>
      <c r="F85" s="4"/>
      <c r="G85" s="4"/>
      <c r="H85" s="4"/>
      <c r="I85" s="4"/>
      <c r="J85" s="12"/>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row>
    <row r="86" spans="1:142" x14ac:dyDescent="0.2">
      <c r="A86" s="12"/>
      <c r="B86" s="4"/>
      <c r="C86" s="4"/>
      <c r="D86" s="4"/>
      <c r="E86" s="4"/>
      <c r="F86" s="4"/>
      <c r="G86" s="4"/>
      <c r="H86" s="4"/>
      <c r="I86" s="4"/>
      <c r="J86" s="12"/>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row>
    <row r="87" spans="1:142" x14ac:dyDescent="0.2">
      <c r="A87" s="12"/>
      <c r="B87" s="4"/>
      <c r="C87" s="4"/>
      <c r="D87" s="4"/>
      <c r="E87" s="4"/>
      <c r="F87" s="4"/>
      <c r="G87" s="4"/>
      <c r="H87" s="4"/>
      <c r="I87" s="4"/>
      <c r="J87" s="12"/>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row>
    <row r="88" spans="1:142" x14ac:dyDescent="0.2">
      <c r="A88" s="12"/>
      <c r="B88" s="4"/>
      <c r="C88" s="4"/>
      <c r="D88" s="4"/>
      <c r="E88" s="4"/>
      <c r="F88" s="4"/>
      <c r="G88" s="4"/>
      <c r="H88" s="4"/>
      <c r="I88" s="4"/>
      <c r="J88" s="12"/>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row>
    <row r="89" spans="1:142" x14ac:dyDescent="0.2">
      <c r="A89" s="12"/>
      <c r="B89" s="4"/>
      <c r="C89" s="4"/>
      <c r="D89" s="4"/>
      <c r="E89" s="4"/>
      <c r="F89" s="4"/>
      <c r="G89" s="4"/>
      <c r="H89" s="4"/>
      <c r="I89" s="4"/>
      <c r="J89" s="12"/>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row>
    <row r="90" spans="1:142" x14ac:dyDescent="0.2">
      <c r="A90" s="12"/>
      <c r="B90" s="4"/>
      <c r="C90" s="4"/>
      <c r="D90" s="4"/>
      <c r="E90" s="4"/>
      <c r="F90" s="4"/>
      <c r="G90" s="4"/>
      <c r="H90" s="4"/>
      <c r="I90" s="4"/>
      <c r="J90" s="12"/>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row>
    <row r="91" spans="1:142" x14ac:dyDescent="0.2">
      <c r="A91" s="12"/>
      <c r="B91" s="4"/>
      <c r="C91" s="4"/>
      <c r="D91" s="4"/>
      <c r="E91" s="4"/>
      <c r="F91" s="4"/>
      <c r="G91" s="4"/>
      <c r="H91" s="4"/>
      <c r="I91" s="4"/>
      <c r="J91" s="12"/>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row>
    <row r="92" spans="1:142" x14ac:dyDescent="0.2">
      <c r="A92" s="12"/>
      <c r="B92" s="4"/>
      <c r="C92" s="4"/>
      <c r="D92" s="4"/>
      <c r="E92" s="4"/>
      <c r="F92" s="4"/>
      <c r="G92" s="4"/>
      <c r="H92" s="4"/>
      <c r="I92" s="4"/>
      <c r="J92" s="12"/>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row>
    <row r="93" spans="1:142" x14ac:dyDescent="0.2">
      <c r="A93" s="12"/>
      <c r="B93" s="4"/>
      <c r="C93" s="4"/>
      <c r="D93" s="4"/>
      <c r="E93" s="4"/>
      <c r="F93" s="4"/>
      <c r="G93" s="4"/>
      <c r="H93" s="4"/>
      <c r="I93" s="4"/>
      <c r="J93" s="12"/>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row>
    <row r="94" spans="1:142" x14ac:dyDescent="0.2">
      <c r="A94" s="12"/>
      <c r="B94" s="4"/>
      <c r="C94" s="4"/>
      <c r="D94" s="4"/>
      <c r="E94" s="4"/>
      <c r="F94" s="4"/>
      <c r="G94" s="4"/>
      <c r="H94" s="4"/>
      <c r="I94" s="4"/>
      <c r="J94" s="12"/>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row>
    <row r="95" spans="1:142" x14ac:dyDescent="0.2">
      <c r="A95" s="12"/>
      <c r="B95" s="4"/>
      <c r="C95" s="4"/>
      <c r="D95" s="4"/>
      <c r="E95" s="4"/>
      <c r="F95" s="4"/>
      <c r="G95" s="4"/>
      <c r="H95" s="4"/>
      <c r="I95" s="4"/>
      <c r="J95" s="12"/>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row>
    <row r="96" spans="1:142" x14ac:dyDescent="0.2">
      <c r="A96" s="12"/>
      <c r="B96" s="4"/>
      <c r="C96" s="4"/>
      <c r="D96" s="4"/>
      <c r="E96" s="4"/>
      <c r="F96" s="4"/>
      <c r="G96" s="4"/>
      <c r="H96" s="4"/>
      <c r="I96" s="4"/>
      <c r="J96" s="12"/>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row>
    <row r="97" spans="1:142" x14ac:dyDescent="0.2">
      <c r="A97" s="12"/>
      <c r="B97" s="4"/>
      <c r="C97" s="4"/>
      <c r="D97" s="4"/>
      <c r="E97" s="4"/>
      <c r="F97" s="4"/>
      <c r="G97" s="4"/>
      <c r="H97" s="4"/>
      <c r="I97" s="4"/>
      <c r="J97" s="12"/>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row>
    <row r="98" spans="1:142" x14ac:dyDescent="0.2">
      <c r="A98" s="12"/>
      <c r="B98" s="4"/>
      <c r="C98" s="4"/>
      <c r="D98" s="4"/>
      <c r="E98" s="4"/>
      <c r="F98" s="4"/>
      <c r="G98" s="4"/>
      <c r="H98" s="4"/>
      <c r="I98" s="4"/>
      <c r="J98" s="12"/>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row>
    <row r="99" spans="1:142" x14ac:dyDescent="0.2">
      <c r="A99" s="12"/>
      <c r="B99" s="4"/>
      <c r="C99" s="4"/>
      <c r="D99" s="4"/>
      <c r="E99" s="4"/>
      <c r="F99" s="4"/>
      <c r="G99" s="4"/>
      <c r="H99" s="4"/>
      <c r="I99" s="4"/>
      <c r="J99" s="12"/>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row>
    <row r="100" spans="1:142" x14ac:dyDescent="0.2">
      <c r="A100" s="12"/>
      <c r="B100" s="4"/>
      <c r="C100" s="4"/>
      <c r="D100" s="4"/>
      <c r="E100" s="4"/>
      <c r="F100" s="4"/>
      <c r="G100" s="4"/>
      <c r="H100" s="4"/>
      <c r="I100" s="4"/>
      <c r="J100" s="12"/>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row>
    <row r="101" spans="1:142" x14ac:dyDescent="0.2">
      <c r="A101" s="12"/>
      <c r="B101" s="4"/>
      <c r="C101" s="4"/>
      <c r="D101" s="4"/>
      <c r="E101" s="4"/>
      <c r="F101" s="4"/>
      <c r="G101" s="4"/>
      <c r="H101" s="4"/>
      <c r="I101" s="4"/>
      <c r="J101" s="12"/>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row>
    <row r="102" spans="1:142" x14ac:dyDescent="0.2">
      <c r="A102" s="12"/>
      <c r="B102" s="4"/>
      <c r="C102" s="4"/>
      <c r="D102" s="4"/>
      <c r="E102" s="4"/>
      <c r="F102" s="4"/>
      <c r="G102" s="4"/>
      <c r="H102" s="4"/>
      <c r="I102" s="4"/>
      <c r="J102" s="12"/>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row>
    <row r="103" spans="1:142" x14ac:dyDescent="0.2">
      <c r="A103" s="12"/>
      <c r="B103" s="4"/>
      <c r="C103" s="4"/>
      <c r="D103" s="4"/>
      <c r="E103" s="4"/>
      <c r="F103" s="4"/>
      <c r="G103" s="4"/>
      <c r="H103" s="4"/>
      <c r="I103" s="4"/>
      <c r="J103" s="12"/>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row>
    <row r="104" spans="1:142" x14ac:dyDescent="0.2">
      <c r="A104" s="12"/>
      <c r="B104" s="4"/>
      <c r="C104" s="4"/>
      <c r="D104" s="4"/>
      <c r="E104" s="4"/>
      <c r="F104" s="4"/>
      <c r="G104" s="4"/>
      <c r="H104" s="4"/>
      <c r="I104" s="4"/>
      <c r="J104" s="12"/>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row>
    <row r="105" spans="1:142" x14ac:dyDescent="0.2">
      <c r="A105" s="12"/>
      <c r="B105" s="4"/>
      <c r="C105" s="4"/>
      <c r="D105" s="4"/>
      <c r="E105" s="4"/>
      <c r="F105" s="4"/>
      <c r="G105" s="4"/>
      <c r="H105" s="4"/>
      <c r="I105" s="4"/>
      <c r="J105" s="12"/>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row>
    <row r="106" spans="1:142" x14ac:dyDescent="0.2">
      <c r="A106" s="12"/>
      <c r="B106" s="4"/>
      <c r="C106" s="4"/>
      <c r="D106" s="4"/>
      <c r="E106" s="4"/>
      <c r="F106" s="4"/>
      <c r="G106" s="4"/>
      <c r="H106" s="4"/>
      <c r="I106" s="4"/>
      <c r="J106" s="12"/>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row>
    <row r="107" spans="1:142" x14ac:dyDescent="0.2">
      <c r="A107" s="12"/>
      <c r="B107" s="4"/>
      <c r="C107" s="4"/>
      <c r="D107" s="4"/>
      <c r="E107" s="4"/>
      <c r="F107" s="4"/>
      <c r="G107" s="4"/>
      <c r="H107" s="4"/>
      <c r="I107" s="4"/>
      <c r="J107" s="12"/>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row>
    <row r="108" spans="1:142" x14ac:dyDescent="0.2">
      <c r="A108" s="12"/>
      <c r="B108" s="4"/>
      <c r="C108" s="4"/>
      <c r="D108" s="4"/>
      <c r="E108" s="4"/>
      <c r="F108" s="4"/>
      <c r="G108" s="4"/>
      <c r="H108" s="4"/>
      <c r="I108" s="4"/>
      <c r="J108" s="12"/>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row>
    <row r="109" spans="1:142" x14ac:dyDescent="0.2">
      <c r="A109" s="12"/>
      <c r="B109" s="4"/>
      <c r="C109" s="4"/>
      <c r="D109" s="4"/>
      <c r="E109" s="4"/>
      <c r="F109" s="4"/>
      <c r="G109" s="4"/>
      <c r="H109" s="4"/>
      <c r="I109" s="4"/>
      <c r="J109" s="12"/>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row>
    <row r="110" spans="1:142" x14ac:dyDescent="0.2">
      <c r="A110" s="12"/>
      <c r="B110" s="4"/>
      <c r="C110" s="4"/>
      <c r="D110" s="4"/>
      <c r="E110" s="4"/>
      <c r="F110" s="4"/>
      <c r="G110" s="4"/>
      <c r="H110" s="4"/>
      <c r="I110" s="4"/>
      <c r="J110" s="12"/>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row>
    <row r="111" spans="1:142" x14ac:dyDescent="0.2">
      <c r="A111" s="12"/>
      <c r="B111" s="4"/>
      <c r="C111" s="4"/>
      <c r="D111" s="4"/>
      <c r="E111" s="4"/>
      <c r="F111" s="4"/>
      <c r="G111" s="4"/>
      <c r="H111" s="4"/>
      <c r="I111" s="4"/>
      <c r="J111" s="12"/>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row>
    <row r="112" spans="1:142" x14ac:dyDescent="0.2">
      <c r="A112" s="12"/>
      <c r="B112" s="4"/>
      <c r="C112" s="4"/>
      <c r="D112" s="4"/>
      <c r="E112" s="4"/>
      <c r="F112" s="4"/>
      <c r="G112" s="4"/>
      <c r="H112" s="4"/>
      <c r="I112" s="4"/>
      <c r="J112" s="12"/>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row>
    <row r="113" spans="1:142" x14ac:dyDescent="0.2">
      <c r="A113" s="12"/>
      <c r="B113" s="4"/>
      <c r="C113" s="4"/>
      <c r="D113" s="4"/>
      <c r="E113" s="4"/>
      <c r="F113" s="4"/>
      <c r="G113" s="4"/>
      <c r="H113" s="4"/>
      <c r="I113" s="4"/>
      <c r="J113" s="12"/>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row>
    <row r="114" spans="1:142" x14ac:dyDescent="0.2">
      <c r="A114" s="12"/>
      <c r="B114" s="4"/>
      <c r="C114" s="4"/>
      <c r="D114" s="4"/>
      <c r="E114" s="4"/>
      <c r="F114" s="4"/>
      <c r="G114" s="4"/>
      <c r="H114" s="4"/>
      <c r="I114" s="4"/>
      <c r="J114" s="12"/>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row>
    <row r="115" spans="1:142" x14ac:dyDescent="0.2">
      <c r="A115" s="12"/>
      <c r="B115" s="4"/>
      <c r="C115" s="4"/>
      <c r="D115" s="4"/>
      <c r="E115" s="4"/>
      <c r="F115" s="4"/>
      <c r="G115" s="4"/>
      <c r="H115" s="4"/>
      <c r="I115" s="4"/>
      <c r="J115" s="12"/>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row>
    <row r="116" spans="1:142" x14ac:dyDescent="0.2">
      <c r="A116" s="12"/>
      <c r="B116" s="4"/>
      <c r="C116" s="4"/>
      <c r="D116" s="4"/>
      <c r="E116" s="4"/>
      <c r="F116" s="4"/>
      <c r="G116" s="4"/>
      <c r="H116" s="4"/>
      <c r="I116" s="4"/>
      <c r="J116" s="12"/>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row>
    <row r="117" spans="1:142" x14ac:dyDescent="0.2">
      <c r="A117" s="12"/>
      <c r="B117" s="4"/>
      <c r="C117" s="4"/>
      <c r="D117" s="4"/>
      <c r="E117" s="4"/>
      <c r="F117" s="4"/>
      <c r="G117" s="4"/>
      <c r="H117" s="4"/>
      <c r="I117" s="4"/>
      <c r="J117" s="12"/>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row>
    <row r="118" spans="1:142" x14ac:dyDescent="0.2">
      <c r="A118" s="12"/>
      <c r="B118" s="4"/>
      <c r="C118" s="4"/>
      <c r="D118" s="4"/>
      <c r="E118" s="4"/>
      <c r="F118" s="4"/>
      <c r="G118" s="4"/>
      <c r="H118" s="4"/>
      <c r="I118" s="4"/>
      <c r="J118" s="12"/>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row>
    <row r="119" spans="1:142" x14ac:dyDescent="0.2">
      <c r="A119" s="12"/>
      <c r="B119" s="4"/>
      <c r="C119" s="4"/>
      <c r="D119" s="4"/>
      <c r="E119" s="4"/>
      <c r="F119" s="4"/>
      <c r="G119" s="4"/>
      <c r="H119" s="4"/>
      <c r="I119" s="4"/>
      <c r="J119" s="12"/>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row>
    <row r="120" spans="1:142" x14ac:dyDescent="0.2">
      <c r="A120" s="12"/>
      <c r="B120" s="4"/>
      <c r="C120" s="4"/>
      <c r="D120" s="4"/>
      <c r="E120" s="4"/>
      <c r="F120" s="4"/>
      <c r="G120" s="4"/>
      <c r="H120" s="4"/>
      <c r="I120" s="4"/>
      <c r="J120" s="12"/>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row>
    <row r="121" spans="1:142" x14ac:dyDescent="0.2">
      <c r="A121" s="12"/>
      <c r="B121" s="4"/>
      <c r="C121" s="4"/>
      <c r="D121" s="4"/>
      <c r="E121" s="4"/>
      <c r="F121" s="4"/>
      <c r="G121" s="4"/>
      <c r="H121" s="4"/>
      <c r="I121" s="4"/>
      <c r="J121" s="12"/>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row>
    <row r="122" spans="1:142" x14ac:dyDescent="0.2">
      <c r="A122" s="12"/>
      <c r="B122" s="4"/>
      <c r="C122" s="4"/>
      <c r="D122" s="4"/>
      <c r="E122" s="4"/>
      <c r="F122" s="4"/>
      <c r="G122" s="4"/>
      <c r="H122" s="4"/>
      <c r="I122" s="4"/>
      <c r="J122" s="12"/>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row>
    <row r="123" spans="1:142" x14ac:dyDescent="0.2">
      <c r="A123" s="12"/>
      <c r="B123" s="4"/>
      <c r="C123" s="4"/>
      <c r="D123" s="4"/>
      <c r="E123" s="4"/>
      <c r="F123" s="4"/>
      <c r="G123" s="4"/>
      <c r="H123" s="4"/>
      <c r="I123" s="4"/>
      <c r="J123" s="12"/>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row>
    <row r="124" spans="1:142" x14ac:dyDescent="0.2">
      <c r="A124" s="12"/>
      <c r="B124" s="4"/>
      <c r="C124" s="4"/>
      <c r="D124" s="4"/>
      <c r="E124" s="4"/>
      <c r="F124" s="4"/>
      <c r="G124" s="4"/>
      <c r="H124" s="4"/>
      <c r="I124" s="4"/>
      <c r="J124" s="12"/>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row>
    <row r="125" spans="1:142" x14ac:dyDescent="0.2">
      <c r="A125" s="12"/>
      <c r="B125" s="4"/>
      <c r="C125" s="4"/>
      <c r="D125" s="4"/>
      <c r="E125" s="4"/>
      <c r="F125" s="4"/>
      <c r="G125" s="4"/>
      <c r="H125" s="4"/>
      <c r="I125" s="4"/>
      <c r="J125" s="12"/>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row>
    <row r="126" spans="1:142" x14ac:dyDescent="0.2">
      <c r="A126" s="12"/>
      <c r="B126" s="4"/>
      <c r="C126" s="4"/>
      <c r="D126" s="4"/>
      <c r="E126" s="4"/>
      <c r="F126" s="4"/>
      <c r="G126" s="4"/>
      <c r="H126" s="4"/>
      <c r="I126" s="4"/>
      <c r="J126" s="12"/>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row>
    <row r="127" spans="1:142" x14ac:dyDescent="0.2">
      <c r="A127" s="12"/>
      <c r="B127" s="4"/>
      <c r="C127" s="4"/>
      <c r="D127" s="4"/>
      <c r="E127" s="4"/>
      <c r="F127" s="4"/>
      <c r="G127" s="4"/>
      <c r="H127" s="4"/>
      <c r="I127" s="4"/>
      <c r="J127" s="12"/>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row>
    <row r="128" spans="1:142" x14ac:dyDescent="0.2">
      <c r="A128" s="12"/>
      <c r="B128" s="4"/>
      <c r="C128" s="4"/>
      <c r="D128" s="4"/>
      <c r="E128" s="4"/>
      <c r="F128" s="4"/>
      <c r="G128" s="4"/>
      <c r="H128" s="4"/>
      <c r="I128" s="4"/>
      <c r="J128" s="12"/>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row>
    <row r="129" spans="1:142" x14ac:dyDescent="0.2">
      <c r="A129" s="12"/>
      <c r="B129" s="4"/>
      <c r="C129" s="4"/>
      <c r="D129" s="4"/>
      <c r="E129" s="4"/>
      <c r="F129" s="4"/>
      <c r="G129" s="4"/>
      <c r="H129" s="4"/>
      <c r="I129" s="4"/>
      <c r="J129" s="12"/>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row>
    <row r="130" spans="1:142" x14ac:dyDescent="0.2">
      <c r="A130" s="12"/>
      <c r="B130" s="4"/>
      <c r="C130" s="4"/>
      <c r="D130" s="4"/>
      <c r="E130" s="4"/>
      <c r="F130" s="4"/>
      <c r="G130" s="4"/>
      <c r="H130" s="4"/>
      <c r="I130" s="4"/>
      <c r="J130" s="12"/>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row>
    <row r="131" spans="1:142" x14ac:dyDescent="0.2">
      <c r="A131" s="12"/>
      <c r="B131" s="4"/>
      <c r="C131" s="4"/>
      <c r="D131" s="4"/>
      <c r="E131" s="4"/>
      <c r="F131" s="4"/>
      <c r="G131" s="4"/>
      <c r="H131" s="4"/>
      <c r="I131" s="4"/>
      <c r="J131" s="12"/>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row>
    <row r="132" spans="1:142" x14ac:dyDescent="0.2">
      <c r="A132" s="12"/>
      <c r="B132" s="4"/>
      <c r="C132" s="4"/>
      <c r="D132" s="4"/>
      <c r="E132" s="4"/>
      <c r="F132" s="4"/>
      <c r="G132" s="4"/>
      <c r="H132" s="4"/>
      <c r="I132" s="4"/>
      <c r="J132" s="12"/>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row>
    <row r="133" spans="1:142" x14ac:dyDescent="0.2">
      <c r="A133" s="12"/>
      <c r="B133" s="4"/>
      <c r="C133" s="4"/>
      <c r="D133" s="4"/>
      <c r="E133" s="4"/>
      <c r="F133" s="4"/>
      <c r="G133" s="4"/>
      <c r="H133" s="4"/>
      <c r="I133" s="4"/>
      <c r="J133" s="12"/>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row>
    <row r="134" spans="1:142" x14ac:dyDescent="0.2">
      <c r="A134" s="12"/>
      <c r="B134" s="4"/>
      <c r="C134" s="4"/>
      <c r="D134" s="4"/>
      <c r="E134" s="4"/>
      <c r="F134" s="4"/>
      <c r="G134" s="4"/>
      <c r="H134" s="4"/>
      <c r="I134" s="4"/>
      <c r="J134" s="12"/>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row>
    <row r="135" spans="1:142" x14ac:dyDescent="0.2">
      <c r="A135" s="12"/>
      <c r="B135" s="4"/>
      <c r="C135" s="4"/>
      <c r="D135" s="4"/>
      <c r="E135" s="4"/>
      <c r="F135" s="4"/>
      <c r="G135" s="4"/>
      <c r="H135" s="4"/>
      <c r="I135" s="4"/>
      <c r="J135" s="12"/>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row>
    <row r="136" spans="1:142" x14ac:dyDescent="0.2">
      <c r="A136" s="12"/>
      <c r="B136" s="4"/>
      <c r="C136" s="4"/>
      <c r="D136" s="4"/>
      <c r="E136" s="4"/>
      <c r="F136" s="4"/>
      <c r="G136" s="4"/>
      <c r="H136" s="4"/>
      <c r="I136" s="4"/>
      <c r="J136" s="12"/>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row>
    <row r="137" spans="1:142" x14ac:dyDescent="0.2">
      <c r="A137" s="12"/>
      <c r="B137" s="4"/>
      <c r="C137" s="4"/>
      <c r="D137" s="4"/>
      <c r="E137" s="4"/>
      <c r="F137" s="4"/>
      <c r="G137" s="4"/>
      <c r="H137" s="4"/>
      <c r="I137" s="4"/>
      <c r="J137" s="12"/>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row>
    <row r="138" spans="1:142" x14ac:dyDescent="0.2">
      <c r="A138" s="12"/>
      <c r="B138" s="4"/>
      <c r="C138" s="4"/>
      <c r="D138" s="4"/>
      <c r="E138" s="4"/>
      <c r="F138" s="4"/>
      <c r="G138" s="4"/>
      <c r="H138" s="4"/>
      <c r="I138" s="4"/>
      <c r="J138" s="12"/>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row>
    <row r="139" spans="1:142" x14ac:dyDescent="0.2">
      <c r="A139" s="12"/>
      <c r="B139" s="4"/>
      <c r="C139" s="4"/>
      <c r="D139" s="4"/>
      <c r="E139" s="4"/>
      <c r="F139" s="4"/>
      <c r="G139" s="4"/>
      <c r="H139" s="4"/>
      <c r="I139" s="4"/>
      <c r="J139" s="12"/>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row>
    <row r="140" spans="1:142" x14ac:dyDescent="0.2">
      <c r="A140" s="12"/>
      <c r="B140" s="4"/>
      <c r="C140" s="4"/>
      <c r="D140" s="4"/>
      <c r="E140" s="4"/>
      <c r="F140" s="4"/>
      <c r="G140" s="4"/>
      <c r="H140" s="4"/>
      <c r="I140" s="4"/>
      <c r="J140" s="12"/>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row>
    <row r="141" spans="1:142" x14ac:dyDescent="0.2">
      <c r="A141" s="12"/>
      <c r="B141" s="4"/>
      <c r="C141" s="4"/>
      <c r="D141" s="4"/>
      <c r="E141" s="4"/>
      <c r="F141" s="4"/>
      <c r="G141" s="4"/>
      <c r="H141" s="4"/>
      <c r="I141" s="4"/>
      <c r="J141" s="12"/>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row>
    <row r="142" spans="1:142" x14ac:dyDescent="0.2">
      <c r="A142" s="12"/>
      <c r="B142" s="4"/>
      <c r="C142" s="4"/>
      <c r="D142" s="4"/>
      <c r="E142" s="4"/>
      <c r="F142" s="4"/>
      <c r="G142" s="4"/>
      <c r="H142" s="4"/>
      <c r="I142" s="4"/>
      <c r="J142" s="12"/>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row>
    <row r="143" spans="1:142" x14ac:dyDescent="0.2">
      <c r="A143" s="12"/>
      <c r="B143" s="4"/>
      <c r="C143" s="4"/>
      <c r="D143" s="4"/>
      <c r="E143" s="4"/>
      <c r="F143" s="4"/>
      <c r="G143" s="4"/>
      <c r="H143" s="4"/>
      <c r="I143" s="4"/>
      <c r="J143" s="12"/>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row>
    <row r="144" spans="1:142" x14ac:dyDescent="0.2">
      <c r="A144" s="12"/>
      <c r="B144" s="4"/>
      <c r="C144" s="4"/>
      <c r="D144" s="4"/>
      <c r="E144" s="4"/>
      <c r="F144" s="4"/>
      <c r="G144" s="4"/>
      <c r="H144" s="4"/>
      <c r="I144" s="4"/>
      <c r="J144" s="12"/>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row>
    <row r="145" spans="1:142" x14ac:dyDescent="0.2">
      <c r="A145" s="12"/>
      <c r="B145" s="4"/>
      <c r="C145" s="4"/>
      <c r="D145" s="4"/>
      <c r="E145" s="4"/>
      <c r="F145" s="4"/>
      <c r="G145" s="4"/>
      <c r="H145" s="4"/>
      <c r="I145" s="4"/>
      <c r="J145" s="12"/>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row>
    <row r="146" spans="1:142" x14ac:dyDescent="0.2">
      <c r="A146" s="12"/>
      <c r="B146" s="4"/>
      <c r="C146" s="4"/>
      <c r="D146" s="4"/>
      <c r="E146" s="4"/>
      <c r="F146" s="4"/>
      <c r="G146" s="4"/>
      <c r="H146" s="4"/>
      <c r="I146" s="4"/>
      <c r="J146" s="12"/>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row>
    <row r="147" spans="1:142" x14ac:dyDescent="0.2">
      <c r="A147" s="12"/>
      <c r="B147" s="4"/>
      <c r="C147" s="4"/>
      <c r="D147" s="4"/>
      <c r="E147" s="4"/>
      <c r="F147" s="4"/>
      <c r="G147" s="4"/>
      <c r="H147" s="4"/>
      <c r="I147" s="4"/>
      <c r="J147" s="12"/>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row>
    <row r="148" spans="1:142" x14ac:dyDescent="0.2">
      <c r="A148" s="12"/>
      <c r="B148" s="4"/>
      <c r="C148" s="4"/>
      <c r="D148" s="4"/>
      <c r="E148" s="4"/>
      <c r="F148" s="4"/>
      <c r="G148" s="4"/>
      <c r="H148" s="4"/>
      <c r="I148" s="4"/>
      <c r="J148" s="12"/>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row>
    <row r="149" spans="1:142" x14ac:dyDescent="0.2">
      <c r="A149" s="12"/>
      <c r="B149" s="4"/>
      <c r="C149" s="4"/>
      <c r="D149" s="4"/>
      <c r="E149" s="4"/>
      <c r="F149" s="4"/>
      <c r="G149" s="4"/>
      <c r="H149" s="4"/>
      <c r="I149" s="4"/>
      <c r="J149" s="12"/>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row>
    <row r="150" spans="1:142" x14ac:dyDescent="0.2">
      <c r="A150" s="12"/>
      <c r="B150" s="4"/>
      <c r="C150" s="4"/>
      <c r="D150" s="4"/>
      <c r="E150" s="4"/>
      <c r="F150" s="4"/>
      <c r="G150" s="4"/>
      <c r="H150" s="4"/>
      <c r="I150" s="4"/>
      <c r="J150" s="12"/>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row>
    <row r="151" spans="1:142" x14ac:dyDescent="0.2">
      <c r="A151" s="12"/>
      <c r="B151" s="4"/>
      <c r="C151" s="4"/>
      <c r="D151" s="4"/>
      <c r="E151" s="4"/>
      <c r="F151" s="4"/>
      <c r="G151" s="4"/>
      <c r="H151" s="4"/>
      <c r="I151" s="4"/>
      <c r="J151" s="12"/>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row>
    <row r="152" spans="1:142" x14ac:dyDescent="0.2">
      <c r="A152" s="12"/>
      <c r="B152" s="4"/>
      <c r="C152" s="4"/>
      <c r="D152" s="4"/>
      <c r="E152" s="4"/>
      <c r="F152" s="4"/>
      <c r="G152" s="4"/>
      <c r="H152" s="4"/>
      <c r="I152" s="4"/>
      <c r="J152" s="12"/>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row>
    <row r="153" spans="1:142" x14ac:dyDescent="0.2">
      <c r="A153" s="12"/>
      <c r="B153" s="4"/>
      <c r="C153" s="4"/>
      <c r="D153" s="4"/>
      <c r="E153" s="4"/>
      <c r="F153" s="4"/>
      <c r="G153" s="4"/>
      <c r="H153" s="4"/>
      <c r="I153" s="4"/>
      <c r="J153" s="12"/>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row>
    <row r="154" spans="1:142" x14ac:dyDescent="0.2">
      <c r="A154" s="12"/>
      <c r="B154" s="4"/>
      <c r="C154" s="4"/>
      <c r="D154" s="4"/>
      <c r="E154" s="4"/>
      <c r="F154" s="4"/>
      <c r="G154" s="4"/>
      <c r="H154" s="4"/>
      <c r="I154" s="4"/>
      <c r="J154" s="12"/>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row>
    <row r="155" spans="1:142" x14ac:dyDescent="0.2">
      <c r="A155" s="12"/>
      <c r="B155" s="4"/>
      <c r="C155" s="4"/>
      <c r="D155" s="4"/>
      <c r="E155" s="4"/>
      <c r="F155" s="4"/>
      <c r="G155" s="4"/>
      <c r="H155" s="4"/>
      <c r="I155" s="4"/>
      <c r="J155" s="12"/>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row>
    <row r="156" spans="1:142" x14ac:dyDescent="0.2">
      <c r="A156" s="12"/>
      <c r="B156" s="4"/>
      <c r="C156" s="4"/>
      <c r="D156" s="4"/>
      <c r="E156" s="4"/>
      <c r="F156" s="4"/>
      <c r="G156" s="4"/>
      <c r="H156" s="4"/>
      <c r="I156" s="4"/>
      <c r="J156" s="12"/>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row>
    <row r="157" spans="1:142" x14ac:dyDescent="0.2">
      <c r="A157" s="12"/>
      <c r="B157" s="4"/>
      <c r="C157" s="4"/>
      <c r="D157" s="4"/>
      <c r="E157" s="4"/>
      <c r="F157" s="4"/>
      <c r="G157" s="4"/>
      <c r="H157" s="4"/>
      <c r="I157" s="4"/>
      <c r="J157" s="12"/>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row>
    <row r="158" spans="1:142" x14ac:dyDescent="0.2">
      <c r="A158" s="12"/>
      <c r="B158" s="4"/>
      <c r="C158" s="4"/>
      <c r="D158" s="4"/>
      <c r="E158" s="4"/>
      <c r="F158" s="4"/>
      <c r="G158" s="4"/>
      <c r="H158" s="4"/>
      <c r="I158" s="4"/>
      <c r="J158" s="12"/>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row>
    <row r="159" spans="1:142" x14ac:dyDescent="0.2">
      <c r="A159" s="12"/>
      <c r="B159" s="4"/>
      <c r="C159" s="4"/>
      <c r="D159" s="4"/>
      <c r="E159" s="4"/>
      <c r="F159" s="4"/>
      <c r="G159" s="4"/>
      <c r="H159" s="4"/>
      <c r="I159" s="4"/>
      <c r="J159" s="12"/>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row>
    <row r="160" spans="1:142" x14ac:dyDescent="0.2">
      <c r="A160" s="12"/>
      <c r="B160" s="4"/>
      <c r="C160" s="4"/>
      <c r="D160" s="4"/>
      <c r="E160" s="4"/>
      <c r="F160" s="4"/>
      <c r="G160" s="4"/>
      <c r="H160" s="4"/>
      <c r="I160" s="4"/>
      <c r="J160" s="12"/>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row>
    <row r="161" spans="1:142" x14ac:dyDescent="0.2">
      <c r="A161" s="12"/>
      <c r="B161" s="4"/>
      <c r="C161" s="4"/>
      <c r="D161" s="4"/>
      <c r="E161" s="4"/>
      <c r="F161" s="4"/>
      <c r="G161" s="4"/>
      <c r="H161" s="4"/>
      <c r="I161" s="4"/>
      <c r="J161" s="12"/>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row>
    <row r="162" spans="1:142" x14ac:dyDescent="0.2">
      <c r="A162" s="12"/>
      <c r="B162" s="4"/>
      <c r="C162" s="4"/>
      <c r="D162" s="4"/>
      <c r="E162" s="4"/>
      <c r="F162" s="4"/>
      <c r="G162" s="4"/>
      <c r="H162" s="4"/>
      <c r="I162" s="4"/>
      <c r="J162" s="12"/>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row>
    <row r="163" spans="1:142" x14ac:dyDescent="0.2">
      <c r="A163" s="12"/>
      <c r="B163" s="4"/>
      <c r="C163" s="4"/>
      <c r="D163" s="4"/>
      <c r="E163" s="4"/>
      <c r="F163" s="4"/>
      <c r="G163" s="4"/>
      <c r="H163" s="4"/>
      <c r="I163" s="4"/>
      <c r="J163" s="12"/>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row>
    <row r="164" spans="1:142" x14ac:dyDescent="0.2">
      <c r="A164" s="12"/>
      <c r="B164" s="4"/>
      <c r="C164" s="4"/>
      <c r="D164" s="4"/>
      <c r="E164" s="4"/>
      <c r="F164" s="4"/>
      <c r="G164" s="4"/>
      <c r="H164" s="4"/>
      <c r="I164" s="4"/>
      <c r="J164" s="12"/>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row>
    <row r="165" spans="1:142" x14ac:dyDescent="0.2">
      <c r="A165" s="12"/>
      <c r="B165" s="4"/>
      <c r="C165" s="4"/>
      <c r="D165" s="4"/>
      <c r="E165" s="4"/>
      <c r="F165" s="4"/>
      <c r="G165" s="4"/>
      <c r="H165" s="4"/>
      <c r="I165" s="4"/>
      <c r="J165" s="12"/>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row>
    <row r="166" spans="1:142" x14ac:dyDescent="0.2">
      <c r="A166" s="12"/>
      <c r="B166" s="4"/>
      <c r="C166" s="4"/>
      <c r="D166" s="4"/>
      <c r="E166" s="4"/>
      <c r="F166" s="4"/>
      <c r="G166" s="4"/>
      <c r="H166" s="4"/>
      <c r="I166" s="4"/>
      <c r="J166" s="12"/>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row>
    <row r="167" spans="1:142" x14ac:dyDescent="0.2">
      <c r="A167" s="12"/>
      <c r="B167" s="4"/>
      <c r="C167" s="4"/>
      <c r="D167" s="4"/>
      <c r="E167" s="4"/>
      <c r="F167" s="4"/>
      <c r="G167" s="4"/>
      <c r="H167" s="4"/>
      <c r="I167" s="4"/>
      <c r="J167" s="12"/>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row>
    <row r="168" spans="1:142" x14ac:dyDescent="0.2">
      <c r="A168" s="12"/>
      <c r="B168" s="4"/>
      <c r="C168" s="4"/>
      <c r="D168" s="4"/>
      <c r="E168" s="4"/>
      <c r="F168" s="4"/>
      <c r="G168" s="4"/>
      <c r="H168" s="4"/>
      <c r="I168" s="4"/>
      <c r="J168" s="12"/>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row>
  </sheetData>
  <mergeCells count="16">
    <mergeCell ref="A1:I1"/>
    <mergeCell ref="C16:D16"/>
    <mergeCell ref="E16:F16"/>
    <mergeCell ref="G16:H16"/>
    <mergeCell ref="I16:J16"/>
    <mergeCell ref="A4:B5"/>
    <mergeCell ref="C4:D4"/>
    <mergeCell ref="E4:F4"/>
    <mergeCell ref="G4:H4"/>
    <mergeCell ref="I4:J4"/>
    <mergeCell ref="A16:B17"/>
    <mergeCell ref="A18:B18"/>
    <mergeCell ref="A19:A26"/>
    <mergeCell ref="A6:B6"/>
    <mergeCell ref="A7:A14"/>
    <mergeCell ref="A2:R2"/>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17"/>
  <sheetViews>
    <sheetView workbookViewId="0"/>
  </sheetViews>
  <sheetFormatPr defaultRowHeight="12" x14ac:dyDescent="0.2"/>
  <cols>
    <col min="1" max="1" width="20.140625" bestFit="1" customWidth="1"/>
    <col min="2" max="2" width="30.28515625" bestFit="1" customWidth="1"/>
    <col min="3" max="3" width="19.5703125" bestFit="1" customWidth="1"/>
    <col min="4" max="12" width="19.5703125" customWidth="1"/>
    <col min="13" max="16" width="19" customWidth="1"/>
    <col min="17" max="74" width="9.42578125" customWidth="1"/>
    <col min="75" max="75" width="10.28515625" customWidth="1"/>
    <col min="76" max="76" width="19" bestFit="1" customWidth="1"/>
  </cols>
  <sheetData>
    <row r="1" spans="1:14" x14ac:dyDescent="0.2">
      <c r="C1" s="77" t="s">
        <v>209</v>
      </c>
      <c r="D1" s="77" t="s">
        <v>415</v>
      </c>
    </row>
    <row r="2" spans="1:14" x14ac:dyDescent="0.2">
      <c r="C2" s="446" t="s">
        <v>2832</v>
      </c>
      <c r="E2" s="446" t="s">
        <v>44</v>
      </c>
      <c r="G2" s="446" t="s">
        <v>49</v>
      </c>
      <c r="I2" s="446" t="s">
        <v>25</v>
      </c>
      <c r="K2" s="446" t="s">
        <v>31</v>
      </c>
      <c r="M2" s="446" t="s">
        <v>3851</v>
      </c>
      <c r="N2" s="446" t="s">
        <v>3852</v>
      </c>
    </row>
    <row r="3" spans="1:14" x14ac:dyDescent="0.2">
      <c r="A3" s="77" t="s">
        <v>2939</v>
      </c>
      <c r="B3" s="77" t="s">
        <v>2940</v>
      </c>
      <c r="C3" s="446" t="s">
        <v>3840</v>
      </c>
      <c r="D3" s="446" t="s">
        <v>3850</v>
      </c>
      <c r="E3" s="446" t="s">
        <v>3840</v>
      </c>
      <c r="F3" s="446" t="s">
        <v>3850</v>
      </c>
      <c r="G3" s="446" t="s">
        <v>3840</v>
      </c>
      <c r="H3" s="446" t="s">
        <v>3850</v>
      </c>
      <c r="I3" s="446" t="s">
        <v>3840</v>
      </c>
      <c r="J3" s="446" t="s">
        <v>3850</v>
      </c>
      <c r="K3" s="446" t="s">
        <v>3840</v>
      </c>
      <c r="L3" s="446" t="s">
        <v>3850</v>
      </c>
    </row>
    <row r="4" spans="1:14" x14ac:dyDescent="0.2">
      <c r="A4" s="446" t="s">
        <v>2936</v>
      </c>
      <c r="C4" s="74">
        <v>0</v>
      </c>
      <c r="D4" s="74">
        <v>0</v>
      </c>
      <c r="E4" s="74">
        <v>4</v>
      </c>
      <c r="F4" s="74">
        <v>841</v>
      </c>
      <c r="G4" s="74">
        <v>6</v>
      </c>
      <c r="H4" s="74">
        <v>549</v>
      </c>
      <c r="I4" s="74">
        <v>2</v>
      </c>
      <c r="J4" s="74">
        <v>1632</v>
      </c>
      <c r="K4" s="74">
        <v>1</v>
      </c>
      <c r="L4" s="74">
        <v>1321</v>
      </c>
      <c r="M4" s="74">
        <v>13</v>
      </c>
      <c r="N4" s="74">
        <v>4343</v>
      </c>
    </row>
    <row r="5" spans="1:14" x14ac:dyDescent="0.2">
      <c r="A5" s="446" t="s">
        <v>2935</v>
      </c>
      <c r="C5" s="74">
        <v>2</v>
      </c>
      <c r="D5" s="74">
        <v>299</v>
      </c>
      <c r="E5" s="74">
        <v>5</v>
      </c>
      <c r="F5" s="74">
        <v>3586</v>
      </c>
      <c r="G5" s="74">
        <v>5</v>
      </c>
      <c r="H5" s="74">
        <v>1655</v>
      </c>
      <c r="I5" s="74">
        <v>4</v>
      </c>
      <c r="J5" s="74">
        <v>9671</v>
      </c>
      <c r="K5" s="74">
        <v>6</v>
      </c>
      <c r="L5" s="74">
        <v>1931</v>
      </c>
      <c r="M5" s="74">
        <v>22</v>
      </c>
      <c r="N5" s="74">
        <v>17142</v>
      </c>
    </row>
    <row r="6" spans="1:14" x14ac:dyDescent="0.2">
      <c r="A6" s="446" t="s">
        <v>2937</v>
      </c>
      <c r="B6" s="446" t="s">
        <v>2946</v>
      </c>
      <c r="C6" s="74">
        <v>0</v>
      </c>
      <c r="D6" s="74">
        <v>0</v>
      </c>
      <c r="E6" s="74">
        <v>4</v>
      </c>
      <c r="F6" s="74">
        <v>2497</v>
      </c>
      <c r="G6" s="74">
        <v>10</v>
      </c>
      <c r="H6" s="74">
        <v>2832</v>
      </c>
      <c r="I6" s="74">
        <v>0</v>
      </c>
      <c r="J6" s="74">
        <v>0</v>
      </c>
      <c r="K6" s="74">
        <v>5</v>
      </c>
      <c r="L6" s="74">
        <v>2248</v>
      </c>
      <c r="M6" s="74">
        <v>19</v>
      </c>
      <c r="N6" s="74">
        <v>7577</v>
      </c>
    </row>
    <row r="7" spans="1:14" x14ac:dyDescent="0.2">
      <c r="B7" s="446" t="s">
        <v>2947</v>
      </c>
      <c r="C7" s="74">
        <v>0</v>
      </c>
      <c r="D7" s="74">
        <v>0</v>
      </c>
      <c r="E7" s="74">
        <v>0</v>
      </c>
      <c r="F7" s="74">
        <v>0</v>
      </c>
      <c r="G7" s="74">
        <v>1</v>
      </c>
      <c r="H7" s="74">
        <v>1678</v>
      </c>
      <c r="I7" s="74">
        <v>8</v>
      </c>
      <c r="J7" s="74">
        <v>5364</v>
      </c>
      <c r="K7" s="74">
        <v>1</v>
      </c>
      <c r="L7" s="74">
        <v>44</v>
      </c>
      <c r="M7" s="74">
        <v>10</v>
      </c>
      <c r="N7" s="74">
        <v>7086</v>
      </c>
    </row>
    <row r="8" spans="1:14" x14ac:dyDescent="0.2">
      <c r="B8" s="446" t="s">
        <v>2948</v>
      </c>
      <c r="C8" s="74">
        <v>0</v>
      </c>
      <c r="D8" s="74">
        <v>0</v>
      </c>
      <c r="E8" s="74">
        <v>0</v>
      </c>
      <c r="F8" s="74">
        <v>0</v>
      </c>
      <c r="G8" s="74">
        <v>0</v>
      </c>
      <c r="H8" s="74">
        <v>0</v>
      </c>
      <c r="I8" s="74">
        <v>0</v>
      </c>
      <c r="J8" s="74">
        <v>0</v>
      </c>
      <c r="K8" s="74">
        <v>0</v>
      </c>
      <c r="L8" s="74">
        <v>0</v>
      </c>
      <c r="M8" s="74">
        <v>0</v>
      </c>
      <c r="N8" s="74">
        <v>0</v>
      </c>
    </row>
    <row r="9" spans="1:14" x14ac:dyDescent="0.2">
      <c r="B9" s="446" t="s">
        <v>2949</v>
      </c>
      <c r="C9" s="74">
        <v>0</v>
      </c>
      <c r="D9" s="74">
        <v>0</v>
      </c>
      <c r="E9" s="74">
        <v>0</v>
      </c>
      <c r="F9" s="74">
        <v>0</v>
      </c>
      <c r="G9" s="74">
        <v>0</v>
      </c>
      <c r="H9" s="74">
        <v>0</v>
      </c>
      <c r="I9" s="74">
        <v>0</v>
      </c>
      <c r="J9" s="74">
        <v>0</v>
      </c>
      <c r="K9" s="74">
        <v>0</v>
      </c>
      <c r="L9" s="74">
        <v>0</v>
      </c>
      <c r="M9" s="74">
        <v>0</v>
      </c>
      <c r="N9" s="74">
        <v>0</v>
      </c>
    </row>
    <row r="10" spans="1:14" x14ac:dyDescent="0.2">
      <c r="A10" s="446" t="s">
        <v>2956</v>
      </c>
      <c r="B10" s="446"/>
      <c r="C10" s="74">
        <v>0</v>
      </c>
      <c r="D10" s="74">
        <v>0</v>
      </c>
      <c r="E10" s="74">
        <v>4</v>
      </c>
      <c r="F10" s="74">
        <v>2497</v>
      </c>
      <c r="G10" s="74">
        <v>11</v>
      </c>
      <c r="H10" s="74">
        <v>4510</v>
      </c>
      <c r="I10" s="74">
        <v>8</v>
      </c>
      <c r="J10" s="74">
        <v>5364</v>
      </c>
      <c r="K10" s="74">
        <v>6</v>
      </c>
      <c r="L10" s="74">
        <v>2292</v>
      </c>
      <c r="M10" s="74">
        <v>29</v>
      </c>
      <c r="N10" s="74">
        <v>14663</v>
      </c>
    </row>
    <row r="11" spans="1:14" x14ac:dyDescent="0.2">
      <c r="A11" s="446" t="s">
        <v>2938</v>
      </c>
      <c r="B11" s="446" t="s">
        <v>2945</v>
      </c>
      <c r="C11" s="74">
        <v>0</v>
      </c>
      <c r="D11" s="74">
        <v>0</v>
      </c>
      <c r="E11" s="74">
        <v>0</v>
      </c>
      <c r="F11" s="74">
        <v>0</v>
      </c>
      <c r="G11" s="74">
        <v>0</v>
      </c>
      <c r="H11" s="74">
        <v>0</v>
      </c>
      <c r="I11" s="74">
        <v>0</v>
      </c>
      <c r="J11" s="74">
        <v>0</v>
      </c>
      <c r="K11" s="74">
        <v>2</v>
      </c>
      <c r="L11" s="74">
        <v>241</v>
      </c>
      <c r="M11" s="74">
        <v>2</v>
      </c>
      <c r="N11" s="74">
        <v>241</v>
      </c>
    </row>
    <row r="12" spans="1:14" x14ac:dyDescent="0.2">
      <c r="B12" s="446" t="s">
        <v>2946</v>
      </c>
      <c r="C12" s="74">
        <v>0</v>
      </c>
      <c r="D12" s="74">
        <v>0</v>
      </c>
      <c r="E12" s="74">
        <v>1</v>
      </c>
      <c r="F12" s="74">
        <v>301</v>
      </c>
      <c r="G12" s="74">
        <v>7</v>
      </c>
      <c r="H12" s="74">
        <v>1427</v>
      </c>
      <c r="I12" s="74">
        <v>0</v>
      </c>
      <c r="J12" s="74">
        <v>0</v>
      </c>
      <c r="K12" s="74">
        <v>1</v>
      </c>
      <c r="L12" s="74">
        <v>86</v>
      </c>
      <c r="M12" s="74">
        <v>9</v>
      </c>
      <c r="N12" s="74">
        <v>1814</v>
      </c>
    </row>
    <row r="13" spans="1:14" x14ac:dyDescent="0.2">
      <c r="B13" s="446" t="s">
        <v>2948</v>
      </c>
      <c r="C13" s="74">
        <v>0</v>
      </c>
      <c r="D13" s="74">
        <v>0</v>
      </c>
      <c r="E13" s="74">
        <v>0</v>
      </c>
      <c r="F13" s="74">
        <v>0</v>
      </c>
      <c r="G13" s="74">
        <v>0</v>
      </c>
      <c r="H13" s="74">
        <v>0</v>
      </c>
      <c r="I13" s="74">
        <v>0</v>
      </c>
      <c r="J13" s="74">
        <v>0</v>
      </c>
      <c r="K13" s="74">
        <v>0</v>
      </c>
      <c r="L13" s="74">
        <v>0</v>
      </c>
      <c r="M13" s="74">
        <v>0</v>
      </c>
      <c r="N13" s="74">
        <v>0</v>
      </c>
    </row>
    <row r="14" spans="1:14" x14ac:dyDescent="0.2">
      <c r="B14" s="446" t="s">
        <v>2949</v>
      </c>
      <c r="C14" s="74">
        <v>0</v>
      </c>
      <c r="D14" s="74">
        <v>0</v>
      </c>
      <c r="E14" s="74">
        <v>0</v>
      </c>
      <c r="F14" s="74">
        <v>0</v>
      </c>
      <c r="G14" s="74">
        <v>0</v>
      </c>
      <c r="H14" s="74">
        <v>0</v>
      </c>
      <c r="I14" s="74">
        <v>0</v>
      </c>
      <c r="J14" s="74">
        <v>0</v>
      </c>
      <c r="K14" s="74">
        <v>0</v>
      </c>
      <c r="L14" s="74">
        <v>0</v>
      </c>
      <c r="M14" s="74">
        <v>0</v>
      </c>
      <c r="N14" s="74">
        <v>0</v>
      </c>
    </row>
    <row r="15" spans="1:14" x14ac:dyDescent="0.2">
      <c r="B15" s="446" t="s">
        <v>2959</v>
      </c>
      <c r="C15" s="74">
        <v>0</v>
      </c>
      <c r="D15" s="74">
        <v>0</v>
      </c>
      <c r="E15" s="74">
        <v>0</v>
      </c>
      <c r="F15" s="74">
        <v>0</v>
      </c>
      <c r="G15" s="74">
        <v>1</v>
      </c>
      <c r="H15" s="74">
        <v>44</v>
      </c>
      <c r="I15" s="74">
        <v>0</v>
      </c>
      <c r="J15" s="74">
        <v>0</v>
      </c>
      <c r="K15" s="74">
        <v>0</v>
      </c>
      <c r="L15" s="74">
        <v>0</v>
      </c>
      <c r="M15" s="74">
        <v>1</v>
      </c>
      <c r="N15" s="74">
        <v>44</v>
      </c>
    </row>
    <row r="16" spans="1:14" x14ac:dyDescent="0.2">
      <c r="A16" s="446" t="s">
        <v>2958</v>
      </c>
      <c r="B16" s="446"/>
      <c r="C16" s="74">
        <v>0</v>
      </c>
      <c r="D16" s="74">
        <v>0</v>
      </c>
      <c r="E16" s="74">
        <v>1</v>
      </c>
      <c r="F16" s="74">
        <v>301</v>
      </c>
      <c r="G16" s="74">
        <v>8</v>
      </c>
      <c r="H16" s="74">
        <v>1471</v>
      </c>
      <c r="I16" s="74">
        <v>0</v>
      </c>
      <c r="J16" s="74">
        <v>0</v>
      </c>
      <c r="K16" s="74">
        <v>3</v>
      </c>
      <c r="L16" s="74">
        <v>327</v>
      </c>
      <c r="M16" s="74">
        <v>12</v>
      </c>
      <c r="N16" s="74">
        <v>2099</v>
      </c>
    </row>
    <row r="17" spans="1:14" x14ac:dyDescent="0.2">
      <c r="A17" s="446" t="s">
        <v>115</v>
      </c>
      <c r="C17" s="74">
        <v>2</v>
      </c>
      <c r="D17" s="74">
        <v>299</v>
      </c>
      <c r="E17" s="74">
        <v>14</v>
      </c>
      <c r="F17" s="74">
        <v>7225</v>
      </c>
      <c r="G17" s="74">
        <v>30</v>
      </c>
      <c r="H17" s="74">
        <v>8185</v>
      </c>
      <c r="I17" s="74">
        <v>14</v>
      </c>
      <c r="J17" s="74">
        <v>16667</v>
      </c>
      <c r="K17" s="74">
        <v>16</v>
      </c>
      <c r="L17" s="74">
        <v>5871</v>
      </c>
      <c r="M17" s="74">
        <v>76</v>
      </c>
      <c r="N17" s="74">
        <v>38247</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2"/>
  <dimension ref="A1:EP168"/>
  <sheetViews>
    <sheetView workbookViewId="0">
      <selection sqref="A1:I1"/>
    </sheetView>
  </sheetViews>
  <sheetFormatPr defaultRowHeight="12" x14ac:dyDescent="0.2"/>
  <cols>
    <col min="1" max="1" width="7.42578125" style="404" customWidth="1"/>
    <col min="2" max="2" width="27.7109375" style="1" customWidth="1"/>
    <col min="3" max="3" width="5.140625" style="1" customWidth="1"/>
    <col min="4" max="4" width="10.7109375" style="1" customWidth="1"/>
    <col min="5" max="5" width="5.140625" style="1" customWidth="1"/>
    <col min="6" max="6" width="10.7109375" style="1" customWidth="1"/>
    <col min="7" max="7" width="5.140625" style="1" customWidth="1"/>
    <col min="8" max="8" width="10.7109375" style="1" customWidth="1"/>
    <col min="9" max="9" width="5.140625" style="1" customWidth="1"/>
    <col min="10" max="10" width="10.7109375" style="404" customWidth="1"/>
    <col min="11" max="11" width="5.140625" style="1" customWidth="1"/>
    <col min="12" max="12" width="10" style="1" customWidth="1"/>
    <col min="13" max="13" width="5.140625" style="1" customWidth="1"/>
    <col min="14" max="14" width="10" style="1" customWidth="1"/>
    <col min="15" max="15" width="5.140625" style="1" customWidth="1"/>
    <col min="16" max="16" width="10" style="1" customWidth="1"/>
    <col min="17" max="17" width="5.140625" style="1" customWidth="1"/>
    <col min="18" max="18" width="10" style="1" customWidth="1"/>
    <col min="19" max="16384" width="9.140625" style="1"/>
  </cols>
  <sheetData>
    <row r="1" spans="1:146" ht="15.75" x14ac:dyDescent="0.25">
      <c r="A1" s="606" t="s">
        <v>3871</v>
      </c>
      <c r="B1" s="606"/>
      <c r="C1" s="606"/>
      <c r="D1" s="606"/>
      <c r="E1" s="606"/>
      <c r="F1" s="606"/>
      <c r="G1" s="606"/>
      <c r="H1" s="606"/>
      <c r="I1" s="606"/>
      <c r="J1" s="519"/>
      <c r="K1" s="288"/>
      <c r="L1" s="288"/>
      <c r="M1" s="288"/>
      <c r="N1" s="288"/>
      <c r="O1" s="288"/>
      <c r="P1" s="288"/>
      <c r="Q1" s="288"/>
      <c r="R1" s="288"/>
      <c r="S1" s="4"/>
      <c r="T1" s="4"/>
      <c r="U1" s="4"/>
      <c r="V1" s="4"/>
      <c r="W1" s="4"/>
      <c r="X1" s="4"/>
      <c r="Y1" s="4"/>
      <c r="Z1" s="4"/>
      <c r="AA1" s="4"/>
      <c r="AB1" s="4"/>
      <c r="AC1" s="4"/>
      <c r="AD1" s="4"/>
      <c r="AE1" s="4"/>
      <c r="AF1" s="4"/>
      <c r="AG1" s="4"/>
      <c r="AH1" s="4"/>
      <c r="AI1" s="10"/>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row>
    <row r="2" spans="1:146" ht="12.75" x14ac:dyDescent="0.2">
      <c r="A2" s="640" t="s">
        <v>3920</v>
      </c>
      <c r="B2" s="640"/>
      <c r="C2" s="640"/>
      <c r="D2" s="640"/>
      <c r="E2" s="640"/>
      <c r="F2" s="640"/>
      <c r="G2" s="640"/>
      <c r="H2" s="640"/>
      <c r="I2" s="640"/>
      <c r="J2" s="640"/>
      <c r="K2" s="640"/>
      <c r="L2" s="640"/>
      <c r="M2" s="640"/>
      <c r="N2" s="640"/>
      <c r="O2" s="640"/>
      <c r="P2" s="640"/>
      <c r="Q2" s="640"/>
      <c r="R2" s="640"/>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row>
    <row r="3" spans="1:146" x14ac:dyDescent="0.2">
      <c r="A3" s="294"/>
      <c r="B3" s="16"/>
      <c r="C3" s="16"/>
      <c r="D3" s="16"/>
      <c r="E3" s="16"/>
      <c r="F3" s="16"/>
      <c r="G3" s="16"/>
      <c r="H3" s="16"/>
      <c r="I3" s="16"/>
      <c r="J3" s="12"/>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row>
    <row r="4" spans="1:146" ht="24" customHeight="1" x14ac:dyDescent="0.2">
      <c r="A4" s="807" t="s">
        <v>88</v>
      </c>
      <c r="B4" s="810"/>
      <c r="C4" s="812" t="s">
        <v>3854</v>
      </c>
      <c r="D4" s="813"/>
      <c r="E4" s="816" t="s">
        <v>3855</v>
      </c>
      <c r="F4" s="816"/>
      <c r="G4" s="816" t="s">
        <v>2832</v>
      </c>
      <c r="H4" s="816"/>
      <c r="I4" s="815" t="s">
        <v>3856</v>
      </c>
      <c r="J4" s="817"/>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row>
    <row r="5" spans="1:146" ht="24" x14ac:dyDescent="0.2">
      <c r="A5" s="809"/>
      <c r="B5" s="811"/>
      <c r="C5" s="380" t="s">
        <v>2970</v>
      </c>
      <c r="D5" s="379" t="s">
        <v>168</v>
      </c>
      <c r="E5" s="380" t="s">
        <v>2970</v>
      </c>
      <c r="F5" s="379" t="s">
        <v>168</v>
      </c>
      <c r="G5" s="380" t="s">
        <v>2970</v>
      </c>
      <c r="H5" s="379" t="s">
        <v>168</v>
      </c>
      <c r="I5" s="490" t="s">
        <v>2970</v>
      </c>
      <c r="J5" s="496" t="s">
        <v>168</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row>
    <row r="6" spans="1:146" x14ac:dyDescent="0.2">
      <c r="A6" s="805" t="s">
        <v>2926</v>
      </c>
      <c r="B6" s="806"/>
      <c r="C6" s="236">
        <f>IFERROR(GETPIVOTDATA("Count of D2 Loss",'3.10 Pivot'!$A$1,"Status 1 - Development","01 Completed","D2Description_Loss","Casino or Bingo Hall"),0)</f>
        <v>0</v>
      </c>
      <c r="D6" s="237">
        <f>IFERROR(GETPIVOTDATA("Sum of D2 Loss2",'3.10 Pivot'!$A$1,"Status 1 - Development","01 Completed","D2Description_Loss","Casino or Bingo Hall"),0)</f>
        <v>0</v>
      </c>
      <c r="E6" s="236">
        <f>IFERROR(GETPIVOTDATA("Count of D2 Loss",'3.10 Pivot'!$A$1,"Status 1 - Development","01 Completed","D2Description_Loss","Childrens Play Facilities"),0)</f>
        <v>0</v>
      </c>
      <c r="F6" s="237">
        <f>IFERROR(GETPIVOTDATA("Sum of D2 Loss2",'3.10 Pivot'!$A$1,"Status 1 - Development","01 Completed","D2Description_Loss","Childrens Play Facilities"),0)</f>
        <v>0</v>
      </c>
      <c r="G6" s="236">
        <f>IFERROR(GETPIVOTDATA("Count of D2 Loss",'3.10 Pivot'!$A$1,"Status 1 - Development","01 Completed","D2Description_Loss","Cinema or Music Hall"),0)</f>
        <v>0</v>
      </c>
      <c r="H6" s="237">
        <f>IFERROR(GETPIVOTDATA("Sum of D2 Loss2",'3.10 Pivot'!$A$1,"Status 1 - Development","01 Completed","D2Description_Loss","Cinema or Music Hall"),0)</f>
        <v>0</v>
      </c>
      <c r="I6" s="513">
        <f>IFERROR(GETPIVOTDATA("Count of D2 Loss",'3.10 Pivot'!$A$1,"Status 1 - Development","01 Completed","D2Description_Loss","Sports Facilities"),0)</f>
        <v>1</v>
      </c>
      <c r="J6" s="493">
        <f>IFERROR(GETPIVOTDATA("Sum of D2 Loss2",'3.10 Pivot'!$A$1,"Status 1 - Development","01 Completed","D2Description_Loss","Sports Facilities"),0)</f>
        <v>95</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row>
    <row r="7" spans="1:146" x14ac:dyDescent="0.2">
      <c r="A7" s="807" t="s">
        <v>2962</v>
      </c>
      <c r="B7" s="511" t="s">
        <v>96</v>
      </c>
      <c r="C7" s="236">
        <f>IFERROR(GETPIVOTDATA("Count of D2 Loss",'3.10 Pivot'!$A$1,"Status 1 - Development","02 Under Construction","D2Description_Loss","Casino or Bingo Hall"),0)</f>
        <v>0</v>
      </c>
      <c r="D7" s="237">
        <f>IFERROR(GETPIVOTDATA("Sum of D2 Loss2",'3.10 Pivot'!$A$1,"Status 1 - Development","02 Under Construction","D2Description_Loss","Casino or Bingo Hall"),0)</f>
        <v>0</v>
      </c>
      <c r="E7" s="236">
        <f>IFERROR(GETPIVOTDATA("Count of D2 Loss",'3.10 Pivot'!$A$1,"Status 1 - Development","02 Under Construction","D2Description_Loss","Childrens Play Facilities"),0)</f>
        <v>0</v>
      </c>
      <c r="F7" s="237">
        <f>IFERROR(GETPIVOTDATA("Sum of D2 Loss2",'3.10 Pivot'!$A$1,"Status 1 - Development","02 Under Construction","D2Description_Loss","Childrens Play Facilities"),0)</f>
        <v>0</v>
      </c>
      <c r="G7" s="236">
        <f>IFERROR(GETPIVOTDATA("Count of D2 Loss",'3.10 Pivot'!$A$1,"Status 1 - Development","02 Under Construction","D2Description_Loss","Cinema or Music Hall"),0)</f>
        <v>0</v>
      </c>
      <c r="H7" s="237">
        <f>IFERROR(GETPIVOTDATA("Sum of D2 Loss2",'3.10 Pivot'!$A$1,"Status 1 - Development","02 Under Construction","D2Description_Loss","Cinema or Music Hall"),0)</f>
        <v>0</v>
      </c>
      <c r="I7" s="513">
        <f>IFERROR(GETPIVOTDATA("Count of D2 Loss",'3.10 Pivot'!$A$1,"Status 1 - Development","02 Under Construction","D2Description_Loss","Sports Facilities"),0)</f>
        <v>1</v>
      </c>
      <c r="J7" s="493">
        <f>IFERROR(GETPIVOTDATA("Sum of D2 Loss2",'3.10 Pivot'!$A$1,"Status 1 - Development","02 Under Construction","D2Description_Loss","Sports Facilities"),0)</f>
        <v>472</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row>
    <row r="8" spans="1:146" x14ac:dyDescent="0.2">
      <c r="A8" s="808"/>
      <c r="B8" s="511" t="s">
        <v>2966</v>
      </c>
      <c r="C8" s="236">
        <f>IFERROR(GETPIVOTDATA("Count of D2 Loss",'3.10 Pivot'!$A$1,"Status 1 - Development","03 Planning","Status 2 - Permission Type","02 Full","D2Description_Loss","Casino or Bingo Hall"),0)</f>
        <v>0</v>
      </c>
      <c r="D8" s="237">
        <f>IFERROR(GETPIVOTDATA("Sum of D2 Loss2",'3.10 Pivot'!$A$1,"Status 1 - Development","03 Planning","Status 2 - Permission Type","02 Full","D2Description_Loss","Casino or Bingo Hall"),0)</f>
        <v>0</v>
      </c>
      <c r="E8" s="236">
        <f>IFERROR(GETPIVOTDATA("Count of D2 Loss",'3.10 Pivot'!$A$1,"Status 1 - Development","03 Planning","Status 2 - Permission Type","02 Full","D2Description_Loss","Childrens Play Facilities"),0)</f>
        <v>1</v>
      </c>
      <c r="F8" s="237">
        <f>IFERROR(GETPIVOTDATA("Sum of D2 Loss2",'3.10 Pivot'!$A$1,"Status 1 - Development","03 Planning","Status 2 - Permission Type","02 Full","D2Description_Loss","Childrens Play Facilities"),0)</f>
        <v>1245</v>
      </c>
      <c r="G8" s="236">
        <f>IFERROR(GETPIVOTDATA("Count of D2 Loss",'3.10 Pivot'!$A$1,"Status 1 - Development","03 Planning","Status 2 - Permission Type","02 Full","D2Description_Loss","Cinema or Music Hall"),0)</f>
        <v>0</v>
      </c>
      <c r="H8" s="237">
        <f>IFERROR(GETPIVOTDATA("Sum of D2 Loss2",'3.10 Pivot'!$A$1,"Status 1 - Development","03 Planning","Status 2 - Permission Type","02 Full","D2Description_Loss","Cinema or Music Hall"),0)</f>
        <v>0</v>
      </c>
      <c r="I8" s="513">
        <f>IFERROR(GETPIVOTDATA("Count of D2 Loss",'3.10 Pivot'!$A$1,"Status 1 - Development","03 Planning","Status 2 - Permission Type","02 Full","D2Description_Loss","Sports Facilities"),0)</f>
        <v>2</v>
      </c>
      <c r="J8" s="493">
        <f>IFERROR(GETPIVOTDATA("Sum of D2 Loss2",'3.10 Pivot'!$A$1,"Status 1 - Development","03 Planning","Status 2 - Permission Type","02 Full","D2Description_Loss","Sports Facilities"),0)</f>
        <v>2045</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row>
    <row r="9" spans="1:146" x14ac:dyDescent="0.2">
      <c r="A9" s="808"/>
      <c r="B9" s="511" t="s">
        <v>2967</v>
      </c>
      <c r="C9" s="236">
        <f>IFERROR(GETPIVOTDATA("Count of D2 Loss",'3.10 Pivot'!$A$1,"Status 1 - Development","03 Planning","Status 2 - Permission Type","03 Outline","D2Description_Loss","Casino or Bingo Hall"),0)</f>
        <v>0</v>
      </c>
      <c r="D9" s="237">
        <f>IFERROR(GETPIVOTDATA("Sum of D2 Loss2",'3.10 Pivot'!$A$1,"Status 1 - Development","03 Planning","Status 2 - Permission Type","03 Outline","D2Description_Loss","Casino or Bingo Hall"),0)</f>
        <v>0</v>
      </c>
      <c r="E9" s="236">
        <f>IFERROR(GETPIVOTDATA("Count of D2 Loss",'3.10 Pivot'!$A$1,"Status 1 - Development","03 Planning","Status 2 - Permission Type","03 Outline","D2Description_Loss","Childrens Play Facilities"),0)</f>
        <v>0</v>
      </c>
      <c r="F9" s="237">
        <f>IFERROR(GETPIVOTDATA("Sum of D2 Loss2",'3.10 Pivot'!$A$1,"Status 1 - Development","03 Planning","Status 2 - Permission Type","03 Outline","D2Description_Loss","Childrens Play Facilities"),0)</f>
        <v>0</v>
      </c>
      <c r="G9" s="236">
        <f>IFERROR(GETPIVOTDATA("Count of D2 Loss",'3.10 Pivot'!$A$1,"Status 1 - Development","03 Planning","Status 2 - Permission Type","03 Outline","D2Description_Loss","Cinema or Music Hall"),0)</f>
        <v>0</v>
      </c>
      <c r="H9" s="237">
        <f>IFERROR(GETPIVOTDATA("Sum of D2 Loss2",'3.10 Pivot'!$A$1,"Status 1 - Development","03 Planning","Status 2 - Permission Type","03 Outline","D2Description_Loss","Cinema or Music Hall"),0)</f>
        <v>0</v>
      </c>
      <c r="I9" s="513">
        <f>IFERROR(GETPIVOTDATA("Count of D2 Loss",'3.10 Pivot'!$A$1,"Status 1 - Development","03 Planning","Status 2 - Permission Type","03 Outline","D2Description_Loss","Sports Facilities"),0)</f>
        <v>0</v>
      </c>
      <c r="J9" s="493">
        <f>IFERROR(GETPIVOTDATA("Sum of D2 Loss2",'3.10 Pivot'!$A$1,"Status 1 - Development","03 Planning","Status 2 - Permission Type","03 Outline","D2Description_Loss","Sports Facilities"),0)</f>
        <v>0</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row>
    <row r="10" spans="1:146" ht="12" customHeight="1" x14ac:dyDescent="0.2">
      <c r="A10" s="808"/>
      <c r="B10" s="551" t="s">
        <v>2944</v>
      </c>
      <c r="C10" s="236">
        <f>IFERROR(GETPIVOTDATA("Count of D2 Loss",'3.10 Pivot'!$A$1,"Status 1 - Development","03 Planning","Status 2 - Permission Type","04 Prior Approval","D2Description_Loss","Casino or Bingo Hall"),0)+IFERROR(GETPIVOTDATA("Count of D2 Loss",'3.10 Pivot'!$A$1,"Status 1 - Development","03 Planning","Status 2 - Permission Type","05 Certificate of Lawful Development","D2Description_Loss","Casino or Bingo Hall"),0)</f>
        <v>0</v>
      </c>
      <c r="D10" s="237">
        <f>IFERROR(GETPIVOTDATA("Sum of D2 Loss2",'3.10 Pivot'!$A$1,"Status 1 - Development","03 Planning","Status 2 - Permission Type","04 Prior Approval","D2Description_Loss","Casino or Bingo Hall"),0)+IFERROR(GETPIVOTDATA("Sum of D2 Loss2",'3.10 Pivot'!$A$1,"Status 1 - Development","03 Planning","Status 2 - Permission Type","05 Certificate of Lawful Development","D2Description_Loss","Casino or Bingo Hall"),0)</f>
        <v>0</v>
      </c>
      <c r="E10" s="236">
        <f>IFERROR(GETPIVOTDATA("Count of D2 Loss",'3.10 Pivot'!$A$1,"Status 1 - Development","03 Planning","Status 2 - Permission Type","04 Prior Approval","D2Description_Loss","Childrens Play Facilities"),0)+IFERROR(GETPIVOTDATA("Count of D2 Loss",'3.10 Pivot'!$A$1,"Status 1 - Development","03 Planning","Status 2 - Permission Type","05 Certificate of Lawful Development","D2Description_Loss","Childrens Play Facilities"),0)</f>
        <v>0</v>
      </c>
      <c r="F10" s="237">
        <f>IFERROR(GETPIVOTDATA("Sum of D2 Loss2",'3.10 Pivot'!$A$1,"Status 1 - Development","03 Planning","Status 2 - Permission Type","04 Prior Approval","D2Description_Loss","Childrens Play Facilities"),0)+IFERROR(GETPIVOTDATA("Sum of D2 Loss2",'3.10 Pivot'!$A$1,"Status 1 - Development","03 Planning","Status 2 - Permission Type","05 Certificate of Lawful Development","D2Description_Loss","Childrens Play Facilities"),0)</f>
        <v>0</v>
      </c>
      <c r="G10" s="236">
        <f>IFERROR(GETPIVOTDATA("Count of D2 Loss",'3.10 Pivot'!$A$1,"Status 1 - Development","03 Planning","Status 2 - Permission Type","04 Prior Approval","D2Description_Loss","Cinema or Music Hall"),0)+IFERROR(GETPIVOTDATA("Count of D2 Loss",'3.10 Pivot'!$A$1,"Status 1 - Development","03 Planning","Status 2 - Permission Type","05 Certificate of Lawful Development","D2Description_Loss","Cinema or Music Hall"),0)</f>
        <v>0</v>
      </c>
      <c r="H10" s="237">
        <f>IFERROR(GETPIVOTDATA("Sum of D2 Loss2",'3.10 Pivot'!$A$1,"Status 1 - Development","03 Planning","Status 2 - Permission Type","04 Prior Approval","D2Description_Loss","Cinema or Music Hall"),0)+IFERROR(GETPIVOTDATA("Sum of D2 Loss2",'3.10 Pivot'!$A$1,"Status 1 - Development","03 Planning","Status 2 - Permission Type","05 Certificate of Lawful Development","D2Description_Loss","Cinema or Music Hall"),0)</f>
        <v>0</v>
      </c>
      <c r="I10" s="513">
        <f>IFERROR(GETPIVOTDATA("Count of D2 Loss",'3.10 Pivot'!$A$1,"Status 1 - Development","03 Planning","Status 2 - Permission Type","04 Prior Approval","D2Description_Loss","Sports Facilities"),0)+IFERROR(GETPIVOTDATA("Count of D2 Loss",'3.10 Pivot'!$A$1,"Status 1 - Development","03 Planning","Status 2 - Permission Type","05 Certificate of Lawful Development","D2Description_Loss","Sports Facilities"),0)</f>
        <v>0</v>
      </c>
      <c r="J10" s="493">
        <f>IFERROR(GETPIVOTDATA("Sum of D2 Loss2",'3.10 Pivot'!$A$1,"Status 1 - Development","03 Planning","Status 2 - Permission Type","04 Prior Approval","D2Description_Loss","Sports Facilities"),0)+IFERROR(GETPIVOTDATA("Sum of D2 Loss2",'3.10 Pivot'!$A$1,"Status 1 - Development","03 Planning","Status 2 - Permission Type","05 Certificate of Lawful Development","D2Description_Loss","Sports Facilities"),0)</f>
        <v>0</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row>
    <row r="11" spans="1:146" x14ac:dyDescent="0.2">
      <c r="A11" s="808"/>
      <c r="B11" s="511" t="s">
        <v>2932</v>
      </c>
      <c r="C11" s="236">
        <f>IFERROR(GETPIVOTDATA("Count of D2 Loss",'3.10 Pivot'!$A$1,"Status 1 - Development","04 Pending","Status 2 - Permission Type","01 Pending Legal Agreement","D2Description_Loss","Casino or Bingo Hall"),0)</f>
        <v>0</v>
      </c>
      <c r="D11" s="237">
        <f>IFERROR(GETPIVOTDATA("Sum of D2 Loss2",'3.10 Pivot'!$A$1,"Status 1 - Development","04 Pending","Status 2 - Permission Type","01 Pending Legal Agreement","D2Description_Loss","Casino or Bingo Hall"),0)</f>
        <v>0</v>
      </c>
      <c r="E11" s="236">
        <f>IFERROR(GETPIVOTDATA("Count of D2 Loss",'3.10 Pivot'!$A$1,"Status 1 - Development","04 Pending","Status 2 - Permission Type","01 Pending Legal Agreement","D2Description_Loss","Childrens Play Facilities"),0)</f>
        <v>0</v>
      </c>
      <c r="F11" s="237">
        <f>IFERROR(GETPIVOTDATA("Sum of D2 Loss2",'3.10 Pivot'!$A$1,"Status 1 - Development","04 Pending","Status 2 - Permission Type","01 Pending Legal Agreement","D2Description_Loss","Childrens Play Facilities"),0)</f>
        <v>0</v>
      </c>
      <c r="G11" s="236">
        <f>IFERROR(GETPIVOTDATA("Count of D2 Loss",'3.10 Pivot'!$A$1,"Status 1 - Development","04 Pending","Status 2 - Permission Type","01 Pending Legal Agreement","D2Description_Loss","Cinema or Music Hall"),0)</f>
        <v>0</v>
      </c>
      <c r="H11" s="237">
        <f>IFERROR(GETPIVOTDATA("Sum of D2 Loss2",'3.10 Pivot'!$A$1,"Status 1 - Development","04 Pending","Status 2 - Permission Type","01 Pending Legal Agreement","D2Description_Loss","Cinema or Music Hall"),0)</f>
        <v>0</v>
      </c>
      <c r="I11" s="513">
        <f>IFERROR(GETPIVOTDATA("Count of D2 Loss",'3.10 Pivot'!$A$1,"Status 1 - Development","04 Pending","Status 2 - Permission Type","01 Pending Legal Agreement","D2Description_Loss","Sports Facilities"),0)</f>
        <v>0</v>
      </c>
      <c r="J11" s="493">
        <f>IFERROR(GETPIVOTDATA("Sum of D2 Loss2",'3.10 Pivot'!$A$1,"Status 1 - Development","04 Pending","Status 2 - Permission Type","01 Pending Legal Agreement","D2Description_Loss","Sports Facilities"),0)</f>
        <v>0</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row>
    <row r="12" spans="1:146" x14ac:dyDescent="0.2">
      <c r="A12" s="808"/>
      <c r="B12" s="511" t="s">
        <v>2933</v>
      </c>
      <c r="C12" s="236">
        <f>IFERROR(GETPIVOTDATA("Count of D2 Loss",'3.10 Pivot'!$A$1,"Status 1 - Development","04 Pending","Status 2 - Permission Type","06 Appeal","D2Description_Loss","Casino or Bingo Hall"),0)</f>
        <v>0</v>
      </c>
      <c r="D12" s="237">
        <f>IFERROR(GETPIVOTDATA("Sum of D2 Loss2",'3.10 Pivot'!$A$1,"Status 1 - Development","04 Pending","Status 2 - Permission Type","06 Appeal","D2Description_Loss","Casino or Bingo Hall"),0)</f>
        <v>0</v>
      </c>
      <c r="E12" s="236">
        <f>IFERROR(GETPIVOTDATA("Count of D2 Loss",'3.10 Pivot'!$A$1,"Status 1 - Development","04 Pending","Status 2 - Permission Type","06 Appeal","D2Description_Loss","Childrens Play Facilities"),0)</f>
        <v>0</v>
      </c>
      <c r="F12" s="237">
        <f>IFERROR(GETPIVOTDATA("Sum of D2 Loss2",'3.10 Pivot'!$A$1,"Status 1 - Development","04 Pending","Status 2 - Permission Type","06 Appeal","D2Description_Loss","Childrens Play Facilities"),0)</f>
        <v>0</v>
      </c>
      <c r="G12" s="236">
        <f>IFERROR(GETPIVOTDATA("Count of D2 Loss",'3.10 Pivot'!$A$1,"Status 1 - Development","04 Pending","Status 2 - Permission Type","06 Appeal","D2Description_Loss","Cinema or Music Hall"),0)</f>
        <v>0</v>
      </c>
      <c r="H12" s="237">
        <f>IFERROR(GETPIVOTDATA("Sum of D2 Loss2",'3.10 Pivot'!$A$1,"Status 1 - Development","04 Pending","Status 2 - Permission Type","06 Appeal","D2Description_Loss","Cinema or Music Hall"),0)</f>
        <v>0</v>
      </c>
      <c r="I12" s="513">
        <f>IFERROR(GETPIVOTDATA("Count of D2 Loss",'3.10 Pivot'!$A$1,"Status 1 - Development","04 Pending","Status 2 - Permission Type","06 Appeal","D2Description_Loss","Sports Facilities"),0)</f>
        <v>0</v>
      </c>
      <c r="J12" s="493">
        <f>IFERROR(GETPIVOTDATA("Sum of D2 Loss2",'3.10 Pivot'!$A$1,"Status 1 - Development","04 Pending","Status 2 - Permission Type","06 Appeal","D2Description_Loss","Sports Facilities"),0)</f>
        <v>0</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row>
    <row r="13" spans="1:146" x14ac:dyDescent="0.2">
      <c r="A13" s="808"/>
      <c r="B13" s="511" t="s">
        <v>3800</v>
      </c>
      <c r="C13" s="266">
        <f>IFERROR(GETPIVOTDATA("Count of D2 Loss",'3.10 Pivot'!$A$1,"Status 1 - Development","04 Pending","Status 2 - Permission Type","02 Full","D2Description_Loss","Casino or Bingo Hall"),0)+IFERROR(GETPIVOTDATA("Count of D2 Loss",'3.10 Pivot'!$A$1,"Status 1 - Development","04 Pending","Status 2 - Permission Type","03 Outline","D2Description_Loss","Casino or Bingo Hall"),0)+IFERROR(GETPIVOTDATA("Count of D2 Loss",'3.10 Pivot'!$A$1,"Status 1 - Development","04 Pending","Status 2 - Permission Type","04 Prior Approval","D2Description_Loss","Casino or Bingo Hall"),0)+IFERROR(GETPIVOTDATA("Count of D2 Loss",'3.10 Pivot'!$A$1,"Status 1 - Development","04 Pending","Status 2 - Permission Type","05 Certificate of Lawful Development","D2Description_Loss","Casino or Bingo Hall"),0)</f>
        <v>0</v>
      </c>
      <c r="D13" s="268">
        <f>IFERROR(GETPIVOTDATA("Sum of D2 Loss2",'3.10 Pivot'!$A$1,"Status 1 - Development","04 Pending","Status 2 - Permission Type","02 Full","D2Description_Loss","Casino or Bingo Hall"),0)+IFERROR(GETPIVOTDATA("Sum of D2 Loss2",'3.10 Pivot'!$A$1,"Status 1 - Development","04 Pending","Status 2 - Permission Type","03 Outline","D2Description_Loss","Casino or Bingo Hall"),0)+IFERROR(GETPIVOTDATA("Sum of D2 Loss2",'3.10 Pivot'!$A$1,"Status 1 - Development","04 Pending","Status 2 - Permission Type","04 Prior Approval","D2Description_Loss","Casino or Bingo Hall"),0)+IFERROR(GETPIVOTDATA("Sum of D2 Loss2",'3.10 Pivot'!$A$1,"Status 1 - Development","04 Pending","Status 2 - Permission Type","05 Certificate of Lawful Development","D2Description_Loss","Casino or Bingo Hall"),0)</f>
        <v>0</v>
      </c>
      <c r="E13" s="266">
        <f>IFERROR(GETPIVOTDATA("Count of D2 Loss",'3.10 Pivot'!$A$1,"Status 1 - Development","04 Pending","Status 2 - Permission Type","02 Full","D2Description_Loss","Childrens Play Facilities"),0)+IFERROR(GETPIVOTDATA("Count of D2 Loss",'3.10 Pivot'!$A$1,"Status 1 - Development","04 Pending","Status 2 - Permission Type","03 Outline","D2Description_Loss","Childrens Play Facilities"),0)+IFERROR(GETPIVOTDATA("Count of D2 Loss",'3.10 Pivot'!$A$1,"Status 1 - Development","04 Pending","Status 2 - Permission Type","04 Prior Approval","D2Description_Loss","Childrens Play Facilities"),0)+IFERROR(GETPIVOTDATA("Count of D2 Loss",'3.10 Pivot'!$A$1,"Status 1 - Development","04 Pending","Status 2 - Permission Type","05 Certificate of Lawful Development","D2Description_Loss","Childrens Play Facilities"),0)</f>
        <v>0</v>
      </c>
      <c r="F13" s="268">
        <f>IFERROR(GETPIVOTDATA("Sum of D2 Loss2",'3.10 Pivot'!$A$1,"Status 1 - Development","04 Pending","Status 2 - Permission Type","02 Full","D2Description_Loss","Childrens Play Facilities"),0)+IFERROR(GETPIVOTDATA("Sum of D2 Loss2",'3.10 Pivot'!$A$1,"Status 1 - Development","04 Pending","Status 2 - Permission Type","03 Outline","D2Description_Loss","Childrens Play Facilities"),0)+IFERROR(GETPIVOTDATA("Sum of D2 Loss2",'3.10 Pivot'!$A$1,"Status 1 - Development","04 Pending","Status 2 - Permission Type","04 Prior Approval","D2Description_Loss","Childrens Play Facilities"),0)+IFERROR(GETPIVOTDATA("Sum of D2 Loss2",'3.10 Pivot'!$A$1,"Status 1 - Development","04 Pending","Status 2 - Permission Type","05 Certificate of Lawful Development","D2Description_Loss","Childrens Play Facilities"),0)</f>
        <v>0</v>
      </c>
      <c r="G13" s="266">
        <f>IFERROR(GETPIVOTDATA("Count of D2 Loss",'3.10 Pivot'!$A$1,"Status 1 - Development","04 Pending","Status 2 - Permission Type","02 Full","D2Description_Loss","Cinema or Music Hall"),0)+IFERROR(GETPIVOTDATA("Count of D2 Loss",'3.10 Pivot'!$A$1,"Status 1 - Development","04 Pending","Status 2 - Permission Type","03 Outline","D2Description_Loss","Cinema or Music Hall"),0)+IFERROR(GETPIVOTDATA("Count of D2 Loss",'3.10 Pivot'!$A$1,"Status 1 - Development","04 Pending","Status 2 - Permission Type","04 Prior Approval","D2Description_Loss","Cinema or Music Hall"),0)+IFERROR(GETPIVOTDATA("Count of D2 Loss",'3.10 Pivot'!$A$1,"Status 1 - Development","04 Pending","Status 2 - Permission Type","05 Certificate of Lawful Development","D2Description_Loss","Cinema or Music Hall"),0)</f>
        <v>0</v>
      </c>
      <c r="H13" s="268">
        <f>IFERROR(GETPIVOTDATA("Sum of D2 Loss2",'3.10 Pivot'!$A$1,"Status 1 - Development","04 Pending","Status 2 - Permission Type","02 Full","D2Description_Loss","Cinema or Music Hall"),0)+IFERROR(GETPIVOTDATA("Sum of D2 Loss2",'3.10 Pivot'!$A$1,"Status 1 - Development","04 Pending","Status 2 - Permission Type","03 Outline","D2Description_Loss","Cinema or Music Hall"),0)+IFERROR(GETPIVOTDATA("Sum of D2 Loss2",'3.10 Pivot'!$A$1,"Status 1 - Development","04 Pending","Status 2 - Permission Type","04 Prior Approval","D2Description_Loss","Cinema or Music Hall"),0)+IFERROR(GETPIVOTDATA("Sum of D2 Loss2",'3.10 Pivot'!$A$1,"Status 1 - Development","04 Pending","Status 2 - Permission Type","05 Certificate of Lawful Development","D2Description_Loss","Cinema or Music Hall"),0)</f>
        <v>0</v>
      </c>
      <c r="I13" s="266">
        <f>IFERROR(GETPIVOTDATA("Count of D2 Loss",'3.10 Pivot'!$A$1,"Status 1 - Development","04 Pending","Status 2 - Permission Type","02 Full","D2Description_Loss","Sports Facilities"),0)+IFERROR(GETPIVOTDATA("Count of D2 Loss",'3.10 Pivot'!$A$1,"Status 1 - Development","04 Pending","Status 2 - Permission Type","03 Outline","D2Description_Loss","Sports Facilities"),0)+IFERROR(GETPIVOTDATA("Count of D2 Loss",'3.10 Pivot'!$A$1,"Status 1 - Development","04 Pending","Status 2 - Permission Type","04 Prior Approval","D2Description_Loss","Sports Facilities"),0)+IFERROR(GETPIVOTDATA("Count of D2 Loss",'3.10 Pivot'!$A$1,"Status 1 - Development","04 Pending","Status 2 - Permission Type","05 Certificate of Lawful Development","D2Description_Loss","Sports Facilities"),0)</f>
        <v>0</v>
      </c>
      <c r="J13" s="514">
        <f>IFERROR(GETPIVOTDATA("Sum of D2 Loss2",'3.10 Pivot'!$A$1,"Status 1 - Development","04 Pending","Status 2 - Permission Type","02 Full","D2Description_Loss","Sports Facilities"),0)+IFERROR(GETPIVOTDATA("Sum of D2 Loss2",'3.10 Pivot'!$A$1,"Status 1 - Development","04 Pending","Status 2 - Permission Type","03 Outline","D2Description_Loss","Sports Facilities"),0)+IFERROR(GETPIVOTDATA("Sum of D2 Loss2",'3.10 Pivot'!$A$1,"Status 1 - Development","04 Pending","Status 2 - Permission Type","04 Prior Approval","D2Description_Loss","Sports Facilities"),0)+IFERROR(GETPIVOTDATA("Sum of D2 Loss2",'3.10 Pivot'!$A$1,"Status 1 - Development","04 Pending","Status 2 - Permission Type","05 Certificate of Lawful Development","D2Description_Loss","Sports Facilities"),0)</f>
        <v>0</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row>
    <row r="14" spans="1:146" x14ac:dyDescent="0.2">
      <c r="A14" s="809"/>
      <c r="B14" s="512" t="s">
        <v>95</v>
      </c>
      <c r="C14" s="102">
        <f t="shared" ref="C14:J14" si="0">SUM(C7:C13)</f>
        <v>0</v>
      </c>
      <c r="D14" s="103">
        <f t="shared" si="0"/>
        <v>0</v>
      </c>
      <c r="E14" s="102">
        <f t="shared" si="0"/>
        <v>1</v>
      </c>
      <c r="F14" s="103">
        <f t="shared" si="0"/>
        <v>1245</v>
      </c>
      <c r="G14" s="102">
        <f t="shared" si="0"/>
        <v>0</v>
      </c>
      <c r="H14" s="103">
        <f t="shared" si="0"/>
        <v>0</v>
      </c>
      <c r="I14" s="474">
        <f t="shared" si="0"/>
        <v>3</v>
      </c>
      <c r="J14" s="475">
        <f t="shared" si="0"/>
        <v>2517</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row>
    <row r="15" spans="1:146" x14ac:dyDescent="0.2">
      <c r="A15" s="12"/>
      <c r="B15" s="12"/>
      <c r="C15" s="4"/>
      <c r="D15" s="4"/>
      <c r="E15" s="4"/>
      <c r="F15" s="4"/>
      <c r="G15" s="4"/>
      <c r="H15" s="4"/>
      <c r="I15" s="12"/>
      <c r="J15" s="1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row>
    <row r="16" spans="1:146" x14ac:dyDescent="0.2">
      <c r="A16" s="807" t="s">
        <v>88</v>
      </c>
      <c r="B16" s="810"/>
      <c r="C16" s="812" t="s">
        <v>47</v>
      </c>
      <c r="D16" s="813"/>
      <c r="E16" s="816" t="s">
        <v>49</v>
      </c>
      <c r="F16" s="816"/>
      <c r="G16" s="816" t="s">
        <v>31</v>
      </c>
      <c r="H16" s="816"/>
      <c r="I16" s="814" t="s">
        <v>95</v>
      </c>
      <c r="J16" s="81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row>
    <row r="17" spans="1:146" ht="24" x14ac:dyDescent="0.2">
      <c r="A17" s="809"/>
      <c r="B17" s="811"/>
      <c r="C17" s="380" t="s">
        <v>2970</v>
      </c>
      <c r="D17" s="379" t="s">
        <v>168</v>
      </c>
      <c r="E17" s="380" t="s">
        <v>2970</v>
      </c>
      <c r="F17" s="379" t="s">
        <v>168</v>
      </c>
      <c r="G17" s="380" t="s">
        <v>2970</v>
      </c>
      <c r="H17" s="379" t="s">
        <v>168</v>
      </c>
      <c r="I17" s="490" t="s">
        <v>2970</v>
      </c>
      <c r="J17" s="496" t="s">
        <v>168</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row>
    <row r="18" spans="1:146" x14ac:dyDescent="0.2">
      <c r="A18" s="805" t="s">
        <v>2926</v>
      </c>
      <c r="B18" s="806"/>
      <c r="C18" s="236">
        <f>IFERROR(GETPIVOTDATA("Count of D2 Loss",'3.10 Pivot'!$A$1,"Status 1 - Development","01 Completed","D2Description_Loss","Vacant"),0)</f>
        <v>0</v>
      </c>
      <c r="D18" s="237">
        <f>IFERROR(GETPIVOTDATA("Sum of D2 Loss2",'3.10 Pivot'!$A$1,"Status 1 - Development","01 Completed","D2Description_Loss","Vacant"),0)</f>
        <v>0</v>
      </c>
      <c r="E18" s="236">
        <f>IFERROR(GETPIVOTDATA("Count of D2 Loss",'3.10 Pivot'!$A$1,"Status 1 - Development","01 Completed","D2Description_Loss","Other"),0)</f>
        <v>2</v>
      </c>
      <c r="F18" s="237">
        <f>IFERROR(GETPIVOTDATA("Sum of D2 Loss2",'3.10 Pivot'!$A$1,"Status 1 - Development","01 Completed","D2Description_Loss","Other"),0)</f>
        <v>255</v>
      </c>
      <c r="G18" s="236">
        <f>IFERROR(GETPIVOTDATA("Count of D2 Loss",'3.10 Pivot'!$A$1,"Status 1 - Development","01 Completed","D2Description_Loss","-"),0)+IFERROR(GETPIVOTDATA("Count of D2 Loss",'3.10 Pivot'!$A$1,"Status 1 - Development","01 Completed","D2Description_Loss","Not Known"),0)</f>
        <v>0</v>
      </c>
      <c r="H18" s="237">
        <f>IFERROR(GETPIVOTDATA("Sum of D2 Loss2",'3.10 Pivot'!$A$1,"Status 1 - Development","01 Completed","D2Description_Loss","-"),0)+IFERROR(GETPIVOTDATA("Sum of D2 Loss2",'3.10 Pivot'!$A$1,"Status 1 - Development","01 Completed","D2Description_Loss","Not Known"),0)</f>
        <v>0</v>
      </c>
      <c r="I18" s="515">
        <f>IFERROR(GETPIVOTDATA("Count of D2 Loss",'3.10 Pivot'!$A$1,"Status 1 - Development","01 Completed"),0)</f>
        <v>3</v>
      </c>
      <c r="J18" s="516">
        <f>IFERROR(GETPIVOTDATA("Sum of D2 Loss2",'3.10 Pivot'!$A$1,"Status 1 - Development","01 Completed"),0)</f>
        <v>350</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row>
    <row r="19" spans="1:146" x14ac:dyDescent="0.2">
      <c r="A19" s="807" t="s">
        <v>2962</v>
      </c>
      <c r="B19" s="511" t="s">
        <v>96</v>
      </c>
      <c r="C19" s="236">
        <f>IFERROR(GETPIVOTDATA("Count of D2 Loss",'3.10 Pivot'!$A$1,"Status 1 - Development","02 Under Construction","D2Description_Loss","Vacant"),0)</f>
        <v>1</v>
      </c>
      <c r="D19" s="237">
        <f>IFERROR(GETPIVOTDATA("Sum of D2 Loss2",'3.10 Pivot'!$A$1,"Status 1 - Development","02 Under Construction","D2Description_Loss","Vacant"),0)</f>
        <v>363</v>
      </c>
      <c r="E19" s="236">
        <f>IFERROR(GETPIVOTDATA("Count of D2 Loss",'3.10 Pivot'!$A$1,"Status 1 - Development","02 Under Construction","D2Description_Loss","Other"),0)</f>
        <v>0</v>
      </c>
      <c r="F19" s="237">
        <f>IFERROR(GETPIVOTDATA("Sum of D2 Loss2",'3.10 Pivot'!$A$1,"Status 1 - Development","02 Under Construction","D2Description_Loss","Other"),0)</f>
        <v>0</v>
      </c>
      <c r="G19" s="236">
        <f>IFERROR(GETPIVOTDATA("Count of D2 Loss",'3.10 Pivot'!$A$1,"Status 1 - Development","02 Under Construction","D2Description_Loss","-"),0)+IFERROR(GETPIVOTDATA("Count of D2 Loss",'3.10 Pivot'!$A$1,"Status 1 - Development","02 Under Construction","D2Description_Loss","Not Known"),0)</f>
        <v>1</v>
      </c>
      <c r="H19" s="237">
        <f>IFERROR(GETPIVOTDATA("Sum of D2 Loss2",'3.10 Pivot'!$A$1,"Status 1 - Development","02 Under Construction","D2Description_Loss","-"),0)+IFERROR(GETPIVOTDATA("Sum of D2 Loss2",'3.10 Pivot'!$A$1,"Status 1 - Development","02 Under Construction","D2Description_Loss","Not Known"),0)</f>
        <v>275</v>
      </c>
      <c r="I19" s="515">
        <f>IFERROR(GETPIVOTDATA("Count of D2 Loss",'3.10 Pivot'!$A$1,"Status 1 - Development","02 Under Construction"),0)</f>
        <v>3</v>
      </c>
      <c r="J19" s="516">
        <f>IFERROR(GETPIVOTDATA("Sum of D2 Loss2",'3.10 Pivot'!$A$1,"Status 1 - Development","02 Under Construction"),0)</f>
        <v>1110</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row>
    <row r="20" spans="1:146" x14ac:dyDescent="0.2">
      <c r="A20" s="808"/>
      <c r="B20" s="511" t="s">
        <v>2966</v>
      </c>
      <c r="C20" s="236">
        <f>IFERROR(GETPIVOTDATA("Count of D2 Loss",'3.10 Pivot'!$A$1,"Status 1 - Development","03 Planning","Status 2 - Permission Type","02 Full","D2Description_Loss","Vacant"),0)</f>
        <v>2</v>
      </c>
      <c r="D20" s="237">
        <f>IFERROR(GETPIVOTDATA("Sum of D2 Loss2",'3.10 Pivot'!$A$1,"Status 1 - Development","03 Planning","Status 2 - Permission Type","02 Full","D2Description_Loss","Vacant"),0)</f>
        <v>1420</v>
      </c>
      <c r="E20" s="236">
        <f>IFERROR(GETPIVOTDATA("Count of D2 Loss",'3.10 Pivot'!$A$1,"Status 1 - Development","03 Planning","Status 2 - Permission Type","02 Full","D2Description_Loss","Other"),0)</f>
        <v>2</v>
      </c>
      <c r="F20" s="237">
        <f>IFERROR(GETPIVOTDATA("Sum of D2 Loss2",'3.10 Pivot'!$A$1,"Status 1 - Development","03 Planning","Status 2 - Permission Type","02 Full","D2Description_Loss","Other"),0)</f>
        <v>662</v>
      </c>
      <c r="G20" s="236">
        <f>IFERROR(GETPIVOTDATA("Count of D2 Loss",'3.10 Pivot'!$A$1,"Status 1 - Development","03 Planning","Status 2 - Permission Type","02 Full","D2Description_Loss","-"),0)+IFERROR(GETPIVOTDATA("Count of D2 Loss",'3.10 Pivot'!$A$1,"Status 1 - Development","03 Planning","Status 2 - Permission Type","02 Full","D2Description_Loss","Not Known"),0)</f>
        <v>0</v>
      </c>
      <c r="H20" s="237">
        <f>IFERROR(GETPIVOTDATA("Sum of D2 Loss2",'3.10 Pivot'!$A$1,"Status 1 - Development","03 Planning","Status 2 - Permission Type","02 Full","D2Description_Loss","-"),0)+IFERROR(GETPIVOTDATA("Sum of D2 Loss2",'3.10 Pivot'!$A$1,"Status 1 - Development","03 Planning","Status 2 - Permission Type","02 Full","D2Description_Loss","Not Known"),0)</f>
        <v>0</v>
      </c>
      <c r="I20" s="515">
        <f>IFERROR(GETPIVOTDATA("Count of D2 Loss",'3.10 Pivot'!$A$1,"Status 1 - Development","03 Planning","Status 2 - Permission Type","02 Full"),0)</f>
        <v>7</v>
      </c>
      <c r="J20" s="516">
        <f>IFERROR(GETPIVOTDATA("Sum of D2 Loss2",'3.10 Pivot'!$A$1,"Status 1 - Development","03 Planning","Status 2 - Permission Type","02 Full"),0)</f>
        <v>5372</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row>
    <row r="21" spans="1:146" x14ac:dyDescent="0.2">
      <c r="A21" s="808"/>
      <c r="B21" s="511" t="s">
        <v>2967</v>
      </c>
      <c r="C21" s="236">
        <f>IFERROR(GETPIVOTDATA("Count of D2 Loss",'3.10 Pivot'!$A$1,"Status 1 - Development","03 Planning","Status 2 - Permission Type","03 Outline","D2Description_Loss","Vacant"),0)</f>
        <v>0</v>
      </c>
      <c r="D21" s="237">
        <f>IFERROR(GETPIVOTDATA("Sum of D2 Loss2",'3.10 Pivot'!$A$1,"Status 1 - Development","03 Planning","Status 2 - Permission Type","03 Outline","D2Description_Loss","Vacant"),0)</f>
        <v>0</v>
      </c>
      <c r="E21" s="236">
        <f>IFERROR(GETPIVOTDATA("Count of D2 Loss",'3.10 Pivot'!$A$1,"Status 1 - Development","03 Planning","Status 2 - Permission Type","03 Outline","D2Description_Loss","Other"),0)</f>
        <v>0</v>
      </c>
      <c r="F21" s="237">
        <f>IFERROR(GETPIVOTDATA("Sum of D2 Loss2",'3.10 Pivot'!$A$1,"Status 1 - Development","03 Planning","Status 2 - Permission Type","03 Outline","D2Description_Loss","Other"),0)</f>
        <v>0</v>
      </c>
      <c r="G21" s="236">
        <f>IFERROR(GETPIVOTDATA("Count of D2 Loss",'3.10 Pivot'!$A$1,"Status 1 - Development","03 Planning","Status 2 - Permission Type","03 Outline","D2Description_Loss","-"),0)+IFERROR(GETPIVOTDATA("Count of D2 Loss",'3.10 Pivot'!$A$1,"Status 1 - Development","03 Planning","Status 2 - Permission Type","03 Outline","D2Description_Loss","Not Known"),0)</f>
        <v>0</v>
      </c>
      <c r="H21" s="237">
        <f>IFERROR(GETPIVOTDATA("Sum of D2 Loss2",'3.10 Pivot'!$A$1,"Status 1 - Development","03 Planning","Status 2 - Permission Type","03 Outline","D2Description_Loss","-"),0)+IFERROR(GETPIVOTDATA("Sum of D2 Loss2",'3.10 Pivot'!$A$1,"Status 1 - Development","03 Planning","Status 2 - Permission Type","03 Outline","D2Description_Loss","Not Known"),0)</f>
        <v>0</v>
      </c>
      <c r="I21" s="515">
        <f>IFERROR(GETPIVOTDATA("Count of D2 Loss",'3.10 Pivot'!$A$1,"Status 1 - Development","03 Planning","Status 2 - Permission Type","03 Outline"),0)</f>
        <v>0</v>
      </c>
      <c r="J21" s="516">
        <f>IFERROR(GETPIVOTDATA("Sum of D2 Loss2",'3.10 Pivot'!$A$1,"Status 1 - Development","03 Planning","Status 2 - Permission Type","03 Outline"),0)</f>
        <v>0</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row>
    <row r="22" spans="1:146" x14ac:dyDescent="0.2">
      <c r="A22" s="808"/>
      <c r="B22" s="551" t="s">
        <v>2944</v>
      </c>
      <c r="C22" s="236">
        <f>IFERROR(GETPIVOTDATA("Count of D2 Loss",'3.10 Pivot'!$A$1,"Status 1 - Development","03 Planning","Status 2 - Permission Type","04 Prior Approval","D2Description_Loss","Vacant"),0)+IFERROR(GETPIVOTDATA("Count of D2 Loss",'3.10 Pivot'!$A$1,"Status 1 - Development","03 Planning","Status 2 - Permission Type","05 Certificate of Lawful Development","D2Description_Loss","Vacant"),0)</f>
        <v>0</v>
      </c>
      <c r="D22" s="237">
        <f>IFERROR(GETPIVOTDATA("Sum of D2 Loss2",'3.10 Pivot'!$A$1,"Status 1 - Development","03 Planning","Status 2 - Permission Type","04 Prior Approval","D2Description_Loss","Vacant"),0)+IFERROR(GETPIVOTDATA("Sum of D2 Loss2",'3.10 Pivot'!$A$1,"Status 1 - Development","03 Planning","Status 2 - Permission Type","05 Certificate of Lawful Development","D2Description_Loss","Vacant"),0)</f>
        <v>0</v>
      </c>
      <c r="E22" s="236">
        <f>IFERROR(GETPIVOTDATA("Count of D2 Loss",'3.10 Pivot'!$A$1,"Status 1 - Development","03 Planning","Status 2 - Permission Type","04 Prior Approval","D2Description_Loss","Other"),0)+IFERROR(GETPIVOTDATA("Count of D2 Loss",'3.10 Pivot'!$A$1,"Status 1 - Development","03 Planning","Status 2 - Permission Type","05 Certificate of Lawful Development","D2Description_Loss","Other"),0)</f>
        <v>0</v>
      </c>
      <c r="F22" s="237">
        <f>IFERROR(GETPIVOTDATA("Sum of D2 Loss2",'3.10 Pivot'!$A$1,"Status 1 - Development","03 Planning","Status 2 - Permission Type","04 Prior Approval","D2Description_Loss","Other"),0)+IFERROR(GETPIVOTDATA("Sum of D2 Loss2",'3.10 Pivot'!$A$1,"Status 1 - Development","03 Planning","Status 2 - Permission Type","05 Certificate of Lawful Development","D2Description_Loss","Other"),0)</f>
        <v>0</v>
      </c>
      <c r="G22" s="236">
        <f>IFERROR(GETPIVOTDATA("Count of D2 Loss",'3.10 Pivot'!$A$1,"Status 1 - Development","03 Planning","Status 2 - Permission Type","04 Prior Approval","D2Description_Loss","-"),0)+IFERROR(GETPIVOTDATA("Count of D2 Loss",'3.10 Pivot'!$A$1,"Status 1 - Development","03 Planning","Status 2 - Permission Type","05 Certificate of Lawful Development","D2Description_Loss","-"),0)+IFERROR(GETPIVOTDATA("Count of D2 Loss",'3.10 Pivot'!$A$1,"Status 1 - Development","03 Planning","Status 2 - Permission Type","04 Prior Approval","D2Description_Loss","Not Known"),0)+IFERROR(GETPIVOTDATA("Count of D2 Loss",'3.10 Pivot'!$A$1,"Status 1 - Development","03 Planning","Status 2 - Permission Type","05 Certificate of Lawful Development","D2Description_Loss","Not Known"),0)</f>
        <v>0</v>
      </c>
      <c r="H22" s="237">
        <f>IFERROR(GETPIVOTDATA("Sum of D2 Loss2",'3.10 Pivot'!$A$1,"Status 1 - Development","03 Planning","Status 2 - Permission Type","04 Prior Approval","D2Description_Loss","-"),0)+IFERROR(GETPIVOTDATA("Sum of D2 Loss2",'3.10 Pivot'!$A$1,"Status 1 - Development","03 Planning","Status 2 - Permission Type","05 Certificate of Lawful Development","D2Description_Loss","-"),0)+IFERROR(GETPIVOTDATA("Sum of D2 Loss2",'3.10 Pivot'!$A$1,"Status 1 - Development","03 Planning","Status 2 - Permission Type","04 Prior Approval","D2Description_Loss","Not Known"),0)+IFERROR(GETPIVOTDATA("Sum of D2 Loss2",'3.10 Pivot'!$A$1,"Status 1 - Development","03 Planning","Status 2 - Permission Type","05 Certificate of Lawful Development","D2Description_Loss","Not Known"),0)</f>
        <v>0</v>
      </c>
      <c r="I22" s="515">
        <f>IFERROR(GETPIVOTDATA("Count of D2 Loss",'3.10 Pivot'!$A$1,"Status 1 - Development","03 Planning","Status 2 - Permission Type","04 Prior Approval"),0)+IFERROR(GETPIVOTDATA("Count of D2 Loss",'3.10 Pivot'!$A$1,"Status 1 - Development","03 Planning","Status 2 - Permission Type","05 Certificate of Lawful Development"),0)</f>
        <v>0</v>
      </c>
      <c r="J22" s="516">
        <f>IFERROR(GETPIVOTDATA("Sum of D2 Loss2",'3.10 Pivot'!$A$1,"Status 1 - Development","03 Planning","Status 2 - Permission Type","04 Prior Approval"),0)+IFERROR(GETPIVOTDATA("Sum of D2 Loss2",'3.10 Pivot'!$A$1:$A$1,"Status 1 - Development","03 Planning","Status 2 - Permission Type","05 Certificate of Lawful Development"),0)</f>
        <v>0</v>
      </c>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row>
    <row r="23" spans="1:146" x14ac:dyDescent="0.2">
      <c r="A23" s="808"/>
      <c r="B23" s="511" t="s">
        <v>2932</v>
      </c>
      <c r="C23" s="236">
        <f>IFERROR(GETPIVOTDATA("Count of D2 Loss",'3.10 Pivot'!$A$1,"Status 1 - Development","04 Pending","Status 2 - Permission Type","01 Pending Legal Agreement","D2Description_Loss","Vacant"),0)</f>
        <v>0</v>
      </c>
      <c r="D23" s="237">
        <f>IFERROR(GETPIVOTDATA("Sum of D2 Loss2",'3.10 Pivot'!$A$1,"Status 1 - Development","04 Pending","Status 2 - Permission Type","01 Pending Legal Agreement","D2Description_Loss","Vacant"),0)</f>
        <v>0</v>
      </c>
      <c r="E23" s="236">
        <f>IFERROR(GETPIVOTDATA("Count of D2 Loss",'3.10 Pivot'!$A$1,"Status 1 - Development","04 Pending","Status 2 - Permission Type","01 Pending Legal Agreement","D2Description_Loss","Other"),0)</f>
        <v>0</v>
      </c>
      <c r="F23" s="237">
        <f>IFERROR(GETPIVOTDATA("Sum of D2 Loss2",'3.10 Pivot'!$A$1,"Status 1 - Development","04 Pending","Status 2 - Permission Type","01 Pending Legal Agreement","D2Description_Loss","Other"),0)</f>
        <v>0</v>
      </c>
      <c r="G23" s="236">
        <f>IFERROR(GETPIVOTDATA("Count of D2 Loss",'3.10 Pivot'!$A$1,"Status 1 - Development","04 Pending","Status 2 - Permission Type","01 Pending Legal Agreement","D2Description_Loss","-"),0)+IFERROR(GETPIVOTDATA("Count of D2 Loss",'3.10 Pivot'!$A$1,"Status 1 - Development","04 Pending","Status 2 - Permission Type","01 Pending Legal Agreement","D2Description_Loss","Not Known"),0)</f>
        <v>0</v>
      </c>
      <c r="H23" s="237">
        <f>IFERROR(GETPIVOTDATA("Sum of D2 Loss2",'3.10 Pivot'!$A$1,"Status 1 - Development","04 Pending","Status 2 - Permission Type","01 Pending Legal Agreement","D2Description_Loss","-"),0)+IFERROR(GETPIVOTDATA("Sum of D2 Loss2",'3.10 Pivot'!$A$1,"Status 1 - Development","04 Pending","Status 2 - Permission Type","01 Pending Legal Agreement","D2Description_Loss","Not Known"),0)</f>
        <v>0</v>
      </c>
      <c r="I23" s="515">
        <f>IFERROR(GETPIVOTDATA("Count of D2 Loss",'3.10 Pivot'!$A$1,"Status 1 - Development","04 Pending","Status 2 - Permission Type","01 Pending Legal Agreement"),0)</f>
        <v>0</v>
      </c>
      <c r="J23" s="516">
        <f>IFERROR(GETPIVOTDATA("Sum of D2 Loss2",'3.10 Pivot'!$A$1,"Status 1 - Development","04 Pending","Status 2 - Permission Type","01 Pending Legal Agreement"),0)</f>
        <v>0</v>
      </c>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row>
    <row r="24" spans="1:146" x14ac:dyDescent="0.2">
      <c r="A24" s="808"/>
      <c r="B24" s="511" t="s">
        <v>2933</v>
      </c>
      <c r="C24" s="236">
        <f>IFERROR(GETPIVOTDATA("Count of D2 Loss",'3.10 Pivot'!$A$1,"Status 1 - Development","04 Pending","Status 2 - Permission Type","06 Appeal","D2Description_Loss","Vacant"),0)</f>
        <v>0</v>
      </c>
      <c r="D24" s="237">
        <f>IFERROR(GETPIVOTDATA("Sum of D2 Loss2",'3.10 Pivot'!$A$1,"Status 1 - Development","04 Pending","Status 2 - Permission Type","06 Appeal","D2Description_Loss","Vacant"),0)</f>
        <v>0</v>
      </c>
      <c r="E24" s="236">
        <f>IFERROR(GETPIVOTDATA("Count of D2 Loss",'3.10 Pivot'!$A$1,"Status 1 - Development","04 Pending","Status 2 - Permission Type","06 Appeal","D2Description_Loss","Other"),0)</f>
        <v>1</v>
      </c>
      <c r="F24" s="237">
        <f>IFERROR(GETPIVOTDATA("Sum of D2 Loss2",'3.10 Pivot'!$A$1,"Status 1 - Development","04 Pending","Status 2 - Permission Type","06 Appeal","D2Description_Loss","Other"),0)</f>
        <v>176</v>
      </c>
      <c r="G24" s="236">
        <f>IFERROR(GETPIVOTDATA("Count of D2 Loss",'3.10 Pivot'!$A$1,"Status 1 - Development","04 Pending","Status 2 - Permission Type","06 Appeal","D2Description_Loss","-"),0)+IFERROR(GETPIVOTDATA("Count of D2 Loss",'3.10 Pivot'!$A$1,"Status 1 - Development","04 Pending","Status 2 - Permission Type","06 Appeal","D2Description_Loss","Not Known"),0)</f>
        <v>0</v>
      </c>
      <c r="H24" s="237">
        <f>IFERROR(GETPIVOTDATA("Sum of D2 Loss2",'3.10 Pivot'!$A$1,"Status 1 - Development","04 Pending","Status 2 - Permission Type","06 Appeal","D2Description_Loss","-"),0)+IFERROR(GETPIVOTDATA("Sum of D2 Loss2",'3.10 Pivot'!$A$1,"Status 1 - Development","04 Pending","Status 2 - Permission Type","06 Appeal","D2Description_Loss","Not Known"),0)</f>
        <v>0</v>
      </c>
      <c r="I24" s="515">
        <f>IFERROR(GETPIVOTDATA("Count of D2 Loss",'3.10 Pivot'!$A$1,"Status 1 - Development","04 Pending","Status 2 - Permission Type","06 Appeal"),0)</f>
        <v>1</v>
      </c>
      <c r="J24" s="516">
        <f>IFERROR(GETPIVOTDATA("Sum of D2 Loss2",'3.10 Pivot'!$A$1,"Status 1 - Development","04 Pending","Status 2 - Permission Type","06 Appeal"),0)</f>
        <v>176</v>
      </c>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row>
    <row r="25" spans="1:146" x14ac:dyDescent="0.2">
      <c r="A25" s="808"/>
      <c r="B25" s="511" t="s">
        <v>3800</v>
      </c>
      <c r="C25" s="266">
        <f>IFERROR(GETPIVOTDATA("Count of D2 Loss",'3.10 Pivot'!$A$1,"Status 1 - Development","04 Pending","Status 2 - Permission Type","02 Full","D2Description_Loss","Vacant"),0)+IFERROR(GETPIVOTDATA("Count of D2 Loss",'3.10 Pivot'!$A$1,"Status 1 - Development","04 Pending","Status 2 - Permission Type","03 Outline","D2Description_Loss","Vacant"),0)+IFERROR(GETPIVOTDATA("Count of D2 Loss",'3.10 Pivot'!$A$1,"Status 1 - Development","04 Pending","Status 2 - Permission Type","04 Prior Approval","D2Description_Loss","Vacant"),0)+IFERROR(GETPIVOTDATA("Count of D2 Loss",'3.10 Pivot'!$A$1,"Status 1 - Development","04 Pending","Status 2 - Permission Type","05 Certificate of Lawful Development","D2Description_Loss","Vacant"),0)</f>
        <v>0</v>
      </c>
      <c r="D25" s="268">
        <f>IFERROR(GETPIVOTDATA("Sum of D2 Loss2",'3.10 Pivot'!$A$1,"Status 1 - Development","04 Pending","Status 2 - Permission Type","02 Full","D2Description_Loss","Vacant"),0)+IFERROR(GETPIVOTDATA("Sum of D2 Loss2",'3.10 Pivot'!$A$1,"Status 1 - Development","04 Pending","Status 2 - Permission Type","03 Outline","D2Description_Loss","Vacant"),0)+IFERROR(GETPIVOTDATA("Sum of D2 Loss2",'3.10 Pivot'!$A$1,"Status 1 - Development","04 Pending","Status 2 - Permission Type","04 Prior Approval","D2Description_Loss","Vacant"),0)+IFERROR(GETPIVOTDATA("Sum of D2 Loss2",'3.10 Pivot'!$A$1,"Status 1 - Development","04 Pending","Status 2 - Permission Type","05 Certificate of Lawful Development","D2Description_Loss","Vacant"),0)</f>
        <v>0</v>
      </c>
      <c r="E25" s="266">
        <f>IFERROR(GETPIVOTDATA("Count of D2 Loss",'3.10 Pivot'!$A$1,"Status 1 - Development","04 Pending","Status 2 - Permission Type","02 Full","D2Description_Loss","Other"),0)+IFERROR(GETPIVOTDATA("Count of D2 Loss",'3.10 Pivot'!$A$1,"Status 1 - Development","04 Pending","Status 2 - Permission Type","03 Outline","D2Description_Loss","Other"),0)+IFERROR(GETPIVOTDATA("Count of D2 Loss",'3.10 Pivot'!$A$1,"Status 1 - Development","04 Pending","Status 2 - Permission Type","04 Prior Approval","D2Description_Loss","Other"),0)+IFERROR(GETPIVOTDATA("Count of D2 Loss",'3.10 Pivot'!$A$1,"Status 1 - Development","04 Pending","Status 2 - Permission Type","05 Certificate of Lawful Development","D2Description_Loss","Other"),0)</f>
        <v>0</v>
      </c>
      <c r="F25" s="268">
        <f>IFERROR(GETPIVOTDATA("Sum of D2 Loss2",'3.10 Pivot'!$A$1,"Status 1 - Development","04 Pending","Status 2 - Permission Type","02 Full","D2Description_Loss","Other"),0)+IFERROR(GETPIVOTDATA("Sum of D2 Loss2",'3.10 Pivot'!$A$1,"Status 1 - Development","04 Pending","Status 2 - Permission Type","03 Outline","D2Description_Loss","Other"),0)+IFERROR(GETPIVOTDATA("Sum of D2 Loss2",'3.10 Pivot'!$A$1,"Status 1 - Development","04 Pending","Status 2 - Permission Type","04 Prior Approval","D2Description_Loss","Other"),0)+IFERROR(GETPIVOTDATA("Sum of D2 Loss2",'3.10 Pivot'!$A$1,"Status 1 - Development","04 Pending","Status 2 - Permission Type","05 Certificate of Lawful Development","D2Description_Loss","Other"),0)</f>
        <v>0</v>
      </c>
      <c r="G25" s="267">
        <f>IFERROR(GETPIVOTDATA("Count of D2 Loss",'3.10 Pivot'!$A$1,"Status 1 - Development","04 Pending","D2Description_Loss","-"),0)+IFERROR(GETPIVOTDATA("Count of D2 Loss",'3.10 Pivot'!$A$1,"Status 1 - Development","04 Pending","D2Description_Loss","Not Known"),0)-IFERROR(GETPIVOTDATA("Count of D2 Loss",'3.10 Pivot'!$A$1,"Status 1 - Development","04 Pending","Status 2 - Permission Type","01 Pending Legal Agreement","D2Description_Loss","-"),0)-IFERROR(GETPIVOTDATA("Count of D2 Loss",'3.10 Pivot'!$A$1,"Status 1 - Development","04 Pending","Status 2 - Permission Type","06 Appeal","D2Description_Loss","-"),0)-IFERROR(GETPIVOTDATA("Count of D2 Loss",'3.10 Pivot'!$A$1,"Status 1 - Development","04 Pending","Status 2 - Permission Type","01 Pending Legal Agreement","D2Description_Loss","Not Known"),0)-IFERROR(GETPIVOTDATA("Count of D2 Loss",'3.10 Pivot'!$A$1,"Status 1 - Development","04 Pending","Status 2 - Permission Type","06 Appeal","D2Description_Loss","Not Known"),0)</f>
        <v>0</v>
      </c>
      <c r="H25" s="237">
        <f>IFERROR(GETPIVOTDATA("Sum of D2 Loss2",'3.10 Pivot'!$A$1,"Status 1 - Development","04 Pending","D2Description_Loss","-"),0)+IFERROR(GETPIVOTDATA("Sum of D2 Loss2",'3.10 Pivot'!$A$1,"Status 1 - Development","04 Pending","D2Description_Loss","Not Known"),0)-IFERROR(GETPIVOTDATA("Sum of D2 Loss2",'3.10 Pivot'!$A$1,"Status 1 - Development","04 Pending","Status 2 - Permission Type","06 Appeal","D2Description_Loss","-"),0)-IFERROR(GETPIVOTDATA("Sum of D2 Loss2",'3.10 Pivot'!$A$1,"Status 1 - Development","04 Pending","Status 2 - Permission Type","01 Pending Legal Agreement","D2Description_Loss","-"),0)-IFERROR(GETPIVOTDATA("Sum of D2 Loss2",'3.10 Pivot'!$A$1,"Status 1 - Development","04 Pending","Status 2 - Permission Type","06 Appeal","D2Description_Loss","Not Known"),0)-IFERROR(GETPIVOTDATA("Sum of D2 Loss2",'3.10 Pivot'!$A$1,"Status 1 - Development","04 Pending","Status 2 - Permission Type","01 Pending Legal Agreement","D2Description_Loss","Not Known"),0)</f>
        <v>0</v>
      </c>
      <c r="I25" s="396">
        <f>IFERROR(GETPIVOTDATA("Count of D2 Loss",'3.10 Pivot'!$A$1,"Status 1 - Development","04 Pending"),0)-IFERROR(GETPIVOTDATA("Count of D2 Loss",'3.10 Pivot'!$A$1,"Status 1 - Development","04 Pending","Status 2 - Permission Type","06 Appeal"),0)-IFERROR(GETPIVOTDATA("Count of D2 Loss",'3.10 Pivot'!$A$1,"Status 1 - Development","04 Pending","Status 2 - Permission Type","01 Pending Legal Agreement"),0)</f>
        <v>0</v>
      </c>
      <c r="J25" s="516">
        <f>IFERROR(GETPIVOTDATA("Sum of D2 Loss2",'3.10 Pivot'!$A$1,"Status 1 - Development","04 Pending"),0)-IFERROR(GETPIVOTDATA("Sum of D2 Loss2",'3.10 Pivot'!$A$1,"Status 1 - Development","04 Pending","Status 2 - Permission Type","06 Appeal"),0)-IFERROR(GETPIVOTDATA("Sum of D2 Loss2",'3.10 Pivot'!$A$1,"Status 1 - Development","04 Pending","Status 2 - Permission Type","01 Pending Legal Agreement"),0)</f>
        <v>0</v>
      </c>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row>
    <row r="26" spans="1:146" x14ac:dyDescent="0.2">
      <c r="A26" s="809"/>
      <c r="B26" s="512" t="s">
        <v>95</v>
      </c>
      <c r="C26" s="102">
        <f t="shared" ref="C26:J26" si="1">SUM(C19:C25)</f>
        <v>3</v>
      </c>
      <c r="D26" s="103">
        <f t="shared" si="1"/>
        <v>1783</v>
      </c>
      <c r="E26" s="102">
        <f t="shared" si="1"/>
        <v>3</v>
      </c>
      <c r="F26" s="103">
        <f t="shared" si="1"/>
        <v>838</v>
      </c>
      <c r="G26" s="102">
        <f t="shared" si="1"/>
        <v>1</v>
      </c>
      <c r="H26" s="103">
        <f t="shared" si="1"/>
        <v>275</v>
      </c>
      <c r="I26" s="518">
        <f t="shared" si="1"/>
        <v>11</v>
      </c>
      <c r="J26" s="516">
        <f t="shared" si="1"/>
        <v>6658</v>
      </c>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row>
    <row r="27" spans="1:146" x14ac:dyDescent="0.2">
      <c r="A27" s="12"/>
      <c r="B27" s="4"/>
      <c r="C27" s="4"/>
      <c r="D27" s="4"/>
      <c r="E27" s="4"/>
      <c r="F27" s="4"/>
      <c r="G27" s="4"/>
      <c r="H27" s="4"/>
      <c r="I27" s="4"/>
      <c r="J27" s="1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row>
    <row r="28" spans="1:146" x14ac:dyDescent="0.2">
      <c r="A28" s="12"/>
      <c r="B28" s="4"/>
      <c r="C28" s="4"/>
      <c r="D28" s="4"/>
      <c r="E28" s="4"/>
      <c r="F28" s="4"/>
      <c r="G28" s="4"/>
      <c r="H28" s="4"/>
      <c r="I28" s="4"/>
      <c r="J28" s="1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row>
    <row r="29" spans="1:146" x14ac:dyDescent="0.2">
      <c r="A29" s="12"/>
      <c r="B29" s="4"/>
      <c r="C29" s="4"/>
      <c r="D29" s="4"/>
      <c r="E29" s="4"/>
      <c r="F29" s="4"/>
      <c r="G29" s="4"/>
      <c r="H29" s="4"/>
      <c r="I29" s="4"/>
      <c r="J29" s="12"/>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row>
    <row r="30" spans="1:146" x14ac:dyDescent="0.2">
      <c r="A30" s="12"/>
      <c r="B30" s="4"/>
      <c r="C30" s="4"/>
      <c r="D30" s="4"/>
      <c r="E30" s="4"/>
      <c r="F30" s="4"/>
      <c r="G30" s="4"/>
      <c r="H30" s="4"/>
      <c r="I30" s="4"/>
      <c r="J30" s="12"/>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row>
    <row r="31" spans="1:146" x14ac:dyDescent="0.2">
      <c r="A31" s="12"/>
      <c r="B31" s="4"/>
      <c r="C31" s="4"/>
      <c r="D31" s="4"/>
      <c r="E31" s="4"/>
      <c r="F31" s="4"/>
      <c r="G31" s="4"/>
      <c r="H31" s="4"/>
      <c r="I31" s="4"/>
      <c r="J31" s="12"/>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row>
    <row r="32" spans="1:146" x14ac:dyDescent="0.2">
      <c r="A32" s="12"/>
      <c r="B32" s="4"/>
      <c r="C32" s="4"/>
      <c r="D32" s="4"/>
      <c r="E32" s="4"/>
      <c r="F32" s="4"/>
      <c r="G32" s="4"/>
      <c r="H32" s="4"/>
      <c r="I32" s="4"/>
      <c r="J32" s="12"/>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row>
    <row r="33" spans="1:146" x14ac:dyDescent="0.2">
      <c r="A33" s="12"/>
      <c r="B33" s="4"/>
      <c r="C33" s="4"/>
      <c r="D33" s="4"/>
      <c r="E33" s="4"/>
      <c r="F33" s="4"/>
      <c r="G33" s="4"/>
      <c r="H33" s="4"/>
      <c r="I33" s="4"/>
      <c r="J33" s="12"/>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row>
    <row r="34" spans="1:146" x14ac:dyDescent="0.2">
      <c r="A34" s="12"/>
      <c r="B34" s="4"/>
      <c r="C34" s="4"/>
      <c r="D34" s="4"/>
      <c r="E34" s="4"/>
      <c r="F34" s="4"/>
      <c r="G34" s="4"/>
      <c r="H34" s="4"/>
      <c r="I34" s="4"/>
      <c r="J34" s="12"/>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row>
    <row r="35" spans="1:146" x14ac:dyDescent="0.2">
      <c r="A35" s="12"/>
      <c r="B35" s="4"/>
      <c r="C35" s="4"/>
      <c r="D35" s="4"/>
      <c r="E35" s="4"/>
      <c r="F35" s="4"/>
      <c r="G35" s="4"/>
      <c r="H35" s="4"/>
      <c r="I35" s="4"/>
      <c r="J35" s="12"/>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row>
    <row r="36" spans="1:146" x14ac:dyDescent="0.2">
      <c r="A36" s="12"/>
      <c r="B36" s="4"/>
      <c r="C36" s="4"/>
      <c r="D36" s="4"/>
      <c r="E36" s="4"/>
      <c r="F36" s="4"/>
      <c r="G36" s="4"/>
      <c r="H36" s="4"/>
      <c r="I36" s="4"/>
      <c r="J36" s="12"/>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row>
    <row r="37" spans="1:146" x14ac:dyDescent="0.2">
      <c r="A37" s="12"/>
      <c r="B37" s="4"/>
      <c r="C37" s="4"/>
      <c r="D37" s="4"/>
      <c r="E37" s="4"/>
      <c r="F37" s="4"/>
      <c r="G37" s="4"/>
      <c r="H37" s="4"/>
      <c r="I37" s="4"/>
      <c r="J37" s="12"/>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row>
    <row r="38" spans="1:146" x14ac:dyDescent="0.2">
      <c r="A38" s="12"/>
      <c r="B38" s="4"/>
      <c r="C38" s="4"/>
      <c r="D38" s="4"/>
      <c r="E38" s="4"/>
      <c r="F38" s="4"/>
      <c r="G38" s="4"/>
      <c r="H38" s="4"/>
      <c r="I38" s="4"/>
      <c r="J38" s="12"/>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row>
    <row r="39" spans="1:146" x14ac:dyDescent="0.2">
      <c r="A39" s="12"/>
      <c r="B39" s="4"/>
      <c r="C39" s="4"/>
      <c r="D39" s="4"/>
      <c r="E39" s="4"/>
      <c r="F39" s="4"/>
      <c r="G39" s="4"/>
      <c r="H39" s="4"/>
      <c r="I39" s="4"/>
      <c r="J39" s="12"/>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row>
    <row r="40" spans="1:146" x14ac:dyDescent="0.2">
      <c r="A40" s="12"/>
      <c r="B40" s="4"/>
      <c r="C40" s="4"/>
      <c r="D40" s="4"/>
      <c r="E40" s="4"/>
      <c r="F40" s="4"/>
      <c r="G40" s="4"/>
      <c r="H40" s="4"/>
      <c r="I40" s="4"/>
      <c r="J40" s="12"/>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row>
    <row r="41" spans="1:146" x14ac:dyDescent="0.2">
      <c r="A41" s="12"/>
      <c r="B41" s="4"/>
      <c r="C41" s="4"/>
      <c r="D41" s="4"/>
      <c r="E41" s="4"/>
      <c r="F41" s="4"/>
      <c r="G41" s="4"/>
      <c r="H41" s="4"/>
      <c r="I41" s="4"/>
      <c r="J41" s="12"/>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row>
    <row r="42" spans="1:146" x14ac:dyDescent="0.2">
      <c r="A42" s="12"/>
      <c r="B42" s="4"/>
      <c r="C42" s="4"/>
      <c r="D42" s="4"/>
      <c r="E42" s="4"/>
      <c r="F42" s="4"/>
      <c r="G42" s="4"/>
      <c r="H42" s="4"/>
      <c r="I42" s="4"/>
      <c r="J42" s="12"/>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row>
    <row r="43" spans="1:146" x14ac:dyDescent="0.2">
      <c r="A43" s="12"/>
      <c r="B43" s="4"/>
      <c r="C43" s="4"/>
      <c r="D43" s="4"/>
      <c r="E43" s="4"/>
      <c r="F43" s="4"/>
      <c r="G43" s="4"/>
      <c r="H43" s="4"/>
      <c r="I43" s="4"/>
      <c r="J43" s="12"/>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row>
    <row r="44" spans="1:146" x14ac:dyDescent="0.2">
      <c r="A44" s="12"/>
      <c r="B44" s="4"/>
      <c r="C44" s="4"/>
      <c r="D44" s="4"/>
      <c r="E44" s="4"/>
      <c r="F44" s="4"/>
      <c r="G44" s="4"/>
      <c r="H44" s="4"/>
      <c r="I44" s="4"/>
      <c r="J44" s="12"/>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row>
    <row r="45" spans="1:146" x14ac:dyDescent="0.2">
      <c r="A45" s="12"/>
      <c r="B45" s="4"/>
      <c r="C45" s="4"/>
      <c r="D45" s="4"/>
      <c r="E45" s="4"/>
      <c r="F45" s="4"/>
      <c r="G45" s="4"/>
      <c r="H45" s="4"/>
      <c r="I45" s="4"/>
      <c r="J45" s="12"/>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row>
    <row r="46" spans="1:146" x14ac:dyDescent="0.2">
      <c r="A46" s="12"/>
      <c r="B46" s="4"/>
      <c r="C46" s="4"/>
      <c r="D46" s="4"/>
      <c r="E46" s="4"/>
      <c r="F46" s="4"/>
      <c r="G46" s="4"/>
      <c r="H46" s="4"/>
      <c r="I46" s="4"/>
      <c r="J46" s="12"/>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row>
    <row r="47" spans="1:146" x14ac:dyDescent="0.2">
      <c r="A47" s="12"/>
      <c r="B47" s="4"/>
      <c r="C47" s="4"/>
      <c r="D47" s="4"/>
      <c r="E47" s="4"/>
      <c r="F47" s="4"/>
      <c r="G47" s="4"/>
      <c r="H47" s="4"/>
      <c r="I47" s="4"/>
      <c r="J47" s="12"/>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row>
    <row r="48" spans="1:146" x14ac:dyDescent="0.2">
      <c r="A48" s="12"/>
      <c r="B48" s="4"/>
      <c r="C48" s="4"/>
      <c r="D48" s="4"/>
      <c r="E48" s="4"/>
      <c r="F48" s="4"/>
      <c r="G48" s="4"/>
      <c r="H48" s="4"/>
      <c r="I48" s="4"/>
      <c r="J48" s="12"/>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row>
    <row r="49" spans="1:146" x14ac:dyDescent="0.2">
      <c r="A49" s="12"/>
      <c r="B49" s="4"/>
      <c r="C49" s="4"/>
      <c r="D49" s="4"/>
      <c r="E49" s="4"/>
      <c r="F49" s="4"/>
      <c r="G49" s="4"/>
      <c r="H49" s="4"/>
      <c r="I49" s="4"/>
      <c r="J49" s="12"/>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row>
    <row r="50" spans="1:146" x14ac:dyDescent="0.2">
      <c r="A50" s="12"/>
      <c r="B50" s="4"/>
      <c r="C50" s="4"/>
      <c r="D50" s="4"/>
      <c r="E50" s="4"/>
      <c r="F50" s="4"/>
      <c r="G50" s="4"/>
      <c r="H50" s="4"/>
      <c r="I50" s="4"/>
      <c r="J50" s="12"/>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row>
    <row r="51" spans="1:146" x14ac:dyDescent="0.2">
      <c r="A51" s="12"/>
      <c r="B51" s="4"/>
      <c r="C51" s="4"/>
      <c r="D51" s="4"/>
      <c r="E51" s="4"/>
      <c r="F51" s="4"/>
      <c r="G51" s="4"/>
      <c r="H51" s="4"/>
      <c r="I51" s="4"/>
      <c r="J51" s="12"/>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row>
    <row r="52" spans="1:146" x14ac:dyDescent="0.2">
      <c r="A52" s="12"/>
      <c r="B52" s="4"/>
      <c r="C52" s="4"/>
      <c r="D52" s="4"/>
      <c r="E52" s="4"/>
      <c r="F52" s="4"/>
      <c r="G52" s="4"/>
      <c r="H52" s="4"/>
      <c r="I52" s="4"/>
      <c r="J52" s="12"/>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row>
    <row r="53" spans="1:146" x14ac:dyDescent="0.2">
      <c r="A53" s="12"/>
      <c r="B53" s="4"/>
      <c r="C53" s="4"/>
      <c r="D53" s="4"/>
      <c r="E53" s="4"/>
      <c r="F53" s="4"/>
      <c r="G53" s="4"/>
      <c r="H53" s="4"/>
      <c r="I53" s="4"/>
      <c r="J53" s="12"/>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row>
    <row r="54" spans="1:146" x14ac:dyDescent="0.2">
      <c r="A54" s="12"/>
      <c r="B54" s="4"/>
      <c r="C54" s="4"/>
      <c r="D54" s="4"/>
      <c r="E54" s="4"/>
      <c r="F54" s="4"/>
      <c r="G54" s="4"/>
      <c r="H54" s="4"/>
      <c r="I54" s="4"/>
      <c r="J54" s="12"/>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row>
    <row r="55" spans="1:146" x14ac:dyDescent="0.2">
      <c r="A55" s="403"/>
      <c r="B55" s="15"/>
      <c r="C55" s="15"/>
      <c r="D55" s="15"/>
      <c r="E55" s="15"/>
      <c r="F55" s="15"/>
      <c r="G55" s="15"/>
      <c r="H55" s="15"/>
      <c r="I55" s="15"/>
      <c r="J55" s="12"/>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row>
    <row r="56" spans="1:146" x14ac:dyDescent="0.2">
      <c r="A56" s="12"/>
      <c r="B56" s="4"/>
      <c r="C56" s="4"/>
      <c r="D56" s="4"/>
      <c r="E56" s="4"/>
      <c r="F56" s="4"/>
      <c r="G56" s="4"/>
      <c r="H56" s="4"/>
      <c r="I56" s="4"/>
      <c r="J56" s="12"/>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row>
    <row r="57" spans="1:146" x14ac:dyDescent="0.2">
      <c r="A57" s="12"/>
      <c r="B57" s="4"/>
      <c r="C57" s="4"/>
      <c r="D57" s="4"/>
      <c r="E57" s="4"/>
      <c r="F57" s="4"/>
      <c r="G57" s="4"/>
      <c r="H57" s="4"/>
      <c r="I57" s="4"/>
      <c r="J57" s="12"/>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row>
    <row r="58" spans="1:146" x14ac:dyDescent="0.2">
      <c r="A58" s="12"/>
      <c r="B58" s="4"/>
      <c r="C58" s="4"/>
      <c r="D58" s="4"/>
      <c r="E58" s="4"/>
      <c r="F58" s="4"/>
      <c r="G58" s="4"/>
      <c r="H58" s="4"/>
      <c r="I58" s="4"/>
      <c r="J58" s="12"/>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row>
    <row r="59" spans="1:146" x14ac:dyDescent="0.2">
      <c r="A59" s="12"/>
      <c r="B59" s="4"/>
      <c r="C59" s="4"/>
      <c r="D59" s="4"/>
      <c r="E59" s="4"/>
      <c r="F59" s="4"/>
      <c r="G59" s="4"/>
      <c r="H59" s="4"/>
      <c r="I59" s="4"/>
      <c r="J59" s="12"/>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row>
    <row r="60" spans="1:146" x14ac:dyDescent="0.2">
      <c r="A60" s="12"/>
      <c r="B60" s="4"/>
      <c r="C60" s="4"/>
      <c r="D60" s="4"/>
      <c r="E60" s="4"/>
      <c r="F60" s="4"/>
      <c r="G60" s="4"/>
      <c r="H60" s="4"/>
      <c r="I60" s="4"/>
      <c r="J60" s="12"/>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row>
    <row r="61" spans="1:146" x14ac:dyDescent="0.2">
      <c r="A61" s="12"/>
      <c r="B61" s="4"/>
      <c r="C61" s="4"/>
      <c r="D61" s="4"/>
      <c r="E61" s="4"/>
      <c r="F61" s="4"/>
      <c r="G61" s="4"/>
      <c r="H61" s="4"/>
      <c r="I61" s="4"/>
      <c r="J61" s="12"/>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row>
    <row r="62" spans="1:146" x14ac:dyDescent="0.2">
      <c r="A62" s="12"/>
      <c r="B62" s="4"/>
      <c r="C62" s="4"/>
      <c r="D62" s="4"/>
      <c r="E62" s="4"/>
      <c r="F62" s="4"/>
      <c r="G62" s="4"/>
      <c r="H62" s="4"/>
      <c r="I62" s="4"/>
      <c r="J62" s="12"/>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row>
    <row r="63" spans="1:146" x14ac:dyDescent="0.2">
      <c r="A63" s="12"/>
      <c r="B63" s="4"/>
      <c r="C63" s="4"/>
      <c r="D63" s="4"/>
      <c r="E63" s="4"/>
      <c r="F63" s="4"/>
      <c r="G63" s="4"/>
      <c r="H63" s="4"/>
      <c r="I63" s="4"/>
      <c r="J63" s="12"/>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row>
    <row r="64" spans="1:146" x14ac:dyDescent="0.2">
      <c r="A64" s="12"/>
      <c r="B64" s="4"/>
      <c r="C64" s="4"/>
      <c r="D64" s="4"/>
      <c r="E64" s="4"/>
      <c r="F64" s="4"/>
      <c r="G64" s="4"/>
      <c r="H64" s="4"/>
      <c r="I64" s="4"/>
      <c r="J64" s="12"/>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row>
    <row r="65" spans="1:146" x14ac:dyDescent="0.2">
      <c r="A65" s="12"/>
      <c r="B65" s="4"/>
      <c r="C65" s="4"/>
      <c r="D65" s="4"/>
      <c r="E65" s="4"/>
      <c r="F65" s="4"/>
      <c r="G65" s="4"/>
      <c r="H65" s="4"/>
      <c r="I65" s="4"/>
      <c r="J65" s="12"/>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row>
    <row r="66" spans="1:146" x14ac:dyDescent="0.2">
      <c r="A66" s="12"/>
      <c r="B66" s="4"/>
      <c r="C66" s="4"/>
      <c r="D66" s="4"/>
      <c r="E66" s="4"/>
      <c r="F66" s="4"/>
      <c r="G66" s="4"/>
      <c r="H66" s="4"/>
      <c r="I66" s="4"/>
      <c r="J66" s="12"/>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row>
    <row r="67" spans="1:146" x14ac:dyDescent="0.2">
      <c r="A67" s="12"/>
      <c r="B67" s="4"/>
      <c r="C67" s="4"/>
      <c r="D67" s="4"/>
      <c r="E67" s="4"/>
      <c r="F67" s="4"/>
      <c r="G67" s="4"/>
      <c r="H67" s="4"/>
      <c r="I67" s="4"/>
      <c r="J67" s="12"/>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row>
    <row r="68" spans="1:146" x14ac:dyDescent="0.2">
      <c r="A68" s="12"/>
      <c r="B68" s="4"/>
      <c r="C68" s="4"/>
      <c r="D68" s="4"/>
      <c r="E68" s="4"/>
      <c r="F68" s="4"/>
      <c r="G68" s="4"/>
      <c r="H68" s="4"/>
      <c r="I68" s="4"/>
      <c r="J68" s="12"/>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row>
    <row r="69" spans="1:146" x14ac:dyDescent="0.2">
      <c r="A69" s="12"/>
      <c r="B69" s="4"/>
      <c r="C69" s="4"/>
      <c r="D69" s="4"/>
      <c r="E69" s="4"/>
      <c r="F69" s="4"/>
      <c r="G69" s="4"/>
      <c r="H69" s="4"/>
      <c r="I69" s="4"/>
      <c r="J69" s="12"/>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row>
    <row r="70" spans="1:146" x14ac:dyDescent="0.2">
      <c r="A70" s="12"/>
      <c r="B70" s="4"/>
      <c r="C70" s="4"/>
      <c r="D70" s="4"/>
      <c r="E70" s="4"/>
      <c r="F70" s="4"/>
      <c r="G70" s="4"/>
      <c r="H70" s="4"/>
      <c r="I70" s="4"/>
      <c r="J70" s="12"/>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row>
    <row r="71" spans="1:146" x14ac:dyDescent="0.2">
      <c r="A71" s="12"/>
      <c r="B71" s="4"/>
      <c r="C71" s="4"/>
      <c r="D71" s="4"/>
      <c r="E71" s="4"/>
      <c r="F71" s="4"/>
      <c r="G71" s="4"/>
      <c r="H71" s="4"/>
      <c r="I71" s="4"/>
      <c r="J71" s="12"/>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row>
    <row r="72" spans="1:146" x14ac:dyDescent="0.2">
      <c r="A72" s="12"/>
      <c r="B72" s="4"/>
      <c r="C72" s="4"/>
      <c r="D72" s="4"/>
      <c r="E72" s="4"/>
      <c r="F72" s="4"/>
      <c r="G72" s="4"/>
      <c r="H72" s="4"/>
      <c r="I72" s="4"/>
      <c r="J72" s="12"/>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row>
    <row r="73" spans="1:146" x14ac:dyDescent="0.2">
      <c r="A73" s="12"/>
      <c r="B73" s="4"/>
      <c r="C73" s="4"/>
      <c r="D73" s="4"/>
      <c r="E73" s="4"/>
      <c r="F73" s="4"/>
      <c r="G73" s="4"/>
      <c r="H73" s="4"/>
      <c r="I73" s="4"/>
      <c r="J73" s="12"/>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row>
    <row r="74" spans="1:146" x14ac:dyDescent="0.2">
      <c r="A74" s="12"/>
      <c r="B74" s="4"/>
      <c r="C74" s="4"/>
      <c r="D74" s="4"/>
      <c r="E74" s="4"/>
      <c r="F74" s="4"/>
      <c r="G74" s="4"/>
      <c r="H74" s="4"/>
      <c r="I74" s="4"/>
      <c r="J74" s="12"/>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row>
    <row r="75" spans="1:146" x14ac:dyDescent="0.2">
      <c r="A75" s="12"/>
      <c r="B75" s="4"/>
      <c r="C75" s="4"/>
      <c r="D75" s="4"/>
      <c r="E75" s="4"/>
      <c r="F75" s="4"/>
      <c r="G75" s="4"/>
      <c r="H75" s="4"/>
      <c r="I75" s="4"/>
      <c r="J75" s="12"/>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row>
    <row r="76" spans="1:146" x14ac:dyDescent="0.2">
      <c r="A76" s="12"/>
      <c r="B76" s="4"/>
      <c r="C76" s="4"/>
      <c r="D76" s="4"/>
      <c r="E76" s="4"/>
      <c r="F76" s="4"/>
      <c r="G76" s="4"/>
      <c r="H76" s="4"/>
      <c r="I76" s="4"/>
      <c r="J76" s="12"/>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row>
    <row r="77" spans="1:146" x14ac:dyDescent="0.2">
      <c r="A77" s="12"/>
      <c r="B77" s="4"/>
      <c r="C77" s="4"/>
      <c r="D77" s="4"/>
      <c r="E77" s="4"/>
      <c r="F77" s="4"/>
      <c r="G77" s="4"/>
      <c r="H77" s="4"/>
      <c r="I77" s="4"/>
      <c r="J77" s="12"/>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row>
    <row r="78" spans="1:146" x14ac:dyDescent="0.2">
      <c r="A78" s="12"/>
      <c r="B78" s="4"/>
      <c r="C78" s="4"/>
      <c r="D78" s="4"/>
      <c r="E78" s="4"/>
      <c r="F78" s="4"/>
      <c r="G78" s="4"/>
      <c r="H78" s="4"/>
      <c r="I78" s="4"/>
      <c r="J78" s="12"/>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row>
    <row r="79" spans="1:146" x14ac:dyDescent="0.2">
      <c r="A79" s="12"/>
      <c r="B79" s="4"/>
      <c r="C79" s="4"/>
      <c r="D79" s="4"/>
      <c r="E79" s="4"/>
      <c r="F79" s="4"/>
      <c r="G79" s="4"/>
      <c r="H79" s="4"/>
      <c r="I79" s="4"/>
      <c r="J79" s="12"/>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row>
    <row r="80" spans="1:146" x14ac:dyDescent="0.2">
      <c r="A80" s="12"/>
      <c r="B80" s="4"/>
      <c r="C80" s="4"/>
      <c r="D80" s="4"/>
      <c r="E80" s="4"/>
      <c r="F80" s="4"/>
      <c r="G80" s="4"/>
      <c r="H80" s="4"/>
      <c r="I80" s="4"/>
      <c r="J80" s="12"/>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row>
    <row r="81" spans="1:146" x14ac:dyDescent="0.2">
      <c r="A81" s="12"/>
      <c r="B81" s="4"/>
      <c r="C81" s="4"/>
      <c r="D81" s="4"/>
      <c r="E81" s="4"/>
      <c r="F81" s="4"/>
      <c r="G81" s="4"/>
      <c r="H81" s="4"/>
      <c r="I81" s="4"/>
      <c r="J81" s="12"/>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row>
    <row r="82" spans="1:146" x14ac:dyDescent="0.2">
      <c r="A82" s="12"/>
      <c r="B82" s="4"/>
      <c r="C82" s="4"/>
      <c r="D82" s="4"/>
      <c r="E82" s="4"/>
      <c r="F82" s="4"/>
      <c r="G82" s="4"/>
      <c r="H82" s="4"/>
      <c r="I82" s="4"/>
      <c r="J82" s="12"/>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row>
    <row r="83" spans="1:146" x14ac:dyDescent="0.2">
      <c r="A83" s="12"/>
      <c r="B83" s="4"/>
      <c r="C83" s="4"/>
      <c r="D83" s="4"/>
      <c r="E83" s="4"/>
      <c r="F83" s="4"/>
      <c r="G83" s="4"/>
      <c r="H83" s="4"/>
      <c r="I83" s="4"/>
      <c r="J83" s="12"/>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row>
    <row r="84" spans="1:146" x14ac:dyDescent="0.2">
      <c r="A84" s="12"/>
      <c r="B84" s="4"/>
      <c r="C84" s="4"/>
      <c r="D84" s="4"/>
      <c r="E84" s="4"/>
      <c r="F84" s="4"/>
      <c r="G84" s="4"/>
      <c r="H84" s="4"/>
      <c r="I84" s="4"/>
      <c r="J84" s="12"/>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row>
    <row r="85" spans="1:146" x14ac:dyDescent="0.2">
      <c r="A85" s="12"/>
      <c r="B85" s="4"/>
      <c r="C85" s="4"/>
      <c r="D85" s="4"/>
      <c r="E85" s="4"/>
      <c r="F85" s="4"/>
      <c r="G85" s="4"/>
      <c r="H85" s="4"/>
      <c r="I85" s="4"/>
      <c r="J85" s="12"/>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row>
    <row r="86" spans="1:146" x14ac:dyDescent="0.2">
      <c r="A86" s="12"/>
      <c r="B86" s="4"/>
      <c r="C86" s="4"/>
      <c r="D86" s="4"/>
      <c r="E86" s="4"/>
      <c r="F86" s="4"/>
      <c r="G86" s="4"/>
      <c r="H86" s="4"/>
      <c r="I86" s="4"/>
      <c r="J86" s="12"/>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row>
    <row r="87" spans="1:146" x14ac:dyDescent="0.2">
      <c r="A87" s="12"/>
      <c r="B87" s="4"/>
      <c r="C87" s="4"/>
      <c r="D87" s="4"/>
      <c r="E87" s="4"/>
      <c r="F87" s="4"/>
      <c r="G87" s="4"/>
      <c r="H87" s="4"/>
      <c r="I87" s="4"/>
      <c r="J87" s="12"/>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row>
    <row r="88" spans="1:146" x14ac:dyDescent="0.2">
      <c r="A88" s="12"/>
      <c r="B88" s="4"/>
      <c r="C88" s="4"/>
      <c r="D88" s="4"/>
      <c r="E88" s="4"/>
      <c r="F88" s="4"/>
      <c r="G88" s="4"/>
      <c r="H88" s="4"/>
      <c r="I88" s="4"/>
      <c r="J88" s="12"/>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row>
    <row r="89" spans="1:146" x14ac:dyDescent="0.2">
      <c r="A89" s="12"/>
      <c r="B89" s="4"/>
      <c r="C89" s="4"/>
      <c r="D89" s="4"/>
      <c r="E89" s="4"/>
      <c r="F89" s="4"/>
      <c r="G89" s="4"/>
      <c r="H89" s="4"/>
      <c r="I89" s="4"/>
      <c r="J89" s="12"/>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row>
    <row r="90" spans="1:146" x14ac:dyDescent="0.2">
      <c r="A90" s="12"/>
      <c r="B90" s="4"/>
      <c r="C90" s="4"/>
      <c r="D90" s="4"/>
      <c r="E90" s="4"/>
      <c r="F90" s="4"/>
      <c r="G90" s="4"/>
      <c r="H90" s="4"/>
      <c r="I90" s="4"/>
      <c r="J90" s="12"/>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row>
    <row r="91" spans="1:146" x14ac:dyDescent="0.2">
      <c r="A91" s="12"/>
      <c r="B91" s="4"/>
      <c r="C91" s="4"/>
      <c r="D91" s="4"/>
      <c r="E91" s="4"/>
      <c r="F91" s="4"/>
      <c r="G91" s="4"/>
      <c r="H91" s="4"/>
      <c r="I91" s="4"/>
      <c r="J91" s="12"/>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row>
    <row r="92" spans="1:146" x14ac:dyDescent="0.2">
      <c r="A92" s="12"/>
      <c r="B92" s="4"/>
      <c r="C92" s="4"/>
      <c r="D92" s="4"/>
      <c r="E92" s="4"/>
      <c r="F92" s="4"/>
      <c r="G92" s="4"/>
      <c r="H92" s="4"/>
      <c r="I92" s="4"/>
      <c r="J92" s="12"/>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row>
    <row r="93" spans="1:146" x14ac:dyDescent="0.2">
      <c r="A93" s="12"/>
      <c r="B93" s="4"/>
      <c r="C93" s="4"/>
      <c r="D93" s="4"/>
      <c r="E93" s="4"/>
      <c r="F93" s="4"/>
      <c r="G93" s="4"/>
      <c r="H93" s="4"/>
      <c r="I93" s="4"/>
      <c r="J93" s="12"/>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row>
    <row r="94" spans="1:146" x14ac:dyDescent="0.2">
      <c r="A94" s="12"/>
      <c r="B94" s="4"/>
      <c r="C94" s="4"/>
      <c r="D94" s="4"/>
      <c r="E94" s="4"/>
      <c r="F94" s="4"/>
      <c r="G94" s="4"/>
      <c r="H94" s="4"/>
      <c r="I94" s="4"/>
      <c r="J94" s="12"/>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row>
    <row r="95" spans="1:146" x14ac:dyDescent="0.2">
      <c r="A95" s="12"/>
      <c r="B95" s="4"/>
      <c r="C95" s="4"/>
      <c r="D95" s="4"/>
      <c r="E95" s="4"/>
      <c r="F95" s="4"/>
      <c r="G95" s="4"/>
      <c r="H95" s="4"/>
      <c r="I95" s="4"/>
      <c r="J95" s="12"/>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row>
    <row r="96" spans="1:146" x14ac:dyDescent="0.2">
      <c r="A96" s="12"/>
      <c r="B96" s="4"/>
      <c r="C96" s="4"/>
      <c r="D96" s="4"/>
      <c r="E96" s="4"/>
      <c r="F96" s="4"/>
      <c r="G96" s="4"/>
      <c r="H96" s="4"/>
      <c r="I96" s="4"/>
      <c r="J96" s="12"/>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row>
    <row r="97" spans="1:146" x14ac:dyDescent="0.2">
      <c r="A97" s="12"/>
      <c r="B97" s="4"/>
      <c r="C97" s="4"/>
      <c r="D97" s="4"/>
      <c r="E97" s="4"/>
      <c r="F97" s="4"/>
      <c r="G97" s="4"/>
      <c r="H97" s="4"/>
      <c r="I97" s="4"/>
      <c r="J97" s="12"/>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row>
    <row r="98" spans="1:146" x14ac:dyDescent="0.2">
      <c r="A98" s="12"/>
      <c r="B98" s="4"/>
      <c r="C98" s="4"/>
      <c r="D98" s="4"/>
      <c r="E98" s="4"/>
      <c r="F98" s="4"/>
      <c r="G98" s="4"/>
      <c r="H98" s="4"/>
      <c r="I98" s="4"/>
      <c r="J98" s="12"/>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row>
    <row r="99" spans="1:146" x14ac:dyDescent="0.2">
      <c r="A99" s="12"/>
      <c r="B99" s="4"/>
      <c r="C99" s="4"/>
      <c r="D99" s="4"/>
      <c r="E99" s="4"/>
      <c r="F99" s="4"/>
      <c r="G99" s="4"/>
      <c r="H99" s="4"/>
      <c r="I99" s="4"/>
      <c r="J99" s="12"/>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row>
    <row r="100" spans="1:146" x14ac:dyDescent="0.2">
      <c r="A100" s="12"/>
      <c r="B100" s="4"/>
      <c r="C100" s="4"/>
      <c r="D100" s="4"/>
      <c r="E100" s="4"/>
      <c r="F100" s="4"/>
      <c r="G100" s="4"/>
      <c r="H100" s="4"/>
      <c r="I100" s="4"/>
      <c r="J100" s="12"/>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row>
    <row r="101" spans="1:146" x14ac:dyDescent="0.2">
      <c r="A101" s="12"/>
      <c r="B101" s="4"/>
      <c r="C101" s="4"/>
      <c r="D101" s="4"/>
      <c r="E101" s="4"/>
      <c r="F101" s="4"/>
      <c r="G101" s="4"/>
      <c r="H101" s="4"/>
      <c r="I101" s="4"/>
      <c r="J101" s="12"/>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row>
    <row r="102" spans="1:146" x14ac:dyDescent="0.2">
      <c r="A102" s="12"/>
      <c r="B102" s="4"/>
      <c r="C102" s="4"/>
      <c r="D102" s="4"/>
      <c r="E102" s="4"/>
      <c r="F102" s="4"/>
      <c r="G102" s="4"/>
      <c r="H102" s="4"/>
      <c r="I102" s="4"/>
      <c r="J102" s="12"/>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row>
    <row r="103" spans="1:146" x14ac:dyDescent="0.2">
      <c r="A103" s="12"/>
      <c r="B103" s="4"/>
      <c r="C103" s="4"/>
      <c r="D103" s="4"/>
      <c r="E103" s="4"/>
      <c r="F103" s="4"/>
      <c r="G103" s="4"/>
      <c r="H103" s="4"/>
      <c r="I103" s="4"/>
      <c r="J103" s="12"/>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row>
    <row r="104" spans="1:146" x14ac:dyDescent="0.2">
      <c r="A104" s="12"/>
      <c r="B104" s="4"/>
      <c r="C104" s="4"/>
      <c r="D104" s="4"/>
      <c r="E104" s="4"/>
      <c r="F104" s="4"/>
      <c r="G104" s="4"/>
      <c r="H104" s="4"/>
      <c r="I104" s="4"/>
      <c r="J104" s="12"/>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row>
    <row r="105" spans="1:146" x14ac:dyDescent="0.2">
      <c r="A105" s="12"/>
      <c r="B105" s="4"/>
      <c r="C105" s="4"/>
      <c r="D105" s="4"/>
      <c r="E105" s="4"/>
      <c r="F105" s="4"/>
      <c r="G105" s="4"/>
      <c r="H105" s="4"/>
      <c r="I105" s="4"/>
      <c r="J105" s="12"/>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row>
    <row r="106" spans="1:146" x14ac:dyDescent="0.2">
      <c r="A106" s="12"/>
      <c r="B106" s="4"/>
      <c r="C106" s="4"/>
      <c r="D106" s="4"/>
      <c r="E106" s="4"/>
      <c r="F106" s="4"/>
      <c r="G106" s="4"/>
      <c r="H106" s="4"/>
      <c r="I106" s="4"/>
      <c r="J106" s="12"/>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row>
    <row r="107" spans="1:146" x14ac:dyDescent="0.2">
      <c r="A107" s="12"/>
      <c r="B107" s="4"/>
      <c r="C107" s="4"/>
      <c r="D107" s="4"/>
      <c r="E107" s="4"/>
      <c r="F107" s="4"/>
      <c r="G107" s="4"/>
      <c r="H107" s="4"/>
      <c r="I107" s="4"/>
      <c r="J107" s="12"/>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row>
    <row r="108" spans="1:146" x14ac:dyDescent="0.2">
      <c r="A108" s="12"/>
      <c r="B108" s="4"/>
      <c r="C108" s="4"/>
      <c r="D108" s="4"/>
      <c r="E108" s="4"/>
      <c r="F108" s="4"/>
      <c r="G108" s="4"/>
      <c r="H108" s="4"/>
      <c r="I108" s="4"/>
      <c r="J108" s="12"/>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row>
    <row r="109" spans="1:146" x14ac:dyDescent="0.2">
      <c r="A109" s="12"/>
      <c r="B109" s="4"/>
      <c r="C109" s="4"/>
      <c r="D109" s="4"/>
      <c r="E109" s="4"/>
      <c r="F109" s="4"/>
      <c r="G109" s="4"/>
      <c r="H109" s="4"/>
      <c r="I109" s="4"/>
      <c r="J109" s="12"/>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row>
    <row r="110" spans="1:146" x14ac:dyDescent="0.2">
      <c r="A110" s="12"/>
      <c r="B110" s="4"/>
      <c r="C110" s="4"/>
      <c r="D110" s="4"/>
      <c r="E110" s="4"/>
      <c r="F110" s="4"/>
      <c r="G110" s="4"/>
      <c r="H110" s="4"/>
      <c r="I110" s="4"/>
      <c r="J110" s="12"/>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row>
    <row r="111" spans="1:146" x14ac:dyDescent="0.2">
      <c r="A111" s="12"/>
      <c r="B111" s="4"/>
      <c r="C111" s="4"/>
      <c r="D111" s="4"/>
      <c r="E111" s="4"/>
      <c r="F111" s="4"/>
      <c r="G111" s="4"/>
      <c r="H111" s="4"/>
      <c r="I111" s="4"/>
      <c r="J111" s="12"/>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row>
    <row r="112" spans="1:146" x14ac:dyDescent="0.2">
      <c r="A112" s="12"/>
      <c r="B112" s="4"/>
      <c r="C112" s="4"/>
      <c r="D112" s="4"/>
      <c r="E112" s="4"/>
      <c r="F112" s="4"/>
      <c r="G112" s="4"/>
      <c r="H112" s="4"/>
      <c r="I112" s="4"/>
      <c r="J112" s="12"/>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row>
    <row r="113" spans="1:146" x14ac:dyDescent="0.2">
      <c r="A113" s="12"/>
      <c r="B113" s="4"/>
      <c r="C113" s="4"/>
      <c r="D113" s="4"/>
      <c r="E113" s="4"/>
      <c r="F113" s="4"/>
      <c r="G113" s="4"/>
      <c r="H113" s="4"/>
      <c r="I113" s="4"/>
      <c r="J113" s="12"/>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row>
    <row r="114" spans="1:146" x14ac:dyDescent="0.2">
      <c r="A114" s="12"/>
      <c r="B114" s="4"/>
      <c r="C114" s="4"/>
      <c r="D114" s="4"/>
      <c r="E114" s="4"/>
      <c r="F114" s="4"/>
      <c r="G114" s="4"/>
      <c r="H114" s="4"/>
      <c r="I114" s="4"/>
      <c r="J114" s="12"/>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row>
    <row r="115" spans="1:146" x14ac:dyDescent="0.2">
      <c r="A115" s="12"/>
      <c r="B115" s="4"/>
      <c r="C115" s="4"/>
      <c r="D115" s="4"/>
      <c r="E115" s="4"/>
      <c r="F115" s="4"/>
      <c r="G115" s="4"/>
      <c r="H115" s="4"/>
      <c r="I115" s="4"/>
      <c r="J115" s="12"/>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row>
    <row r="116" spans="1:146" x14ac:dyDescent="0.2">
      <c r="A116" s="12"/>
      <c r="B116" s="4"/>
      <c r="C116" s="4"/>
      <c r="D116" s="4"/>
      <c r="E116" s="4"/>
      <c r="F116" s="4"/>
      <c r="G116" s="4"/>
      <c r="H116" s="4"/>
      <c r="I116" s="4"/>
      <c r="J116" s="12"/>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row>
    <row r="117" spans="1:146" x14ac:dyDescent="0.2">
      <c r="A117" s="12"/>
      <c r="B117" s="4"/>
      <c r="C117" s="4"/>
      <c r="D117" s="4"/>
      <c r="E117" s="4"/>
      <c r="F117" s="4"/>
      <c r="G117" s="4"/>
      <c r="H117" s="4"/>
      <c r="I117" s="4"/>
      <c r="J117" s="12"/>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row>
    <row r="118" spans="1:146" x14ac:dyDescent="0.2">
      <c r="A118" s="12"/>
      <c r="B118" s="4"/>
      <c r="C118" s="4"/>
      <c r="D118" s="4"/>
      <c r="E118" s="4"/>
      <c r="F118" s="4"/>
      <c r="G118" s="4"/>
      <c r="H118" s="4"/>
      <c r="I118" s="4"/>
      <c r="J118" s="12"/>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row>
    <row r="119" spans="1:146" x14ac:dyDescent="0.2">
      <c r="A119" s="12"/>
      <c r="B119" s="4"/>
      <c r="C119" s="4"/>
      <c r="D119" s="4"/>
      <c r="E119" s="4"/>
      <c r="F119" s="4"/>
      <c r="G119" s="4"/>
      <c r="H119" s="4"/>
      <c r="I119" s="4"/>
      <c r="J119" s="12"/>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row>
    <row r="120" spans="1:146" x14ac:dyDescent="0.2">
      <c r="A120" s="12"/>
      <c r="B120" s="4"/>
      <c r="C120" s="4"/>
      <c r="D120" s="4"/>
      <c r="E120" s="4"/>
      <c r="F120" s="4"/>
      <c r="G120" s="4"/>
      <c r="H120" s="4"/>
      <c r="I120" s="4"/>
      <c r="J120" s="12"/>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row>
    <row r="121" spans="1:146" x14ac:dyDescent="0.2">
      <c r="A121" s="12"/>
      <c r="B121" s="4"/>
      <c r="C121" s="4"/>
      <c r="D121" s="4"/>
      <c r="E121" s="4"/>
      <c r="F121" s="4"/>
      <c r="G121" s="4"/>
      <c r="H121" s="4"/>
      <c r="I121" s="4"/>
      <c r="J121" s="12"/>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row>
    <row r="122" spans="1:146" x14ac:dyDescent="0.2">
      <c r="A122" s="12"/>
      <c r="B122" s="4"/>
      <c r="C122" s="4"/>
      <c r="D122" s="4"/>
      <c r="E122" s="4"/>
      <c r="F122" s="4"/>
      <c r="G122" s="4"/>
      <c r="H122" s="4"/>
      <c r="I122" s="4"/>
      <c r="J122" s="12"/>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row>
    <row r="123" spans="1:146" x14ac:dyDescent="0.2">
      <c r="A123" s="12"/>
      <c r="B123" s="4"/>
      <c r="C123" s="4"/>
      <c r="D123" s="4"/>
      <c r="E123" s="4"/>
      <c r="F123" s="4"/>
      <c r="G123" s="4"/>
      <c r="H123" s="4"/>
      <c r="I123" s="4"/>
      <c r="J123" s="12"/>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row>
    <row r="124" spans="1:146" x14ac:dyDescent="0.2">
      <c r="A124" s="12"/>
      <c r="B124" s="4"/>
      <c r="C124" s="4"/>
      <c r="D124" s="4"/>
      <c r="E124" s="4"/>
      <c r="F124" s="4"/>
      <c r="G124" s="4"/>
      <c r="H124" s="4"/>
      <c r="I124" s="4"/>
      <c r="J124" s="12"/>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row>
    <row r="125" spans="1:146" x14ac:dyDescent="0.2">
      <c r="A125" s="12"/>
      <c r="B125" s="4"/>
      <c r="C125" s="4"/>
      <c r="D125" s="4"/>
      <c r="E125" s="4"/>
      <c r="F125" s="4"/>
      <c r="G125" s="4"/>
      <c r="H125" s="4"/>
      <c r="I125" s="4"/>
      <c r="J125" s="12"/>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row>
    <row r="126" spans="1:146" x14ac:dyDescent="0.2">
      <c r="A126" s="12"/>
      <c r="B126" s="4"/>
      <c r="C126" s="4"/>
      <c r="D126" s="4"/>
      <c r="E126" s="4"/>
      <c r="F126" s="4"/>
      <c r="G126" s="4"/>
      <c r="H126" s="4"/>
      <c r="I126" s="4"/>
      <c r="J126" s="12"/>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row>
    <row r="127" spans="1:146" x14ac:dyDescent="0.2">
      <c r="A127" s="12"/>
      <c r="B127" s="4"/>
      <c r="C127" s="4"/>
      <c r="D127" s="4"/>
      <c r="E127" s="4"/>
      <c r="F127" s="4"/>
      <c r="G127" s="4"/>
      <c r="H127" s="4"/>
      <c r="I127" s="4"/>
      <c r="J127" s="12"/>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row>
    <row r="128" spans="1:146" x14ac:dyDescent="0.2">
      <c r="A128" s="12"/>
      <c r="B128" s="4"/>
      <c r="C128" s="4"/>
      <c r="D128" s="4"/>
      <c r="E128" s="4"/>
      <c r="F128" s="4"/>
      <c r="G128" s="4"/>
      <c r="H128" s="4"/>
      <c r="I128" s="4"/>
      <c r="J128" s="12"/>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row>
    <row r="129" spans="1:146" x14ac:dyDescent="0.2">
      <c r="A129" s="12"/>
      <c r="B129" s="4"/>
      <c r="C129" s="4"/>
      <c r="D129" s="4"/>
      <c r="E129" s="4"/>
      <c r="F129" s="4"/>
      <c r="G129" s="4"/>
      <c r="H129" s="4"/>
      <c r="I129" s="4"/>
      <c r="J129" s="12"/>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row>
    <row r="130" spans="1:146" x14ac:dyDescent="0.2">
      <c r="A130" s="12"/>
      <c r="B130" s="4"/>
      <c r="C130" s="4"/>
      <c r="D130" s="4"/>
      <c r="E130" s="4"/>
      <c r="F130" s="4"/>
      <c r="G130" s="4"/>
      <c r="H130" s="4"/>
      <c r="I130" s="4"/>
      <c r="J130" s="12"/>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row>
    <row r="131" spans="1:146" x14ac:dyDescent="0.2">
      <c r="A131" s="12"/>
      <c r="B131" s="4"/>
      <c r="C131" s="4"/>
      <c r="D131" s="4"/>
      <c r="E131" s="4"/>
      <c r="F131" s="4"/>
      <c r="G131" s="4"/>
      <c r="H131" s="4"/>
      <c r="I131" s="4"/>
      <c r="J131" s="12"/>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row>
    <row r="132" spans="1:146" x14ac:dyDescent="0.2">
      <c r="A132" s="12"/>
      <c r="B132" s="4"/>
      <c r="C132" s="4"/>
      <c r="D132" s="4"/>
      <c r="E132" s="4"/>
      <c r="F132" s="4"/>
      <c r="G132" s="4"/>
      <c r="H132" s="4"/>
      <c r="I132" s="4"/>
      <c r="J132" s="12"/>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row>
    <row r="133" spans="1:146" x14ac:dyDescent="0.2">
      <c r="A133" s="12"/>
      <c r="B133" s="4"/>
      <c r="C133" s="4"/>
      <c r="D133" s="4"/>
      <c r="E133" s="4"/>
      <c r="F133" s="4"/>
      <c r="G133" s="4"/>
      <c r="H133" s="4"/>
      <c r="I133" s="4"/>
      <c r="J133" s="12"/>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row>
    <row r="134" spans="1:146" x14ac:dyDescent="0.2">
      <c r="A134" s="12"/>
      <c r="B134" s="4"/>
      <c r="C134" s="4"/>
      <c r="D134" s="4"/>
      <c r="E134" s="4"/>
      <c r="F134" s="4"/>
      <c r="G134" s="4"/>
      <c r="H134" s="4"/>
      <c r="I134" s="4"/>
      <c r="J134" s="12"/>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row>
    <row r="135" spans="1:146" x14ac:dyDescent="0.2">
      <c r="A135" s="12"/>
      <c r="B135" s="4"/>
      <c r="C135" s="4"/>
      <c r="D135" s="4"/>
      <c r="E135" s="4"/>
      <c r="F135" s="4"/>
      <c r="G135" s="4"/>
      <c r="H135" s="4"/>
      <c r="I135" s="4"/>
      <c r="J135" s="12"/>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row>
    <row r="136" spans="1:146" x14ac:dyDescent="0.2">
      <c r="A136" s="12"/>
      <c r="B136" s="4"/>
      <c r="C136" s="4"/>
      <c r="D136" s="4"/>
      <c r="E136" s="4"/>
      <c r="F136" s="4"/>
      <c r="G136" s="4"/>
      <c r="H136" s="4"/>
      <c r="I136" s="4"/>
      <c r="J136" s="12"/>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row>
    <row r="137" spans="1:146" x14ac:dyDescent="0.2">
      <c r="A137" s="12"/>
      <c r="B137" s="4"/>
      <c r="C137" s="4"/>
      <c r="D137" s="4"/>
      <c r="E137" s="4"/>
      <c r="F137" s="4"/>
      <c r="G137" s="4"/>
      <c r="H137" s="4"/>
      <c r="I137" s="4"/>
      <c r="J137" s="12"/>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row>
    <row r="138" spans="1:146" x14ac:dyDescent="0.2">
      <c r="A138" s="12"/>
      <c r="B138" s="4"/>
      <c r="C138" s="4"/>
      <c r="D138" s="4"/>
      <c r="E138" s="4"/>
      <c r="F138" s="4"/>
      <c r="G138" s="4"/>
      <c r="H138" s="4"/>
      <c r="I138" s="4"/>
      <c r="J138" s="12"/>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row>
    <row r="139" spans="1:146" x14ac:dyDescent="0.2">
      <c r="A139" s="12"/>
      <c r="B139" s="4"/>
      <c r="C139" s="4"/>
      <c r="D139" s="4"/>
      <c r="E139" s="4"/>
      <c r="F139" s="4"/>
      <c r="G139" s="4"/>
      <c r="H139" s="4"/>
      <c r="I139" s="4"/>
      <c r="J139" s="12"/>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row>
    <row r="140" spans="1:146" x14ac:dyDescent="0.2">
      <c r="A140" s="12"/>
      <c r="B140" s="4"/>
      <c r="C140" s="4"/>
      <c r="D140" s="4"/>
      <c r="E140" s="4"/>
      <c r="F140" s="4"/>
      <c r="G140" s="4"/>
      <c r="H140" s="4"/>
      <c r="I140" s="4"/>
      <c r="J140" s="12"/>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row>
    <row r="141" spans="1:146" x14ac:dyDescent="0.2">
      <c r="A141" s="12"/>
      <c r="B141" s="4"/>
      <c r="C141" s="4"/>
      <c r="D141" s="4"/>
      <c r="E141" s="4"/>
      <c r="F141" s="4"/>
      <c r="G141" s="4"/>
      <c r="H141" s="4"/>
      <c r="I141" s="4"/>
      <c r="J141" s="12"/>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row>
    <row r="142" spans="1:146" x14ac:dyDescent="0.2">
      <c r="A142" s="12"/>
      <c r="B142" s="4"/>
      <c r="C142" s="4"/>
      <c r="D142" s="4"/>
      <c r="E142" s="4"/>
      <c r="F142" s="4"/>
      <c r="G142" s="4"/>
      <c r="H142" s="4"/>
      <c r="I142" s="4"/>
      <c r="J142" s="12"/>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row>
    <row r="143" spans="1:146" x14ac:dyDescent="0.2">
      <c r="A143" s="12"/>
      <c r="B143" s="4"/>
      <c r="C143" s="4"/>
      <c r="D143" s="4"/>
      <c r="E143" s="4"/>
      <c r="F143" s="4"/>
      <c r="G143" s="4"/>
      <c r="H143" s="4"/>
      <c r="I143" s="4"/>
      <c r="J143" s="12"/>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row>
    <row r="144" spans="1:146" x14ac:dyDescent="0.2">
      <c r="A144" s="12"/>
      <c r="B144" s="4"/>
      <c r="C144" s="4"/>
      <c r="D144" s="4"/>
      <c r="E144" s="4"/>
      <c r="F144" s="4"/>
      <c r="G144" s="4"/>
      <c r="H144" s="4"/>
      <c r="I144" s="4"/>
      <c r="J144" s="12"/>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row>
    <row r="145" spans="1:146" x14ac:dyDescent="0.2">
      <c r="A145" s="12"/>
      <c r="B145" s="4"/>
      <c r="C145" s="4"/>
      <c r="D145" s="4"/>
      <c r="E145" s="4"/>
      <c r="F145" s="4"/>
      <c r="G145" s="4"/>
      <c r="H145" s="4"/>
      <c r="I145" s="4"/>
      <c r="J145" s="12"/>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row>
    <row r="146" spans="1:146" x14ac:dyDescent="0.2">
      <c r="A146" s="12"/>
      <c r="B146" s="4"/>
      <c r="C146" s="4"/>
      <c r="D146" s="4"/>
      <c r="E146" s="4"/>
      <c r="F146" s="4"/>
      <c r="G146" s="4"/>
      <c r="H146" s="4"/>
      <c r="I146" s="4"/>
      <c r="J146" s="12"/>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row>
    <row r="147" spans="1:146" x14ac:dyDescent="0.2">
      <c r="A147" s="12"/>
      <c r="B147" s="4"/>
      <c r="C147" s="4"/>
      <c r="D147" s="4"/>
      <c r="E147" s="4"/>
      <c r="F147" s="4"/>
      <c r="G147" s="4"/>
      <c r="H147" s="4"/>
      <c r="I147" s="4"/>
      <c r="J147" s="12"/>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row>
    <row r="148" spans="1:146" x14ac:dyDescent="0.2">
      <c r="A148" s="12"/>
      <c r="B148" s="4"/>
      <c r="C148" s="4"/>
      <c r="D148" s="4"/>
      <c r="E148" s="4"/>
      <c r="F148" s="4"/>
      <c r="G148" s="4"/>
      <c r="H148" s="4"/>
      <c r="I148" s="4"/>
      <c r="J148" s="12"/>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row>
    <row r="149" spans="1:146" x14ac:dyDescent="0.2">
      <c r="A149" s="12"/>
      <c r="B149" s="4"/>
      <c r="C149" s="4"/>
      <c r="D149" s="4"/>
      <c r="E149" s="4"/>
      <c r="F149" s="4"/>
      <c r="G149" s="4"/>
      <c r="H149" s="4"/>
      <c r="I149" s="4"/>
      <c r="J149" s="12"/>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row>
    <row r="150" spans="1:146" x14ac:dyDescent="0.2">
      <c r="A150" s="12"/>
      <c r="B150" s="4"/>
      <c r="C150" s="4"/>
      <c r="D150" s="4"/>
      <c r="E150" s="4"/>
      <c r="F150" s="4"/>
      <c r="G150" s="4"/>
      <c r="H150" s="4"/>
      <c r="I150" s="4"/>
      <c r="J150" s="12"/>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row>
    <row r="151" spans="1:146" x14ac:dyDescent="0.2">
      <c r="A151" s="12"/>
      <c r="B151" s="4"/>
      <c r="C151" s="4"/>
      <c r="D151" s="4"/>
      <c r="E151" s="4"/>
      <c r="F151" s="4"/>
      <c r="G151" s="4"/>
      <c r="H151" s="4"/>
      <c r="I151" s="4"/>
      <c r="J151" s="12"/>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row>
    <row r="152" spans="1:146" x14ac:dyDescent="0.2">
      <c r="A152" s="12"/>
      <c r="B152" s="4"/>
      <c r="C152" s="4"/>
      <c r="D152" s="4"/>
      <c r="E152" s="4"/>
      <c r="F152" s="4"/>
      <c r="G152" s="4"/>
      <c r="H152" s="4"/>
      <c r="I152" s="4"/>
      <c r="J152" s="12"/>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row>
    <row r="153" spans="1:146" x14ac:dyDescent="0.2">
      <c r="A153" s="12"/>
      <c r="B153" s="4"/>
      <c r="C153" s="4"/>
      <c r="D153" s="4"/>
      <c r="E153" s="4"/>
      <c r="F153" s="4"/>
      <c r="G153" s="4"/>
      <c r="H153" s="4"/>
      <c r="I153" s="4"/>
      <c r="J153" s="12"/>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row>
    <row r="154" spans="1:146" x14ac:dyDescent="0.2">
      <c r="A154" s="12"/>
      <c r="B154" s="4"/>
      <c r="C154" s="4"/>
      <c r="D154" s="4"/>
      <c r="E154" s="4"/>
      <c r="F154" s="4"/>
      <c r="G154" s="4"/>
      <c r="H154" s="4"/>
      <c r="I154" s="4"/>
      <c r="J154" s="12"/>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row>
    <row r="155" spans="1:146" x14ac:dyDescent="0.2">
      <c r="A155" s="12"/>
      <c r="B155" s="4"/>
      <c r="C155" s="4"/>
      <c r="D155" s="4"/>
      <c r="E155" s="4"/>
      <c r="F155" s="4"/>
      <c r="G155" s="4"/>
      <c r="H155" s="4"/>
      <c r="I155" s="4"/>
      <c r="J155" s="12"/>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row>
    <row r="156" spans="1:146" x14ac:dyDescent="0.2">
      <c r="A156" s="12"/>
      <c r="B156" s="4"/>
      <c r="C156" s="4"/>
      <c r="D156" s="4"/>
      <c r="E156" s="4"/>
      <c r="F156" s="4"/>
      <c r="G156" s="4"/>
      <c r="H156" s="4"/>
      <c r="I156" s="4"/>
      <c r="J156" s="12"/>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row>
    <row r="157" spans="1:146" x14ac:dyDescent="0.2">
      <c r="A157" s="12"/>
      <c r="B157" s="4"/>
      <c r="C157" s="4"/>
      <c r="D157" s="4"/>
      <c r="E157" s="4"/>
      <c r="F157" s="4"/>
      <c r="G157" s="4"/>
      <c r="H157" s="4"/>
      <c r="I157" s="4"/>
      <c r="J157" s="12"/>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row>
    <row r="158" spans="1:146" x14ac:dyDescent="0.2">
      <c r="A158" s="12"/>
      <c r="B158" s="4"/>
      <c r="C158" s="4"/>
      <c r="D158" s="4"/>
      <c r="E158" s="4"/>
      <c r="F158" s="4"/>
      <c r="G158" s="4"/>
      <c r="H158" s="4"/>
      <c r="I158" s="4"/>
      <c r="J158" s="12"/>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row>
    <row r="159" spans="1:146" x14ac:dyDescent="0.2">
      <c r="A159" s="12"/>
      <c r="B159" s="4"/>
      <c r="C159" s="4"/>
      <c r="D159" s="4"/>
      <c r="E159" s="4"/>
      <c r="F159" s="4"/>
      <c r="G159" s="4"/>
      <c r="H159" s="4"/>
      <c r="I159" s="4"/>
      <c r="J159" s="12"/>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row>
    <row r="160" spans="1:146" x14ac:dyDescent="0.2">
      <c r="A160" s="12"/>
      <c r="B160" s="4"/>
      <c r="C160" s="4"/>
      <c r="D160" s="4"/>
      <c r="E160" s="4"/>
      <c r="F160" s="4"/>
      <c r="G160" s="4"/>
      <c r="H160" s="4"/>
      <c r="I160" s="4"/>
      <c r="J160" s="12"/>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row>
    <row r="161" spans="1:146" x14ac:dyDescent="0.2">
      <c r="A161" s="12"/>
      <c r="B161" s="4"/>
      <c r="C161" s="4"/>
      <c r="D161" s="4"/>
      <c r="E161" s="4"/>
      <c r="F161" s="4"/>
      <c r="G161" s="4"/>
      <c r="H161" s="4"/>
      <c r="I161" s="4"/>
      <c r="J161" s="12"/>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row>
    <row r="162" spans="1:146" x14ac:dyDescent="0.2">
      <c r="A162" s="12"/>
      <c r="B162" s="4"/>
      <c r="C162" s="4"/>
      <c r="D162" s="4"/>
      <c r="E162" s="4"/>
      <c r="F162" s="4"/>
      <c r="G162" s="4"/>
      <c r="H162" s="4"/>
      <c r="I162" s="4"/>
      <c r="J162" s="12"/>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row>
    <row r="163" spans="1:146" x14ac:dyDescent="0.2">
      <c r="A163" s="12"/>
      <c r="B163" s="4"/>
      <c r="C163" s="4"/>
      <c r="D163" s="4"/>
      <c r="E163" s="4"/>
      <c r="F163" s="4"/>
      <c r="G163" s="4"/>
      <c r="H163" s="4"/>
      <c r="I163" s="4"/>
      <c r="J163" s="12"/>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row>
    <row r="164" spans="1:146" x14ac:dyDescent="0.2">
      <c r="A164" s="12"/>
      <c r="B164" s="4"/>
      <c r="C164" s="4"/>
      <c r="D164" s="4"/>
      <c r="E164" s="4"/>
      <c r="F164" s="4"/>
      <c r="G164" s="4"/>
      <c r="H164" s="4"/>
      <c r="I164" s="4"/>
      <c r="J164" s="12"/>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row>
    <row r="165" spans="1:146" x14ac:dyDescent="0.2">
      <c r="A165" s="12"/>
      <c r="B165" s="4"/>
      <c r="C165" s="4"/>
      <c r="D165" s="4"/>
      <c r="E165" s="4"/>
      <c r="F165" s="4"/>
      <c r="G165" s="4"/>
      <c r="H165" s="4"/>
      <c r="I165" s="4"/>
      <c r="J165" s="12"/>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row>
    <row r="166" spans="1:146" x14ac:dyDescent="0.2">
      <c r="A166" s="12"/>
      <c r="B166" s="4"/>
      <c r="C166" s="4"/>
      <c r="D166" s="4"/>
      <c r="E166" s="4"/>
      <c r="F166" s="4"/>
      <c r="G166" s="4"/>
      <c r="H166" s="4"/>
      <c r="I166" s="4"/>
      <c r="J166" s="12"/>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row>
    <row r="167" spans="1:146" x14ac:dyDescent="0.2">
      <c r="A167" s="12"/>
      <c r="B167" s="4"/>
      <c r="C167" s="4"/>
      <c r="D167" s="4"/>
      <c r="E167" s="4"/>
      <c r="F167" s="4"/>
      <c r="G167" s="4"/>
      <c r="H167" s="4"/>
      <c r="I167" s="4"/>
      <c r="J167" s="12"/>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row>
    <row r="168" spans="1:146" x14ac:dyDescent="0.2">
      <c r="A168" s="12"/>
      <c r="B168" s="4"/>
      <c r="C168" s="4"/>
      <c r="D168" s="4"/>
      <c r="E168" s="4"/>
      <c r="F168" s="4"/>
      <c r="G168" s="4"/>
      <c r="H168" s="4"/>
      <c r="I168" s="4"/>
      <c r="J168" s="12"/>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row>
  </sheetData>
  <mergeCells count="16">
    <mergeCell ref="A19:A26"/>
    <mergeCell ref="A2:R2"/>
    <mergeCell ref="A1:I1"/>
    <mergeCell ref="A16:B17"/>
    <mergeCell ref="A18:B18"/>
    <mergeCell ref="E16:F16"/>
    <mergeCell ref="G16:H16"/>
    <mergeCell ref="I16:J16"/>
    <mergeCell ref="A6:B6"/>
    <mergeCell ref="A7:A14"/>
    <mergeCell ref="A4:B5"/>
    <mergeCell ref="C4:D4"/>
    <mergeCell ref="E4:F4"/>
    <mergeCell ref="G4:H4"/>
    <mergeCell ref="I4:J4"/>
    <mergeCell ref="C16:D16"/>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18"/>
  <sheetViews>
    <sheetView workbookViewId="0"/>
  </sheetViews>
  <sheetFormatPr defaultRowHeight="12" x14ac:dyDescent="0.2"/>
  <cols>
    <col min="1" max="1" width="20.140625" bestFit="1" customWidth="1"/>
    <col min="2" max="2" width="30.28515625" bestFit="1" customWidth="1"/>
    <col min="3" max="14" width="20.42578125" bestFit="1" customWidth="1"/>
    <col min="15" max="16" width="19.42578125" bestFit="1" customWidth="1"/>
    <col min="17" max="74" width="9.42578125" customWidth="1"/>
    <col min="75" max="75" width="10.28515625" customWidth="1"/>
    <col min="76" max="76" width="19" bestFit="1" customWidth="1"/>
  </cols>
  <sheetData>
    <row r="1" spans="1:16" x14ac:dyDescent="0.2">
      <c r="C1" s="77" t="s">
        <v>222</v>
      </c>
      <c r="D1" s="77" t="s">
        <v>415</v>
      </c>
    </row>
    <row r="2" spans="1:16" x14ac:dyDescent="0.2">
      <c r="C2" s="446" t="s">
        <v>25</v>
      </c>
      <c r="E2" s="446" t="s">
        <v>308</v>
      </c>
      <c r="G2" s="446" t="s">
        <v>49</v>
      </c>
      <c r="I2" s="446" t="s">
        <v>44</v>
      </c>
      <c r="K2" s="446" t="s">
        <v>47</v>
      </c>
      <c r="M2" s="446" t="s">
        <v>153</v>
      </c>
      <c r="O2" s="446" t="s">
        <v>3858</v>
      </c>
      <c r="P2" s="446" t="s">
        <v>3859</v>
      </c>
    </row>
    <row r="3" spans="1:16" x14ac:dyDescent="0.2">
      <c r="A3" s="77" t="s">
        <v>2939</v>
      </c>
      <c r="B3" s="77" t="s">
        <v>2940</v>
      </c>
      <c r="C3" s="446" t="s">
        <v>3857</v>
      </c>
      <c r="D3" s="446" t="s">
        <v>3860</v>
      </c>
      <c r="E3" s="446" t="s">
        <v>3857</v>
      </c>
      <c r="F3" s="446" t="s">
        <v>3860</v>
      </c>
      <c r="G3" s="446" t="s">
        <v>3857</v>
      </c>
      <c r="H3" s="446" t="s">
        <v>3860</v>
      </c>
      <c r="I3" s="446" t="s">
        <v>3857</v>
      </c>
      <c r="J3" s="446" t="s">
        <v>3860</v>
      </c>
      <c r="K3" s="446" t="s">
        <v>3857</v>
      </c>
      <c r="L3" s="446" t="s">
        <v>3860</v>
      </c>
      <c r="M3" s="446" t="s">
        <v>3857</v>
      </c>
      <c r="N3" s="446" t="s">
        <v>3860</v>
      </c>
    </row>
    <row r="4" spans="1:16" x14ac:dyDescent="0.2">
      <c r="A4" s="446" t="s">
        <v>2936</v>
      </c>
      <c r="C4" s="74">
        <v>0</v>
      </c>
      <c r="D4" s="74">
        <v>0</v>
      </c>
      <c r="E4" s="74">
        <v>0</v>
      </c>
      <c r="F4" s="74">
        <v>0</v>
      </c>
      <c r="G4" s="74">
        <v>2</v>
      </c>
      <c r="H4" s="74">
        <v>255</v>
      </c>
      <c r="I4" s="74">
        <v>1</v>
      </c>
      <c r="J4" s="74">
        <v>95</v>
      </c>
      <c r="K4" s="74">
        <v>0</v>
      </c>
      <c r="L4" s="74">
        <v>0</v>
      </c>
      <c r="M4" s="74">
        <v>0</v>
      </c>
      <c r="N4" s="74">
        <v>0</v>
      </c>
      <c r="O4" s="74">
        <v>3</v>
      </c>
      <c r="P4" s="74">
        <v>350</v>
      </c>
    </row>
    <row r="5" spans="1:16" x14ac:dyDescent="0.2">
      <c r="A5" s="446" t="s">
        <v>2935</v>
      </c>
      <c r="C5" s="74">
        <v>1</v>
      </c>
      <c r="D5" s="74">
        <v>275</v>
      </c>
      <c r="E5" s="74">
        <v>0</v>
      </c>
      <c r="F5" s="74">
        <v>0</v>
      </c>
      <c r="G5" s="74">
        <v>0</v>
      </c>
      <c r="H5" s="74">
        <v>0</v>
      </c>
      <c r="I5" s="74">
        <v>1</v>
      </c>
      <c r="J5" s="74">
        <v>472</v>
      </c>
      <c r="K5" s="74">
        <v>1</v>
      </c>
      <c r="L5" s="74">
        <v>363</v>
      </c>
      <c r="M5" s="74">
        <v>0</v>
      </c>
      <c r="N5" s="74">
        <v>0</v>
      </c>
      <c r="O5" s="74">
        <v>3</v>
      </c>
      <c r="P5" s="74">
        <v>1110</v>
      </c>
    </row>
    <row r="6" spans="1:16" x14ac:dyDescent="0.2">
      <c r="A6" s="446" t="s">
        <v>2937</v>
      </c>
      <c r="B6" s="446" t="s">
        <v>2946</v>
      </c>
      <c r="C6" s="74">
        <v>0</v>
      </c>
      <c r="D6" s="74">
        <v>0</v>
      </c>
      <c r="E6" s="74">
        <v>1</v>
      </c>
      <c r="F6" s="74">
        <v>1245</v>
      </c>
      <c r="G6" s="74">
        <v>2</v>
      </c>
      <c r="H6" s="74">
        <v>662</v>
      </c>
      <c r="I6" s="74">
        <v>2</v>
      </c>
      <c r="J6" s="74">
        <v>2045</v>
      </c>
      <c r="K6" s="74">
        <v>2</v>
      </c>
      <c r="L6" s="74">
        <v>1420</v>
      </c>
      <c r="M6" s="74">
        <v>0</v>
      </c>
      <c r="N6" s="74">
        <v>0</v>
      </c>
      <c r="O6" s="74">
        <v>7</v>
      </c>
      <c r="P6" s="74">
        <v>5372</v>
      </c>
    </row>
    <row r="7" spans="1:16" x14ac:dyDescent="0.2">
      <c r="B7" s="446" t="s">
        <v>2947</v>
      </c>
      <c r="C7" s="74">
        <v>0</v>
      </c>
      <c r="D7" s="74">
        <v>0</v>
      </c>
      <c r="E7" s="74">
        <v>0</v>
      </c>
      <c r="F7" s="74">
        <v>0</v>
      </c>
      <c r="G7" s="74">
        <v>0</v>
      </c>
      <c r="H7" s="74">
        <v>0</v>
      </c>
      <c r="I7" s="74">
        <v>0</v>
      </c>
      <c r="J7" s="74">
        <v>0</v>
      </c>
      <c r="K7" s="74">
        <v>0</v>
      </c>
      <c r="L7" s="74">
        <v>0</v>
      </c>
      <c r="M7" s="74">
        <v>0</v>
      </c>
      <c r="N7" s="74">
        <v>0</v>
      </c>
      <c r="O7" s="74">
        <v>0</v>
      </c>
      <c r="P7" s="74">
        <v>0</v>
      </c>
    </row>
    <row r="8" spans="1:16" x14ac:dyDescent="0.2">
      <c r="B8" s="446" t="s">
        <v>2948</v>
      </c>
      <c r="C8" s="74">
        <v>0</v>
      </c>
      <c r="D8" s="74">
        <v>0</v>
      </c>
      <c r="E8" s="74">
        <v>0</v>
      </c>
      <c r="F8" s="74">
        <v>0</v>
      </c>
      <c r="G8" s="74">
        <v>0</v>
      </c>
      <c r="H8" s="74">
        <v>0</v>
      </c>
      <c r="I8" s="74">
        <v>0</v>
      </c>
      <c r="J8" s="74">
        <v>0</v>
      </c>
      <c r="K8" s="74">
        <v>0</v>
      </c>
      <c r="L8" s="74">
        <v>0</v>
      </c>
      <c r="M8" s="74">
        <v>0</v>
      </c>
      <c r="N8" s="74">
        <v>0</v>
      </c>
      <c r="O8" s="74">
        <v>0</v>
      </c>
      <c r="P8" s="74">
        <v>0</v>
      </c>
    </row>
    <row r="9" spans="1:16" x14ac:dyDescent="0.2">
      <c r="B9" s="446" t="s">
        <v>2949</v>
      </c>
      <c r="C9" s="74">
        <v>0</v>
      </c>
      <c r="D9" s="74">
        <v>0</v>
      </c>
      <c r="E9" s="74">
        <v>0</v>
      </c>
      <c r="F9" s="74">
        <v>0</v>
      </c>
      <c r="G9" s="74">
        <v>0</v>
      </c>
      <c r="H9" s="74">
        <v>0</v>
      </c>
      <c r="I9" s="74">
        <v>0</v>
      </c>
      <c r="J9" s="74">
        <v>0</v>
      </c>
      <c r="K9" s="74">
        <v>0</v>
      </c>
      <c r="L9" s="74">
        <v>0</v>
      </c>
      <c r="M9" s="74">
        <v>0</v>
      </c>
      <c r="N9" s="74">
        <v>0</v>
      </c>
      <c r="O9" s="74">
        <v>0</v>
      </c>
      <c r="P9" s="74">
        <v>0</v>
      </c>
    </row>
    <row r="10" spans="1:16" x14ac:dyDescent="0.2">
      <c r="A10" s="446" t="s">
        <v>2956</v>
      </c>
      <c r="B10" s="446"/>
      <c r="C10" s="74">
        <v>0</v>
      </c>
      <c r="D10" s="74">
        <v>0</v>
      </c>
      <c r="E10" s="74">
        <v>1</v>
      </c>
      <c r="F10" s="74">
        <v>1245</v>
      </c>
      <c r="G10" s="74">
        <v>2</v>
      </c>
      <c r="H10" s="74">
        <v>662</v>
      </c>
      <c r="I10" s="74">
        <v>2</v>
      </c>
      <c r="J10" s="74">
        <v>2045</v>
      </c>
      <c r="K10" s="74">
        <v>2</v>
      </c>
      <c r="L10" s="74">
        <v>1420</v>
      </c>
      <c r="M10" s="74">
        <v>0</v>
      </c>
      <c r="N10" s="74">
        <v>0</v>
      </c>
      <c r="O10" s="74">
        <v>7</v>
      </c>
      <c r="P10" s="74">
        <v>5372</v>
      </c>
    </row>
    <row r="11" spans="1:16" x14ac:dyDescent="0.2">
      <c r="A11" s="446" t="s">
        <v>2938</v>
      </c>
      <c r="B11" s="446" t="s">
        <v>2945</v>
      </c>
      <c r="C11" s="74">
        <v>0</v>
      </c>
      <c r="D11" s="74">
        <v>0</v>
      </c>
      <c r="E11" s="74">
        <v>0</v>
      </c>
      <c r="F11" s="74">
        <v>0</v>
      </c>
      <c r="G11" s="74">
        <v>0</v>
      </c>
      <c r="H11" s="74">
        <v>0</v>
      </c>
      <c r="I11" s="74">
        <v>0</v>
      </c>
      <c r="J11" s="74">
        <v>0</v>
      </c>
      <c r="K11" s="74">
        <v>0</v>
      </c>
      <c r="L11" s="74">
        <v>0</v>
      </c>
      <c r="M11" s="74">
        <v>0</v>
      </c>
      <c r="N11" s="74">
        <v>0</v>
      </c>
      <c r="O11" s="74">
        <v>0</v>
      </c>
      <c r="P11" s="74">
        <v>0</v>
      </c>
    </row>
    <row r="12" spans="1:16" x14ac:dyDescent="0.2">
      <c r="B12" s="446" t="s">
        <v>2946</v>
      </c>
      <c r="C12" s="74">
        <v>0</v>
      </c>
      <c r="D12" s="74">
        <v>0</v>
      </c>
      <c r="E12" s="74">
        <v>0</v>
      </c>
      <c r="F12" s="74">
        <v>0</v>
      </c>
      <c r="G12" s="74">
        <v>0</v>
      </c>
      <c r="H12" s="74">
        <v>0</v>
      </c>
      <c r="I12" s="74">
        <v>0</v>
      </c>
      <c r="J12" s="74">
        <v>0</v>
      </c>
      <c r="K12" s="74">
        <v>0</v>
      </c>
      <c r="L12" s="74">
        <v>0</v>
      </c>
      <c r="M12" s="74">
        <v>0</v>
      </c>
      <c r="N12" s="74">
        <v>0</v>
      </c>
      <c r="O12" s="74">
        <v>0</v>
      </c>
      <c r="P12" s="74">
        <v>0</v>
      </c>
    </row>
    <row r="13" spans="1:16" x14ac:dyDescent="0.2">
      <c r="B13" s="446" t="s">
        <v>2947</v>
      </c>
      <c r="C13" s="74">
        <v>0</v>
      </c>
      <c r="D13" s="74">
        <v>0</v>
      </c>
      <c r="E13" s="74">
        <v>0</v>
      </c>
      <c r="F13" s="74">
        <v>0</v>
      </c>
      <c r="G13" s="74">
        <v>0</v>
      </c>
      <c r="H13" s="74">
        <v>0</v>
      </c>
      <c r="I13" s="74">
        <v>0</v>
      </c>
      <c r="J13" s="74">
        <v>0</v>
      </c>
      <c r="K13" s="74">
        <v>0</v>
      </c>
      <c r="L13" s="74">
        <v>0</v>
      </c>
      <c r="M13" s="74">
        <v>0</v>
      </c>
      <c r="N13" s="74">
        <v>0</v>
      </c>
      <c r="O13" s="74">
        <v>0</v>
      </c>
      <c r="P13" s="74">
        <v>0</v>
      </c>
    </row>
    <row r="14" spans="1:16" x14ac:dyDescent="0.2">
      <c r="B14" s="446" t="s">
        <v>2948</v>
      </c>
      <c r="C14" s="74">
        <v>0</v>
      </c>
      <c r="D14" s="74">
        <v>0</v>
      </c>
      <c r="E14" s="74">
        <v>0</v>
      </c>
      <c r="F14" s="74">
        <v>0</v>
      </c>
      <c r="G14" s="74">
        <v>0</v>
      </c>
      <c r="H14" s="74">
        <v>0</v>
      </c>
      <c r="I14" s="74">
        <v>0</v>
      </c>
      <c r="J14" s="74">
        <v>0</v>
      </c>
      <c r="K14" s="74">
        <v>0</v>
      </c>
      <c r="L14" s="74">
        <v>0</v>
      </c>
      <c r="M14" s="74">
        <v>0</v>
      </c>
      <c r="N14" s="74">
        <v>0</v>
      </c>
      <c r="O14" s="74">
        <v>0</v>
      </c>
      <c r="P14" s="74">
        <v>0</v>
      </c>
    </row>
    <row r="15" spans="1:16" x14ac:dyDescent="0.2">
      <c r="B15" s="446" t="s">
        <v>2949</v>
      </c>
      <c r="C15" s="74">
        <v>0</v>
      </c>
      <c r="D15" s="74">
        <v>0</v>
      </c>
      <c r="E15" s="74">
        <v>0</v>
      </c>
      <c r="F15" s="74">
        <v>0</v>
      </c>
      <c r="G15" s="74">
        <v>0</v>
      </c>
      <c r="H15" s="74">
        <v>0</v>
      </c>
      <c r="I15" s="74">
        <v>0</v>
      </c>
      <c r="J15" s="74">
        <v>0</v>
      </c>
      <c r="K15" s="74">
        <v>0</v>
      </c>
      <c r="L15" s="74">
        <v>0</v>
      </c>
      <c r="M15" s="74">
        <v>0</v>
      </c>
      <c r="N15" s="74">
        <v>0</v>
      </c>
      <c r="O15" s="74">
        <v>0</v>
      </c>
      <c r="P15" s="74">
        <v>0</v>
      </c>
    </row>
    <row r="16" spans="1:16" x14ac:dyDescent="0.2">
      <c r="B16" s="446" t="s">
        <v>2959</v>
      </c>
      <c r="C16" s="74">
        <v>0</v>
      </c>
      <c r="D16" s="74">
        <v>0</v>
      </c>
      <c r="E16" s="74">
        <v>0</v>
      </c>
      <c r="F16" s="74">
        <v>0</v>
      </c>
      <c r="G16" s="74">
        <v>1</v>
      </c>
      <c r="H16" s="74">
        <v>176</v>
      </c>
      <c r="I16" s="74">
        <v>0</v>
      </c>
      <c r="J16" s="74">
        <v>0</v>
      </c>
      <c r="K16" s="74">
        <v>0</v>
      </c>
      <c r="L16" s="74">
        <v>0</v>
      </c>
      <c r="M16" s="74">
        <v>0</v>
      </c>
      <c r="N16" s="74">
        <v>0</v>
      </c>
      <c r="O16" s="74">
        <v>1</v>
      </c>
      <c r="P16" s="74">
        <v>176</v>
      </c>
    </row>
    <row r="17" spans="1:16" x14ac:dyDescent="0.2">
      <c r="A17" s="446" t="s">
        <v>2958</v>
      </c>
      <c r="B17" s="446"/>
      <c r="C17" s="74">
        <v>0</v>
      </c>
      <c r="D17" s="74">
        <v>0</v>
      </c>
      <c r="E17" s="74">
        <v>0</v>
      </c>
      <c r="F17" s="74">
        <v>0</v>
      </c>
      <c r="G17" s="74">
        <v>1</v>
      </c>
      <c r="H17" s="74">
        <v>176</v>
      </c>
      <c r="I17" s="74">
        <v>0</v>
      </c>
      <c r="J17" s="74">
        <v>0</v>
      </c>
      <c r="K17" s="74">
        <v>0</v>
      </c>
      <c r="L17" s="74">
        <v>0</v>
      </c>
      <c r="M17" s="74">
        <v>0</v>
      </c>
      <c r="N17" s="74">
        <v>0</v>
      </c>
      <c r="O17" s="74">
        <v>1</v>
      </c>
      <c r="P17" s="74">
        <v>176</v>
      </c>
    </row>
    <row r="18" spans="1:16" x14ac:dyDescent="0.2">
      <c r="A18" s="446" t="s">
        <v>115</v>
      </c>
      <c r="C18" s="74">
        <v>1</v>
      </c>
      <c r="D18" s="74">
        <v>275</v>
      </c>
      <c r="E18" s="74">
        <v>1</v>
      </c>
      <c r="F18" s="74">
        <v>1245</v>
      </c>
      <c r="G18" s="74">
        <v>5</v>
      </c>
      <c r="H18" s="74">
        <v>1093</v>
      </c>
      <c r="I18" s="74">
        <v>4</v>
      </c>
      <c r="J18" s="74">
        <v>2612</v>
      </c>
      <c r="K18" s="74">
        <v>3</v>
      </c>
      <c r="L18" s="74">
        <v>1783</v>
      </c>
      <c r="M18" s="74">
        <v>0</v>
      </c>
      <c r="N18" s="74">
        <v>0</v>
      </c>
      <c r="O18" s="74">
        <v>14</v>
      </c>
      <c r="P18" s="74">
        <v>7008</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4"/>
  <dimension ref="A1:EQ179"/>
  <sheetViews>
    <sheetView workbookViewId="0"/>
  </sheetViews>
  <sheetFormatPr defaultRowHeight="12" x14ac:dyDescent="0.2"/>
  <cols>
    <col min="1" max="1" width="7.42578125" style="404" bestFit="1" customWidth="1"/>
    <col min="2" max="2" width="22.42578125" style="1" customWidth="1"/>
    <col min="3" max="17" width="7.42578125" style="1" customWidth="1"/>
    <col min="18" max="18" width="9.140625" style="1" customWidth="1"/>
    <col min="19" max="16384" width="9.140625" style="1"/>
  </cols>
  <sheetData>
    <row r="1" spans="1:147" ht="15.75" x14ac:dyDescent="0.25">
      <c r="A1" s="401" t="s">
        <v>3868</v>
      </c>
    </row>
    <row r="2" spans="1:147" ht="12.75" x14ac:dyDescent="0.2">
      <c r="A2" s="825" t="s">
        <v>3921</v>
      </c>
      <c r="B2" s="825"/>
      <c r="C2" s="825"/>
      <c r="D2" s="825"/>
      <c r="E2" s="825"/>
      <c r="F2" s="825"/>
      <c r="G2" s="825"/>
      <c r="H2" s="825"/>
      <c r="I2" s="825"/>
      <c r="J2" s="825"/>
      <c r="K2" s="825"/>
      <c r="L2" s="825"/>
      <c r="M2" s="825"/>
      <c r="N2" s="825"/>
      <c r="O2" s="825"/>
      <c r="P2" s="825"/>
      <c r="Q2" s="825"/>
      <c r="R2" s="825"/>
      <c r="S2" s="4"/>
      <c r="T2" s="4"/>
      <c r="U2" s="4"/>
      <c r="V2" s="4"/>
      <c r="W2" s="4"/>
      <c r="X2" s="4"/>
      <c r="Y2" s="4"/>
      <c r="Z2" s="4"/>
      <c r="AA2" s="4"/>
      <c r="AB2" s="4"/>
      <c r="AC2" s="4"/>
      <c r="AD2" s="4"/>
      <c r="AE2" s="4"/>
      <c r="AF2" s="4"/>
      <c r="AG2" s="4"/>
      <c r="AH2" s="4"/>
      <c r="AI2" s="4"/>
      <c r="AJ2" s="10"/>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row>
    <row r="3" spans="1:147" ht="12" customHeight="1" x14ac:dyDescent="0.2">
      <c r="A3" s="402"/>
      <c r="B3" s="7"/>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row>
    <row r="4" spans="1:147" ht="24" customHeight="1" x14ac:dyDescent="0.2">
      <c r="A4" s="820" t="s">
        <v>88</v>
      </c>
      <c r="B4" s="821"/>
      <c r="C4" s="269" t="s">
        <v>135</v>
      </c>
      <c r="D4" s="270" t="s">
        <v>136</v>
      </c>
      <c r="E4" s="270" t="s">
        <v>137</v>
      </c>
      <c r="F4" s="270" t="s">
        <v>138</v>
      </c>
      <c r="G4" s="270" t="s">
        <v>139</v>
      </c>
      <c r="H4" s="271" t="s">
        <v>3862</v>
      </c>
      <c r="I4" s="277" t="s">
        <v>97</v>
      </c>
      <c r="J4" s="278" t="s">
        <v>98</v>
      </c>
      <c r="K4" s="278" t="s">
        <v>99</v>
      </c>
      <c r="L4" s="278" t="s">
        <v>100</v>
      </c>
      <c r="M4" s="278" t="s">
        <v>101</v>
      </c>
      <c r="N4" s="279" t="s">
        <v>3863</v>
      </c>
      <c r="O4" s="397" t="s">
        <v>166</v>
      </c>
      <c r="P4" s="398" t="s">
        <v>167</v>
      </c>
      <c r="Q4" s="399" t="s">
        <v>3864</v>
      </c>
      <c r="R4" s="520" t="s">
        <v>3865</v>
      </c>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row>
    <row r="5" spans="1:147" ht="12" customHeight="1" x14ac:dyDescent="0.2">
      <c r="A5" s="818" t="s">
        <v>2926</v>
      </c>
      <c r="B5" s="819"/>
      <c r="C5" s="272">
        <f>GETPIVOTDATA("Sum of A1 Net",'4.1 Pivot'!$A$1,"Status 1 - Development","01 Completed")</f>
        <v>-91</v>
      </c>
      <c r="D5" s="273">
        <f>GETPIVOTDATA("Sum of A2 Net",'4.1 Pivot'!$A$1,"Status 1 - Development","01 Completed")</f>
        <v>2133</v>
      </c>
      <c r="E5" s="273">
        <f>GETPIVOTDATA("Sum of A3 Net",'4.1 Pivot'!$A$1,"Status 1 - Development","01 Completed")</f>
        <v>4309</v>
      </c>
      <c r="F5" s="273">
        <f>GETPIVOTDATA("Sum of A4 Net",'4.1 Pivot'!$A$1,"Status 1 - Development","01 Completed")</f>
        <v>2149</v>
      </c>
      <c r="G5" s="273">
        <f>GETPIVOTDATA("Sum of A5 Net",'4.1 Pivot'!$A$1,"Status 1 - Development","01 Completed")</f>
        <v>2193</v>
      </c>
      <c r="H5" s="274">
        <f>SUM(C5:G5)</f>
        <v>10693</v>
      </c>
      <c r="I5" s="272">
        <f>GETPIVOTDATA("Sum of B1a Net",'4.1 Pivot'!$A$1,"Status 1 - Development","01 Completed")</f>
        <v>-16515</v>
      </c>
      <c r="J5" s="273">
        <f>GETPIVOTDATA("Sum of B1b Net",'4.1 Pivot'!$A$1,"Status 1 - Development","01 Completed")</f>
        <v>-4975</v>
      </c>
      <c r="K5" s="273">
        <f>GETPIVOTDATA("Sum of B1c Net",'4.1 Pivot'!$A$1,"Status 1 - Development","01 Completed")</f>
        <v>-16689</v>
      </c>
      <c r="L5" s="273">
        <f>GETPIVOTDATA("Sum of B2 Net",'4.1 Pivot'!$A$1,"Status 1 - Development","01 Completed")</f>
        <v>-4685</v>
      </c>
      <c r="M5" s="273">
        <f>GETPIVOTDATA("Sum of B8 Net",'4.1 Pivot'!$A$1,"Status 1 - Development","01 Completed")</f>
        <v>-3156</v>
      </c>
      <c r="N5" s="280">
        <f>SUM(I5:M5)</f>
        <v>-46020</v>
      </c>
      <c r="O5" s="272">
        <f>GETPIVOTDATA("Sum of D1 Net",'4.1 Pivot'!$A$1,"Status 1 - Development","01 Completed")</f>
        <v>7891</v>
      </c>
      <c r="P5" s="273">
        <f>GETPIVOTDATA("Sum of D2 Net",'4.1 Pivot'!$A$1,"Status 1 - Development","01 Completed")</f>
        <v>3993</v>
      </c>
      <c r="Q5" s="400">
        <f>SUM(O5:P5)</f>
        <v>11884</v>
      </c>
      <c r="R5" s="521">
        <f>H5+N5+Q5</f>
        <v>-23443</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row>
    <row r="6" spans="1:147" ht="12" customHeight="1" x14ac:dyDescent="0.2">
      <c r="A6" s="822" t="s">
        <v>2962</v>
      </c>
      <c r="B6" s="552" t="s">
        <v>96</v>
      </c>
      <c r="C6" s="272">
        <f>GETPIVOTDATA("Sum of A1 Net",'4.1 Pivot'!$A$1,"Status 1 - Development","02 Under Construction")</f>
        <v>31344</v>
      </c>
      <c r="D6" s="273">
        <f>GETPIVOTDATA("Sum of A2 Net",'4.1 Pivot'!$A$1,"Status 1 - Development","02 Under Construction")</f>
        <v>32969</v>
      </c>
      <c r="E6" s="273">
        <f>GETPIVOTDATA("Sum of A3 Net",'4.1 Pivot'!$A$1,"Status 1 - Development","02 Under Construction")</f>
        <v>11015</v>
      </c>
      <c r="F6" s="273">
        <f>GETPIVOTDATA("Sum of A4 Net",'4.1 Pivot'!$A$1,"Status 1 - Development","02 Under Construction")</f>
        <v>6059</v>
      </c>
      <c r="G6" s="273">
        <f>GETPIVOTDATA("Sum of A5 Net",'4.1 Pivot'!$A$1,"Status 1 - Development","02 Under Construction")</f>
        <v>7631</v>
      </c>
      <c r="H6" s="274">
        <f t="shared" ref="H6:H11" si="0">SUM(C6:G6)</f>
        <v>89018</v>
      </c>
      <c r="I6" s="272">
        <f>GETPIVOTDATA("Sum of B1a Net",'4.1 Pivot'!$A$1,"Status 1 - Development","02 Under Construction")</f>
        <v>18813</v>
      </c>
      <c r="J6" s="273">
        <f>GETPIVOTDATA("Sum of B1b Net",'4.1 Pivot'!$A$1,"Status 1 - Development","02 Under Construction")</f>
        <v>0</v>
      </c>
      <c r="K6" s="273">
        <f>GETPIVOTDATA("Sum of B1c Net",'4.1 Pivot'!$A$1,"Status 1 - Development","02 Under Construction")</f>
        <v>-30909</v>
      </c>
      <c r="L6" s="273">
        <f>GETPIVOTDATA("Sum of B2 Net",'4.1 Pivot'!$A$1,"Status 1 - Development","02 Under Construction")</f>
        <v>-1091</v>
      </c>
      <c r="M6" s="273">
        <f>GETPIVOTDATA("Sum of B8 Net",'4.1 Pivot'!$A$1,"Status 1 - Development","02 Under Construction")</f>
        <v>-85383</v>
      </c>
      <c r="N6" s="280">
        <f>SUM(I6:M6)</f>
        <v>-98570</v>
      </c>
      <c r="O6" s="272">
        <f>GETPIVOTDATA("Sum of D1 Net",'4.1 Pivot'!$A$1,"Status 1 - Development","02 Under Construction")</f>
        <v>23046</v>
      </c>
      <c r="P6" s="273">
        <f>GETPIVOTDATA("Sum of D2 Net",'4.1 Pivot'!$A$1,"Status 1 - Development","02 Under Construction")</f>
        <v>16032</v>
      </c>
      <c r="Q6" s="400">
        <f t="shared" ref="Q6:Q11" si="1">SUM(O6:P6)</f>
        <v>39078</v>
      </c>
      <c r="R6" s="521">
        <f t="shared" ref="R6:R11" si="2">H6+N6+Q6</f>
        <v>29526</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row>
    <row r="7" spans="1:147" ht="12" customHeight="1" x14ac:dyDescent="0.2">
      <c r="A7" s="823"/>
      <c r="B7" s="552" t="s">
        <v>2966</v>
      </c>
      <c r="C7" s="272">
        <f>GETPIVOTDATA("Sum of A1 Net",'4.1 Pivot'!$A$1,"Status 1 - Development","03 Planning","Status 2 - Permission Type","02 Full")</f>
        <v>-5565</v>
      </c>
      <c r="D7" s="273">
        <f>GETPIVOTDATA("Sum of A2 Net",'4.1 Pivot'!$A$1,"Status 1 - Development","03 Planning","Status 2 - Permission Type","02 Full")</f>
        <v>1735</v>
      </c>
      <c r="E7" s="273">
        <f>GETPIVOTDATA("Sum of A3 Net",'4.1 Pivot'!$A$1,"Status 1 - Development","03 Planning","Status 2 - Permission Type","02 Full")</f>
        <v>2584</v>
      </c>
      <c r="F7" s="273">
        <f>GETPIVOTDATA("Sum of A4 Net",'4.1 Pivot'!$A$1,"Status 1 - Development","03 Planning","Status 2 - Permission Type","02 Full")</f>
        <v>-1792</v>
      </c>
      <c r="G7" s="273">
        <f>GETPIVOTDATA("Sum of A5 Net",'4.1 Pivot'!$A$1,"Status 1 - Development","03 Planning","Status 2 - Permission Type","02 Full")</f>
        <v>80</v>
      </c>
      <c r="H7" s="274">
        <f t="shared" si="0"/>
        <v>-2958</v>
      </c>
      <c r="I7" s="272">
        <f>GETPIVOTDATA("Sum of B1a Net",'4.1 Pivot'!$A$1,"Status 1 - Development","03 Planning","Status 2 - Permission Type","02 Full")</f>
        <v>15238</v>
      </c>
      <c r="J7" s="273">
        <f>GETPIVOTDATA("Sum of B1b Net",'4.1 Pivot'!$A$1,"Status 1 - Development","03 Planning","Status 2 - Permission Type","02 Full")</f>
        <v>405</v>
      </c>
      <c r="K7" s="273">
        <f>GETPIVOTDATA("Sum of B1c Net",'4.1 Pivot'!$A$1,"Status 1 - Development","03 Planning","Status 2 - Permission Type","02 Full")</f>
        <v>-1950</v>
      </c>
      <c r="L7" s="273">
        <f>GETPIVOTDATA("Sum of B2 Net",'4.1 Pivot'!$A$1,"Status 1 - Development","03 Planning","Status 2 - Permission Type","02 Full")</f>
        <v>-1036</v>
      </c>
      <c r="M7" s="273">
        <f>GETPIVOTDATA("Sum of B8 Net",'4.1 Pivot'!$A$1,"Status 1 - Development","03 Planning","Status 2 - Permission Type","02 Full")</f>
        <v>-1078</v>
      </c>
      <c r="N7" s="280">
        <f>SUM(I7:M7)</f>
        <v>11579</v>
      </c>
      <c r="O7" s="272">
        <f>GETPIVOTDATA("Sum of D1 Net",'4.1 Pivot'!$A$1,"Status 1 - Development","03 Planning","Status 2 - Permission Type","02 Full")</f>
        <v>2914</v>
      </c>
      <c r="P7" s="273">
        <f>GETPIVOTDATA("Sum of D2 Net",'4.1 Pivot'!$A$1,"Status 1 - Development","03 Planning","Status 2 - Permission Type","02 Full")</f>
        <v>2205</v>
      </c>
      <c r="Q7" s="400">
        <f t="shared" si="1"/>
        <v>5119</v>
      </c>
      <c r="R7" s="521">
        <f t="shared" si="2"/>
        <v>13740</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row>
    <row r="8" spans="1:147" ht="12" customHeight="1" x14ac:dyDescent="0.2">
      <c r="A8" s="823"/>
      <c r="B8" s="552" t="s">
        <v>2967</v>
      </c>
      <c r="C8" s="272">
        <f>GETPIVOTDATA("Sum of A1 Net",'4.1 Pivot'!$A$1,"Status 1 - Development","03 Planning","Status 2 - Permission Type","03 Outline")</f>
        <v>6210</v>
      </c>
      <c r="D8" s="273">
        <f>GETPIVOTDATA("Sum of A2 Net",'4.1 Pivot'!$A$1,"Status 1 - Development","03 Planning","Status 2 - Permission Type","03 Outline")</f>
        <v>6210</v>
      </c>
      <c r="E8" s="273">
        <f>GETPIVOTDATA("Sum of A3 Net",'4.1 Pivot'!$A$1,"Status 1 - Development","03 Planning","Status 2 - Permission Type","03 Outline")</f>
        <v>3938</v>
      </c>
      <c r="F8" s="273">
        <f>GETPIVOTDATA("Sum of A4 Net",'4.1 Pivot'!$A$1,"Status 1 - Development","03 Planning","Status 2 - Permission Type","03 Outline")</f>
        <v>3938</v>
      </c>
      <c r="G8" s="273">
        <f>GETPIVOTDATA("Sum of A5 Net",'4.1 Pivot'!$A$1,"Status 1 - Development","03 Planning","Status 2 - Permission Type","03 Outline")</f>
        <v>3937</v>
      </c>
      <c r="H8" s="274">
        <f t="shared" si="0"/>
        <v>24233</v>
      </c>
      <c r="I8" s="272">
        <f>GETPIVOTDATA("Sum of B1a Net",'4.1 Pivot'!$A$1,"Status 1 - Development","03 Planning","Status 2 - Permission Type","03 Outline")</f>
        <v>100039</v>
      </c>
      <c r="J8" s="273">
        <f>GETPIVOTDATA("Sum of B1b Net",'4.1 Pivot'!$A$1,"Status 1 - Development","03 Planning","Status 2 - Permission Type","03 Outline")</f>
        <v>0</v>
      </c>
      <c r="K8" s="273">
        <f>GETPIVOTDATA("Sum of B1c Net",'4.1 Pivot'!$A$1,"Status 1 - Development","03 Planning","Status 2 - Permission Type","03 Outline")</f>
        <v>0</v>
      </c>
      <c r="L8" s="273">
        <f>GETPIVOTDATA("Sum of B2 Net",'4.1 Pivot'!$A$1,"Status 1 - Development","03 Planning","Status 2 - Permission Type","03 Outline")</f>
        <v>0</v>
      </c>
      <c r="M8" s="273">
        <f>GETPIVOTDATA("Sum of B8 Net",'4.1 Pivot'!$A$1,"Status 1 - Development","03 Planning","Status 2 - Permission Type","03 Outline")</f>
        <v>0</v>
      </c>
      <c r="N8" s="280">
        <f t="shared" ref="N8:N11" si="3">SUM(I8:M8)</f>
        <v>100039</v>
      </c>
      <c r="O8" s="272">
        <f>GETPIVOTDATA("Sum of D1 Net",'4.1 Pivot'!$A$1,"Status 1 - Development","03 Planning","Status 2 - Permission Type","03 Outline")</f>
        <v>6916</v>
      </c>
      <c r="P8" s="273">
        <f>GETPIVOTDATA("Sum of D2 Net",'4.1 Pivot'!$A$1,"Status 1 - Development","03 Planning","Status 2 - Permission Type","03 Outline")</f>
        <v>7086</v>
      </c>
      <c r="Q8" s="400">
        <f t="shared" si="1"/>
        <v>14002</v>
      </c>
      <c r="R8" s="521">
        <f t="shared" si="2"/>
        <v>138274</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row>
    <row r="9" spans="1:147" ht="24" customHeight="1" x14ac:dyDescent="0.2">
      <c r="A9" s="823"/>
      <c r="B9" s="552" t="s">
        <v>3861</v>
      </c>
      <c r="C9" s="272">
        <f>GETPIVOTDATA("Sum of A1 Net",'4.1 Pivot'!$A$1,"Status 1 - Development","03 Planning","Status 2 - Permission Type","04 Prior Approval")++GETPIVOTDATA("Sum of A1 Net",'4.1 Pivot'!$A$1,"Status 1 - Development","03 Planning","Status 2 - Permission Type","05 Certificate of Lawful Development")</f>
        <v>-744</v>
      </c>
      <c r="D9" s="273">
        <f>GETPIVOTDATA("Sum of A2 Net",'4.1 Pivot'!$A$1,"Status 1 - Development","03 Planning","Status 2 - Permission Type","04 Prior Approval")++GETPIVOTDATA("Sum of A2 Net",'4.1 Pivot'!$A$1,"Status 1 - Development","03 Planning","Status 2 - Permission Type","05 Certificate of Lawful Development")</f>
        <v>-146</v>
      </c>
      <c r="E9" s="273">
        <f>GETPIVOTDATA("Sum of A3 Net",'4.1 Pivot'!$A$1,"Status 1 - Development","03 Planning","Status 2 - Permission Type","04 Prior Approval")++GETPIVOTDATA("Sum of A3 Net",'4.1 Pivot'!$A$1,"Status 1 - Development","03 Planning","Status 2 - Permission Type","05 Certificate of Lawful Development")</f>
        <v>356</v>
      </c>
      <c r="F9" s="273">
        <f>GETPIVOTDATA("Sum of A4 Net",'4.1 Pivot'!$A$1,"Status 1 - Development","03 Planning","Status 2 - Permission Type","04 Prior Approval")++GETPIVOTDATA("Sum of A4 Net",'4.1 Pivot'!$A$1,"Status 1 - Development","03 Planning","Status 2 - Permission Type","05 Certificate of Lawful Development")</f>
        <v>0</v>
      </c>
      <c r="G9" s="273">
        <f>GETPIVOTDATA("Sum of A5 Net",'4.1 Pivot'!$A$1,"Status 1 - Development","03 Planning","Status 2 - Permission Type","04 Prior Approval")++GETPIVOTDATA("Sum of A5 Net",'4.1 Pivot'!$A$1,"Status 1 - Development","03 Planning","Status 2 - Permission Type","05 Certificate of Lawful Development")</f>
        <v>0</v>
      </c>
      <c r="H9" s="274">
        <f t="shared" si="0"/>
        <v>-534</v>
      </c>
      <c r="I9" s="272">
        <f>GETPIVOTDATA("Sum of B1a Net",'4.1 Pivot'!$A$1,"Status 1 - Development","03 Planning","Status 2 - Permission Type","04 Prior Approval")++GETPIVOTDATA("Sum of B1a Net",'4.1 Pivot'!$A$1,"Status 1 - Development","03 Planning","Status 2 - Permission Type","05 Certificate of Lawful Development")</f>
        <v>-20989</v>
      </c>
      <c r="J9" s="273">
        <f>GETPIVOTDATA("Sum of B1b Net",'4.1 Pivot'!$A$1,"Status 1 - Development","03 Planning","Status 2 - Permission Type","04 Prior Approval")++GETPIVOTDATA("Sum of B1b Net",'4.1 Pivot'!$A$1,"Status 1 - Development","03 Planning","Status 2 - Permission Type","05 Certificate of Lawful Development")</f>
        <v>0</v>
      </c>
      <c r="K9" s="273">
        <f>GETPIVOTDATA("Sum of B1c Net",'4.1 Pivot'!$A$1,"Status 1 - Development","03 Planning","Status 2 - Permission Type","04 Prior Approval")++GETPIVOTDATA("Sum of B1c Net",'4.1 Pivot'!$A$1,"Status 1 - Development","03 Planning","Status 2 - Permission Type","05 Certificate of Lawful Development")</f>
        <v>0</v>
      </c>
      <c r="L9" s="273">
        <f>GETPIVOTDATA("Sum of B2 Net",'4.1 Pivot'!$A$1,"Status 1 - Development","03 Planning","Status 2 - Permission Type","04 Prior Approval")++GETPIVOTDATA("Sum of B2 Net",'4.1 Pivot'!$A$1,"Status 1 - Development","03 Planning","Status 2 - Permission Type","05 Certificate of Lawful Development")</f>
        <v>-1261</v>
      </c>
      <c r="M9" s="273">
        <f>GETPIVOTDATA("Sum of B8 Net",'4.1 Pivot'!$A$1,"Status 1 - Development","03 Planning","Status 2 - Permission Type","04 Prior Approval")++GETPIVOTDATA("Sum of B8 Net",'4.1 Pivot'!$A$1,"Status 1 - Development","03 Planning","Status 2 - Permission Type","05 Certificate of Lawful Development")</f>
        <v>-1279</v>
      </c>
      <c r="N9" s="280">
        <f t="shared" si="3"/>
        <v>-23529</v>
      </c>
      <c r="O9" s="272">
        <f>GETPIVOTDATA("Sum of D1 Net",'4.1 Pivot'!$A$1,"Status 1 - Development","03 Planning","Status 2 - Permission Type","04 Prior Approval")++GETPIVOTDATA("Sum of D1 Net",'4.1 Pivot'!$A$1,"Status 1 - Development","03 Planning","Status 2 - Permission Type","05 Certificate of Lawful Development")</f>
        <v>0</v>
      </c>
      <c r="P9" s="273">
        <f>GETPIVOTDATA("Sum of D2 Net",'4.1 Pivot'!$A$1,"Status 1 - Development","03 Planning","Status 2 - Permission Type","04 Prior Approval")++GETPIVOTDATA("Sum of D2 Net",'4.1 Pivot'!$A$1,"Status 1 - Development","03 Planning","Status 2 - Permission Type","05 Certificate of Lawful Development")</f>
        <v>0</v>
      </c>
      <c r="Q9" s="400">
        <f t="shared" si="1"/>
        <v>0</v>
      </c>
      <c r="R9" s="521">
        <f>H9+N9+Q9</f>
        <v>-24063</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row>
    <row r="10" spans="1:147" ht="12" customHeight="1" x14ac:dyDescent="0.2">
      <c r="A10" s="823"/>
      <c r="B10" s="552" t="s">
        <v>2932</v>
      </c>
      <c r="C10" s="272">
        <f>GETPIVOTDATA("Sum of A1 Net",'4.1 Pivot'!$A$1,"Status 1 - Development","04 Pending","Status 2 - Permission Type","01 Pending Legal Agreement")</f>
        <v>-1764</v>
      </c>
      <c r="D10" s="273">
        <f>GETPIVOTDATA("Sum of A2 Net",'4.1 Pivot'!$A$1,"Status 1 - Development","04 Pending","Status 2 - Permission Type","01 Pending Legal Agreement")</f>
        <v>1725</v>
      </c>
      <c r="E10" s="273">
        <f>GETPIVOTDATA("Sum of A3 Net",'4.1 Pivot'!$A$1,"Status 1 - Development","04 Pending","Status 2 - Permission Type","01 Pending Legal Agreement")</f>
        <v>1852</v>
      </c>
      <c r="F10" s="273">
        <f>GETPIVOTDATA("Sum of A4 Net",'4.1 Pivot'!$A$1,"Status 1 - Development","04 Pending","Status 2 - Permission Type","01 Pending Legal Agreement")</f>
        <v>992</v>
      </c>
      <c r="G10" s="273">
        <f>GETPIVOTDATA("Sum of A5 Net",'4.1 Pivot'!$A$1,"Status 1 - Development","04 Pending","Status 2 - Permission Type","01 Pending Legal Agreement")</f>
        <v>199</v>
      </c>
      <c r="H10" s="274">
        <v>0</v>
      </c>
      <c r="I10" s="272">
        <f>GETPIVOTDATA("Sum of B1a Net",'4.1 Pivot'!$A$1,"Status 1 - Development","04 Pending","Status 2 - Permission Type","01 Pending Legal Agreement")</f>
        <v>26820</v>
      </c>
      <c r="J10" s="273">
        <f>GETPIVOTDATA("Sum of B1b Net",'4.1 Pivot'!$A$1,"Status 1 - Development","04 Pending","Status 2 - Permission Type","01 Pending Legal Agreement")</f>
        <v>0</v>
      </c>
      <c r="K10" s="273">
        <f>GETPIVOTDATA("Sum of B1c Net",'4.1 Pivot'!$A$1,"Status 1 - Development","04 Pending","Status 2 - Permission Type","01 Pending Legal Agreement")</f>
        <v>1410</v>
      </c>
      <c r="L10" s="273">
        <f>GETPIVOTDATA("Sum of B2 Net",'4.1 Pivot'!$A$1,"Status 1 - Development","04 Pending","Status 2 - Permission Type","01 Pending Legal Agreement")</f>
        <v>0</v>
      </c>
      <c r="M10" s="273">
        <f>GETPIVOTDATA("Sum of B8 Net",'4.1 Pivot'!$A$1,"Status 1 - Development","04 Pending","Status 2 - Permission Type","01 Pending Legal Agreement")</f>
        <v>0</v>
      </c>
      <c r="N10" s="280">
        <f t="shared" si="3"/>
        <v>28230</v>
      </c>
      <c r="O10" s="272">
        <f>GETPIVOTDATA("Sum of D1 Net",'4.1 Pivot'!$A$1,"Status 1 - Development","04 Pending","Status 2 - Permission Type","01 Pending Legal Agreement")</f>
        <v>5805</v>
      </c>
      <c r="P10" s="273">
        <f>GETPIVOTDATA("Sum of D2 Net",'4.1 Pivot'!$A$1,"Status 1 - Development","04 Pending","Status 2 - Permission Type","01 Pending Legal Agreement")</f>
        <v>241</v>
      </c>
      <c r="Q10" s="400">
        <v>0</v>
      </c>
      <c r="R10" s="521">
        <f>H10+N10+Q10</f>
        <v>28230</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row>
    <row r="11" spans="1:147" ht="12" customHeight="1" x14ac:dyDescent="0.2">
      <c r="A11" s="823"/>
      <c r="B11" s="552" t="s">
        <v>2933</v>
      </c>
      <c r="C11" s="272">
        <f>GETPIVOTDATA("Sum of A1 Net",'4.1 Pivot'!$A$1,"Status 1 - Development","04 Pending","Status 2 - Permission Type","06 Appeal")</f>
        <v>-145</v>
      </c>
      <c r="D11" s="273">
        <f>GETPIVOTDATA("Sum of A2 Net",'4.1 Pivot'!$A$1,"Status 1 - Development","04 Pending","Status 2 - Permission Type","06 Appeal")</f>
        <v>0</v>
      </c>
      <c r="E11" s="273">
        <f>GETPIVOTDATA("Sum of A3 Net",'4.1 Pivot'!$A$1,"Status 1 - Development","04 Pending","Status 2 - Permission Type","06 Appeal")</f>
        <v>134</v>
      </c>
      <c r="F11" s="273">
        <f>GETPIVOTDATA("Sum of A4 Net",'4.1 Pivot'!$A$1,"Status 1 - Development","04 Pending","Status 2 - Permission Type","06 Appeal")</f>
        <v>0</v>
      </c>
      <c r="G11" s="273">
        <f>GETPIVOTDATA("Sum of A5 Net",'4.1 Pivot'!$A$1,"Status 1 - Development","04 Pending","Status 2 - Permission Type","06 Appeal")</f>
        <v>0</v>
      </c>
      <c r="H11" s="274">
        <f t="shared" si="0"/>
        <v>-11</v>
      </c>
      <c r="I11" s="272">
        <f>GETPIVOTDATA("Sum of B1a Net",'4.1 Pivot'!$A$1,"Status 1 - Development","04 Pending","Status 2 - Permission Type","06 Appeal")</f>
        <v>-63</v>
      </c>
      <c r="J11" s="273">
        <f>GETPIVOTDATA("Sum of B1b Net",'4.1 Pivot'!$A$1,"Status 1 - Development","04 Pending","Status 2 - Permission Type","06 Appeal")</f>
        <v>0</v>
      </c>
      <c r="K11" s="273">
        <f>GETPIVOTDATA("Sum of B1c Net",'4.1 Pivot'!$A$1,"Status 1 - Development","04 Pending","Status 2 - Permission Type","06 Appeal")</f>
        <v>-84</v>
      </c>
      <c r="L11" s="273">
        <f>GETPIVOTDATA("Sum of B2 Net",'4.1 Pivot'!$A$1,"Status 1 - Development","04 Pending","Status 2 - Permission Type","06 Appeal")</f>
        <v>0</v>
      </c>
      <c r="M11" s="273">
        <f>GETPIVOTDATA("Sum of B8 Net",'4.1 Pivot'!$A$1,"Status 1 - Development","04 Pending","Status 2 - Permission Type","06 Appeal")</f>
        <v>0</v>
      </c>
      <c r="N11" s="280">
        <f t="shared" si="3"/>
        <v>-147</v>
      </c>
      <c r="O11" s="272">
        <f>GETPIVOTDATA("Sum of D1 Net",'4.1 Pivot'!$A$1,"Status 1 - Development","04 Pending","Status 2 - Permission Type","06 Appeal")</f>
        <v>0</v>
      </c>
      <c r="P11" s="273">
        <f>GETPIVOTDATA("Sum of D2 Net",'4.1 Pivot'!$A$1,"Status 1 - Development","04 Pending","Status 2 - Permission Type","06 Appeal")</f>
        <v>-132</v>
      </c>
      <c r="Q11" s="400">
        <f t="shared" si="1"/>
        <v>-132</v>
      </c>
      <c r="R11" s="521">
        <f t="shared" si="2"/>
        <v>-290</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row>
    <row r="12" spans="1:147" ht="12" customHeight="1" x14ac:dyDescent="0.2">
      <c r="A12" s="823"/>
      <c r="B12" s="552" t="s">
        <v>3800</v>
      </c>
      <c r="C12" s="272">
        <f>GETPIVOTDATA("Sum of A1 Net",'4.1 Pivot'!$A$1,"Status 1 - Development","04 Pending")-GETPIVOTDATA("Sum of A1 Net",'4.1 Pivot'!$A$1,"Status 1 - Development","04 Pending","Status 2 - Permission Type","06 Appeal")-GETPIVOTDATA("Sum of A1 Net",'4.1 Pivot'!$A$1,"Status 1 - Development","04 Pending","Status 2 - Permission Type","01 Pending Legal Agreement")</f>
        <v>-5619</v>
      </c>
      <c r="D12" s="273">
        <f>GETPIVOTDATA("Sum of A2 Net",'4.1 Pivot'!$A$1,"Status 1 - Development","04 Pending")-GETPIVOTDATA("Sum of A2 Net",'4.1 Pivot'!$A$1,"Status 1 - Development","04 Pending","Status 2 - Permission Type","06 Appeal")-GETPIVOTDATA("Sum of A2 Net",'4.1 Pivot'!$A$1,"Status 1 - Development","04 Pending","Status 2 - Permission Type","01 Pending Legal Agreement")</f>
        <v>610</v>
      </c>
      <c r="E12" s="273">
        <f>GETPIVOTDATA("Sum of A3 Net",'4.1 Pivot'!$A$1,"Status 1 - Development","04 Pending")-GETPIVOTDATA("Sum of A3 Net",'4.1 Pivot'!$A$1,"Status 1 - Development","04 Pending","Status 2 - Permission Type","06 Appeal")-GETPIVOTDATA("Sum of A3 Net",'4.1 Pivot'!$A$1,"Status 1 - Development","04 Pending","Status 2 - Permission Type","01 Pending Legal Agreement")</f>
        <v>1869</v>
      </c>
      <c r="F12" s="273">
        <f>GETPIVOTDATA("Sum of A4 Net",'4.1 Pivot'!$A$1,"Status 1 - Development","04 Pending")-GETPIVOTDATA("Sum of A4 Net",'4.1 Pivot'!$A$1,"Status 1 - Development","04 Pending","Status 2 - Permission Type","06 Appeal")-GETPIVOTDATA("Sum of A4 Net",'4.1 Pivot'!$A$1,"Status 1 - Development","04 Pending","Status 2 - Permission Type","01 Pending Legal Agreement")</f>
        <v>1195</v>
      </c>
      <c r="G12" s="273">
        <f>GETPIVOTDATA("Sum of A5 Net",'4.1 Pivot'!$A$1,"Status 1 - Development","04 Pending")-GETPIVOTDATA("Sum of A5 Net",'4.1 Pivot'!$A$1,"Status 1 - Development","04 Pending","Status 2 - Permission Type","06 Appeal")-GETPIVOTDATA("Sum of A5 Net",'4.1 Pivot'!$A$1,"Status 1 - Development","04 Pending","Status 2 - Permission Type","01 Pending Legal Agreement")</f>
        <v>-46</v>
      </c>
      <c r="H12" s="274">
        <f>SUM(C12:G12)</f>
        <v>-1991</v>
      </c>
      <c r="I12" s="272">
        <f>GETPIVOTDATA("Sum of B1a Net",'4.1 Pivot'!$A$1,"Status 1 - Development","04 Pending")-GETPIVOTDATA("Sum of B1a Net",'4.1 Pivot'!$A$1,"Status 1 - Development","04 Pending","Status 2 - Permission Type","06 Appeal")-GETPIVOTDATA("Sum of B1a Net",'4.1 Pivot'!$A$1,"Status 1 - Development","04 Pending","Status 2 - Permission Type","01 Pending Legal Agreement")</f>
        <v>-3975</v>
      </c>
      <c r="J12" s="273">
        <f>GETPIVOTDATA("Sum of B1b Net",'4.1 Pivot'!$A$1,"Status 1 - Development","04 Pending")-GETPIVOTDATA("Sum of B1b Net",'4.1 Pivot'!$A$1,"Status 1 - Development","04 Pending","Status 2 - Permission Type","06 Appeal")-GETPIVOTDATA("Sum of B1b Net",'4.1 Pivot'!$A$1,"Status 1 - Development","04 Pending","Status 2 - Permission Type","01 Pending Legal Agreement")</f>
        <v>0</v>
      </c>
      <c r="K12" s="273">
        <f>GETPIVOTDATA("Sum of B1c Net",'4.1 Pivot'!$A$1,"Status 1 - Development","04 Pending")-GETPIVOTDATA("Sum of B1c Net",'4.1 Pivot'!$A$1,"Status 1 - Development","04 Pending","Status 2 - Permission Type","06 Appeal")-GETPIVOTDATA("Sum of B1c Net",'4.1 Pivot'!$A$1,"Status 1 - Development","04 Pending","Status 2 - Permission Type","01 Pending Legal Agreement")</f>
        <v>-319</v>
      </c>
      <c r="L12" s="273">
        <f>GETPIVOTDATA("Sum of B2 Net",'4.1 Pivot'!$A$1,"Status 1 - Development","04 Pending")-GETPIVOTDATA("Sum of B2 Net",'4.1 Pivot'!$A$1,"Status 1 - Development","04 Pending","Status 2 - Permission Type","06 Appeal")-GETPIVOTDATA("Sum of B2 Net",'4.1 Pivot'!$A$1,"Status 1 - Development","04 Pending","Status 2 - Permission Type","01 Pending Legal Agreement")</f>
        <v>-88</v>
      </c>
      <c r="M12" s="273">
        <f>GETPIVOTDATA("Sum of B8 Net",'4.1 Pivot'!$A$1,"Status 1 - Development","04 Pending")-GETPIVOTDATA("Sum of B8 Net",'4.1 Pivot'!$A$1,"Status 1 - Development","04 Pending","Status 2 - Permission Type","06 Appeal")-GETPIVOTDATA("Sum of B8 Net",'4.1 Pivot'!$A$1,"Status 1 - Development","04 Pending","Status 2 - Permission Type","01 Pending Legal Agreement")</f>
        <v>-1141</v>
      </c>
      <c r="N12" s="280">
        <f>SUM(I12:M12)</f>
        <v>-5523</v>
      </c>
      <c r="O12" s="272">
        <f>GETPIVOTDATA("Sum of D1 Net",'4.1 Pivot'!$A$1,"Status 1 - Development","04 Pending")-GETPIVOTDATA("Sum of D1 Net",'4.1 Pivot'!$A$1,"Status 1 - Development","04 Pending","Status 2 - Permission Type","06 Appeal")-GETPIVOTDATA("Sum of D1 Net",'4.1 Pivot'!$A$1,"Status 1 - Development","04 Pending","Status 2 - Permission Type","01 Pending Legal Agreement")</f>
        <v>-2698</v>
      </c>
      <c r="P12" s="273">
        <f>GETPIVOTDATA("Sum of D2 Net",'4.1 Pivot'!$A$1,"Status 1 - Development","04 Pending")-GETPIVOTDATA("Sum of D2 Net",'4.1 Pivot'!$A$1,"Status 1 - Development","04 Pending","Status 2 - Permission Type","06 Appeal")-GETPIVOTDATA("Sum of D2 Net",'4.1 Pivot'!$A$1,"Status 1 - Development","04 Pending","Status 2 - Permission Type","01 Pending Legal Agreement")</f>
        <v>1814</v>
      </c>
      <c r="Q12" s="400">
        <f>SUM(O12:P12)</f>
        <v>-884</v>
      </c>
      <c r="R12" s="521">
        <f>H12+N12+Q12</f>
        <v>-8398</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row>
    <row r="13" spans="1:147" ht="12" customHeight="1" x14ac:dyDescent="0.2">
      <c r="A13" s="824"/>
      <c r="B13" s="553" t="s">
        <v>95</v>
      </c>
      <c r="C13" s="275">
        <f>SUM(C6:C12)</f>
        <v>23717</v>
      </c>
      <c r="D13" s="276">
        <f t="shared" ref="D13:R13" si="4">SUM(D6:D12)</f>
        <v>43103</v>
      </c>
      <c r="E13" s="276">
        <f t="shared" si="4"/>
        <v>21748</v>
      </c>
      <c r="F13" s="276">
        <f t="shared" si="4"/>
        <v>10392</v>
      </c>
      <c r="G13" s="276">
        <f t="shared" si="4"/>
        <v>11801</v>
      </c>
      <c r="H13" s="274">
        <f t="shared" si="4"/>
        <v>107757</v>
      </c>
      <c r="I13" s="275">
        <f t="shared" si="4"/>
        <v>135883</v>
      </c>
      <c r="J13" s="276">
        <f t="shared" si="4"/>
        <v>405</v>
      </c>
      <c r="K13" s="276">
        <f t="shared" si="4"/>
        <v>-31852</v>
      </c>
      <c r="L13" s="276">
        <f t="shared" si="4"/>
        <v>-3476</v>
      </c>
      <c r="M13" s="276">
        <f t="shared" si="4"/>
        <v>-88881</v>
      </c>
      <c r="N13" s="280">
        <f t="shared" si="4"/>
        <v>12079</v>
      </c>
      <c r="O13" s="275">
        <f t="shared" si="4"/>
        <v>35983</v>
      </c>
      <c r="P13" s="276">
        <f t="shared" si="4"/>
        <v>27246</v>
      </c>
      <c r="Q13" s="400">
        <f t="shared" si="4"/>
        <v>57183</v>
      </c>
      <c r="R13" s="521">
        <f t="shared" si="4"/>
        <v>177019</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row>
    <row r="14" spans="1:147" x14ac:dyDescent="0.2">
      <c r="A14" s="12"/>
      <c r="B14" s="4"/>
      <c r="C14" s="4"/>
      <c r="D14" s="4"/>
      <c r="E14" s="4"/>
      <c r="F14" s="4"/>
      <c r="G14" s="4"/>
      <c r="H14" s="4"/>
      <c r="I14" s="4"/>
      <c r="J14" s="4"/>
      <c r="K14" s="4"/>
      <c r="L14" s="4"/>
      <c r="M14" s="4"/>
      <c r="N14" s="4"/>
      <c r="O14" s="4"/>
      <c r="P14" s="4"/>
      <c r="Q14" s="1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row>
    <row r="15" spans="1:147" ht="12.75" x14ac:dyDescent="0.2">
      <c r="A15" s="293" t="s">
        <v>3934</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row>
    <row r="16" spans="1:147" x14ac:dyDescent="0.2">
      <c r="A16" s="12"/>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row>
    <row r="17" spans="1:147" x14ac:dyDescent="0.2">
      <c r="A17" s="12"/>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row>
    <row r="18" spans="1:147" x14ac:dyDescent="0.2">
      <c r="A18" s="12"/>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row>
    <row r="19" spans="1:147" x14ac:dyDescent="0.2">
      <c r="A19" s="12"/>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row>
    <row r="20" spans="1:147" x14ac:dyDescent="0.2">
      <c r="A20" s="12"/>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row>
    <row r="21" spans="1:147" x14ac:dyDescent="0.2">
      <c r="A21" s="12"/>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row>
    <row r="22" spans="1:147" x14ac:dyDescent="0.2">
      <c r="A22" s="12"/>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row>
    <row r="23" spans="1:147" x14ac:dyDescent="0.2">
      <c r="A23" s="12"/>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row>
    <row r="24" spans="1:147" x14ac:dyDescent="0.2">
      <c r="A24" s="12"/>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row>
    <row r="25" spans="1:147" x14ac:dyDescent="0.2">
      <c r="A25" s="12"/>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row>
    <row r="26" spans="1:147" x14ac:dyDescent="0.2">
      <c r="A26" s="12"/>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row>
    <row r="27" spans="1:147" x14ac:dyDescent="0.2">
      <c r="A27" s="12"/>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row>
    <row r="28" spans="1:147" x14ac:dyDescent="0.2">
      <c r="A28" s="12"/>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row>
    <row r="29" spans="1:147" x14ac:dyDescent="0.2">
      <c r="A29" s="12"/>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row>
    <row r="30" spans="1:147" x14ac:dyDescent="0.2">
      <c r="A30" s="12"/>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row>
    <row r="31" spans="1:147" x14ac:dyDescent="0.2">
      <c r="A31" s="12"/>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row>
    <row r="32" spans="1:147" x14ac:dyDescent="0.2">
      <c r="A32" s="12"/>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row>
    <row r="33" spans="1:147" x14ac:dyDescent="0.2">
      <c r="A33" s="12"/>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row>
    <row r="34" spans="1:147" x14ac:dyDescent="0.2">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row>
    <row r="35" spans="1:147" x14ac:dyDescent="0.2">
      <c r="A35" s="12"/>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row>
    <row r="36" spans="1:147" x14ac:dyDescent="0.2">
      <c r="A36" s="12"/>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row>
    <row r="37" spans="1:147" x14ac:dyDescent="0.2">
      <c r="A37" s="12"/>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row>
    <row r="38" spans="1:147" x14ac:dyDescent="0.2">
      <c r="A38" s="12"/>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row>
    <row r="39" spans="1:147" x14ac:dyDescent="0.2">
      <c r="A39" s="1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row>
    <row r="40" spans="1:147" x14ac:dyDescent="0.2">
      <c r="A40" s="12"/>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row>
    <row r="41" spans="1:147" x14ac:dyDescent="0.2">
      <c r="A41" s="12"/>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row>
    <row r="42" spans="1:147" x14ac:dyDescent="0.2">
      <c r="A42" s="12"/>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row>
    <row r="43" spans="1:147" x14ac:dyDescent="0.2">
      <c r="A43" s="12"/>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row>
    <row r="44" spans="1:147" x14ac:dyDescent="0.2">
      <c r="A44" s="12"/>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row>
    <row r="45" spans="1:147" x14ac:dyDescent="0.2">
      <c r="A45" s="12"/>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row>
    <row r="46" spans="1:147" x14ac:dyDescent="0.2">
      <c r="A46" s="12"/>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row>
    <row r="47" spans="1:147" x14ac:dyDescent="0.2">
      <c r="A47" s="12"/>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row>
    <row r="48" spans="1:147" x14ac:dyDescent="0.2">
      <c r="A48" s="12"/>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row>
    <row r="49" spans="1:147" x14ac:dyDescent="0.2">
      <c r="A49" s="12"/>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row>
    <row r="50" spans="1:147" x14ac:dyDescent="0.2">
      <c r="A50" s="1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row>
    <row r="51" spans="1:147" x14ac:dyDescent="0.2">
      <c r="A51" s="12"/>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row>
    <row r="52" spans="1:147" x14ac:dyDescent="0.2">
      <c r="A52" s="12"/>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row>
    <row r="53" spans="1:147" x14ac:dyDescent="0.2">
      <c r="A53" s="12"/>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row>
    <row r="54" spans="1:147" x14ac:dyDescent="0.2">
      <c r="A54" s="1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row>
    <row r="55" spans="1:147" x14ac:dyDescent="0.2">
      <c r="A55" s="12"/>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row>
    <row r="56" spans="1:147" x14ac:dyDescent="0.2">
      <c r="A56" s="12"/>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row>
    <row r="57" spans="1:147" x14ac:dyDescent="0.2">
      <c r="A57" s="12"/>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row>
    <row r="58" spans="1:147" x14ac:dyDescent="0.2">
      <c r="A58" s="12"/>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row>
    <row r="59" spans="1:147" x14ac:dyDescent="0.2">
      <c r="A59" s="12"/>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row>
    <row r="60" spans="1:147" x14ac:dyDescent="0.2">
      <c r="A60" s="12"/>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row>
    <row r="61" spans="1:147" x14ac:dyDescent="0.2">
      <c r="A61" s="12"/>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row>
    <row r="62" spans="1:147" x14ac:dyDescent="0.2">
      <c r="A62" s="12"/>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row>
    <row r="63" spans="1:147" x14ac:dyDescent="0.2">
      <c r="A63" s="12"/>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row>
    <row r="64" spans="1:147" x14ac:dyDescent="0.2">
      <c r="A64" s="12"/>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row>
    <row r="65" spans="1:147" x14ac:dyDescent="0.2">
      <c r="A65" s="1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row>
    <row r="66" spans="1:147" x14ac:dyDescent="0.2">
      <c r="A66" s="403"/>
      <c r="B66" s="15"/>
      <c r="C66" s="15"/>
      <c r="D66" s="15"/>
      <c r="E66" s="15"/>
      <c r="F66" s="15"/>
      <c r="G66" s="15"/>
      <c r="H66" s="15"/>
      <c r="I66" s="15"/>
      <c r="J66" s="15"/>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row>
    <row r="67" spans="1:147" x14ac:dyDescent="0.2">
      <c r="A67" s="12"/>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row>
    <row r="68" spans="1:147" x14ac:dyDescent="0.2">
      <c r="A68" s="1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row>
    <row r="69" spans="1:147" x14ac:dyDescent="0.2">
      <c r="A69" s="1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row>
    <row r="70" spans="1:147" x14ac:dyDescent="0.2">
      <c r="A70" s="1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row>
    <row r="71" spans="1:147" x14ac:dyDescent="0.2">
      <c r="A71" s="1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row>
    <row r="72" spans="1:147" x14ac:dyDescent="0.2">
      <c r="A72" s="1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row>
    <row r="73" spans="1:147" x14ac:dyDescent="0.2">
      <c r="A73" s="1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row>
    <row r="74" spans="1:147" x14ac:dyDescent="0.2">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row>
    <row r="75" spans="1:147" x14ac:dyDescent="0.2">
      <c r="A75" s="1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row>
    <row r="76" spans="1:147" x14ac:dyDescent="0.2">
      <c r="A76" s="1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row>
    <row r="77" spans="1:147" x14ac:dyDescent="0.2">
      <c r="A77" s="1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row>
    <row r="78" spans="1:147" x14ac:dyDescent="0.2">
      <c r="A78" s="12"/>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row>
    <row r="79" spans="1:147" x14ac:dyDescent="0.2">
      <c r="A79" s="12"/>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row>
    <row r="80" spans="1:147" x14ac:dyDescent="0.2">
      <c r="A80" s="12"/>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row>
    <row r="81" spans="1:147" x14ac:dyDescent="0.2">
      <c r="A81" s="12"/>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row>
    <row r="82" spans="1:147" x14ac:dyDescent="0.2">
      <c r="A82" s="12"/>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row>
    <row r="83" spans="1:147" x14ac:dyDescent="0.2">
      <c r="A83" s="12"/>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row>
    <row r="84" spans="1:147" x14ac:dyDescent="0.2">
      <c r="A84" s="12"/>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row>
    <row r="85" spans="1:147" x14ac:dyDescent="0.2">
      <c r="A85" s="12"/>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row>
    <row r="86" spans="1:147" x14ac:dyDescent="0.2">
      <c r="A86" s="12"/>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row>
    <row r="87" spans="1:147" x14ac:dyDescent="0.2">
      <c r="A87" s="1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row>
    <row r="88" spans="1:147" x14ac:dyDescent="0.2">
      <c r="A88" s="12"/>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row>
    <row r="89" spans="1:147" x14ac:dyDescent="0.2">
      <c r="A89" s="1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row>
    <row r="90" spans="1:147" x14ac:dyDescent="0.2">
      <c r="A90" s="12"/>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row>
    <row r="91" spans="1:147" x14ac:dyDescent="0.2">
      <c r="A91" s="12"/>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row>
    <row r="92" spans="1:147" x14ac:dyDescent="0.2">
      <c r="A92" s="12"/>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row>
    <row r="93" spans="1:147" x14ac:dyDescent="0.2">
      <c r="A93" s="12"/>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row>
    <row r="94" spans="1:147" x14ac:dyDescent="0.2">
      <c r="A94" s="12"/>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row>
    <row r="95" spans="1:147" x14ac:dyDescent="0.2">
      <c r="A95" s="12"/>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row>
    <row r="96" spans="1:147" x14ac:dyDescent="0.2">
      <c r="A96" s="12"/>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row>
    <row r="97" spans="1:147" x14ac:dyDescent="0.2">
      <c r="A97" s="12"/>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row>
    <row r="98" spans="1:147" x14ac:dyDescent="0.2">
      <c r="A98" s="12"/>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row>
    <row r="99" spans="1:147" x14ac:dyDescent="0.2">
      <c r="A99" s="12"/>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row>
    <row r="100" spans="1:147" x14ac:dyDescent="0.2">
      <c r="A100" s="12"/>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row>
    <row r="101" spans="1:147" x14ac:dyDescent="0.2">
      <c r="A101" s="12"/>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row>
    <row r="102" spans="1:147" x14ac:dyDescent="0.2">
      <c r="A102" s="1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row>
    <row r="103" spans="1:147" x14ac:dyDescent="0.2">
      <c r="A103" s="1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row>
    <row r="104" spans="1:147" x14ac:dyDescent="0.2">
      <c r="A104" s="12"/>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row>
    <row r="105" spans="1:147" x14ac:dyDescent="0.2">
      <c r="A105" s="12"/>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row>
    <row r="106" spans="1:147" x14ac:dyDescent="0.2">
      <c r="A106" s="12"/>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row>
    <row r="107" spans="1:147" x14ac:dyDescent="0.2">
      <c r="A107" s="12"/>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row>
    <row r="108" spans="1:147" x14ac:dyDescent="0.2">
      <c r="A108" s="12"/>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row>
    <row r="109" spans="1:147" x14ac:dyDescent="0.2">
      <c r="A109" s="12"/>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row>
    <row r="110" spans="1:147" x14ac:dyDescent="0.2">
      <c r="A110" s="12"/>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row>
    <row r="111" spans="1:147" x14ac:dyDescent="0.2">
      <c r="A111" s="12"/>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row>
    <row r="112" spans="1:147" x14ac:dyDescent="0.2">
      <c r="A112" s="12"/>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row>
    <row r="113" spans="1:147" x14ac:dyDescent="0.2">
      <c r="A113" s="12"/>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row>
    <row r="114" spans="1:147" x14ac:dyDescent="0.2">
      <c r="A114" s="12"/>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row>
    <row r="115" spans="1:147" x14ac:dyDescent="0.2">
      <c r="A115" s="12"/>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row>
    <row r="116" spans="1:147" x14ac:dyDescent="0.2">
      <c r="A116" s="12"/>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row>
    <row r="117" spans="1:147" x14ac:dyDescent="0.2">
      <c r="A117" s="12"/>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row>
    <row r="118" spans="1:147" x14ac:dyDescent="0.2">
      <c r="A118" s="12"/>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row>
    <row r="119" spans="1:147" x14ac:dyDescent="0.2">
      <c r="A119" s="12"/>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row>
    <row r="120" spans="1:147" x14ac:dyDescent="0.2">
      <c r="A120" s="12"/>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row>
    <row r="121" spans="1:147" x14ac:dyDescent="0.2">
      <c r="A121" s="12"/>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row>
    <row r="122" spans="1:147" x14ac:dyDescent="0.2">
      <c r="A122" s="12"/>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row>
    <row r="123" spans="1:147" x14ac:dyDescent="0.2">
      <c r="A123" s="12"/>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row>
    <row r="124" spans="1:147" x14ac:dyDescent="0.2">
      <c r="A124" s="12"/>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row>
    <row r="125" spans="1:147" x14ac:dyDescent="0.2">
      <c r="A125" s="12"/>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row>
    <row r="126" spans="1:147" x14ac:dyDescent="0.2">
      <c r="A126" s="12"/>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row>
    <row r="127" spans="1:147" x14ac:dyDescent="0.2">
      <c r="A127" s="12"/>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row>
    <row r="128" spans="1:147" x14ac:dyDescent="0.2">
      <c r="A128" s="12"/>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row>
    <row r="129" spans="1:147" x14ac:dyDescent="0.2">
      <c r="A129" s="12"/>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row>
    <row r="130" spans="1:147" x14ac:dyDescent="0.2">
      <c r="A130" s="12"/>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row>
    <row r="131" spans="1:147" x14ac:dyDescent="0.2">
      <c r="A131" s="12"/>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row>
    <row r="132" spans="1:147" x14ac:dyDescent="0.2">
      <c r="A132" s="12"/>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row>
    <row r="133" spans="1:147" x14ac:dyDescent="0.2">
      <c r="A133" s="12"/>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row>
    <row r="134" spans="1:147" x14ac:dyDescent="0.2">
      <c r="A134" s="12"/>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row>
    <row r="135" spans="1:147" x14ac:dyDescent="0.2">
      <c r="A135" s="12"/>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row>
    <row r="136" spans="1:147" x14ac:dyDescent="0.2">
      <c r="A136" s="1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row>
    <row r="137" spans="1:147" x14ac:dyDescent="0.2">
      <c r="A137" s="12"/>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row>
    <row r="138" spans="1:147" x14ac:dyDescent="0.2">
      <c r="A138" s="1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row>
    <row r="139" spans="1:147" x14ac:dyDescent="0.2">
      <c r="A139" s="12"/>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row>
    <row r="140" spans="1:147" x14ac:dyDescent="0.2">
      <c r="A140" s="12"/>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row>
    <row r="141" spans="1:147" x14ac:dyDescent="0.2">
      <c r="A141" s="12"/>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row>
    <row r="142" spans="1:147" x14ac:dyDescent="0.2">
      <c r="A142" s="12"/>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row>
    <row r="143" spans="1:147" x14ac:dyDescent="0.2">
      <c r="A143" s="12"/>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row>
    <row r="144" spans="1:147" x14ac:dyDescent="0.2">
      <c r="A144" s="12"/>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row>
    <row r="145" spans="1:147" x14ac:dyDescent="0.2">
      <c r="A145" s="12"/>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row>
    <row r="146" spans="1:147" x14ac:dyDescent="0.2">
      <c r="A146" s="12"/>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row>
    <row r="147" spans="1:147" x14ac:dyDescent="0.2">
      <c r="A147" s="12"/>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row>
    <row r="148" spans="1:147" x14ac:dyDescent="0.2">
      <c r="A148" s="12"/>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row>
    <row r="149" spans="1:147" x14ac:dyDescent="0.2">
      <c r="A149" s="12"/>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row>
    <row r="150" spans="1:147" x14ac:dyDescent="0.2">
      <c r="A150" s="12"/>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row>
    <row r="151" spans="1:147" x14ac:dyDescent="0.2">
      <c r="A151" s="12"/>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row>
    <row r="152" spans="1:147" x14ac:dyDescent="0.2">
      <c r="A152" s="12"/>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row>
    <row r="153" spans="1:147" x14ac:dyDescent="0.2">
      <c r="A153" s="12"/>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row>
    <row r="154" spans="1:147" x14ac:dyDescent="0.2">
      <c r="A154" s="12"/>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row>
    <row r="155" spans="1:147" x14ac:dyDescent="0.2">
      <c r="A155" s="12"/>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row>
    <row r="156" spans="1:147" x14ac:dyDescent="0.2">
      <c r="A156" s="12"/>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row>
    <row r="157" spans="1:147" x14ac:dyDescent="0.2">
      <c r="A157" s="12"/>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row>
    <row r="158" spans="1:147" x14ac:dyDescent="0.2">
      <c r="A158" s="12"/>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row>
    <row r="159" spans="1:147" x14ac:dyDescent="0.2">
      <c r="A159" s="12"/>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row>
    <row r="160" spans="1:147" x14ac:dyDescent="0.2">
      <c r="A160" s="12"/>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row>
    <row r="161" spans="1:147" x14ac:dyDescent="0.2">
      <c r="A161" s="12"/>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row>
    <row r="162" spans="1:147" x14ac:dyDescent="0.2">
      <c r="A162" s="12"/>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row>
    <row r="163" spans="1:147" x14ac:dyDescent="0.2">
      <c r="A163" s="12"/>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row>
    <row r="164" spans="1:147" x14ac:dyDescent="0.2">
      <c r="A164" s="12"/>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row>
    <row r="165" spans="1:147" x14ac:dyDescent="0.2">
      <c r="A165" s="12"/>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row>
    <row r="166" spans="1:147" x14ac:dyDescent="0.2">
      <c r="A166" s="12"/>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row>
    <row r="167" spans="1:147" x14ac:dyDescent="0.2">
      <c r="A167" s="12"/>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row>
    <row r="168" spans="1:147" x14ac:dyDescent="0.2">
      <c r="A168" s="1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row>
    <row r="169" spans="1:147" x14ac:dyDescent="0.2">
      <c r="A169" s="12"/>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row>
    <row r="170" spans="1:147" x14ac:dyDescent="0.2">
      <c r="A170" s="12"/>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row>
    <row r="171" spans="1:147" x14ac:dyDescent="0.2">
      <c r="A171" s="12"/>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row>
    <row r="172" spans="1:147" x14ac:dyDescent="0.2">
      <c r="A172" s="12"/>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row>
    <row r="173" spans="1:147" x14ac:dyDescent="0.2">
      <c r="A173" s="12"/>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row>
    <row r="174" spans="1:147" x14ac:dyDescent="0.2">
      <c r="A174" s="12"/>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row>
    <row r="175" spans="1:147" x14ac:dyDescent="0.2">
      <c r="A175" s="12"/>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row>
    <row r="176" spans="1:147" x14ac:dyDescent="0.2">
      <c r="A176" s="12"/>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row>
    <row r="177" spans="1:147" x14ac:dyDescent="0.2">
      <c r="A177" s="12"/>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row>
    <row r="178" spans="1:147" x14ac:dyDescent="0.2">
      <c r="A178" s="12"/>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row>
    <row r="179" spans="1:147" x14ac:dyDescent="0.2">
      <c r="A179" s="12"/>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row>
  </sheetData>
  <mergeCells count="4">
    <mergeCell ref="A5:B5"/>
    <mergeCell ref="A4:B4"/>
    <mergeCell ref="A6:A13"/>
    <mergeCell ref="A2:R2"/>
  </mergeCells>
  <phoneticPr fontId="0" type="noConversion"/>
  <pageMargins left="0.39370078740157483" right="0.39370078740157483" top="0.39370078740157483" bottom="0.39370078740157483" header="0.19685039370078741" footer="0.19685039370078741"/>
  <pageSetup paperSize="9" fitToHeight="0" orientation="landscape" r:id="rId1"/>
  <headerFoot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16"/>
  <sheetViews>
    <sheetView workbookViewId="0"/>
  </sheetViews>
  <sheetFormatPr defaultRowHeight="12" x14ac:dyDescent="0.2"/>
  <cols>
    <col min="1" max="1" width="20.140625" bestFit="1" customWidth="1"/>
    <col min="2" max="2" width="30.28515625" bestFit="1" customWidth="1"/>
    <col min="3" max="7" width="12.42578125" customWidth="1"/>
    <col min="8" max="8" width="13.5703125" bestFit="1" customWidth="1"/>
    <col min="9" max="10" width="13.5703125" customWidth="1"/>
    <col min="11" max="11" width="12.42578125" bestFit="1" customWidth="1"/>
    <col min="12" max="12" width="12.42578125" customWidth="1"/>
    <col min="13" max="14" width="12.42578125" bestFit="1" customWidth="1"/>
    <col min="15" max="16" width="16" bestFit="1" customWidth="1"/>
    <col min="17" max="17" width="16" customWidth="1"/>
    <col min="18" max="74" width="9.42578125" customWidth="1"/>
    <col min="75" max="75" width="10.28515625" customWidth="1"/>
    <col min="76" max="76" width="19" bestFit="1" customWidth="1"/>
  </cols>
  <sheetData>
    <row r="1" spans="1:14" x14ac:dyDescent="0.2">
      <c r="A1" s="77" t="s">
        <v>2939</v>
      </c>
      <c r="B1" s="77" t="s">
        <v>2940</v>
      </c>
      <c r="C1" s="446" t="s">
        <v>0</v>
      </c>
      <c r="D1" s="446" t="s">
        <v>1</v>
      </c>
      <c r="E1" s="446" t="s">
        <v>2</v>
      </c>
      <c r="F1" s="446" t="s">
        <v>3</v>
      </c>
      <c r="G1" s="446" t="s">
        <v>4</v>
      </c>
      <c r="H1" s="446" t="s">
        <v>5</v>
      </c>
      <c r="I1" s="446" t="s">
        <v>6</v>
      </c>
      <c r="J1" s="446" t="s">
        <v>7</v>
      </c>
      <c r="K1" s="446" t="s">
        <v>8</v>
      </c>
      <c r="L1" s="446" t="s">
        <v>9</v>
      </c>
      <c r="M1" s="446" t="s">
        <v>10</v>
      </c>
      <c r="N1" s="446" t="s">
        <v>11</v>
      </c>
    </row>
    <row r="2" spans="1:14" x14ac:dyDescent="0.2">
      <c r="A2" s="446" t="s">
        <v>2936</v>
      </c>
      <c r="C2" s="74">
        <v>-91</v>
      </c>
      <c r="D2" s="74">
        <v>2133</v>
      </c>
      <c r="E2" s="74">
        <v>4309</v>
      </c>
      <c r="F2" s="74">
        <v>2149</v>
      </c>
      <c r="G2" s="74">
        <v>2193</v>
      </c>
      <c r="H2" s="74">
        <v>-16515</v>
      </c>
      <c r="I2" s="74">
        <v>-4975</v>
      </c>
      <c r="J2" s="74">
        <v>-16689</v>
      </c>
      <c r="K2" s="74">
        <v>-4685</v>
      </c>
      <c r="L2" s="74">
        <v>-3156</v>
      </c>
      <c r="M2" s="74">
        <v>7891</v>
      </c>
      <c r="N2" s="74">
        <v>3993</v>
      </c>
    </row>
    <row r="3" spans="1:14" x14ac:dyDescent="0.2">
      <c r="A3" s="446" t="s">
        <v>2935</v>
      </c>
      <c r="C3" s="74">
        <v>31344</v>
      </c>
      <c r="D3" s="74">
        <v>32969</v>
      </c>
      <c r="E3" s="74">
        <v>11015</v>
      </c>
      <c r="F3" s="74">
        <v>6059</v>
      </c>
      <c r="G3" s="74">
        <v>7631</v>
      </c>
      <c r="H3" s="74">
        <v>18813</v>
      </c>
      <c r="I3" s="74">
        <v>0</v>
      </c>
      <c r="J3" s="74">
        <v>-30909</v>
      </c>
      <c r="K3" s="74">
        <v>-1091</v>
      </c>
      <c r="L3" s="74">
        <v>-85383</v>
      </c>
      <c r="M3" s="74">
        <v>23046</v>
      </c>
      <c r="N3" s="74">
        <v>16032</v>
      </c>
    </row>
    <row r="4" spans="1:14" x14ac:dyDescent="0.2">
      <c r="A4" s="446" t="s">
        <v>2937</v>
      </c>
      <c r="B4" s="446" t="s">
        <v>2946</v>
      </c>
      <c r="C4" s="74">
        <v>-5565</v>
      </c>
      <c r="D4" s="74">
        <v>1735</v>
      </c>
      <c r="E4" s="74">
        <v>2584</v>
      </c>
      <c r="F4" s="74">
        <v>-1792</v>
      </c>
      <c r="G4" s="74">
        <v>80</v>
      </c>
      <c r="H4" s="74">
        <v>15238</v>
      </c>
      <c r="I4" s="74">
        <v>405</v>
      </c>
      <c r="J4" s="74">
        <v>-1950</v>
      </c>
      <c r="K4" s="74">
        <v>-1036</v>
      </c>
      <c r="L4" s="74">
        <v>-1078</v>
      </c>
      <c r="M4" s="74">
        <v>2914</v>
      </c>
      <c r="N4" s="74">
        <v>2205</v>
      </c>
    </row>
    <row r="5" spans="1:14" x14ac:dyDescent="0.2">
      <c r="B5" s="446" t="s">
        <v>2947</v>
      </c>
      <c r="C5" s="74">
        <v>6210</v>
      </c>
      <c r="D5" s="74">
        <v>6210</v>
      </c>
      <c r="E5" s="74">
        <v>3938</v>
      </c>
      <c r="F5" s="74">
        <v>3938</v>
      </c>
      <c r="G5" s="74">
        <v>3937</v>
      </c>
      <c r="H5" s="74">
        <v>100039</v>
      </c>
      <c r="I5" s="74">
        <v>0</v>
      </c>
      <c r="J5" s="74">
        <v>0</v>
      </c>
      <c r="K5" s="74">
        <v>0</v>
      </c>
      <c r="L5" s="74">
        <v>0</v>
      </c>
      <c r="M5" s="74">
        <v>6916</v>
      </c>
      <c r="N5" s="74">
        <v>7086</v>
      </c>
    </row>
    <row r="6" spans="1:14" x14ac:dyDescent="0.2">
      <c r="B6" s="446" t="s">
        <v>2948</v>
      </c>
      <c r="C6" s="74">
        <v>-912</v>
      </c>
      <c r="D6" s="74">
        <v>-146</v>
      </c>
      <c r="E6" s="74">
        <v>429</v>
      </c>
      <c r="F6" s="74">
        <v>0</v>
      </c>
      <c r="G6" s="74">
        <v>0</v>
      </c>
      <c r="H6" s="74">
        <v>-20989</v>
      </c>
      <c r="I6" s="74">
        <v>0</v>
      </c>
      <c r="J6" s="74">
        <v>0</v>
      </c>
      <c r="K6" s="74">
        <v>-1261</v>
      </c>
      <c r="L6" s="74">
        <v>-1279</v>
      </c>
      <c r="M6" s="74">
        <v>0</v>
      </c>
      <c r="N6" s="74">
        <v>0</v>
      </c>
    </row>
    <row r="7" spans="1:14" x14ac:dyDescent="0.2">
      <c r="B7" s="446" t="s">
        <v>2949</v>
      </c>
      <c r="C7" s="74">
        <v>168</v>
      </c>
      <c r="D7" s="74">
        <v>0</v>
      </c>
      <c r="E7" s="74">
        <v>-73</v>
      </c>
      <c r="F7" s="74">
        <v>0</v>
      </c>
      <c r="G7" s="74">
        <v>0</v>
      </c>
      <c r="H7" s="74">
        <v>0</v>
      </c>
      <c r="I7" s="74">
        <v>0</v>
      </c>
      <c r="J7" s="74">
        <v>0</v>
      </c>
      <c r="K7" s="74">
        <v>0</v>
      </c>
      <c r="L7" s="74">
        <v>0</v>
      </c>
      <c r="M7" s="74">
        <v>0</v>
      </c>
      <c r="N7" s="74">
        <v>0</v>
      </c>
    </row>
    <row r="8" spans="1:14" x14ac:dyDescent="0.2">
      <c r="A8" s="446" t="s">
        <v>2956</v>
      </c>
      <c r="B8" s="446"/>
      <c r="C8" s="74">
        <v>-99</v>
      </c>
      <c r="D8" s="74">
        <v>7799</v>
      </c>
      <c r="E8" s="74">
        <v>6878</v>
      </c>
      <c r="F8" s="74">
        <v>2146</v>
      </c>
      <c r="G8" s="74">
        <v>4017</v>
      </c>
      <c r="H8" s="74">
        <v>94288</v>
      </c>
      <c r="I8" s="74">
        <v>405</v>
      </c>
      <c r="J8" s="74">
        <v>-1950</v>
      </c>
      <c r="K8" s="74">
        <v>-2297</v>
      </c>
      <c r="L8" s="74">
        <v>-2357</v>
      </c>
      <c r="M8" s="74">
        <v>9830</v>
      </c>
      <c r="N8" s="74">
        <v>9291</v>
      </c>
    </row>
    <row r="9" spans="1:14" x14ac:dyDescent="0.2">
      <c r="A9" s="446" t="s">
        <v>2938</v>
      </c>
      <c r="B9" s="446" t="s">
        <v>2945</v>
      </c>
      <c r="C9" s="74">
        <v>-1764</v>
      </c>
      <c r="D9" s="74">
        <v>1725</v>
      </c>
      <c r="E9" s="74">
        <v>1852</v>
      </c>
      <c r="F9" s="74">
        <v>992</v>
      </c>
      <c r="G9" s="74">
        <v>199</v>
      </c>
      <c r="H9" s="74">
        <v>26820</v>
      </c>
      <c r="I9" s="74">
        <v>0</v>
      </c>
      <c r="J9" s="74">
        <v>1410</v>
      </c>
      <c r="K9" s="74">
        <v>0</v>
      </c>
      <c r="L9" s="74">
        <v>0</v>
      </c>
      <c r="M9" s="74">
        <v>5805</v>
      </c>
      <c r="N9" s="74">
        <v>241</v>
      </c>
    </row>
    <row r="10" spans="1:14" x14ac:dyDescent="0.2">
      <c r="B10" s="446" t="s">
        <v>2946</v>
      </c>
      <c r="C10" s="74">
        <v>-5498</v>
      </c>
      <c r="D10" s="74">
        <v>610</v>
      </c>
      <c r="E10" s="74">
        <v>1748</v>
      </c>
      <c r="F10" s="74">
        <v>1195</v>
      </c>
      <c r="G10" s="74">
        <v>-46</v>
      </c>
      <c r="H10" s="74">
        <v>1031</v>
      </c>
      <c r="I10" s="74">
        <v>0</v>
      </c>
      <c r="J10" s="74">
        <v>-319</v>
      </c>
      <c r="K10" s="74">
        <v>-88</v>
      </c>
      <c r="L10" s="74">
        <v>-1141</v>
      </c>
      <c r="M10" s="74">
        <v>-2698</v>
      </c>
      <c r="N10" s="74">
        <v>1814</v>
      </c>
    </row>
    <row r="11" spans="1:14" x14ac:dyDescent="0.2">
      <c r="B11" s="446" t="s">
        <v>2947</v>
      </c>
      <c r="C11" s="74">
        <v>0</v>
      </c>
      <c r="D11" s="74">
        <v>0</v>
      </c>
      <c r="E11" s="74">
        <v>0</v>
      </c>
      <c r="F11" s="74">
        <v>0</v>
      </c>
      <c r="G11" s="74">
        <v>0</v>
      </c>
      <c r="H11" s="74">
        <v>0</v>
      </c>
      <c r="I11" s="74">
        <v>0</v>
      </c>
      <c r="J11" s="74">
        <v>0</v>
      </c>
      <c r="K11" s="74">
        <v>0</v>
      </c>
      <c r="L11" s="74">
        <v>0</v>
      </c>
      <c r="M11" s="74">
        <v>0</v>
      </c>
      <c r="N11" s="74">
        <v>0</v>
      </c>
    </row>
    <row r="12" spans="1:14" x14ac:dyDescent="0.2">
      <c r="B12" s="446" t="s">
        <v>2948</v>
      </c>
      <c r="C12" s="74">
        <v>-121</v>
      </c>
      <c r="D12" s="74">
        <v>0</v>
      </c>
      <c r="E12" s="74">
        <v>121</v>
      </c>
      <c r="F12" s="74">
        <v>0</v>
      </c>
      <c r="G12" s="74">
        <v>0</v>
      </c>
      <c r="H12" s="74">
        <v>-5006</v>
      </c>
      <c r="I12" s="74">
        <v>0</v>
      </c>
      <c r="J12" s="74">
        <v>0</v>
      </c>
      <c r="K12" s="74">
        <v>0</v>
      </c>
      <c r="L12" s="74">
        <v>0</v>
      </c>
      <c r="M12" s="74">
        <v>0</v>
      </c>
      <c r="N12" s="74">
        <v>0</v>
      </c>
    </row>
    <row r="13" spans="1:14" x14ac:dyDescent="0.2">
      <c r="B13" s="446" t="s">
        <v>2949</v>
      </c>
      <c r="C13" s="74">
        <v>0</v>
      </c>
      <c r="D13" s="74">
        <v>0</v>
      </c>
      <c r="E13" s="74">
        <v>0</v>
      </c>
      <c r="F13" s="74">
        <v>0</v>
      </c>
      <c r="G13" s="74">
        <v>0</v>
      </c>
      <c r="H13" s="74">
        <v>0</v>
      </c>
      <c r="I13" s="74">
        <v>0</v>
      </c>
      <c r="J13" s="74">
        <v>0</v>
      </c>
      <c r="K13" s="74">
        <v>0</v>
      </c>
      <c r="L13" s="74">
        <v>0</v>
      </c>
      <c r="M13" s="74">
        <v>0</v>
      </c>
      <c r="N13" s="74">
        <v>0</v>
      </c>
    </row>
    <row r="14" spans="1:14" x14ac:dyDescent="0.2">
      <c r="B14" s="446" t="s">
        <v>2959</v>
      </c>
      <c r="C14" s="74">
        <v>-145</v>
      </c>
      <c r="D14" s="74">
        <v>0</v>
      </c>
      <c r="E14" s="74">
        <v>134</v>
      </c>
      <c r="F14" s="74">
        <v>0</v>
      </c>
      <c r="G14" s="74">
        <v>0</v>
      </c>
      <c r="H14" s="74">
        <v>-63</v>
      </c>
      <c r="I14" s="74">
        <v>0</v>
      </c>
      <c r="J14" s="74">
        <v>-84</v>
      </c>
      <c r="K14" s="74">
        <v>0</v>
      </c>
      <c r="L14" s="74">
        <v>0</v>
      </c>
      <c r="M14" s="74">
        <v>0</v>
      </c>
      <c r="N14" s="74">
        <v>-132</v>
      </c>
    </row>
    <row r="15" spans="1:14" x14ac:dyDescent="0.2">
      <c r="A15" s="446" t="s">
        <v>2958</v>
      </c>
      <c r="B15" s="446"/>
      <c r="C15" s="74">
        <v>-7528</v>
      </c>
      <c r="D15" s="74">
        <v>2335</v>
      </c>
      <c r="E15" s="74">
        <v>3855</v>
      </c>
      <c r="F15" s="74">
        <v>2187</v>
      </c>
      <c r="G15" s="74">
        <v>153</v>
      </c>
      <c r="H15" s="74">
        <v>22782</v>
      </c>
      <c r="I15" s="74">
        <v>0</v>
      </c>
      <c r="J15" s="74">
        <v>1007</v>
      </c>
      <c r="K15" s="74">
        <v>-88</v>
      </c>
      <c r="L15" s="74">
        <v>-1141</v>
      </c>
      <c r="M15" s="74">
        <v>3107</v>
      </c>
      <c r="N15" s="74">
        <v>1923</v>
      </c>
    </row>
    <row r="16" spans="1:14" x14ac:dyDescent="0.2">
      <c r="A16" s="446" t="s">
        <v>115</v>
      </c>
      <c r="C16" s="74">
        <v>23626</v>
      </c>
      <c r="D16" s="74">
        <v>45236</v>
      </c>
      <c r="E16" s="74">
        <v>26057</v>
      </c>
      <c r="F16" s="74">
        <v>12541</v>
      </c>
      <c r="G16" s="74">
        <v>13994</v>
      </c>
      <c r="H16" s="74">
        <v>119368</v>
      </c>
      <c r="I16" s="74">
        <v>-4570</v>
      </c>
      <c r="J16" s="74">
        <v>-48541</v>
      </c>
      <c r="K16" s="74">
        <v>-8161</v>
      </c>
      <c r="L16" s="74">
        <v>-92037</v>
      </c>
      <c r="M16" s="74">
        <v>43874</v>
      </c>
      <c r="N16" s="74">
        <v>31239</v>
      </c>
    </row>
  </sheetData>
  <pageMargins left="0.39370078740157483" right="0.39370078740157483" top="0.39370078740157483" bottom="0.39370078740157483" header="0.19685039370078741" footer="0.19685039370078741"/>
  <pageSetup paperSize="9" fitToHeight="0" orientation="landscape" verticalDpi="0" r:id="rId2"/>
  <headerFooter>
    <oddFooter>&amp;C&amp;8&amp;P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S69"/>
  <sheetViews>
    <sheetView workbookViewId="0"/>
  </sheetViews>
  <sheetFormatPr defaultRowHeight="11.25" x14ac:dyDescent="0.2"/>
  <cols>
    <col min="1" max="1" width="22.5703125" style="339" customWidth="1"/>
    <col min="2" max="2" width="10.85546875" style="299" customWidth="1"/>
    <col min="3" max="3" width="9.42578125" style="300" customWidth="1"/>
    <col min="4" max="4" width="8.85546875" style="299" customWidth="1"/>
    <col min="5" max="5" width="10.85546875" style="301" customWidth="1"/>
    <col min="6" max="6" width="8.85546875" style="302" customWidth="1"/>
    <col min="7" max="7" width="6.7109375" style="303" customWidth="1"/>
    <col min="8" max="11" width="6.28515625" style="303" customWidth="1"/>
    <col min="12" max="13" width="6.7109375" style="303" customWidth="1"/>
    <col min="14" max="17" width="6.28515625" style="303" customWidth="1"/>
    <col min="18" max="19" width="6.7109375" style="303" customWidth="1"/>
    <col min="20" max="16384" width="9.140625" style="301"/>
  </cols>
  <sheetData>
    <row r="1" spans="1:19" ht="15.75" x14ac:dyDescent="0.2">
      <c r="A1" s="336" t="s">
        <v>3937</v>
      </c>
    </row>
    <row r="2" spans="1:19" ht="12.75" x14ac:dyDescent="0.2">
      <c r="A2" s="341" t="s">
        <v>3886</v>
      </c>
    </row>
    <row r="3" spans="1:19" ht="12.75" x14ac:dyDescent="0.2">
      <c r="A3" s="341"/>
    </row>
    <row r="4" spans="1:19" s="310" customFormat="1" ht="12.75" customHeight="1" x14ac:dyDescent="0.2">
      <c r="A4" s="826" t="s">
        <v>185</v>
      </c>
      <c r="B4" s="828" t="s">
        <v>3938</v>
      </c>
      <c r="C4" s="827" t="s">
        <v>2848</v>
      </c>
      <c r="D4" s="829" t="s">
        <v>3973</v>
      </c>
      <c r="E4" s="826" t="s">
        <v>3970</v>
      </c>
      <c r="F4" s="836" t="s">
        <v>13</v>
      </c>
      <c r="G4" s="832" t="s">
        <v>168</v>
      </c>
      <c r="H4" s="833"/>
      <c r="I4" s="833"/>
      <c r="J4" s="833"/>
      <c r="K4" s="833"/>
      <c r="L4" s="833"/>
      <c r="M4" s="833"/>
      <c r="N4" s="833"/>
      <c r="O4" s="833"/>
      <c r="P4" s="833"/>
      <c r="Q4" s="833"/>
      <c r="R4" s="833"/>
      <c r="S4" s="833"/>
    </row>
    <row r="5" spans="1:19" s="339" customFormat="1" ht="12" customHeight="1" x14ac:dyDescent="0.2">
      <c r="A5" s="826"/>
      <c r="B5" s="828"/>
      <c r="C5" s="827"/>
      <c r="D5" s="830"/>
      <c r="E5" s="826"/>
      <c r="F5" s="836"/>
      <c r="G5" s="832" t="s">
        <v>90</v>
      </c>
      <c r="H5" s="833"/>
      <c r="I5" s="833"/>
      <c r="J5" s="833"/>
      <c r="K5" s="833"/>
      <c r="L5" s="833"/>
      <c r="M5" s="832" t="s">
        <v>91</v>
      </c>
      <c r="N5" s="833"/>
      <c r="O5" s="833"/>
      <c r="P5" s="833"/>
      <c r="Q5" s="833"/>
      <c r="R5" s="834"/>
      <c r="S5" s="835" t="s">
        <v>93</v>
      </c>
    </row>
    <row r="6" spans="1:19" s="344" customFormat="1" ht="12.75" customHeight="1" x14ac:dyDescent="0.2">
      <c r="A6" s="826"/>
      <c r="B6" s="828"/>
      <c r="C6" s="827"/>
      <c r="D6" s="831"/>
      <c r="E6" s="826"/>
      <c r="F6" s="836"/>
      <c r="G6" s="536" t="s">
        <v>97</v>
      </c>
      <c r="H6" s="304" t="s">
        <v>98</v>
      </c>
      <c r="I6" s="304" t="s">
        <v>99</v>
      </c>
      <c r="J6" s="304" t="s">
        <v>100</v>
      </c>
      <c r="K6" s="304" t="s">
        <v>101</v>
      </c>
      <c r="L6" s="304" t="s">
        <v>95</v>
      </c>
      <c r="M6" s="536" t="s">
        <v>97</v>
      </c>
      <c r="N6" s="304" t="s">
        <v>98</v>
      </c>
      <c r="O6" s="304" t="s">
        <v>99</v>
      </c>
      <c r="P6" s="304" t="s">
        <v>100</v>
      </c>
      <c r="Q6" s="304" t="s">
        <v>101</v>
      </c>
      <c r="R6" s="537" t="s">
        <v>95</v>
      </c>
      <c r="S6" s="835"/>
    </row>
    <row r="7" spans="1:19" x14ac:dyDescent="0.2">
      <c r="A7" s="344" t="s">
        <v>2079</v>
      </c>
      <c r="B7" s="342" t="s">
        <v>150</v>
      </c>
      <c r="C7" s="343" t="s">
        <v>288</v>
      </c>
      <c r="D7" s="342" t="s">
        <v>153</v>
      </c>
      <c r="E7" s="344" t="s">
        <v>421</v>
      </c>
      <c r="F7" s="522">
        <v>42041</v>
      </c>
      <c r="G7" s="523">
        <v>0</v>
      </c>
      <c r="H7" s="346">
        <v>0</v>
      </c>
      <c r="I7" s="346">
        <v>0</v>
      </c>
      <c r="J7" s="346">
        <v>0</v>
      </c>
      <c r="K7" s="346">
        <v>0</v>
      </c>
      <c r="L7" s="346">
        <v>0</v>
      </c>
      <c r="M7" s="523">
        <v>322</v>
      </c>
      <c r="N7" s="346">
        <v>0</v>
      </c>
      <c r="O7" s="346">
        <v>0</v>
      </c>
      <c r="P7" s="346">
        <v>0</v>
      </c>
      <c r="Q7" s="346">
        <v>0</v>
      </c>
      <c r="R7" s="347">
        <v>322</v>
      </c>
      <c r="S7" s="346">
        <v>-322</v>
      </c>
    </row>
    <row r="8" spans="1:19" x14ac:dyDescent="0.2">
      <c r="A8" s="305" t="s">
        <v>1347</v>
      </c>
      <c r="B8" s="306" t="s">
        <v>3948</v>
      </c>
      <c r="C8" s="307" t="s">
        <v>1283</v>
      </c>
      <c r="D8" s="306" t="s">
        <v>153</v>
      </c>
      <c r="E8" s="305" t="s">
        <v>3798</v>
      </c>
      <c r="F8" s="308">
        <v>42850</v>
      </c>
      <c r="G8" s="315">
        <v>0</v>
      </c>
      <c r="H8" s="309">
        <v>0</v>
      </c>
      <c r="I8" s="309">
        <v>0</v>
      </c>
      <c r="J8" s="309">
        <v>0</v>
      </c>
      <c r="K8" s="309">
        <v>0</v>
      </c>
      <c r="L8" s="309">
        <v>0</v>
      </c>
      <c r="M8" s="315">
        <v>59</v>
      </c>
      <c r="N8" s="309">
        <v>0</v>
      </c>
      <c r="O8" s="309">
        <v>0</v>
      </c>
      <c r="P8" s="309">
        <v>0</v>
      </c>
      <c r="Q8" s="309">
        <v>0</v>
      </c>
      <c r="R8" s="317">
        <v>59</v>
      </c>
      <c r="S8" s="309">
        <v>-59</v>
      </c>
    </row>
    <row r="9" spans="1:19" ht="22.5" x14ac:dyDescent="0.2">
      <c r="A9" s="305" t="s">
        <v>1329</v>
      </c>
      <c r="B9" s="306" t="s">
        <v>3943</v>
      </c>
      <c r="C9" s="307" t="s">
        <v>287</v>
      </c>
      <c r="D9" s="306" t="s">
        <v>153</v>
      </c>
      <c r="E9" s="305" t="s">
        <v>3798</v>
      </c>
      <c r="F9" s="308">
        <v>42167</v>
      </c>
      <c r="G9" s="315">
        <v>0</v>
      </c>
      <c r="H9" s="309">
        <v>0</v>
      </c>
      <c r="I9" s="309">
        <v>0</v>
      </c>
      <c r="J9" s="309">
        <v>0</v>
      </c>
      <c r="K9" s="309">
        <v>0</v>
      </c>
      <c r="L9" s="309">
        <v>0</v>
      </c>
      <c r="M9" s="315">
        <v>1876</v>
      </c>
      <c r="N9" s="309">
        <v>0</v>
      </c>
      <c r="O9" s="309">
        <v>0</v>
      </c>
      <c r="P9" s="309">
        <v>0</v>
      </c>
      <c r="Q9" s="309">
        <v>0</v>
      </c>
      <c r="R9" s="317">
        <v>1876</v>
      </c>
      <c r="S9" s="309">
        <v>-1876</v>
      </c>
    </row>
    <row r="10" spans="1:19" x14ac:dyDescent="0.2">
      <c r="A10" s="305" t="s">
        <v>1620</v>
      </c>
      <c r="B10" s="306" t="s">
        <v>3944</v>
      </c>
      <c r="C10" s="307" t="s">
        <v>776</v>
      </c>
      <c r="D10" s="306" t="s">
        <v>153</v>
      </c>
      <c r="E10" s="305" t="s">
        <v>3798</v>
      </c>
      <c r="F10" s="308">
        <v>42368</v>
      </c>
      <c r="G10" s="315">
        <v>0</v>
      </c>
      <c r="H10" s="309">
        <v>0</v>
      </c>
      <c r="I10" s="309">
        <v>0</v>
      </c>
      <c r="J10" s="309">
        <v>0</v>
      </c>
      <c r="K10" s="309">
        <v>0</v>
      </c>
      <c r="L10" s="309">
        <v>0</v>
      </c>
      <c r="M10" s="315">
        <v>37</v>
      </c>
      <c r="N10" s="309">
        <v>0</v>
      </c>
      <c r="O10" s="309">
        <v>0</v>
      </c>
      <c r="P10" s="309">
        <v>0</v>
      </c>
      <c r="Q10" s="309">
        <v>0</v>
      </c>
      <c r="R10" s="317">
        <v>37</v>
      </c>
      <c r="S10" s="309">
        <v>-37</v>
      </c>
    </row>
    <row r="11" spans="1:19" x14ac:dyDescent="0.2">
      <c r="A11" s="305" t="s">
        <v>2323</v>
      </c>
      <c r="B11" s="306" t="s">
        <v>3944</v>
      </c>
      <c r="C11" s="307" t="s">
        <v>1184</v>
      </c>
      <c r="D11" s="306" t="s">
        <v>153</v>
      </c>
      <c r="E11" s="305" t="s">
        <v>3798</v>
      </c>
      <c r="F11" s="308">
        <v>42800</v>
      </c>
      <c r="G11" s="315">
        <v>0</v>
      </c>
      <c r="H11" s="309">
        <v>0</v>
      </c>
      <c r="I11" s="309">
        <v>192</v>
      </c>
      <c r="J11" s="309">
        <v>0</v>
      </c>
      <c r="K11" s="309">
        <v>0</v>
      </c>
      <c r="L11" s="309">
        <v>192</v>
      </c>
      <c r="M11" s="315">
        <v>0</v>
      </c>
      <c r="N11" s="309">
        <v>0</v>
      </c>
      <c r="O11" s="309">
        <v>0</v>
      </c>
      <c r="P11" s="309">
        <v>0</v>
      </c>
      <c r="Q11" s="309">
        <v>0</v>
      </c>
      <c r="R11" s="317">
        <v>0</v>
      </c>
      <c r="S11" s="309">
        <v>192</v>
      </c>
    </row>
    <row r="12" spans="1:19" x14ac:dyDescent="0.2">
      <c r="A12" s="305" t="s">
        <v>2059</v>
      </c>
      <c r="B12" s="306" t="s">
        <v>3949</v>
      </c>
      <c r="C12" s="307" t="s">
        <v>534</v>
      </c>
      <c r="D12" s="306" t="s">
        <v>153</v>
      </c>
      <c r="E12" s="305" t="s">
        <v>3798</v>
      </c>
      <c r="F12" s="308">
        <v>42339</v>
      </c>
      <c r="G12" s="315">
        <v>0</v>
      </c>
      <c r="H12" s="309">
        <v>0</v>
      </c>
      <c r="I12" s="309">
        <v>0</v>
      </c>
      <c r="J12" s="309">
        <v>0</v>
      </c>
      <c r="K12" s="309">
        <v>0</v>
      </c>
      <c r="L12" s="309">
        <v>0</v>
      </c>
      <c r="M12" s="315">
        <v>0</v>
      </c>
      <c r="N12" s="309">
        <v>0</v>
      </c>
      <c r="O12" s="309">
        <v>0</v>
      </c>
      <c r="P12" s="309">
        <v>0</v>
      </c>
      <c r="Q12" s="309">
        <v>52</v>
      </c>
      <c r="R12" s="317">
        <v>52</v>
      </c>
      <c r="S12" s="309">
        <v>-52</v>
      </c>
    </row>
    <row r="13" spans="1:19" x14ac:dyDescent="0.2">
      <c r="A13" s="305" t="s">
        <v>2041</v>
      </c>
      <c r="B13" s="306" t="s">
        <v>3946</v>
      </c>
      <c r="C13" s="307" t="s">
        <v>365</v>
      </c>
      <c r="D13" s="306" t="s">
        <v>153</v>
      </c>
      <c r="E13" s="305" t="s">
        <v>421</v>
      </c>
      <c r="F13" s="308">
        <v>41891</v>
      </c>
      <c r="G13" s="315">
        <v>0</v>
      </c>
      <c r="H13" s="309">
        <v>0</v>
      </c>
      <c r="I13" s="309">
        <v>0</v>
      </c>
      <c r="J13" s="309">
        <v>0</v>
      </c>
      <c r="K13" s="309">
        <v>0</v>
      </c>
      <c r="L13" s="309">
        <v>0</v>
      </c>
      <c r="M13" s="315">
        <v>200</v>
      </c>
      <c r="N13" s="309">
        <v>0</v>
      </c>
      <c r="O13" s="309">
        <v>0</v>
      </c>
      <c r="P13" s="309">
        <v>0</v>
      </c>
      <c r="Q13" s="309">
        <v>0</v>
      </c>
      <c r="R13" s="317">
        <v>200</v>
      </c>
      <c r="S13" s="309">
        <v>-200</v>
      </c>
    </row>
    <row r="14" spans="1:19" x14ac:dyDescent="0.2">
      <c r="A14" s="305" t="s">
        <v>1972</v>
      </c>
      <c r="B14" s="306" t="s">
        <v>150</v>
      </c>
      <c r="C14" s="307" t="s">
        <v>231</v>
      </c>
      <c r="D14" s="306" t="s">
        <v>153</v>
      </c>
      <c r="E14" s="305" t="s">
        <v>3798</v>
      </c>
      <c r="F14" s="308">
        <v>41310</v>
      </c>
      <c r="G14" s="315">
        <v>15</v>
      </c>
      <c r="H14" s="309">
        <v>0</v>
      </c>
      <c r="I14" s="309">
        <v>0</v>
      </c>
      <c r="J14" s="309">
        <v>0</v>
      </c>
      <c r="K14" s="309">
        <v>0</v>
      </c>
      <c r="L14" s="309">
        <v>15</v>
      </c>
      <c r="M14" s="315">
        <v>0</v>
      </c>
      <c r="N14" s="309">
        <v>0</v>
      </c>
      <c r="O14" s="309">
        <v>0</v>
      </c>
      <c r="P14" s="309">
        <v>0</v>
      </c>
      <c r="Q14" s="309">
        <v>0</v>
      </c>
      <c r="R14" s="317">
        <v>0</v>
      </c>
      <c r="S14" s="309">
        <v>15</v>
      </c>
    </row>
    <row r="15" spans="1:19" x14ac:dyDescent="0.2">
      <c r="A15" s="305" t="s">
        <v>1501</v>
      </c>
      <c r="B15" s="306" t="s">
        <v>3954</v>
      </c>
      <c r="C15" s="307" t="s">
        <v>280</v>
      </c>
      <c r="D15" s="306" t="s">
        <v>153</v>
      </c>
      <c r="E15" s="305" t="s">
        <v>3798</v>
      </c>
      <c r="F15" s="308">
        <v>42054</v>
      </c>
      <c r="G15" s="315">
        <v>0</v>
      </c>
      <c r="H15" s="309">
        <v>0</v>
      </c>
      <c r="I15" s="309">
        <v>0</v>
      </c>
      <c r="J15" s="309">
        <v>0</v>
      </c>
      <c r="K15" s="309">
        <v>0</v>
      </c>
      <c r="L15" s="309">
        <v>0</v>
      </c>
      <c r="M15" s="315">
        <v>0</v>
      </c>
      <c r="N15" s="309">
        <v>0</v>
      </c>
      <c r="O15" s="309">
        <v>500</v>
      </c>
      <c r="P15" s="309">
        <v>0</v>
      </c>
      <c r="Q15" s="309">
        <v>0</v>
      </c>
      <c r="R15" s="317">
        <v>500</v>
      </c>
      <c r="S15" s="309">
        <v>-500</v>
      </c>
    </row>
    <row r="16" spans="1:19" x14ac:dyDescent="0.2">
      <c r="A16" s="305" t="s">
        <v>2180</v>
      </c>
      <c r="B16" s="306" t="s">
        <v>2904</v>
      </c>
      <c r="C16" s="307" t="s">
        <v>651</v>
      </c>
      <c r="D16" s="306" t="s">
        <v>153</v>
      </c>
      <c r="E16" s="305" t="s">
        <v>3798</v>
      </c>
      <c r="F16" s="308">
        <v>42481</v>
      </c>
      <c r="G16" s="315">
        <v>0</v>
      </c>
      <c r="H16" s="309">
        <v>0</v>
      </c>
      <c r="I16" s="309">
        <v>0</v>
      </c>
      <c r="J16" s="309">
        <v>0</v>
      </c>
      <c r="K16" s="309">
        <v>0</v>
      </c>
      <c r="L16" s="309">
        <v>0</v>
      </c>
      <c r="M16" s="315">
        <v>33</v>
      </c>
      <c r="N16" s="309">
        <v>0</v>
      </c>
      <c r="O16" s="309">
        <v>0</v>
      </c>
      <c r="P16" s="309">
        <v>0</v>
      </c>
      <c r="Q16" s="309">
        <v>0</v>
      </c>
      <c r="R16" s="317">
        <v>33</v>
      </c>
      <c r="S16" s="309">
        <v>-33</v>
      </c>
    </row>
    <row r="17" spans="1:19" x14ac:dyDescent="0.2">
      <c r="A17" s="305" t="s">
        <v>2183</v>
      </c>
      <c r="B17" s="306" t="s">
        <v>2904</v>
      </c>
      <c r="C17" s="307" t="s">
        <v>597</v>
      </c>
      <c r="D17" s="306" t="s">
        <v>153</v>
      </c>
      <c r="E17" s="305" t="s">
        <v>3798</v>
      </c>
      <c r="F17" s="308">
        <v>42430</v>
      </c>
      <c r="G17" s="315">
        <v>0</v>
      </c>
      <c r="H17" s="309">
        <v>0</v>
      </c>
      <c r="I17" s="309">
        <v>0</v>
      </c>
      <c r="J17" s="309">
        <v>0</v>
      </c>
      <c r="K17" s="309">
        <v>14</v>
      </c>
      <c r="L17" s="309">
        <v>14</v>
      </c>
      <c r="M17" s="315">
        <v>0</v>
      </c>
      <c r="N17" s="309">
        <v>0</v>
      </c>
      <c r="O17" s="309">
        <v>0</v>
      </c>
      <c r="P17" s="309">
        <v>0</v>
      </c>
      <c r="Q17" s="309">
        <v>0</v>
      </c>
      <c r="R17" s="317">
        <v>0</v>
      </c>
      <c r="S17" s="309">
        <v>14</v>
      </c>
    </row>
    <row r="18" spans="1:19" x14ac:dyDescent="0.2">
      <c r="A18" s="305" t="s">
        <v>1940</v>
      </c>
      <c r="B18" s="306" t="s">
        <v>3947</v>
      </c>
      <c r="C18" s="307" t="s">
        <v>261</v>
      </c>
      <c r="D18" s="306" t="s">
        <v>153</v>
      </c>
      <c r="E18" s="305" t="s">
        <v>3798</v>
      </c>
      <c r="F18" s="308">
        <v>41702</v>
      </c>
      <c r="G18" s="315">
        <v>0</v>
      </c>
      <c r="H18" s="309">
        <v>0</v>
      </c>
      <c r="I18" s="309">
        <v>0</v>
      </c>
      <c r="J18" s="309">
        <v>0</v>
      </c>
      <c r="K18" s="309">
        <v>0</v>
      </c>
      <c r="L18" s="309">
        <v>0</v>
      </c>
      <c r="M18" s="315">
        <v>0</v>
      </c>
      <c r="N18" s="309">
        <v>47</v>
      </c>
      <c r="O18" s="309">
        <v>0</v>
      </c>
      <c r="P18" s="309">
        <v>0</v>
      </c>
      <c r="Q18" s="309">
        <v>62</v>
      </c>
      <c r="R18" s="317">
        <v>109</v>
      </c>
      <c r="S18" s="309">
        <v>-109</v>
      </c>
    </row>
    <row r="19" spans="1:19" x14ac:dyDescent="0.2">
      <c r="A19" s="305" t="s">
        <v>2054</v>
      </c>
      <c r="B19" s="306" t="s">
        <v>3944</v>
      </c>
      <c r="C19" s="307" t="s">
        <v>379</v>
      </c>
      <c r="D19" s="306" t="s">
        <v>153</v>
      </c>
      <c r="E19" s="305" t="s">
        <v>3798</v>
      </c>
      <c r="F19" s="308">
        <v>42016</v>
      </c>
      <c r="G19" s="315">
        <v>0</v>
      </c>
      <c r="H19" s="309">
        <v>0</v>
      </c>
      <c r="I19" s="309">
        <v>0</v>
      </c>
      <c r="J19" s="309">
        <v>0</v>
      </c>
      <c r="K19" s="309">
        <v>0</v>
      </c>
      <c r="L19" s="309">
        <v>0</v>
      </c>
      <c r="M19" s="315">
        <v>0</v>
      </c>
      <c r="N19" s="309">
        <v>0</v>
      </c>
      <c r="O19" s="309">
        <v>0</v>
      </c>
      <c r="P19" s="309">
        <v>0</v>
      </c>
      <c r="Q19" s="309">
        <v>42</v>
      </c>
      <c r="R19" s="317">
        <v>42</v>
      </c>
      <c r="S19" s="309">
        <v>-42</v>
      </c>
    </row>
    <row r="20" spans="1:19" x14ac:dyDescent="0.2">
      <c r="A20" s="305" t="s">
        <v>2036</v>
      </c>
      <c r="B20" s="306" t="s">
        <v>3945</v>
      </c>
      <c r="C20" s="307" t="s">
        <v>292</v>
      </c>
      <c r="D20" s="306" t="s">
        <v>153</v>
      </c>
      <c r="E20" s="305" t="s">
        <v>3798</v>
      </c>
      <c r="F20" s="308">
        <v>42073</v>
      </c>
      <c r="G20" s="315">
        <v>139</v>
      </c>
      <c r="H20" s="309">
        <v>0</v>
      </c>
      <c r="I20" s="309">
        <v>0</v>
      </c>
      <c r="J20" s="309">
        <v>0</v>
      </c>
      <c r="K20" s="309">
        <v>0</v>
      </c>
      <c r="L20" s="309">
        <v>139</v>
      </c>
      <c r="M20" s="315">
        <v>139</v>
      </c>
      <c r="N20" s="309">
        <v>0</v>
      </c>
      <c r="O20" s="309">
        <v>0</v>
      </c>
      <c r="P20" s="309">
        <v>0</v>
      </c>
      <c r="Q20" s="309">
        <v>0</v>
      </c>
      <c r="R20" s="317">
        <v>139</v>
      </c>
      <c r="S20" s="309">
        <v>0</v>
      </c>
    </row>
    <row r="21" spans="1:19" x14ac:dyDescent="0.2">
      <c r="A21" s="305" t="s">
        <v>2339</v>
      </c>
      <c r="B21" s="306" t="s">
        <v>2907</v>
      </c>
      <c r="C21" s="307" t="s">
        <v>1117</v>
      </c>
      <c r="D21" s="306" t="s">
        <v>153</v>
      </c>
      <c r="E21" s="305" t="s">
        <v>3798</v>
      </c>
      <c r="F21" s="308">
        <v>42725</v>
      </c>
      <c r="G21" s="315">
        <v>270</v>
      </c>
      <c r="H21" s="309">
        <v>0</v>
      </c>
      <c r="I21" s="309">
        <v>0</v>
      </c>
      <c r="J21" s="309">
        <v>0</v>
      </c>
      <c r="K21" s="309">
        <v>0</v>
      </c>
      <c r="L21" s="309">
        <v>270</v>
      </c>
      <c r="M21" s="315">
        <v>0</v>
      </c>
      <c r="N21" s="309">
        <v>0</v>
      </c>
      <c r="O21" s="309">
        <v>0</v>
      </c>
      <c r="P21" s="309">
        <v>0</v>
      </c>
      <c r="Q21" s="309">
        <v>0</v>
      </c>
      <c r="R21" s="317">
        <v>0</v>
      </c>
      <c r="S21" s="309">
        <v>270</v>
      </c>
    </row>
    <row r="22" spans="1:19" x14ac:dyDescent="0.2">
      <c r="A22" s="305" t="s">
        <v>2096</v>
      </c>
      <c r="B22" s="306" t="s">
        <v>2907</v>
      </c>
      <c r="C22" s="307" t="s">
        <v>305</v>
      </c>
      <c r="D22" s="306" t="s">
        <v>153</v>
      </c>
      <c r="E22" s="305" t="s">
        <v>3798</v>
      </c>
      <c r="F22" s="308">
        <v>42116</v>
      </c>
      <c r="G22" s="315">
        <v>0</v>
      </c>
      <c r="H22" s="309">
        <v>0</v>
      </c>
      <c r="I22" s="309">
        <v>0</v>
      </c>
      <c r="J22" s="309">
        <v>0</v>
      </c>
      <c r="K22" s="309">
        <v>0</v>
      </c>
      <c r="L22" s="309">
        <v>0</v>
      </c>
      <c r="M22" s="315">
        <v>0</v>
      </c>
      <c r="N22" s="309">
        <v>0</v>
      </c>
      <c r="O22" s="309">
        <v>0</v>
      </c>
      <c r="P22" s="309">
        <v>0</v>
      </c>
      <c r="Q22" s="309">
        <v>302</v>
      </c>
      <c r="R22" s="317">
        <v>302</v>
      </c>
      <c r="S22" s="309">
        <v>-302</v>
      </c>
    </row>
    <row r="23" spans="1:19" x14ac:dyDescent="0.2">
      <c r="A23" s="305" t="s">
        <v>2386</v>
      </c>
      <c r="B23" s="306" t="s">
        <v>149</v>
      </c>
      <c r="C23" s="307" t="s">
        <v>1222</v>
      </c>
      <c r="D23" s="306" t="s">
        <v>153</v>
      </c>
      <c r="E23" s="305" t="s">
        <v>3798</v>
      </c>
      <c r="F23" s="308">
        <v>42916</v>
      </c>
      <c r="G23" s="315">
        <v>0</v>
      </c>
      <c r="H23" s="309">
        <v>0</v>
      </c>
      <c r="I23" s="309">
        <v>0</v>
      </c>
      <c r="J23" s="309">
        <v>0</v>
      </c>
      <c r="K23" s="309">
        <v>0</v>
      </c>
      <c r="L23" s="309">
        <v>0</v>
      </c>
      <c r="M23" s="315">
        <v>78</v>
      </c>
      <c r="N23" s="309">
        <v>0</v>
      </c>
      <c r="O23" s="309">
        <v>0</v>
      </c>
      <c r="P23" s="309">
        <v>0</v>
      </c>
      <c r="Q23" s="309">
        <v>0</v>
      </c>
      <c r="R23" s="317">
        <v>78</v>
      </c>
      <c r="S23" s="309">
        <v>-78</v>
      </c>
    </row>
    <row r="24" spans="1:19" x14ac:dyDescent="0.2">
      <c r="A24" s="305" t="s">
        <v>2091</v>
      </c>
      <c r="B24" s="306" t="s">
        <v>150</v>
      </c>
      <c r="C24" s="307" t="s">
        <v>293</v>
      </c>
      <c r="D24" s="306" t="s">
        <v>153</v>
      </c>
      <c r="E24" s="305" t="s">
        <v>3798</v>
      </c>
      <c r="F24" s="308">
        <v>42041</v>
      </c>
      <c r="G24" s="315">
        <v>0</v>
      </c>
      <c r="H24" s="309">
        <v>0</v>
      </c>
      <c r="I24" s="309">
        <v>0</v>
      </c>
      <c r="J24" s="309">
        <v>0</v>
      </c>
      <c r="K24" s="309">
        <v>0</v>
      </c>
      <c r="L24" s="309">
        <v>0</v>
      </c>
      <c r="M24" s="315">
        <v>0</v>
      </c>
      <c r="N24" s="309">
        <v>0</v>
      </c>
      <c r="O24" s="309">
        <v>0</v>
      </c>
      <c r="P24" s="309">
        <v>0</v>
      </c>
      <c r="Q24" s="309">
        <v>42</v>
      </c>
      <c r="R24" s="317">
        <v>42</v>
      </c>
      <c r="S24" s="309">
        <v>-42</v>
      </c>
    </row>
    <row r="25" spans="1:19" x14ac:dyDescent="0.2">
      <c r="A25" s="305" t="s">
        <v>2115</v>
      </c>
      <c r="B25" s="306" t="s">
        <v>3942</v>
      </c>
      <c r="C25" s="307" t="s">
        <v>457</v>
      </c>
      <c r="D25" s="306" t="s">
        <v>153</v>
      </c>
      <c r="E25" s="305" t="s">
        <v>421</v>
      </c>
      <c r="F25" s="308">
        <v>42173</v>
      </c>
      <c r="G25" s="315">
        <v>0</v>
      </c>
      <c r="H25" s="309">
        <v>0</v>
      </c>
      <c r="I25" s="309">
        <v>0</v>
      </c>
      <c r="J25" s="309">
        <v>0</v>
      </c>
      <c r="K25" s="309">
        <v>0</v>
      </c>
      <c r="L25" s="309">
        <v>0</v>
      </c>
      <c r="M25" s="315">
        <v>49</v>
      </c>
      <c r="N25" s="309">
        <v>0</v>
      </c>
      <c r="O25" s="309">
        <v>0</v>
      </c>
      <c r="P25" s="309">
        <v>0</v>
      </c>
      <c r="Q25" s="309">
        <v>0</v>
      </c>
      <c r="R25" s="317">
        <v>49</v>
      </c>
      <c r="S25" s="309">
        <v>-49</v>
      </c>
    </row>
    <row r="26" spans="1:19" x14ac:dyDescent="0.2">
      <c r="A26" s="305" t="s">
        <v>1324</v>
      </c>
      <c r="B26" s="306" t="s">
        <v>3944</v>
      </c>
      <c r="C26" s="307" t="s">
        <v>177</v>
      </c>
      <c r="D26" s="306" t="s">
        <v>153</v>
      </c>
      <c r="E26" s="305" t="s">
        <v>3798</v>
      </c>
      <c r="F26" s="308">
        <v>41145</v>
      </c>
      <c r="G26" s="315">
        <v>0</v>
      </c>
      <c r="H26" s="309">
        <v>0</v>
      </c>
      <c r="I26" s="309">
        <v>0</v>
      </c>
      <c r="J26" s="309">
        <v>0</v>
      </c>
      <c r="K26" s="309">
        <v>0</v>
      </c>
      <c r="L26" s="309">
        <v>0</v>
      </c>
      <c r="M26" s="315">
        <v>0</v>
      </c>
      <c r="N26" s="309">
        <v>0</v>
      </c>
      <c r="O26" s="309">
        <v>0</v>
      </c>
      <c r="P26" s="309">
        <v>0</v>
      </c>
      <c r="Q26" s="309">
        <v>93</v>
      </c>
      <c r="R26" s="317">
        <v>93</v>
      </c>
      <c r="S26" s="309">
        <v>-93</v>
      </c>
    </row>
    <row r="27" spans="1:19" x14ac:dyDescent="0.2">
      <c r="A27" s="305" t="s">
        <v>2129</v>
      </c>
      <c r="B27" s="306" t="s">
        <v>3948</v>
      </c>
      <c r="C27" s="307" t="s">
        <v>834</v>
      </c>
      <c r="D27" s="306" t="s">
        <v>153</v>
      </c>
      <c r="E27" s="305" t="s">
        <v>421</v>
      </c>
      <c r="F27" s="308">
        <v>42514</v>
      </c>
      <c r="G27" s="315">
        <v>0</v>
      </c>
      <c r="H27" s="309">
        <v>0</v>
      </c>
      <c r="I27" s="309">
        <v>0</v>
      </c>
      <c r="J27" s="309">
        <v>0</v>
      </c>
      <c r="K27" s="309">
        <v>0</v>
      </c>
      <c r="L27" s="309">
        <v>0</v>
      </c>
      <c r="M27" s="315">
        <v>57</v>
      </c>
      <c r="N27" s="309">
        <v>0</v>
      </c>
      <c r="O27" s="309">
        <v>0</v>
      </c>
      <c r="P27" s="309">
        <v>0</v>
      </c>
      <c r="Q27" s="309">
        <v>0</v>
      </c>
      <c r="R27" s="317">
        <v>57</v>
      </c>
      <c r="S27" s="309">
        <v>-57</v>
      </c>
    </row>
    <row r="28" spans="1:19" ht="33.75" x14ac:dyDescent="0.2">
      <c r="A28" s="305" t="s">
        <v>1573</v>
      </c>
      <c r="B28" s="306" t="s">
        <v>3947</v>
      </c>
      <c r="C28" s="307" t="s">
        <v>1574</v>
      </c>
      <c r="D28" s="306" t="s">
        <v>153</v>
      </c>
      <c r="E28" s="305" t="s">
        <v>2944</v>
      </c>
      <c r="F28" s="308">
        <v>42922</v>
      </c>
      <c r="G28" s="315">
        <v>894</v>
      </c>
      <c r="H28" s="309">
        <v>0</v>
      </c>
      <c r="I28" s="309">
        <v>0</v>
      </c>
      <c r="J28" s="309">
        <v>0</v>
      </c>
      <c r="K28" s="309">
        <v>0</v>
      </c>
      <c r="L28" s="309">
        <v>894</v>
      </c>
      <c r="M28" s="315">
        <v>0</v>
      </c>
      <c r="N28" s="309">
        <v>0</v>
      </c>
      <c r="O28" s="309">
        <v>894</v>
      </c>
      <c r="P28" s="309">
        <v>0</v>
      </c>
      <c r="Q28" s="309">
        <v>0</v>
      </c>
      <c r="R28" s="317">
        <v>894</v>
      </c>
      <c r="S28" s="309">
        <v>0</v>
      </c>
    </row>
    <row r="29" spans="1:19" x14ac:dyDescent="0.2">
      <c r="A29" s="305" t="s">
        <v>2260</v>
      </c>
      <c r="B29" s="306" t="s">
        <v>3943</v>
      </c>
      <c r="C29" s="307" t="s">
        <v>2261</v>
      </c>
      <c r="D29" s="306" t="s">
        <v>153</v>
      </c>
      <c r="E29" s="305" t="s">
        <v>3798</v>
      </c>
      <c r="F29" s="308">
        <v>42702</v>
      </c>
      <c r="G29" s="315">
        <v>236</v>
      </c>
      <c r="H29" s="309">
        <v>0</v>
      </c>
      <c r="I29" s="309">
        <v>0</v>
      </c>
      <c r="J29" s="309">
        <v>0</v>
      </c>
      <c r="K29" s="309">
        <v>0</v>
      </c>
      <c r="L29" s="309">
        <v>236</v>
      </c>
      <c r="M29" s="315">
        <v>0</v>
      </c>
      <c r="N29" s="309">
        <v>0</v>
      </c>
      <c r="O29" s="309">
        <v>0</v>
      </c>
      <c r="P29" s="309">
        <v>0</v>
      </c>
      <c r="Q29" s="309">
        <v>0</v>
      </c>
      <c r="R29" s="317">
        <v>0</v>
      </c>
      <c r="S29" s="309">
        <v>236</v>
      </c>
    </row>
    <row r="30" spans="1:19" x14ac:dyDescent="0.2">
      <c r="A30" s="305" t="s">
        <v>1795</v>
      </c>
      <c r="B30" s="306" t="s">
        <v>2904</v>
      </c>
      <c r="C30" s="307" t="s">
        <v>965</v>
      </c>
      <c r="D30" s="306" t="s">
        <v>153</v>
      </c>
      <c r="E30" s="305" t="s">
        <v>3798</v>
      </c>
      <c r="F30" s="308">
        <v>42618</v>
      </c>
      <c r="G30" s="315">
        <v>0</v>
      </c>
      <c r="H30" s="309">
        <v>0</v>
      </c>
      <c r="I30" s="309">
        <v>0</v>
      </c>
      <c r="J30" s="309">
        <v>0</v>
      </c>
      <c r="K30" s="309">
        <v>0</v>
      </c>
      <c r="L30" s="309">
        <v>0</v>
      </c>
      <c r="M30" s="315">
        <v>0</v>
      </c>
      <c r="N30" s="309">
        <v>0</v>
      </c>
      <c r="O30" s="309">
        <v>0</v>
      </c>
      <c r="P30" s="309">
        <v>0</v>
      </c>
      <c r="Q30" s="309">
        <v>13</v>
      </c>
      <c r="R30" s="317">
        <v>13</v>
      </c>
      <c r="S30" s="309">
        <v>-13</v>
      </c>
    </row>
    <row r="31" spans="1:19" x14ac:dyDescent="0.2">
      <c r="A31" s="305" t="s">
        <v>1354</v>
      </c>
      <c r="B31" s="306" t="s">
        <v>2907</v>
      </c>
      <c r="C31" s="307" t="s">
        <v>1355</v>
      </c>
      <c r="D31" s="306" t="s">
        <v>153</v>
      </c>
      <c r="E31" s="305" t="s">
        <v>3798</v>
      </c>
      <c r="F31" s="308">
        <v>43090</v>
      </c>
      <c r="G31" s="315">
        <v>976</v>
      </c>
      <c r="H31" s="309">
        <v>0</v>
      </c>
      <c r="I31" s="309">
        <v>0</v>
      </c>
      <c r="J31" s="309">
        <v>0</v>
      </c>
      <c r="K31" s="309">
        <v>0</v>
      </c>
      <c r="L31" s="309">
        <v>976</v>
      </c>
      <c r="M31" s="315">
        <v>0</v>
      </c>
      <c r="N31" s="309">
        <v>0</v>
      </c>
      <c r="O31" s="309">
        <v>0</v>
      </c>
      <c r="P31" s="309">
        <v>0</v>
      </c>
      <c r="Q31" s="309">
        <v>0</v>
      </c>
      <c r="R31" s="317">
        <v>0</v>
      </c>
      <c r="S31" s="309">
        <v>976</v>
      </c>
    </row>
    <row r="32" spans="1:19" x14ac:dyDescent="0.2">
      <c r="A32" s="305" t="s">
        <v>2049</v>
      </c>
      <c r="B32" s="306" t="s">
        <v>3944</v>
      </c>
      <c r="C32" s="307" t="s">
        <v>867</v>
      </c>
      <c r="D32" s="306" t="s">
        <v>153</v>
      </c>
      <c r="E32" s="305" t="s">
        <v>3798</v>
      </c>
      <c r="F32" s="308">
        <v>42657</v>
      </c>
      <c r="G32" s="315">
        <v>46</v>
      </c>
      <c r="H32" s="309">
        <v>0</v>
      </c>
      <c r="I32" s="309">
        <v>0</v>
      </c>
      <c r="J32" s="309">
        <v>0</v>
      </c>
      <c r="K32" s="309">
        <v>0</v>
      </c>
      <c r="L32" s="309">
        <v>46</v>
      </c>
      <c r="M32" s="315">
        <v>151</v>
      </c>
      <c r="N32" s="309">
        <v>0</v>
      </c>
      <c r="O32" s="309">
        <v>0</v>
      </c>
      <c r="P32" s="309">
        <v>0</v>
      </c>
      <c r="Q32" s="309">
        <v>0</v>
      </c>
      <c r="R32" s="317">
        <v>151</v>
      </c>
      <c r="S32" s="309">
        <v>-105</v>
      </c>
    </row>
    <row r="33" spans="1:19" x14ac:dyDescent="0.2">
      <c r="A33" s="305" t="s">
        <v>2185</v>
      </c>
      <c r="B33" s="306" t="s">
        <v>2907</v>
      </c>
      <c r="C33" s="307" t="s">
        <v>590</v>
      </c>
      <c r="D33" s="306" t="s">
        <v>153</v>
      </c>
      <c r="E33" s="305" t="s">
        <v>3798</v>
      </c>
      <c r="F33" s="308">
        <v>42433</v>
      </c>
      <c r="G33" s="315">
        <v>497</v>
      </c>
      <c r="H33" s="309">
        <v>0</v>
      </c>
      <c r="I33" s="309">
        <v>0</v>
      </c>
      <c r="J33" s="309">
        <v>0</v>
      </c>
      <c r="K33" s="309">
        <v>0</v>
      </c>
      <c r="L33" s="309">
        <v>497</v>
      </c>
      <c r="M33" s="315">
        <v>0</v>
      </c>
      <c r="N33" s="309">
        <v>0</v>
      </c>
      <c r="O33" s="309">
        <v>0</v>
      </c>
      <c r="P33" s="309">
        <v>0</v>
      </c>
      <c r="Q33" s="309">
        <v>497</v>
      </c>
      <c r="R33" s="317">
        <v>497</v>
      </c>
      <c r="S33" s="309">
        <v>0</v>
      </c>
    </row>
    <row r="34" spans="1:19" ht="33.75" x14ac:dyDescent="0.2">
      <c r="A34" s="305" t="s">
        <v>1365</v>
      </c>
      <c r="B34" s="306" t="s">
        <v>2904</v>
      </c>
      <c r="C34" s="307" t="s">
        <v>1366</v>
      </c>
      <c r="D34" s="306" t="s">
        <v>153</v>
      </c>
      <c r="E34" s="305" t="s">
        <v>2944</v>
      </c>
      <c r="F34" s="308">
        <v>43017</v>
      </c>
      <c r="G34" s="315">
        <v>0</v>
      </c>
      <c r="H34" s="309">
        <v>0</v>
      </c>
      <c r="I34" s="309">
        <v>0</v>
      </c>
      <c r="J34" s="309">
        <v>43</v>
      </c>
      <c r="K34" s="309">
        <v>0</v>
      </c>
      <c r="L34" s="309">
        <v>43</v>
      </c>
      <c r="M34" s="315">
        <v>43</v>
      </c>
      <c r="N34" s="309">
        <v>0</v>
      </c>
      <c r="O34" s="309">
        <v>0</v>
      </c>
      <c r="P34" s="309">
        <v>0</v>
      </c>
      <c r="Q34" s="309">
        <v>0</v>
      </c>
      <c r="R34" s="317">
        <v>43</v>
      </c>
      <c r="S34" s="309">
        <v>0</v>
      </c>
    </row>
    <row r="35" spans="1:19" x14ac:dyDescent="0.2">
      <c r="A35" s="305" t="s">
        <v>2024</v>
      </c>
      <c r="B35" s="306" t="s">
        <v>2907</v>
      </c>
      <c r="C35" s="307" t="s">
        <v>349</v>
      </c>
      <c r="D35" s="306" t="s">
        <v>153</v>
      </c>
      <c r="E35" s="305" t="s">
        <v>421</v>
      </c>
      <c r="F35" s="308">
        <v>41822</v>
      </c>
      <c r="G35" s="315">
        <v>0</v>
      </c>
      <c r="H35" s="309">
        <v>0</v>
      </c>
      <c r="I35" s="309">
        <v>0</v>
      </c>
      <c r="J35" s="309">
        <v>0</v>
      </c>
      <c r="K35" s="309">
        <v>0</v>
      </c>
      <c r="L35" s="309">
        <v>0</v>
      </c>
      <c r="M35" s="315">
        <v>815</v>
      </c>
      <c r="N35" s="309">
        <v>0</v>
      </c>
      <c r="O35" s="309">
        <v>0</v>
      </c>
      <c r="P35" s="309">
        <v>0</v>
      </c>
      <c r="Q35" s="309">
        <v>0</v>
      </c>
      <c r="R35" s="317">
        <v>815</v>
      </c>
      <c r="S35" s="309">
        <v>-815</v>
      </c>
    </row>
    <row r="36" spans="1:19" x14ac:dyDescent="0.2">
      <c r="A36" s="305"/>
      <c r="B36" s="306"/>
      <c r="C36" s="307" t="s">
        <v>343</v>
      </c>
      <c r="D36" s="306" t="s">
        <v>153</v>
      </c>
      <c r="E36" s="305" t="s">
        <v>421</v>
      </c>
      <c r="F36" s="308">
        <v>42031</v>
      </c>
      <c r="G36" s="315">
        <v>0</v>
      </c>
      <c r="H36" s="309">
        <v>0</v>
      </c>
      <c r="I36" s="309">
        <v>0</v>
      </c>
      <c r="J36" s="309">
        <v>0</v>
      </c>
      <c r="K36" s="309">
        <v>0</v>
      </c>
      <c r="L36" s="309">
        <v>0</v>
      </c>
      <c r="M36" s="315">
        <v>119</v>
      </c>
      <c r="N36" s="309">
        <v>0</v>
      </c>
      <c r="O36" s="309">
        <v>0</v>
      </c>
      <c r="P36" s="309">
        <v>0</v>
      </c>
      <c r="Q36" s="309">
        <v>0</v>
      </c>
      <c r="R36" s="317">
        <v>119</v>
      </c>
      <c r="S36" s="309">
        <v>-119</v>
      </c>
    </row>
    <row r="37" spans="1:19" x14ac:dyDescent="0.2">
      <c r="A37" s="305" t="s">
        <v>2032</v>
      </c>
      <c r="B37" s="306" t="s">
        <v>2907</v>
      </c>
      <c r="C37" s="307" t="s">
        <v>321</v>
      </c>
      <c r="D37" s="306" t="s">
        <v>153</v>
      </c>
      <c r="E37" s="305" t="s">
        <v>421</v>
      </c>
      <c r="F37" s="308">
        <v>41920</v>
      </c>
      <c r="G37" s="315">
        <v>0</v>
      </c>
      <c r="H37" s="309">
        <v>0</v>
      </c>
      <c r="I37" s="309">
        <v>0</v>
      </c>
      <c r="J37" s="309">
        <v>0</v>
      </c>
      <c r="K37" s="309">
        <v>0</v>
      </c>
      <c r="L37" s="309">
        <v>0</v>
      </c>
      <c r="M37" s="315">
        <v>284</v>
      </c>
      <c r="N37" s="309">
        <v>0</v>
      </c>
      <c r="O37" s="309">
        <v>0</v>
      </c>
      <c r="P37" s="309">
        <v>0</v>
      </c>
      <c r="Q37" s="309">
        <v>0</v>
      </c>
      <c r="R37" s="317">
        <v>284</v>
      </c>
      <c r="S37" s="309">
        <v>-284</v>
      </c>
    </row>
    <row r="38" spans="1:19" ht="22.5" x14ac:dyDescent="0.2">
      <c r="A38" s="305" t="s">
        <v>1520</v>
      </c>
      <c r="B38" s="306" t="s">
        <v>3944</v>
      </c>
      <c r="C38" s="307" t="s">
        <v>1218</v>
      </c>
      <c r="D38" s="306" t="s">
        <v>153</v>
      </c>
      <c r="E38" s="305" t="s">
        <v>3798</v>
      </c>
      <c r="F38" s="308">
        <v>42808</v>
      </c>
      <c r="G38" s="315">
        <v>0</v>
      </c>
      <c r="H38" s="309">
        <v>0</v>
      </c>
      <c r="I38" s="309">
        <v>0</v>
      </c>
      <c r="J38" s="309">
        <v>0</v>
      </c>
      <c r="K38" s="309">
        <v>0</v>
      </c>
      <c r="L38" s="309">
        <v>0</v>
      </c>
      <c r="M38" s="315">
        <v>0</v>
      </c>
      <c r="N38" s="309">
        <v>200</v>
      </c>
      <c r="O38" s="309">
        <v>0</v>
      </c>
      <c r="P38" s="309">
        <v>0</v>
      </c>
      <c r="Q38" s="309">
        <v>0</v>
      </c>
      <c r="R38" s="317">
        <v>200</v>
      </c>
      <c r="S38" s="309">
        <v>0</v>
      </c>
    </row>
    <row r="39" spans="1:19" x14ac:dyDescent="0.2">
      <c r="A39" s="305" t="s">
        <v>2384</v>
      </c>
      <c r="B39" s="306" t="s">
        <v>3948</v>
      </c>
      <c r="C39" s="307" t="s">
        <v>1294</v>
      </c>
      <c r="D39" s="306" t="s">
        <v>153</v>
      </c>
      <c r="E39" s="305" t="s">
        <v>3798</v>
      </c>
      <c r="F39" s="308">
        <v>42863</v>
      </c>
      <c r="G39" s="315">
        <v>0</v>
      </c>
      <c r="H39" s="309">
        <v>0</v>
      </c>
      <c r="I39" s="309">
        <v>0</v>
      </c>
      <c r="J39" s="309">
        <v>0</v>
      </c>
      <c r="K39" s="309">
        <v>0</v>
      </c>
      <c r="L39" s="309">
        <v>0</v>
      </c>
      <c r="M39" s="315">
        <v>93</v>
      </c>
      <c r="N39" s="309">
        <v>0</v>
      </c>
      <c r="O39" s="309">
        <v>0</v>
      </c>
      <c r="P39" s="309">
        <v>0</v>
      </c>
      <c r="Q39" s="309">
        <v>0</v>
      </c>
      <c r="R39" s="317">
        <v>93</v>
      </c>
      <c r="S39" s="309">
        <v>-93</v>
      </c>
    </row>
    <row r="40" spans="1:19" ht="22.5" x14ac:dyDescent="0.2">
      <c r="A40" s="305" t="s">
        <v>1747</v>
      </c>
      <c r="B40" s="306" t="s">
        <v>2904</v>
      </c>
      <c r="C40" s="307" t="s">
        <v>909</v>
      </c>
      <c r="D40" s="306" t="s">
        <v>153</v>
      </c>
      <c r="E40" s="305" t="s">
        <v>3798</v>
      </c>
      <c r="F40" s="308">
        <v>42717</v>
      </c>
      <c r="G40" s="315">
        <v>0</v>
      </c>
      <c r="H40" s="309">
        <v>0</v>
      </c>
      <c r="I40" s="309">
        <v>0</v>
      </c>
      <c r="J40" s="309">
        <v>0</v>
      </c>
      <c r="K40" s="309">
        <v>772</v>
      </c>
      <c r="L40" s="309">
        <v>772</v>
      </c>
      <c r="M40" s="315">
        <v>1965</v>
      </c>
      <c r="N40" s="309">
        <v>0</v>
      </c>
      <c r="O40" s="309">
        <v>0</v>
      </c>
      <c r="P40" s="309">
        <v>0</v>
      </c>
      <c r="Q40" s="309">
        <v>0</v>
      </c>
      <c r="R40" s="317">
        <v>1965</v>
      </c>
      <c r="S40" s="309">
        <v>-1193</v>
      </c>
    </row>
    <row r="41" spans="1:19" ht="33.75" x14ac:dyDescent="0.2">
      <c r="A41" s="305" t="s">
        <v>2131</v>
      </c>
      <c r="B41" s="306" t="s">
        <v>3947</v>
      </c>
      <c r="C41" s="307" t="s">
        <v>462</v>
      </c>
      <c r="D41" s="306" t="s">
        <v>153</v>
      </c>
      <c r="E41" s="305" t="s">
        <v>3798</v>
      </c>
      <c r="F41" s="308">
        <v>42207</v>
      </c>
      <c r="G41" s="315">
        <v>26</v>
      </c>
      <c r="H41" s="309">
        <v>0</v>
      </c>
      <c r="I41" s="309">
        <v>0</v>
      </c>
      <c r="J41" s="309">
        <v>0</v>
      </c>
      <c r="K41" s="309">
        <v>0</v>
      </c>
      <c r="L41" s="309">
        <v>26</v>
      </c>
      <c r="M41" s="315">
        <v>0</v>
      </c>
      <c r="N41" s="309">
        <v>0</v>
      </c>
      <c r="O41" s="309">
        <v>0</v>
      </c>
      <c r="P41" s="309">
        <v>0</v>
      </c>
      <c r="Q41" s="309">
        <v>0</v>
      </c>
      <c r="R41" s="317">
        <v>0</v>
      </c>
      <c r="S41" s="309">
        <v>26</v>
      </c>
    </row>
    <row r="42" spans="1:19" ht="33.75" x14ac:dyDescent="0.2">
      <c r="A42" s="305" t="s">
        <v>1434</v>
      </c>
      <c r="B42" s="306" t="s">
        <v>150</v>
      </c>
      <c r="C42" s="307" t="s">
        <v>1435</v>
      </c>
      <c r="D42" s="306" t="s">
        <v>153</v>
      </c>
      <c r="E42" s="305" t="s">
        <v>3798</v>
      </c>
      <c r="F42" s="308">
        <v>43145</v>
      </c>
      <c r="G42" s="315">
        <v>0</v>
      </c>
      <c r="H42" s="309">
        <v>0</v>
      </c>
      <c r="I42" s="309">
        <v>0</v>
      </c>
      <c r="J42" s="309">
        <v>0</v>
      </c>
      <c r="K42" s="309">
        <v>0</v>
      </c>
      <c r="L42" s="309">
        <v>0</v>
      </c>
      <c r="M42" s="315">
        <v>0</v>
      </c>
      <c r="N42" s="309">
        <v>0</v>
      </c>
      <c r="O42" s="309">
        <v>0</v>
      </c>
      <c r="P42" s="309">
        <v>0</v>
      </c>
      <c r="Q42" s="309">
        <v>55</v>
      </c>
      <c r="R42" s="317">
        <v>55</v>
      </c>
      <c r="S42" s="309">
        <v>-55</v>
      </c>
    </row>
    <row r="43" spans="1:19" ht="22.5" x14ac:dyDescent="0.2">
      <c r="A43" s="305" t="s">
        <v>1826</v>
      </c>
      <c r="B43" s="306" t="s">
        <v>3944</v>
      </c>
      <c r="C43" s="307" t="s">
        <v>1174</v>
      </c>
      <c r="D43" s="306" t="s">
        <v>153</v>
      </c>
      <c r="E43" s="305" t="s">
        <v>3798</v>
      </c>
      <c r="F43" s="308">
        <v>42788</v>
      </c>
      <c r="G43" s="315">
        <v>0</v>
      </c>
      <c r="H43" s="309">
        <v>0</v>
      </c>
      <c r="I43" s="309">
        <v>189</v>
      </c>
      <c r="J43" s="309">
        <v>0</v>
      </c>
      <c r="K43" s="309">
        <v>0</v>
      </c>
      <c r="L43" s="309">
        <v>189</v>
      </c>
      <c r="M43" s="315">
        <v>0</v>
      </c>
      <c r="N43" s="309">
        <v>0</v>
      </c>
      <c r="O43" s="309">
        <v>0</v>
      </c>
      <c r="P43" s="309">
        <v>0</v>
      </c>
      <c r="Q43" s="309">
        <v>0</v>
      </c>
      <c r="R43" s="317">
        <v>0</v>
      </c>
      <c r="S43" s="309">
        <v>189</v>
      </c>
    </row>
    <row r="44" spans="1:19" ht="22.5" x14ac:dyDescent="0.2">
      <c r="A44" s="305" t="s">
        <v>2445</v>
      </c>
      <c r="B44" s="306" t="s">
        <v>2907</v>
      </c>
      <c r="C44" s="307" t="s">
        <v>2446</v>
      </c>
      <c r="D44" s="306" t="s">
        <v>153</v>
      </c>
      <c r="E44" s="305" t="s">
        <v>3798</v>
      </c>
      <c r="F44" s="308">
        <v>42923</v>
      </c>
      <c r="G44" s="315">
        <v>0</v>
      </c>
      <c r="H44" s="309">
        <v>0</v>
      </c>
      <c r="I44" s="309">
        <v>0</v>
      </c>
      <c r="J44" s="309">
        <v>0</v>
      </c>
      <c r="K44" s="309">
        <v>536</v>
      </c>
      <c r="L44" s="309">
        <v>536</v>
      </c>
      <c r="M44" s="315">
        <v>0</v>
      </c>
      <c r="N44" s="309">
        <v>0</v>
      </c>
      <c r="O44" s="309">
        <v>0</v>
      </c>
      <c r="P44" s="309">
        <v>0</v>
      </c>
      <c r="Q44" s="309">
        <v>0</v>
      </c>
      <c r="R44" s="317">
        <v>0</v>
      </c>
      <c r="S44" s="309">
        <v>536</v>
      </c>
    </row>
    <row r="45" spans="1:19" ht="22.5" x14ac:dyDescent="0.2">
      <c r="A45" s="305" t="s">
        <v>1748</v>
      </c>
      <c r="B45" s="306" t="s">
        <v>3951</v>
      </c>
      <c r="C45" s="307" t="s">
        <v>357</v>
      </c>
      <c r="D45" s="306" t="s">
        <v>153</v>
      </c>
      <c r="E45" s="305" t="s">
        <v>3798</v>
      </c>
      <c r="F45" s="308">
        <v>41893</v>
      </c>
      <c r="G45" s="315">
        <v>0</v>
      </c>
      <c r="H45" s="309">
        <v>0</v>
      </c>
      <c r="I45" s="309">
        <v>0</v>
      </c>
      <c r="J45" s="309">
        <v>0</v>
      </c>
      <c r="K45" s="309">
        <v>0</v>
      </c>
      <c r="L45" s="309">
        <v>0</v>
      </c>
      <c r="M45" s="315">
        <v>0</v>
      </c>
      <c r="N45" s="309">
        <v>0</v>
      </c>
      <c r="O45" s="309">
        <v>0</v>
      </c>
      <c r="P45" s="309">
        <v>0</v>
      </c>
      <c r="Q45" s="309">
        <v>51</v>
      </c>
      <c r="R45" s="317">
        <v>51</v>
      </c>
      <c r="S45" s="309">
        <v>-51</v>
      </c>
    </row>
    <row r="46" spans="1:19" ht="22.5" x14ac:dyDescent="0.2">
      <c r="A46" s="305" t="s">
        <v>2139</v>
      </c>
      <c r="B46" s="306" t="s">
        <v>3939</v>
      </c>
      <c r="C46" s="307" t="s">
        <v>483</v>
      </c>
      <c r="D46" s="306" t="s">
        <v>153</v>
      </c>
      <c r="E46" s="305" t="s">
        <v>3798</v>
      </c>
      <c r="F46" s="308">
        <v>42257</v>
      </c>
      <c r="G46" s="315">
        <v>0</v>
      </c>
      <c r="H46" s="309">
        <v>0</v>
      </c>
      <c r="I46" s="309">
        <v>0</v>
      </c>
      <c r="J46" s="309">
        <v>0</v>
      </c>
      <c r="K46" s="309">
        <v>0</v>
      </c>
      <c r="L46" s="309">
        <v>0</v>
      </c>
      <c r="M46" s="315">
        <v>0</v>
      </c>
      <c r="N46" s="309">
        <v>0</v>
      </c>
      <c r="O46" s="309">
        <v>0</v>
      </c>
      <c r="P46" s="309">
        <v>0</v>
      </c>
      <c r="Q46" s="309">
        <v>98</v>
      </c>
      <c r="R46" s="317">
        <v>98</v>
      </c>
      <c r="S46" s="309">
        <v>-98</v>
      </c>
    </row>
    <row r="47" spans="1:19" ht="22.5" x14ac:dyDescent="0.2">
      <c r="A47" s="305" t="s">
        <v>2369</v>
      </c>
      <c r="B47" s="306" t="s">
        <v>3943</v>
      </c>
      <c r="C47" s="307" t="s">
        <v>927</v>
      </c>
      <c r="D47" s="306" t="s">
        <v>153</v>
      </c>
      <c r="E47" s="305" t="s">
        <v>421</v>
      </c>
      <c r="F47" s="308">
        <v>42592</v>
      </c>
      <c r="G47" s="315">
        <v>0</v>
      </c>
      <c r="H47" s="309">
        <v>0</v>
      </c>
      <c r="I47" s="309">
        <v>0</v>
      </c>
      <c r="J47" s="309">
        <v>0</v>
      </c>
      <c r="K47" s="309">
        <v>0</v>
      </c>
      <c r="L47" s="309">
        <v>0</v>
      </c>
      <c r="M47" s="315">
        <v>170</v>
      </c>
      <c r="N47" s="309">
        <v>0</v>
      </c>
      <c r="O47" s="309">
        <v>0</v>
      </c>
      <c r="P47" s="309">
        <v>0</v>
      </c>
      <c r="Q47" s="309">
        <v>0</v>
      </c>
      <c r="R47" s="317">
        <v>170</v>
      </c>
      <c r="S47" s="309">
        <v>-170</v>
      </c>
    </row>
    <row r="48" spans="1:19" ht="33.75" x14ac:dyDescent="0.2">
      <c r="A48" s="305" t="s">
        <v>2153</v>
      </c>
      <c r="B48" s="306" t="s">
        <v>3951</v>
      </c>
      <c r="C48" s="307" t="s">
        <v>532</v>
      </c>
      <c r="D48" s="306" t="s">
        <v>153</v>
      </c>
      <c r="E48" s="305" t="s">
        <v>3798</v>
      </c>
      <c r="F48" s="308">
        <v>42305</v>
      </c>
      <c r="G48" s="315">
        <v>0</v>
      </c>
      <c r="H48" s="309">
        <v>0</v>
      </c>
      <c r="I48" s="309">
        <v>0</v>
      </c>
      <c r="J48" s="309">
        <v>0</v>
      </c>
      <c r="K48" s="309">
        <v>24</v>
      </c>
      <c r="L48" s="309">
        <v>24</v>
      </c>
      <c r="M48" s="315">
        <v>0</v>
      </c>
      <c r="N48" s="309">
        <v>0</v>
      </c>
      <c r="O48" s="309">
        <v>0</v>
      </c>
      <c r="P48" s="309">
        <v>0</v>
      </c>
      <c r="Q48" s="309">
        <v>0</v>
      </c>
      <c r="R48" s="317">
        <v>0</v>
      </c>
      <c r="S48" s="309">
        <v>24</v>
      </c>
    </row>
    <row r="49" spans="1:19" ht="33.75" x14ac:dyDescent="0.2">
      <c r="A49" s="305" t="s">
        <v>2538</v>
      </c>
      <c r="B49" s="306" t="s">
        <v>3950</v>
      </c>
      <c r="C49" s="307" t="s">
        <v>2539</v>
      </c>
      <c r="D49" s="306" t="s">
        <v>153</v>
      </c>
      <c r="E49" s="305" t="s">
        <v>2944</v>
      </c>
      <c r="F49" s="308">
        <v>43021</v>
      </c>
      <c r="G49" s="315">
        <v>0</v>
      </c>
      <c r="H49" s="309">
        <v>0</v>
      </c>
      <c r="I49" s="309">
        <v>0</v>
      </c>
      <c r="J49" s="309">
        <v>0</v>
      </c>
      <c r="K49" s="309">
        <v>40</v>
      </c>
      <c r="L49" s="309">
        <v>40</v>
      </c>
      <c r="M49" s="315">
        <v>0</v>
      </c>
      <c r="N49" s="309">
        <v>0</v>
      </c>
      <c r="O49" s="309">
        <v>0</v>
      </c>
      <c r="P49" s="309">
        <v>0</v>
      </c>
      <c r="Q49" s="309">
        <v>0</v>
      </c>
      <c r="R49" s="317">
        <v>0</v>
      </c>
      <c r="S49" s="309">
        <v>40</v>
      </c>
    </row>
    <row r="50" spans="1:19" ht="33.75" x14ac:dyDescent="0.2">
      <c r="A50" s="305" t="s">
        <v>1343</v>
      </c>
      <c r="B50" s="306" t="s">
        <v>3947</v>
      </c>
      <c r="C50" s="307" t="s">
        <v>58</v>
      </c>
      <c r="D50" s="306" t="s">
        <v>153</v>
      </c>
      <c r="E50" s="305" t="s">
        <v>3798</v>
      </c>
      <c r="F50" s="308">
        <v>40463</v>
      </c>
      <c r="G50" s="315">
        <v>0</v>
      </c>
      <c r="H50" s="309">
        <v>0</v>
      </c>
      <c r="I50" s="309">
        <v>0</v>
      </c>
      <c r="J50" s="309">
        <v>0</v>
      </c>
      <c r="K50" s="309">
        <v>0</v>
      </c>
      <c r="L50" s="309">
        <v>0</v>
      </c>
      <c r="M50" s="315">
        <v>4728</v>
      </c>
      <c r="N50" s="309">
        <v>4728</v>
      </c>
      <c r="O50" s="309">
        <v>4728</v>
      </c>
      <c r="P50" s="309">
        <v>4728</v>
      </c>
      <c r="Q50" s="309">
        <v>4729</v>
      </c>
      <c r="R50" s="317">
        <v>23641</v>
      </c>
      <c r="S50" s="309">
        <v>-23641</v>
      </c>
    </row>
    <row r="51" spans="1:19" ht="33.75" x14ac:dyDescent="0.2">
      <c r="A51" s="305" t="s">
        <v>2227</v>
      </c>
      <c r="B51" s="306" t="s">
        <v>3946</v>
      </c>
      <c r="C51" s="307" t="s">
        <v>838</v>
      </c>
      <c r="D51" s="306" t="s">
        <v>153</v>
      </c>
      <c r="E51" s="305" t="s">
        <v>3798</v>
      </c>
      <c r="F51" s="308">
        <v>42541</v>
      </c>
      <c r="G51" s="315">
        <v>0</v>
      </c>
      <c r="H51" s="309">
        <v>0</v>
      </c>
      <c r="I51" s="309">
        <v>0</v>
      </c>
      <c r="J51" s="309">
        <v>0</v>
      </c>
      <c r="K51" s="309">
        <v>0</v>
      </c>
      <c r="L51" s="309">
        <v>0</v>
      </c>
      <c r="M51" s="315">
        <v>12</v>
      </c>
      <c r="N51" s="309">
        <v>0</v>
      </c>
      <c r="O51" s="309">
        <v>0</v>
      </c>
      <c r="P51" s="309">
        <v>0</v>
      </c>
      <c r="Q51" s="309">
        <v>0</v>
      </c>
      <c r="R51" s="317">
        <v>12</v>
      </c>
      <c r="S51" s="309">
        <v>-12</v>
      </c>
    </row>
    <row r="52" spans="1:19" ht="22.5" x14ac:dyDescent="0.2">
      <c r="A52" s="305" t="s">
        <v>1451</v>
      </c>
      <c r="B52" s="306" t="s">
        <v>3943</v>
      </c>
      <c r="C52" s="307" t="s">
        <v>1452</v>
      </c>
      <c r="D52" s="306" t="s">
        <v>153</v>
      </c>
      <c r="E52" s="305" t="s">
        <v>3798</v>
      </c>
      <c r="F52" s="308">
        <v>41778</v>
      </c>
      <c r="G52" s="315">
        <v>0</v>
      </c>
      <c r="H52" s="309">
        <v>0</v>
      </c>
      <c r="I52" s="309">
        <v>0</v>
      </c>
      <c r="J52" s="309">
        <v>0</v>
      </c>
      <c r="K52" s="309">
        <v>0</v>
      </c>
      <c r="L52" s="309">
        <v>0</v>
      </c>
      <c r="M52" s="315">
        <v>766</v>
      </c>
      <c r="N52" s="309">
        <v>0</v>
      </c>
      <c r="O52" s="309">
        <v>0</v>
      </c>
      <c r="P52" s="309">
        <v>0</v>
      </c>
      <c r="Q52" s="309">
        <v>0</v>
      </c>
      <c r="R52" s="317">
        <v>766</v>
      </c>
      <c r="S52" s="309">
        <v>-766</v>
      </c>
    </row>
    <row r="53" spans="1:19" ht="33.75" x14ac:dyDescent="0.2">
      <c r="A53" s="305" t="s">
        <v>1481</v>
      </c>
      <c r="B53" s="306" t="s">
        <v>3949</v>
      </c>
      <c r="C53" s="307" t="s">
        <v>1252</v>
      </c>
      <c r="D53" s="306" t="s">
        <v>153</v>
      </c>
      <c r="E53" s="305" t="s">
        <v>3798</v>
      </c>
      <c r="F53" s="308">
        <v>42796</v>
      </c>
      <c r="G53" s="315">
        <v>83</v>
      </c>
      <c r="H53" s="309">
        <v>0</v>
      </c>
      <c r="I53" s="309">
        <v>0</v>
      </c>
      <c r="J53" s="309">
        <v>0</v>
      </c>
      <c r="K53" s="309">
        <v>0</v>
      </c>
      <c r="L53" s="309">
        <v>83</v>
      </c>
      <c r="M53" s="315">
        <v>0</v>
      </c>
      <c r="N53" s="309">
        <v>0</v>
      </c>
      <c r="O53" s="309">
        <v>0</v>
      </c>
      <c r="P53" s="309">
        <v>0</v>
      </c>
      <c r="Q53" s="309">
        <v>0</v>
      </c>
      <c r="R53" s="317">
        <v>0</v>
      </c>
      <c r="S53" s="309">
        <v>83</v>
      </c>
    </row>
    <row r="54" spans="1:19" ht="22.5" x14ac:dyDescent="0.2">
      <c r="A54" s="305" t="s">
        <v>2294</v>
      </c>
      <c r="B54" s="306" t="s">
        <v>3947</v>
      </c>
      <c r="C54" s="307" t="s">
        <v>1186</v>
      </c>
      <c r="D54" s="306" t="s">
        <v>153</v>
      </c>
      <c r="E54" s="305" t="s">
        <v>3798</v>
      </c>
      <c r="F54" s="308">
        <v>42915</v>
      </c>
      <c r="G54" s="315">
        <v>0</v>
      </c>
      <c r="H54" s="309">
        <v>0</v>
      </c>
      <c r="I54" s="309">
        <v>0</v>
      </c>
      <c r="J54" s="309">
        <v>0</v>
      </c>
      <c r="K54" s="309">
        <v>1685</v>
      </c>
      <c r="L54" s="309">
        <v>1685</v>
      </c>
      <c r="M54" s="315">
        <v>0</v>
      </c>
      <c r="N54" s="309">
        <v>0</v>
      </c>
      <c r="O54" s="309">
        <v>0</v>
      </c>
      <c r="P54" s="309">
        <v>0</v>
      </c>
      <c r="Q54" s="309">
        <v>0</v>
      </c>
      <c r="R54" s="317">
        <v>0</v>
      </c>
      <c r="S54" s="309">
        <v>1685</v>
      </c>
    </row>
    <row r="55" spans="1:19" ht="22.5" x14ac:dyDescent="0.2">
      <c r="A55" s="305" t="s">
        <v>1555</v>
      </c>
      <c r="B55" s="306" t="s">
        <v>149</v>
      </c>
      <c r="C55" s="307" t="s">
        <v>464</v>
      </c>
      <c r="D55" s="306" t="s">
        <v>153</v>
      </c>
      <c r="E55" s="305" t="s">
        <v>3798</v>
      </c>
      <c r="F55" s="308">
        <v>42202</v>
      </c>
      <c r="G55" s="315">
        <v>0</v>
      </c>
      <c r="H55" s="309">
        <v>0</v>
      </c>
      <c r="I55" s="309">
        <v>0</v>
      </c>
      <c r="J55" s="309">
        <v>0</v>
      </c>
      <c r="K55" s="309">
        <v>50</v>
      </c>
      <c r="L55" s="309">
        <v>50</v>
      </c>
      <c r="M55" s="315">
        <v>0</v>
      </c>
      <c r="N55" s="309">
        <v>0</v>
      </c>
      <c r="O55" s="309">
        <v>0</v>
      </c>
      <c r="P55" s="309">
        <v>0</v>
      </c>
      <c r="Q55" s="309">
        <v>241</v>
      </c>
      <c r="R55" s="317">
        <v>241</v>
      </c>
      <c r="S55" s="309">
        <v>-191</v>
      </c>
    </row>
    <row r="56" spans="1:19" ht="22.5" x14ac:dyDescent="0.2">
      <c r="A56" s="305" t="s">
        <v>2142</v>
      </c>
      <c r="B56" s="306" t="s">
        <v>149</v>
      </c>
      <c r="C56" s="307" t="s">
        <v>509</v>
      </c>
      <c r="D56" s="306" t="s">
        <v>153</v>
      </c>
      <c r="E56" s="305" t="s">
        <v>3798</v>
      </c>
      <c r="F56" s="308">
        <v>42304</v>
      </c>
      <c r="G56" s="315">
        <v>0</v>
      </c>
      <c r="H56" s="309">
        <v>0</v>
      </c>
      <c r="I56" s="309">
        <v>0</v>
      </c>
      <c r="J56" s="309">
        <v>0</v>
      </c>
      <c r="K56" s="309">
        <v>0</v>
      </c>
      <c r="L56" s="309">
        <v>0</v>
      </c>
      <c r="M56" s="315">
        <v>331</v>
      </c>
      <c r="N56" s="309">
        <v>0</v>
      </c>
      <c r="O56" s="309">
        <v>0</v>
      </c>
      <c r="P56" s="309">
        <v>0</v>
      </c>
      <c r="Q56" s="309">
        <v>0</v>
      </c>
      <c r="R56" s="317">
        <v>331</v>
      </c>
      <c r="S56" s="309">
        <v>-331</v>
      </c>
    </row>
    <row r="57" spans="1:19" ht="22.5" x14ac:dyDescent="0.2">
      <c r="A57" s="305" t="s">
        <v>1674</v>
      </c>
      <c r="B57" s="306" t="s">
        <v>3947</v>
      </c>
      <c r="C57" s="307" t="s">
        <v>170</v>
      </c>
      <c r="D57" s="306" t="s">
        <v>153</v>
      </c>
      <c r="E57" s="305" t="s">
        <v>3798</v>
      </c>
      <c r="F57" s="308">
        <v>40892</v>
      </c>
      <c r="G57" s="315">
        <v>0</v>
      </c>
      <c r="H57" s="309">
        <v>0</v>
      </c>
      <c r="I57" s="309">
        <v>0</v>
      </c>
      <c r="J57" s="309">
        <v>0</v>
      </c>
      <c r="K57" s="309">
        <v>0</v>
      </c>
      <c r="L57" s="309">
        <v>0</v>
      </c>
      <c r="M57" s="315">
        <v>0</v>
      </c>
      <c r="N57" s="309">
        <v>0</v>
      </c>
      <c r="O57" s="309">
        <v>10147</v>
      </c>
      <c r="P57" s="309">
        <v>0</v>
      </c>
      <c r="Q57" s="309">
        <v>0</v>
      </c>
      <c r="R57" s="317">
        <v>10147</v>
      </c>
      <c r="S57" s="309">
        <v>-10147</v>
      </c>
    </row>
    <row r="58" spans="1:19" x14ac:dyDescent="0.2">
      <c r="A58" s="305"/>
      <c r="B58" s="306"/>
      <c r="C58" s="307" t="s">
        <v>1678</v>
      </c>
      <c r="D58" s="306" t="s">
        <v>153</v>
      </c>
      <c r="E58" s="305" t="s">
        <v>3798</v>
      </c>
      <c r="F58" s="308">
        <v>42919</v>
      </c>
      <c r="G58" s="315">
        <v>40</v>
      </c>
      <c r="H58" s="309">
        <v>0</v>
      </c>
      <c r="I58" s="309">
        <v>0</v>
      </c>
      <c r="J58" s="309">
        <v>0</v>
      </c>
      <c r="K58" s="309">
        <v>0</v>
      </c>
      <c r="L58" s="309">
        <v>40</v>
      </c>
      <c r="M58" s="315">
        <v>0</v>
      </c>
      <c r="N58" s="309">
        <v>0</v>
      </c>
      <c r="O58" s="309">
        <v>0</v>
      </c>
      <c r="P58" s="309">
        <v>0</v>
      </c>
      <c r="Q58" s="309">
        <v>0</v>
      </c>
      <c r="R58" s="317">
        <v>0</v>
      </c>
      <c r="S58" s="309">
        <v>40</v>
      </c>
    </row>
    <row r="59" spans="1:19" x14ac:dyDescent="0.2">
      <c r="A59" s="305"/>
      <c r="B59" s="306"/>
      <c r="C59" s="307" t="s">
        <v>1680</v>
      </c>
      <c r="D59" s="306" t="s">
        <v>153</v>
      </c>
      <c r="E59" s="305" t="s">
        <v>3798</v>
      </c>
      <c r="F59" s="308">
        <v>43166</v>
      </c>
      <c r="G59" s="315">
        <v>0</v>
      </c>
      <c r="H59" s="309">
        <v>0</v>
      </c>
      <c r="I59" s="309">
        <v>0</v>
      </c>
      <c r="J59" s="309">
        <v>0</v>
      </c>
      <c r="K59" s="309">
        <v>0</v>
      </c>
      <c r="L59" s="309">
        <v>0</v>
      </c>
      <c r="M59" s="315">
        <v>32</v>
      </c>
      <c r="N59" s="309">
        <v>0</v>
      </c>
      <c r="O59" s="309">
        <v>0</v>
      </c>
      <c r="P59" s="309">
        <v>0</v>
      </c>
      <c r="Q59" s="309">
        <v>0</v>
      </c>
      <c r="R59" s="317">
        <v>32</v>
      </c>
      <c r="S59" s="309">
        <v>-32</v>
      </c>
    </row>
    <row r="60" spans="1:19" ht="22.5" x14ac:dyDescent="0.2">
      <c r="A60" s="305" t="s">
        <v>1945</v>
      </c>
      <c r="B60" s="306" t="s">
        <v>3951</v>
      </c>
      <c r="C60" s="307" t="s">
        <v>1946</v>
      </c>
      <c r="D60" s="306" t="s">
        <v>153</v>
      </c>
      <c r="E60" s="305" t="s">
        <v>3798</v>
      </c>
      <c r="F60" s="308">
        <v>43070</v>
      </c>
      <c r="G60" s="315">
        <v>132</v>
      </c>
      <c r="H60" s="309">
        <v>0</v>
      </c>
      <c r="I60" s="309">
        <v>0</v>
      </c>
      <c r="J60" s="309">
        <v>0</v>
      </c>
      <c r="K60" s="309">
        <v>0</v>
      </c>
      <c r="L60" s="309">
        <v>132</v>
      </c>
      <c r="M60" s="315">
        <v>0</v>
      </c>
      <c r="N60" s="309">
        <v>0</v>
      </c>
      <c r="O60" s="309">
        <v>0</v>
      </c>
      <c r="P60" s="309">
        <v>0</v>
      </c>
      <c r="Q60" s="309">
        <v>0</v>
      </c>
      <c r="R60" s="317">
        <v>0</v>
      </c>
      <c r="S60" s="309">
        <v>132</v>
      </c>
    </row>
    <row r="61" spans="1:19" ht="33.75" x14ac:dyDescent="0.2">
      <c r="A61" s="305" t="s">
        <v>2550</v>
      </c>
      <c r="B61" s="306" t="s">
        <v>3940</v>
      </c>
      <c r="C61" s="307" t="s">
        <v>2551</v>
      </c>
      <c r="D61" s="306" t="s">
        <v>153</v>
      </c>
      <c r="E61" s="305" t="s">
        <v>3798</v>
      </c>
      <c r="F61" s="308">
        <v>43053</v>
      </c>
      <c r="G61" s="315">
        <v>0</v>
      </c>
      <c r="H61" s="309">
        <v>0</v>
      </c>
      <c r="I61" s="309">
        <v>0</v>
      </c>
      <c r="J61" s="309">
        <v>0</v>
      </c>
      <c r="K61" s="309">
        <v>0</v>
      </c>
      <c r="L61" s="309">
        <v>0</v>
      </c>
      <c r="M61" s="315">
        <v>286</v>
      </c>
      <c r="N61" s="309">
        <v>0</v>
      </c>
      <c r="O61" s="309">
        <v>0</v>
      </c>
      <c r="P61" s="309">
        <v>0</v>
      </c>
      <c r="Q61" s="309">
        <v>0</v>
      </c>
      <c r="R61" s="317">
        <v>286</v>
      </c>
      <c r="S61" s="309">
        <v>-286</v>
      </c>
    </row>
    <row r="62" spans="1:19" ht="22.5" x14ac:dyDescent="0.2">
      <c r="A62" s="305" t="s">
        <v>2246</v>
      </c>
      <c r="B62" s="306" t="s">
        <v>3947</v>
      </c>
      <c r="C62" s="307" t="s">
        <v>921</v>
      </c>
      <c r="D62" s="306" t="s">
        <v>153</v>
      </c>
      <c r="E62" s="305" t="s">
        <v>421</v>
      </c>
      <c r="F62" s="308">
        <v>42584</v>
      </c>
      <c r="G62" s="315">
        <v>0</v>
      </c>
      <c r="H62" s="309">
        <v>0</v>
      </c>
      <c r="I62" s="309">
        <v>0</v>
      </c>
      <c r="J62" s="309">
        <v>0</v>
      </c>
      <c r="K62" s="309">
        <v>0</v>
      </c>
      <c r="L62" s="309">
        <v>0</v>
      </c>
      <c r="M62" s="315">
        <v>103</v>
      </c>
      <c r="N62" s="309">
        <v>0</v>
      </c>
      <c r="O62" s="309">
        <v>0</v>
      </c>
      <c r="P62" s="309">
        <v>0</v>
      </c>
      <c r="Q62" s="309">
        <v>0</v>
      </c>
      <c r="R62" s="317">
        <v>103</v>
      </c>
      <c r="S62" s="309">
        <v>-103</v>
      </c>
    </row>
    <row r="63" spans="1:19" ht="22.5" x14ac:dyDescent="0.2">
      <c r="A63" s="305" t="s">
        <v>2268</v>
      </c>
      <c r="B63" s="306" t="s">
        <v>3947</v>
      </c>
      <c r="C63" s="307" t="s">
        <v>993</v>
      </c>
      <c r="D63" s="306" t="s">
        <v>153</v>
      </c>
      <c r="E63" s="305" t="s">
        <v>421</v>
      </c>
      <c r="F63" s="308">
        <v>42633</v>
      </c>
      <c r="G63" s="315">
        <v>0</v>
      </c>
      <c r="H63" s="309">
        <v>0</v>
      </c>
      <c r="I63" s="309">
        <v>0</v>
      </c>
      <c r="J63" s="309">
        <v>0</v>
      </c>
      <c r="K63" s="309">
        <v>0</v>
      </c>
      <c r="L63" s="309">
        <v>0</v>
      </c>
      <c r="M63" s="315">
        <v>112</v>
      </c>
      <c r="N63" s="309">
        <v>0</v>
      </c>
      <c r="O63" s="309">
        <v>0</v>
      </c>
      <c r="P63" s="309">
        <v>0</v>
      </c>
      <c r="Q63" s="309">
        <v>0</v>
      </c>
      <c r="R63" s="317">
        <v>112</v>
      </c>
      <c r="S63" s="309">
        <v>-112</v>
      </c>
    </row>
    <row r="64" spans="1:19" x14ac:dyDescent="0.2">
      <c r="A64" s="305" t="s">
        <v>1797</v>
      </c>
      <c r="B64" s="306" t="s">
        <v>3946</v>
      </c>
      <c r="C64" s="307" t="s">
        <v>468</v>
      </c>
      <c r="D64" s="306" t="s">
        <v>153</v>
      </c>
      <c r="E64" s="305" t="s">
        <v>421</v>
      </c>
      <c r="F64" s="308">
        <v>42195</v>
      </c>
      <c r="G64" s="315">
        <v>0</v>
      </c>
      <c r="H64" s="309">
        <v>0</v>
      </c>
      <c r="I64" s="309">
        <v>0</v>
      </c>
      <c r="J64" s="309">
        <v>0</v>
      </c>
      <c r="K64" s="309">
        <v>0</v>
      </c>
      <c r="L64" s="309">
        <v>0</v>
      </c>
      <c r="M64" s="315">
        <v>71</v>
      </c>
      <c r="N64" s="309">
        <v>0</v>
      </c>
      <c r="O64" s="309">
        <v>0</v>
      </c>
      <c r="P64" s="309">
        <v>0</v>
      </c>
      <c r="Q64" s="309">
        <v>0</v>
      </c>
      <c r="R64" s="317">
        <v>71</v>
      </c>
      <c r="S64" s="309">
        <v>-71</v>
      </c>
    </row>
    <row r="65" spans="1:19" ht="22.5" x14ac:dyDescent="0.2">
      <c r="A65" s="305" t="s">
        <v>2330</v>
      </c>
      <c r="B65" s="306" t="s">
        <v>3943</v>
      </c>
      <c r="C65" s="307" t="s">
        <v>1229</v>
      </c>
      <c r="D65" s="306" t="s">
        <v>153</v>
      </c>
      <c r="E65" s="305" t="s">
        <v>3798</v>
      </c>
      <c r="F65" s="308">
        <v>42824</v>
      </c>
      <c r="G65" s="315">
        <v>0</v>
      </c>
      <c r="H65" s="309">
        <v>0</v>
      </c>
      <c r="I65" s="309">
        <v>0</v>
      </c>
      <c r="J65" s="309">
        <v>0</v>
      </c>
      <c r="K65" s="309">
        <v>0</v>
      </c>
      <c r="L65" s="309">
        <v>0</v>
      </c>
      <c r="M65" s="315">
        <v>0</v>
      </c>
      <c r="N65" s="309">
        <v>0</v>
      </c>
      <c r="O65" s="309">
        <v>235</v>
      </c>
      <c r="P65" s="309">
        <v>0</v>
      </c>
      <c r="Q65" s="309">
        <v>0</v>
      </c>
      <c r="R65" s="317">
        <v>235</v>
      </c>
      <c r="S65" s="309">
        <v>-235</v>
      </c>
    </row>
    <row r="66" spans="1:19" ht="22.5" x14ac:dyDescent="0.2">
      <c r="A66" s="305" t="s">
        <v>2238</v>
      </c>
      <c r="B66" s="306" t="s">
        <v>3944</v>
      </c>
      <c r="C66" s="307" t="s">
        <v>888</v>
      </c>
      <c r="D66" s="306" t="s">
        <v>153</v>
      </c>
      <c r="E66" s="305" t="s">
        <v>3798</v>
      </c>
      <c r="F66" s="308">
        <v>42626</v>
      </c>
      <c r="G66" s="315">
        <v>0</v>
      </c>
      <c r="H66" s="309">
        <v>0</v>
      </c>
      <c r="I66" s="309">
        <v>0</v>
      </c>
      <c r="J66" s="309">
        <v>0</v>
      </c>
      <c r="K66" s="309">
        <v>0</v>
      </c>
      <c r="L66" s="309">
        <v>0</v>
      </c>
      <c r="M66" s="315">
        <v>51</v>
      </c>
      <c r="N66" s="309">
        <v>0</v>
      </c>
      <c r="O66" s="309">
        <v>0</v>
      </c>
      <c r="P66" s="309">
        <v>0</v>
      </c>
      <c r="Q66" s="309">
        <v>0</v>
      </c>
      <c r="R66" s="317">
        <v>51</v>
      </c>
      <c r="S66" s="309">
        <v>-51</v>
      </c>
    </row>
    <row r="67" spans="1:19" ht="22.5" x14ac:dyDescent="0.2">
      <c r="A67" s="305" t="s">
        <v>1659</v>
      </c>
      <c r="B67" s="306" t="s">
        <v>3947</v>
      </c>
      <c r="C67" s="307" t="s">
        <v>929</v>
      </c>
      <c r="D67" s="306" t="s">
        <v>153</v>
      </c>
      <c r="E67" s="305" t="s">
        <v>421</v>
      </c>
      <c r="F67" s="308">
        <v>42593</v>
      </c>
      <c r="G67" s="315">
        <v>0</v>
      </c>
      <c r="H67" s="309">
        <v>0</v>
      </c>
      <c r="I67" s="309">
        <v>0</v>
      </c>
      <c r="J67" s="309">
        <v>0</v>
      </c>
      <c r="K67" s="309">
        <v>0</v>
      </c>
      <c r="L67" s="309">
        <v>0</v>
      </c>
      <c r="M67" s="315">
        <v>72</v>
      </c>
      <c r="N67" s="309">
        <v>0</v>
      </c>
      <c r="O67" s="309">
        <v>0</v>
      </c>
      <c r="P67" s="309">
        <v>0</v>
      </c>
      <c r="Q67" s="309">
        <v>0</v>
      </c>
      <c r="R67" s="317">
        <v>72</v>
      </c>
      <c r="S67" s="309">
        <v>-72</v>
      </c>
    </row>
    <row r="68" spans="1:19" x14ac:dyDescent="0.2">
      <c r="A68" s="310" t="s">
        <v>2057</v>
      </c>
      <c r="B68" s="311" t="s">
        <v>3941</v>
      </c>
      <c r="C68" s="312" t="s">
        <v>329</v>
      </c>
      <c r="D68" s="311" t="s">
        <v>153</v>
      </c>
      <c r="E68" s="310" t="s">
        <v>3798</v>
      </c>
      <c r="F68" s="313">
        <v>42114</v>
      </c>
      <c r="G68" s="316">
        <v>0</v>
      </c>
      <c r="H68" s="314">
        <v>0</v>
      </c>
      <c r="I68" s="314">
        <v>0</v>
      </c>
      <c r="J68" s="314">
        <v>0</v>
      </c>
      <c r="K68" s="314">
        <v>0</v>
      </c>
      <c r="L68" s="314">
        <v>0</v>
      </c>
      <c r="M68" s="316">
        <v>159</v>
      </c>
      <c r="N68" s="314">
        <v>0</v>
      </c>
      <c r="O68" s="314">
        <v>0</v>
      </c>
      <c r="P68" s="314">
        <v>0</v>
      </c>
      <c r="Q68" s="314">
        <v>0</v>
      </c>
      <c r="R68" s="318">
        <v>159</v>
      </c>
      <c r="S68" s="314">
        <v>-159</v>
      </c>
    </row>
    <row r="69" spans="1:19" s="305" customFormat="1" x14ac:dyDescent="0.2">
      <c r="A69" s="328" t="s">
        <v>95</v>
      </c>
      <c r="B69" s="329"/>
      <c r="C69" s="330"/>
      <c r="D69" s="329"/>
      <c r="E69" s="328"/>
      <c r="F69" s="331"/>
      <c r="G69" s="332">
        <v>3354</v>
      </c>
      <c r="H69" s="333">
        <v>0</v>
      </c>
      <c r="I69" s="333">
        <v>381</v>
      </c>
      <c r="J69" s="333">
        <v>43</v>
      </c>
      <c r="K69" s="333">
        <v>3121</v>
      </c>
      <c r="L69" s="333">
        <v>6899</v>
      </c>
      <c r="M69" s="332">
        <v>13213</v>
      </c>
      <c r="N69" s="333">
        <v>4975</v>
      </c>
      <c r="O69" s="333">
        <v>16504</v>
      </c>
      <c r="P69" s="333">
        <v>4728</v>
      </c>
      <c r="Q69" s="333">
        <v>6277</v>
      </c>
      <c r="R69" s="334">
        <v>45697</v>
      </c>
      <c r="S69" s="333">
        <v>-38598</v>
      </c>
    </row>
  </sheetData>
  <mergeCells count="10">
    <mergeCell ref="G5:L5"/>
    <mergeCell ref="M5:R5"/>
    <mergeCell ref="S5:S6"/>
    <mergeCell ref="G4:S4"/>
    <mergeCell ref="F4:F6"/>
    <mergeCell ref="E4:E6"/>
    <mergeCell ref="C4:C6"/>
    <mergeCell ref="B4:B6"/>
    <mergeCell ref="A4:A6"/>
    <mergeCell ref="D4:D6"/>
  </mergeCells>
  <conditionalFormatting sqref="D1:D1048576">
    <cfRule type="cellIs" dxfId="77" priority="1" operator="equal">
      <formula>"(blank)"</formula>
    </cfRule>
  </conditionalFormatting>
  <pageMargins left="0.39370078740157483" right="0.39370078740157483" top="0.39370078740157483" bottom="0.39370078740157483" header="0.19685039370078741" footer="0.19685039370078741"/>
  <pageSetup paperSize="9" orientation="landscape"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item1.xml>��< ? x m l   v e r s i o n = " 1 . 0 "   e n c o d i n g = " U T F - 1 6 " ? > < G e m i n i   x m l n s = " h t t p : / / g e m i n i / p i v o t c u s t o m i z a t i o n / T a b l e O r d e r " > < C u s t o m C o n t e n t > < ! [ C D A T A [ ] ] > < / C u s t o m C o n t e n t > < / G e m i n i > 
</file>

<file path=customXml/item2.xml>��< ? x m l   v e r s i o n = " 1 . 0 "   e n c o d i n g = " U T F - 1 6 " ? > < G e m i n i   x m l n s = " h t t p : / / g e m i n i / w o r k b o o k c u s t o m i z a t i o n / R e l a t i o n s h i p A u t o D e t e c t i o n E n a b l e d " > < C u s t o m C o n t e n t > < ! [ C D A T A [ T r u e ] ] > < / C u s t o m C o n t e n t > < / G e m i n i > 
</file>

<file path=customXml/item3.xml>��< ? x m l   v e r s i o n = " 1 . 0 "   e n c o d i n g = " U T F - 1 6 " ? > < G e m i n i   x m l n s = " h t t p : / / g e m i n i / w o r k b o o k c u s t o m i z a t i o n / L i n k e d T a b l e s " > < C u s t o m C o n t e n t > < ! [ C D A T A [ < L i n k e d T a b l e s   x m l n s : x s i = " h t t p : / / w w w . w 3 . o r g / 2 0 0 1 / X M L S c h e m a - i n s t a n c e "   x m l n s : x s d = " h t t p : / / w w w . w 3 . o r g / 2 0 0 1 / X M L S c h e m a " > < L i n k e d T a b l e L i s t   / > < / L i n k e d T a b l e s > ] ] > < / 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C o u n t I n S a n d b o x " > < C u s t o m C o n t e n t > < ! [ C D A T A [ 0 ] ] > < / C u s t o m C o n t e n t > < / G e m i n i > 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 1 5 1 6 c 8 b 7 - 7 3 8 8 - 4 c b c - b d f 5 - 2 3 6 2 7 b d 5 c 6 5 2 < / I D > < N a m e > M i c r o s o f t _ S Q L S e r v e r _ A n a l y s i s S e r v i c e s < / N a m e > < L a n g u a g e > 2 0 5 7 < / L a n g u a g e > < C u b e s > < C u b e > < I D > S a n d b o x < / I D > < N a m e > S a n d b o x < / N a m e > < M d x S c r i p t s > < M d x S c r i p t > < I D > M d x S c r i p t < / I D > < N a m e > M d x S c r i p t < / N a m e > < C o m m a n d s > < C o m m a n d > < T e x t > C A L C U L A T E ;    
 C R E A T E   M E M B E R   C U R R E N T C U B E . M e a s u r e s . [ c 2 1 c 3 f 1 7 - c 5 9 7 - 4 8 3 5 - 8 c 0 6 - a 7 8 9 6 f 8 7 8 3 4 6 ]   A S   1 ,   V i s i b l e = 0 ;    
 A L T E R   C U B E   C U R R E N T C U B E   U P D A T E   D I M E N S I O N   M e a s u r e s ,   D e f a u l t _ M e m b e r   =   [ c 2 1 c 3 f 1 7 - c 5 9 7 - 4 8 3 5 - 8 c 0 6 - a 7 8 9 6 f 8 7 8 3 4 6 ] ;   < / T e x t > < / C o m m a n d > < / C o m m a n d s > < / M d x S c r i p t > < / M d x S c r i p t s > < S t o r a g e M o d e   v a l u e n s = " d d l 2 0 0 _ 2 0 0 " > I n M e m o r y < / S t o r a g e M o d e > < / C u b e > < / C u b e s > < d d l 2 0 0 _ 2 0 0 : S t o r a g e E n g i n e U s e d > I n M e m o r y < / d d l 2 0 0 _ 2 0 0 : S t o r a g e E n g i n e U s e d > < / D a t a b a s e > < / O b j e c t D e f i n i t i o n > < / C r e a t e > ] ] > < / C u s t o m C o n t e n t > < / G e m i n i > 
</file>

<file path=customXml/item7.xml>��< ? x m l   v e r s i o n = " 1 . 0 "   e n c o d i n g = " U T F - 1 6 " ? > < G e m i n i   x m l n s = " h t t p : / / g e m i n i / w o r k b o o k c u s t o m i z a t i o n / S a n d b o x N o n E m p t y " > < C u s t o m C o n t e n t > < ! [ C D A T A [ 0 ] ] > < / C u s t o m C o n t e n t > < / G e m i n i > 
</file>

<file path=customXml/item8.xml>��< ? x m l   v e r s i o n = " 1 . 0 "   e n c o d i n g = " U T F - 1 6 " ? > < G e m i n i   x m l n s = " h t t p : / / g e m i n i / p i v o t c u s t o m i z a t i o n / M a n u a l C a l c M o d e " > < C u s t o m C o n t e n t > < ! [ C D A T A [ F a l s e ] ] > < / C u s t o m C o n t e n t > < / G e m i n i > 
</file>

<file path=customXml/itemProps1.xml><?xml version="1.0" encoding="utf-8"?>
<ds:datastoreItem xmlns:ds="http://schemas.openxmlformats.org/officeDocument/2006/customXml" ds:itemID="{10B1D353-5E66-46AC-8F3A-E7A610067CD1}">
  <ds:schemaRefs/>
</ds:datastoreItem>
</file>

<file path=customXml/itemProps2.xml><?xml version="1.0" encoding="utf-8"?>
<ds:datastoreItem xmlns:ds="http://schemas.openxmlformats.org/officeDocument/2006/customXml" ds:itemID="{B345D165-94BF-414E-AC9A-A70B1F8DE85A}">
  <ds:schemaRefs/>
</ds:datastoreItem>
</file>

<file path=customXml/itemProps3.xml><?xml version="1.0" encoding="utf-8"?>
<ds:datastoreItem xmlns:ds="http://schemas.openxmlformats.org/officeDocument/2006/customXml" ds:itemID="{DBF2C59A-27C0-48F2-B63E-08B4847B56EC}">
  <ds:schemaRefs/>
</ds:datastoreItem>
</file>

<file path=customXml/itemProps4.xml><?xml version="1.0" encoding="utf-8"?>
<ds:datastoreItem xmlns:ds="http://schemas.openxmlformats.org/officeDocument/2006/customXml" ds:itemID="{67B376A8-CBB8-4BC6-8317-2AC6D9DA63EB}">
  <ds:schemaRefs/>
</ds:datastoreItem>
</file>

<file path=customXml/itemProps5.xml><?xml version="1.0" encoding="utf-8"?>
<ds:datastoreItem xmlns:ds="http://schemas.openxmlformats.org/officeDocument/2006/customXml" ds:itemID="{11BEAF0E-B101-46ED-A981-7B6D4C5E1230}">
  <ds:schemaRefs/>
</ds:datastoreItem>
</file>

<file path=customXml/itemProps6.xml><?xml version="1.0" encoding="utf-8"?>
<ds:datastoreItem xmlns:ds="http://schemas.openxmlformats.org/officeDocument/2006/customXml" ds:itemID="{D921BC6C-A689-4A2C-B14C-4DC7AB65200F}">
  <ds:schemaRefs/>
</ds:datastoreItem>
</file>

<file path=customXml/itemProps7.xml><?xml version="1.0" encoding="utf-8"?>
<ds:datastoreItem xmlns:ds="http://schemas.openxmlformats.org/officeDocument/2006/customXml" ds:itemID="{5240098F-5910-40DB-A936-1CB66A1521A9}">
  <ds:schemaRefs/>
</ds:datastoreItem>
</file>

<file path=customXml/itemProps8.xml><?xml version="1.0" encoding="utf-8"?>
<ds:datastoreItem xmlns:ds="http://schemas.openxmlformats.org/officeDocument/2006/customXml" ds:itemID="{484D7E91-903F-4278-A16E-439A4B78DD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152</vt:i4>
      </vt:variant>
      <vt:variant>
        <vt:lpstr>Named Ranges</vt:lpstr>
      </vt:variant>
      <vt:variant>
        <vt:i4>55</vt:i4>
      </vt:variant>
    </vt:vector>
  </HeadingPairs>
  <TitlesOfParts>
    <vt:vector size="207" baseType="lpstr">
      <vt:lpstr>Contents</vt:lpstr>
      <vt:lpstr>Notes</vt:lpstr>
      <vt:lpstr>Applications</vt:lpstr>
      <vt:lpstr>Temporary Applications</vt:lpstr>
      <vt:lpstr>1.1</vt:lpstr>
      <vt:lpstr>1.1 Pivot</vt:lpstr>
      <vt:lpstr>1.2</vt:lpstr>
      <vt:lpstr>1.2 Pivot</vt:lpstr>
      <vt:lpstr>1.3</vt:lpstr>
      <vt:lpstr>1.3 Pivot</vt:lpstr>
      <vt:lpstr>1.4</vt:lpstr>
      <vt:lpstr>1.4 Pivot</vt:lpstr>
      <vt:lpstr>1.5</vt:lpstr>
      <vt:lpstr>1.5 Pivot A</vt:lpstr>
      <vt:lpstr>1.5 Pivot B</vt:lpstr>
      <vt:lpstr>1.5 Pivot C</vt:lpstr>
      <vt:lpstr>1.5 Pivot D</vt:lpstr>
      <vt:lpstr>1.5 Pivot E</vt:lpstr>
      <vt:lpstr>1.5 Pivot F</vt:lpstr>
      <vt:lpstr>1.5 Pivot G</vt:lpstr>
      <vt:lpstr>1.5 Pivot H</vt:lpstr>
      <vt:lpstr>1.6a</vt:lpstr>
      <vt:lpstr>1.6a Pivot A</vt:lpstr>
      <vt:lpstr>1.6a Pivot B</vt:lpstr>
      <vt:lpstr>1.6a Pivot C</vt:lpstr>
      <vt:lpstr>1.6a Pivot D</vt:lpstr>
      <vt:lpstr>1.6a Pivot E</vt:lpstr>
      <vt:lpstr>1.6a Pivot F</vt:lpstr>
      <vt:lpstr>1.6a Pivot G</vt:lpstr>
      <vt:lpstr>1.6a Pivot H</vt:lpstr>
      <vt:lpstr>1.6b</vt:lpstr>
      <vt:lpstr>1.6b Pivot A</vt:lpstr>
      <vt:lpstr>1.6b Pivot B</vt:lpstr>
      <vt:lpstr>1.6b Pivot C</vt:lpstr>
      <vt:lpstr>1.6b Pivot D</vt:lpstr>
      <vt:lpstr>1.6b Pivot E</vt:lpstr>
      <vt:lpstr>1.6b Pivot F</vt:lpstr>
      <vt:lpstr>1.6b Pivot G</vt:lpstr>
      <vt:lpstr>1.6b Pivot H</vt:lpstr>
      <vt:lpstr>1.6c</vt:lpstr>
      <vt:lpstr>1.6c Pivot A</vt:lpstr>
      <vt:lpstr>1.6c Pivot B</vt:lpstr>
      <vt:lpstr>1.6c Pivot C</vt:lpstr>
      <vt:lpstr>1.6c Pivot D</vt:lpstr>
      <vt:lpstr>1.6c Pivot E</vt:lpstr>
      <vt:lpstr>1.6c Pivot F</vt:lpstr>
      <vt:lpstr>1.6c Pivot G</vt:lpstr>
      <vt:lpstr>1.6c Pivot H</vt:lpstr>
      <vt:lpstr>1.7</vt:lpstr>
      <vt:lpstr>1.7 Pivot</vt:lpstr>
      <vt:lpstr>1.8</vt:lpstr>
      <vt:lpstr>1.8 Pivot A</vt:lpstr>
      <vt:lpstr>1.8 Pivot B</vt:lpstr>
      <vt:lpstr>1.8 Pivot C</vt:lpstr>
      <vt:lpstr>1.8 Pivot D</vt:lpstr>
      <vt:lpstr>1.8 Pivot E</vt:lpstr>
      <vt:lpstr>1.8 Pivot F</vt:lpstr>
      <vt:lpstr>1.8 Pivot G</vt:lpstr>
      <vt:lpstr>1.8 Pivot H</vt:lpstr>
      <vt:lpstr>2.1</vt:lpstr>
      <vt:lpstr>2.1 Pivot</vt:lpstr>
      <vt:lpstr>2.2</vt:lpstr>
      <vt:lpstr>2.2 Pivot A</vt:lpstr>
      <vt:lpstr>2.2 Pivot B</vt:lpstr>
      <vt:lpstr>2.2 Pivot C</vt:lpstr>
      <vt:lpstr>2.3</vt:lpstr>
      <vt:lpstr>2.3 Pivot A</vt:lpstr>
      <vt:lpstr>2.3 Pivot B</vt:lpstr>
      <vt:lpstr>2.4</vt:lpstr>
      <vt:lpstr>2.4 Pivot</vt:lpstr>
      <vt:lpstr>2.5</vt:lpstr>
      <vt:lpstr>2.5 Pivot</vt:lpstr>
      <vt:lpstr>2.6</vt:lpstr>
      <vt:lpstr>2.6 Pivot</vt:lpstr>
      <vt:lpstr>3.1</vt:lpstr>
      <vt:lpstr>3.1 Pivot</vt:lpstr>
      <vt:lpstr>3.2</vt:lpstr>
      <vt:lpstr>3.2 Pivot A</vt:lpstr>
      <vt:lpstr>3.2 Pivot B</vt:lpstr>
      <vt:lpstr>3.2 Pivot C</vt:lpstr>
      <vt:lpstr>3.3</vt:lpstr>
      <vt:lpstr>3.3 Pivot</vt:lpstr>
      <vt:lpstr>3.4</vt:lpstr>
      <vt:lpstr>3.4 Pivot</vt:lpstr>
      <vt:lpstr>3.5</vt:lpstr>
      <vt:lpstr>3.5 Pivot</vt:lpstr>
      <vt:lpstr>3.6</vt:lpstr>
      <vt:lpstr>3.6 Pivot</vt:lpstr>
      <vt:lpstr>3.7</vt:lpstr>
      <vt:lpstr>3.7 Pivot</vt:lpstr>
      <vt:lpstr>3.8</vt:lpstr>
      <vt:lpstr>3.8 Pivot</vt:lpstr>
      <vt:lpstr>3.9</vt:lpstr>
      <vt:lpstr>3.9 Pivot</vt:lpstr>
      <vt:lpstr>3.10</vt:lpstr>
      <vt:lpstr>3.10 Pivot</vt:lpstr>
      <vt:lpstr>4.1</vt:lpstr>
      <vt:lpstr>4.1 Pivot</vt:lpstr>
      <vt:lpstr>Sch 1.1</vt:lpstr>
      <vt:lpstr>Sch 1.1 Pivot</vt:lpstr>
      <vt:lpstr>Sch 1.2</vt:lpstr>
      <vt:lpstr>Sch 1.2 Pivot</vt:lpstr>
      <vt:lpstr>Sch 1.3</vt:lpstr>
      <vt:lpstr>Sch 1.3 Pivot</vt:lpstr>
      <vt:lpstr>Sch 1.4</vt:lpstr>
      <vt:lpstr>Sch 1.4 Pivot</vt:lpstr>
      <vt:lpstr>Sch 1.5</vt:lpstr>
      <vt:lpstr>Sch 1.5 Pivot</vt:lpstr>
      <vt:lpstr>Sch 1.6</vt:lpstr>
      <vt:lpstr>Sch 1.6 Pivot</vt:lpstr>
      <vt:lpstr>Sch 1.7</vt:lpstr>
      <vt:lpstr>Sch 1.7 Pivot</vt:lpstr>
      <vt:lpstr>Sch 1.8</vt:lpstr>
      <vt:lpstr>Sch 1.8 Pivot</vt:lpstr>
      <vt:lpstr>Sch 1.9</vt:lpstr>
      <vt:lpstr>Sch 1.9 Pivot</vt:lpstr>
      <vt:lpstr>Sch 2.1</vt:lpstr>
      <vt:lpstr>Sch 2.1 Pivot</vt:lpstr>
      <vt:lpstr>Sch 2.2</vt:lpstr>
      <vt:lpstr>Sch 2.2 Pivot</vt:lpstr>
      <vt:lpstr>Sch 2.3</vt:lpstr>
      <vt:lpstr>Sch 2.3 Pivot</vt:lpstr>
      <vt:lpstr>Sch 2.4</vt:lpstr>
      <vt:lpstr>Sch 2.4 Pivot</vt:lpstr>
      <vt:lpstr>Sch 2.5</vt:lpstr>
      <vt:lpstr>Sch 2.5 Pivot</vt:lpstr>
      <vt:lpstr>Sch 2.6</vt:lpstr>
      <vt:lpstr>Sch 2.6 Pivot</vt:lpstr>
      <vt:lpstr>Sch 2.7</vt:lpstr>
      <vt:lpstr>Sch 2.7 Pivot</vt:lpstr>
      <vt:lpstr>Sch 2.8</vt:lpstr>
      <vt:lpstr>Sch 2.8 Pivot</vt:lpstr>
      <vt:lpstr>Sch 2.9</vt:lpstr>
      <vt:lpstr>Sch 2.9 Pivot</vt:lpstr>
      <vt:lpstr>Sch 3.1</vt:lpstr>
      <vt:lpstr>Sch 3.1 Pivot</vt:lpstr>
      <vt:lpstr>Sch 3.2</vt:lpstr>
      <vt:lpstr>Sch 3.2 Pivot</vt:lpstr>
      <vt:lpstr>Sch 3.3</vt:lpstr>
      <vt:lpstr>Sch 3.3 Pivot</vt:lpstr>
      <vt:lpstr>Sch 3.4</vt:lpstr>
      <vt:lpstr>Sch 3.4 Pivot</vt:lpstr>
      <vt:lpstr>Sch 3.5</vt:lpstr>
      <vt:lpstr>Sch 3.5 Pivot</vt:lpstr>
      <vt:lpstr>Sch 3.6</vt:lpstr>
      <vt:lpstr>Sch 3.6 Pivot</vt:lpstr>
      <vt:lpstr>Sch 3.7</vt:lpstr>
      <vt:lpstr>Sch 3.7 Pivot</vt:lpstr>
      <vt:lpstr>Sch 3.8</vt:lpstr>
      <vt:lpstr>Sch 3.8 Pivot</vt:lpstr>
      <vt:lpstr>Sch 3.9</vt:lpstr>
      <vt:lpstr>Sch 3.9 Pivot</vt:lpstr>
      <vt:lpstr>'1.1'!Print_Area</vt:lpstr>
      <vt:lpstr>'1.2'!Print_Area</vt:lpstr>
      <vt:lpstr>'1.3'!Print_Area</vt:lpstr>
      <vt:lpstr>'1.4'!Print_Area</vt:lpstr>
      <vt:lpstr>'1.5'!Print_Area</vt:lpstr>
      <vt:lpstr>'1.6a'!Print_Area</vt:lpstr>
      <vt:lpstr>'1.6b'!Print_Area</vt:lpstr>
      <vt:lpstr>'1.6c'!Print_Area</vt:lpstr>
      <vt:lpstr>'1.7'!Print_Area</vt:lpstr>
      <vt:lpstr>'1.8'!Print_Area</vt:lpstr>
      <vt:lpstr>'2.1'!Print_Area</vt:lpstr>
      <vt:lpstr>'2.2'!Print_Area</vt:lpstr>
      <vt:lpstr>'2.3'!Print_Area</vt:lpstr>
      <vt:lpstr>'2.4'!Print_Area</vt:lpstr>
      <vt:lpstr>'2.5'!Print_Area</vt:lpstr>
      <vt:lpstr>'2.6'!Print_Area</vt:lpstr>
      <vt:lpstr>'3.1'!Print_Area</vt:lpstr>
      <vt:lpstr>'3.10'!Print_Area</vt:lpstr>
      <vt:lpstr>'3.4'!Print_Area</vt:lpstr>
      <vt:lpstr>'3.5'!Print_Area</vt:lpstr>
      <vt:lpstr>'3.6'!Print_Area</vt:lpstr>
      <vt:lpstr>'3.7'!Print_Area</vt:lpstr>
      <vt:lpstr>'3.8'!Print_Area</vt:lpstr>
      <vt:lpstr>'3.9'!Print_Area</vt:lpstr>
      <vt:lpstr>'4.1'!Print_Area</vt:lpstr>
      <vt:lpstr>Contents!Print_Area</vt:lpstr>
      <vt:lpstr>Notes!Print_Area</vt:lpstr>
      <vt:lpstr>'1.2'!Print_Titles</vt:lpstr>
      <vt:lpstr>'Sch 1.1'!Print_Titles</vt:lpstr>
      <vt:lpstr>'Sch 1.2'!Print_Titles</vt:lpstr>
      <vt:lpstr>'Sch 1.3'!Print_Titles</vt:lpstr>
      <vt:lpstr>'Sch 1.4'!Print_Titles</vt:lpstr>
      <vt:lpstr>'Sch 1.5'!Print_Titles</vt:lpstr>
      <vt:lpstr>'Sch 1.6'!Print_Titles</vt:lpstr>
      <vt:lpstr>'Sch 1.7'!Print_Titles</vt:lpstr>
      <vt:lpstr>'Sch 1.8'!Print_Titles</vt:lpstr>
      <vt:lpstr>'Sch 1.9'!Print_Titles</vt:lpstr>
      <vt:lpstr>'Sch 2.1'!Print_Titles</vt:lpstr>
      <vt:lpstr>'Sch 2.2'!Print_Titles</vt:lpstr>
      <vt:lpstr>'Sch 2.3'!Print_Titles</vt:lpstr>
      <vt:lpstr>'Sch 2.4'!Print_Titles</vt:lpstr>
      <vt:lpstr>'Sch 2.5'!Print_Titles</vt:lpstr>
      <vt:lpstr>'Sch 2.6'!Print_Titles</vt:lpstr>
      <vt:lpstr>'Sch 2.7'!Print_Titles</vt:lpstr>
      <vt:lpstr>'Sch 2.8'!Print_Titles</vt:lpstr>
      <vt:lpstr>'Sch 2.9'!Print_Titles</vt:lpstr>
      <vt:lpstr>'Sch 3.1'!Print_Titles</vt:lpstr>
      <vt:lpstr>'Sch 3.2'!Print_Titles</vt:lpstr>
      <vt:lpstr>'Sch 3.3'!Print_Titles</vt:lpstr>
      <vt:lpstr>'Sch 3.4'!Print_Titles</vt:lpstr>
      <vt:lpstr>'Sch 3.5'!Print_Titles</vt:lpstr>
      <vt:lpstr>'Sch 3.6'!Print_Titles</vt:lpstr>
      <vt:lpstr>'Sch 3.7'!Print_Titles</vt:lpstr>
      <vt:lpstr>'Sch 3.8'!Print_Titles</vt:lpstr>
      <vt:lpstr>'Sch 3.9'!Print_Titles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Clearwater, Patrick</dc:creator>
  <cp:lastModifiedBy>Clearwater, Patrick</cp:lastModifiedBy>
  <cp:lastPrinted>2019-03-14T14:43:42Z</cp:lastPrinted>
  <dcterms:created xsi:type="dcterms:W3CDTF">2014-10-01T14:07:37Z</dcterms:created>
  <dcterms:modified xsi:type="dcterms:W3CDTF">2019-03-14T14:54:09Z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3da656-5c75-4f6d-9461-4a3ce9a537cc_Enabled">
    <vt:lpwstr>False</vt:lpwstr>
  </property>
  <property fmtid="{D5CDD505-2E9C-101B-9397-08002B2CF9AE}" pid="3" name="MSIP_Label_763da656-5c75-4f6d-9461-4a3ce9a537cc_SiteId">
    <vt:lpwstr>d9d3f5ac-f803-49be-949f-14a7074d74a7</vt:lpwstr>
  </property>
  <property fmtid="{D5CDD505-2E9C-101B-9397-08002B2CF9AE}" pid="4" name="MSIP_Label_763da656-5c75-4f6d-9461-4a3ce9a537cc_Ref">
    <vt:lpwstr>https://api.informationprotection.azure.com/api/d9d3f5ac-f803-49be-949f-14a7074d74a7</vt:lpwstr>
  </property>
  <property fmtid="{D5CDD505-2E9C-101B-9397-08002B2CF9AE}" pid="5" name="MSIP_Label_763da656-5c75-4f6d-9461-4a3ce9a537cc_SetBy">
    <vt:lpwstr>Patrick.Clearwater@richmondandwandsworth.gov.uk</vt:lpwstr>
  </property>
  <property fmtid="{D5CDD505-2E9C-101B-9397-08002B2CF9AE}" pid="6" name="MSIP_Label_763da656-5c75-4f6d-9461-4a3ce9a537cc_SetDate">
    <vt:lpwstr>2019-03-13T11:09:26.0515541+00:00</vt:lpwstr>
  </property>
  <property fmtid="{D5CDD505-2E9C-101B-9397-08002B2CF9AE}" pid="7" name="MSIP_Label_763da656-5c75-4f6d-9461-4a3ce9a537cc_Name">
    <vt:lpwstr>Official</vt:lpwstr>
  </property>
  <property fmtid="{D5CDD505-2E9C-101B-9397-08002B2CF9AE}" pid="8" name="MSIP_Label_763da656-5c75-4f6d-9461-4a3ce9a537cc_Application">
    <vt:lpwstr>Microsoft Azure Information Protection</vt:lpwstr>
  </property>
  <property fmtid="{D5CDD505-2E9C-101B-9397-08002B2CF9AE}" pid="9" name="MSIP_Label_763da656-5c75-4f6d-9461-4a3ce9a537cc_Extended_MSFT_Method">
    <vt:lpwstr>Automatic</vt:lpwstr>
  </property>
  <property fmtid="{D5CDD505-2E9C-101B-9397-08002B2CF9AE}" pid="10" name="Sensitivity">
    <vt:lpwstr/>
  </property>
</Properties>
</file>